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charts/chart5.xml" ContentType="application/vnd.openxmlformats-officedocument.drawingml.chart+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24226"/>
  <mc:AlternateContent xmlns:mc="http://schemas.openxmlformats.org/markup-compatibility/2006">
    <mc:Choice Requires="x15">
      <x15ac:absPath xmlns:x15ac="http://schemas.microsoft.com/office/spreadsheetml/2010/11/ac" url="https://ingov-my.sharepoint.com/personal/thorn_urc_in_gov/Documents/Migrated_Home_Drive/FILINGS/"/>
    </mc:Choice>
  </mc:AlternateContent>
  <xr:revisionPtr revIDLastSave="0" documentId="8_{64C45F73-9CF3-482D-8923-38B330386E8E}" xr6:coauthVersionLast="45" xr6:coauthVersionMax="45" xr10:uidLastSave="{00000000-0000-0000-0000-000000000000}"/>
  <bookViews>
    <workbookView xWindow="-120" yWindow="-120" windowWidth="20730" windowHeight="11160" xr2:uid="{00000000-000D-0000-FFFF-FFFF00000000}"/>
  </bookViews>
  <sheets>
    <sheet name="Cover Page" sheetId="103" r:id="rId1"/>
    <sheet name="Schedule-1 Summary Gas Proxy" sheetId="86" r:id="rId2"/>
    <sheet name="Schedule-1 Summary Alt Proxy" sheetId="95" r:id="rId3"/>
    <sheet name="Schedule-2 Gas Proxy Selection" sheetId="52" r:id="rId4"/>
    <sheet name="Schedule-2 Alt Proxy Selection" sheetId="96" r:id="rId5"/>
    <sheet name="Schedule-3 Constant DCF 1 Gas P" sheetId="35" r:id="rId6"/>
    <sheet name="Schedule-3 Constant DCF 1 Alt P" sheetId="97" r:id="rId7"/>
    <sheet name="Schedule-3 Constant DCF 2" sheetId="91" r:id="rId8"/>
    <sheet name="Schedule-4 CAPM Gas Proxy 1" sheetId="76" r:id="rId9"/>
    <sheet name="Schedule-4 CAPM Alt Proxy 1" sheetId="98" r:id="rId10"/>
    <sheet name="Schedule-4 CAPM 2" sheetId="4" r:id="rId11"/>
    <sheet name="Schedule-4 CAPM 3" sheetId="102" r:id="rId12"/>
    <sheet name="Schedule-5 Risk Premium Gas P" sheetId="92" r:id="rId13"/>
    <sheet name="Schedule-6 Exp Earnings Gas P" sheetId="66" r:id="rId14"/>
    <sheet name="Schedule-6 Exp Earnings Alt P" sheetId="99" r:id="rId15"/>
    <sheet name="Schedule-7 Size Premium Gas P" sheetId="85" r:id="rId16"/>
    <sheet name="Schedule-8 Flotation Cost Gas P" sheetId="77" r:id="rId17"/>
    <sheet name="Schedule-9 CapEx Gas Proxy 1" sheetId="93" r:id="rId18"/>
    <sheet name="Schedule-9 CapEx Gas Proxy 2" sheetId="94" r:id="rId19"/>
    <sheet name="Schedule-10 Reg Risk Gas Proxy" sheetId="80" r:id="rId20"/>
    <sheet name="Schedule-10 Reg Risk Alt Proxy" sheetId="100" r:id="rId21"/>
    <sheet name="Schedule-11 Cap Structure Gas P" sheetId="90" r:id="rId22"/>
    <sheet name="Schedule-11 Cap Structure Alt P" sheetId="101" r:id="rId23"/>
  </sheets>
  <externalReferences>
    <externalReference r:id="rId24"/>
    <externalReference r:id="rId25"/>
    <externalReference r:id="rId26"/>
    <externalReference r:id="rId27"/>
    <externalReference r:id="rId28"/>
    <externalReference r:id="rId29"/>
    <externalReference r:id="rId30"/>
  </externalReferences>
  <definedNames>
    <definedName name="__FDS_HYPERLINK_TOGGLE_STATE__" hidden="1">"ON"</definedName>
    <definedName name="_Fill" localSheetId="0" hidden="1">#REF!</definedName>
    <definedName name="_Fill" hidden="1">#REF!</definedName>
    <definedName name="_xlnm._FilterDatabase" localSheetId="18" hidden="1">'Schedule-9 CapEx Gas Proxy 2'!$B$27:$D$27</definedName>
    <definedName name="_Key1" localSheetId="0" hidden="1">#REF!</definedName>
    <definedName name="_Key1" hidden="1">#REF!</definedName>
    <definedName name="_Key11" localSheetId="0" hidden="1">#REF!</definedName>
    <definedName name="_Key11" hidden="1">#REF!</definedName>
    <definedName name="_Key2" localSheetId="0" hidden="1">#REF!</definedName>
    <definedName name="_Key2" hidden="1">#REF!</definedName>
    <definedName name="_new23" localSheetId="0" hidden="1">{#N/A,#N/A,FALSE,"SCA";#N/A,#N/A,FALSE,"NCA";#N/A,#N/A,FALSE,"SAZ";#N/A,#N/A,FALSE,"CAZ";#N/A,#N/A,FALSE,"SNV";#N/A,#N/A,FALSE,"NNV";#N/A,#N/A,FALSE,"PP";#N/A,#N/A,FALSE,"SA"}</definedName>
    <definedName name="_new23" hidden="1">{#N/A,#N/A,FALSE,"SCA";#N/A,#N/A,FALSE,"NCA";#N/A,#N/A,FALSE,"SAZ";#N/A,#N/A,FALSE,"CAZ";#N/A,#N/A,FALSE,"SNV";#N/A,#N/A,FALSE,"NNV";#N/A,#N/A,FALSE,"PP";#N/A,#N/A,FALSE,"SA"}</definedName>
    <definedName name="_new37" localSheetId="0" hidden="1">{#N/A,#N/A,FALSE,"SCA";#N/A,#N/A,FALSE,"NCA";#N/A,#N/A,FALSE,"SAZ";#N/A,#N/A,FALSE,"CAZ";#N/A,#N/A,FALSE,"SNV";#N/A,#N/A,FALSE,"NNV";#N/A,#N/A,FALSE,"PP";#N/A,#N/A,FALSE,"SA"}</definedName>
    <definedName name="_new37" hidden="1">{#N/A,#N/A,FALSE,"SCA";#N/A,#N/A,FALSE,"NCA";#N/A,#N/A,FALSE,"SAZ";#N/A,#N/A,FALSE,"CAZ";#N/A,#N/A,FALSE,"SNV";#N/A,#N/A,FALSE,"NNV";#N/A,#N/A,FALSE,"PP";#N/A,#N/A,FALSE,"SA"}</definedName>
    <definedName name="_new41" localSheetId="0" hidden="1">{"caz2",#N/A,FALSE,"Central Arizona 2";"saz2",#N/A,FALSE,"Southern Arizona 2";"snv2",#N/A,FALSE,"Southern Nevada 2";"nnv2",#N/A,FALSE,"Northern Nevada 2";"sca2",#N/A,FALSE,"Southern California 2";"nca2",#N/A,FALSE,"Northern California 2";"pai2",#N/A,FALSE,"Paiute 2"}</definedName>
    <definedName name="_new41" hidden="1">{"caz2",#N/A,FALSE,"Central Arizona 2";"saz2",#N/A,FALSE,"Southern Arizona 2";"snv2",#N/A,FALSE,"Southern Nevada 2";"nnv2",#N/A,FALSE,"Northern Nevada 2";"sca2",#N/A,FALSE,"Southern California 2";"nca2",#N/A,FALSE,"Northern California 2";"pai2",#N/A,FALSE,"Paiute 2"}</definedName>
    <definedName name="_new43" localSheetId="0" hidden="1">{#N/A,#N/A,FALSE,"SCA";#N/A,#N/A,FALSE,"NCA";#N/A,#N/A,FALSE,"SAZ";#N/A,#N/A,FALSE,"CAZ";#N/A,#N/A,FALSE,"SNV";#N/A,#N/A,FALSE,"NNV";#N/A,#N/A,FALSE,"PP";#N/A,#N/A,FALSE,"SA"}</definedName>
    <definedName name="_new43" hidden="1">{#N/A,#N/A,FALSE,"SCA";#N/A,#N/A,FALSE,"NCA";#N/A,#N/A,FALSE,"SAZ";#N/A,#N/A,FALSE,"CAZ";#N/A,#N/A,FALSE,"SNV";#N/A,#N/A,FALSE,"NNV";#N/A,#N/A,FALSE,"PP";#N/A,#N/A,FALSE,"SA"}</definedName>
    <definedName name="_new57" localSheetId="0" hidden="1">{#N/A,#N/A,FALSE,"SCA";#N/A,#N/A,FALSE,"NCA";#N/A,#N/A,FALSE,"SAZ";#N/A,#N/A,FALSE,"CAZ";#N/A,#N/A,FALSE,"SNV";#N/A,#N/A,FALSE,"NNV";#N/A,#N/A,FALSE,"PP";#N/A,#N/A,FALSE,"SA"}</definedName>
    <definedName name="_new57" hidden="1">{#N/A,#N/A,FALSE,"SCA";#N/A,#N/A,FALSE,"NCA";#N/A,#N/A,FALSE,"SAZ";#N/A,#N/A,FALSE,"CAZ";#N/A,#N/A,FALSE,"SNV";#N/A,#N/A,FALSE,"NNV";#N/A,#N/A,FALSE,"PP";#N/A,#N/A,FALSE,"SA"}</definedName>
    <definedName name="_new58" localSheetId="0" hidden="1">{#N/A,#N/A,FALSE,"SCA";#N/A,#N/A,FALSE,"NCA";#N/A,#N/A,FALSE,"SAZ";#N/A,#N/A,FALSE,"CAZ";#N/A,#N/A,FALSE,"SNV";#N/A,#N/A,FALSE,"NNV";#N/A,#N/A,FALSE,"PP";#N/A,#N/A,FALSE,"SA"}</definedName>
    <definedName name="_new58" hidden="1">{#N/A,#N/A,FALSE,"SCA";#N/A,#N/A,FALSE,"NCA";#N/A,#N/A,FALSE,"SAZ";#N/A,#N/A,FALSE,"CAZ";#N/A,#N/A,FALSE,"SNV";#N/A,#N/A,FALSE,"NNV";#N/A,#N/A,FALSE,"PP";#N/A,#N/A,FALSE,"SA"}</definedName>
    <definedName name="_new61" localSheetId="0"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_new61"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_new71" localSheetId="0" hidden="1">{#N/A,#N/A,FALSE,"SCA";#N/A,#N/A,FALSE,"NCA";#N/A,#N/A,FALSE,"SAZ";#N/A,#N/A,FALSE,"CAZ";#N/A,#N/A,FALSE,"SNV";#N/A,#N/A,FALSE,"NNV";#N/A,#N/A,FALSE,"PP";#N/A,#N/A,FALSE,"SA"}</definedName>
    <definedName name="_new71" hidden="1">{#N/A,#N/A,FALSE,"SCA";#N/A,#N/A,FALSE,"NCA";#N/A,#N/A,FALSE,"SAZ";#N/A,#N/A,FALSE,"CAZ";#N/A,#N/A,FALSE,"SNV";#N/A,#N/A,FALSE,"NNV";#N/A,#N/A,FALSE,"PP";#N/A,#N/A,FALSE,"SA"}</definedName>
    <definedName name="_new72" localSheetId="0" hidden="1">{#N/A,#N/A,FALSE,"SCA";#N/A,#N/A,FALSE,"NCA";#N/A,#N/A,FALSE,"SAZ";#N/A,#N/A,FALSE,"CAZ";#N/A,#N/A,FALSE,"SNV";#N/A,#N/A,FALSE,"NNV";#N/A,#N/A,FALSE,"PP";#N/A,#N/A,FALSE,"SA"}</definedName>
    <definedName name="_new72" hidden="1">{#N/A,#N/A,FALSE,"SCA";#N/A,#N/A,FALSE,"NCA";#N/A,#N/A,FALSE,"SAZ";#N/A,#N/A,FALSE,"CAZ";#N/A,#N/A,FALSE,"SNV";#N/A,#N/A,FALSE,"NNV";#N/A,#N/A,FALSE,"PP";#N/A,#N/A,FALSE,"SA"}</definedName>
    <definedName name="_new73" localSheetId="0" hidden="1">{#N/A,#N/A,FALSE,"Page 1";#N/A,#N/A,FALSE,"Page 2";#N/A,#N/A,FALSE,"Page 3";#N/A,#N/A,FALSE,"Page 4";#N/A,#N/A,FALSE,"Page 5";#N/A,#N/A,FALSE,"Page 6";#N/A,#N/A,FALSE,"Page 7";#N/A,#N/A,FALSE,"Page 8";#N/A,#N/A,FALSE,"Page 9";#N/A,#N/A,FALSE,"PG8WP";#N/A,#N/A,FALSE,"PG9WP"}</definedName>
    <definedName name="_new73" hidden="1">{#N/A,#N/A,FALSE,"Page 1";#N/A,#N/A,FALSE,"Page 2";#N/A,#N/A,FALSE,"Page 3";#N/A,#N/A,FALSE,"Page 4";#N/A,#N/A,FALSE,"Page 5";#N/A,#N/A,FALSE,"Page 6";#N/A,#N/A,FALSE,"Page 7";#N/A,#N/A,FALSE,"Page 8";#N/A,#N/A,FALSE,"Page 9";#N/A,#N/A,FALSE,"PG8WP";#N/A,#N/A,FALSE,"PG9WP"}</definedName>
    <definedName name="_new74" localSheetId="0"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_new74"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_new75" localSheetId="0" hidden="1">{"caz2",#N/A,FALSE,"Central Arizona 2";"saz2",#N/A,FALSE,"Southern Arizona 2";"snv2",#N/A,FALSE,"Southern Nevada 2";"nnv2",#N/A,FALSE,"Northern Nevada 2";"sca2",#N/A,FALSE,"Southern California 2";"nca2",#N/A,FALSE,"Northern California 2";"pai2",#N/A,FALSE,"Paiute 2"}</definedName>
    <definedName name="_new75" hidden="1">{"caz2",#N/A,FALSE,"Central Arizona 2";"saz2",#N/A,FALSE,"Southern Arizona 2";"snv2",#N/A,FALSE,"Southern Nevada 2";"nnv2",#N/A,FALSE,"Northern Nevada 2";"sca2",#N/A,FALSE,"Southern California 2";"nca2",#N/A,FALSE,"Northern California 2";"pai2",#N/A,FALSE,"Paiute 2"}</definedName>
    <definedName name="_Order1" hidden="1">255</definedName>
    <definedName name="_Order2" hidden="1">255</definedName>
    <definedName name="_Regression_Int" hidden="1">1</definedName>
    <definedName name="_Regression_Out" localSheetId="0" hidden="1">#REF!</definedName>
    <definedName name="_Regression_Out" hidden="1">#REF!</definedName>
    <definedName name="_Regression_X" localSheetId="0" hidden="1">#REF!</definedName>
    <definedName name="_Regression_X" hidden="1">#REF!</definedName>
    <definedName name="_Regression_Y" localSheetId="0" hidden="1">#REF!</definedName>
    <definedName name="_Regression_Y" hidden="1">#REF!</definedName>
    <definedName name="_Sort" localSheetId="0" hidden="1">#REF!</definedName>
    <definedName name="_Sort" hidden="1">#REF!</definedName>
    <definedName name="_Table2_Out" localSheetId="0" hidden="1">#REF!</definedName>
    <definedName name="_Table2_Out" localSheetId="2" hidden="1">#REF!</definedName>
    <definedName name="_Table2_Out" localSheetId="1" hidden="1">#REF!</definedName>
    <definedName name="_Table2_Out" localSheetId="20" hidden="1">#REF!</definedName>
    <definedName name="_Table2_Out" localSheetId="19" hidden="1">#REF!</definedName>
    <definedName name="_Table2_Out" localSheetId="15" hidden="1">#REF!</definedName>
    <definedName name="_Table2_Out" localSheetId="17" hidden="1">#REF!</definedName>
    <definedName name="_Table2_Out" localSheetId="18" hidden="1">#REF!</definedName>
    <definedName name="_Table2_Out" hidden="1">#REF!</definedName>
    <definedName name="AAA_DOCTOPS" hidden="1">"AAA_SET"</definedName>
    <definedName name="AAA_duser" hidden="1">"OFF"</definedName>
    <definedName name="AAB_Addin5" hidden="1">"AAB_Description for addin 5,Description for addin 5,Description for addin 5,Description for addin 5,Description for addin 5,Description for addin 5"</definedName>
    <definedName name="ACwvu.DATABASE." localSheetId="0" hidden="1">[1]DATABASE!#REF!</definedName>
    <definedName name="ACwvu.DATABASE." hidden="1">[2]DATABASE!#REF!</definedName>
    <definedName name="ACwvu.OP." localSheetId="0" hidden="1">#REF!</definedName>
    <definedName name="ACwvu.OP." hidden="1">#REF!</definedName>
    <definedName name="afd" localSheetId="0"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2"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1"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20"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19"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7"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15"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17"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localSheetId="18"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fd"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anscount" hidden="1">3</definedName>
    <definedName name="AS2DocOpenMode" hidden="1">"AS2DocumentEdit"</definedName>
    <definedName name="Bloomberg_Earnings_Growth">[3]Growth_Rates!$D$5:$D$66</definedName>
    <definedName name="BLPH2" localSheetId="0" hidden="1">'[4]Commercial Paper'!#REF!</definedName>
    <definedName name="BLPH2" hidden="1">'[5]Commercial Paper'!#REF!</definedName>
    <definedName name="BLPH3" localSheetId="0" hidden="1">'[4]Commercial Paper'!#REF!</definedName>
    <definedName name="BLPH3" hidden="1">'[5]Commercial Paper'!#REF!</definedName>
    <definedName name="BLPH4" localSheetId="0" hidden="1">'[4]Commercial Paper'!#REF!</definedName>
    <definedName name="BLPH4" hidden="1">'[5]Commercial Paper'!#REF!</definedName>
    <definedName name="BLPH5" localSheetId="0" hidden="1">'[4]Commercial Paper'!#REF!</definedName>
    <definedName name="BLPH5" hidden="1">'[5]Commercial Paper'!#REF!</definedName>
    <definedName name="BLPH6" localSheetId="0" hidden="1">'[4]Commercial Paper'!#REF!</definedName>
    <definedName name="BLPH6" hidden="1">'[5]Commercial Paper'!#REF!</definedName>
    <definedName name="BR">[3]Growth_Rates!$R$5:$R$66</definedName>
    <definedName name="BR_SV">[3]Growth_Rates!$AD$5:$AD$66</definedName>
    <definedName name="c.LTMYear" localSheetId="0" hidden="1">#REF!</definedName>
    <definedName name="c.LTMYear" localSheetId="2" hidden="1">#REF!</definedName>
    <definedName name="c.LTMYear" localSheetId="1" hidden="1">#REF!</definedName>
    <definedName name="c.LTMYear" localSheetId="20" hidden="1">#REF!</definedName>
    <definedName name="c.LTMYear" localSheetId="19" hidden="1">#REF!</definedName>
    <definedName name="c.LTMYear" localSheetId="15" hidden="1">#REF!</definedName>
    <definedName name="c.LTMYear" localSheetId="17" hidden="1">#REF!</definedName>
    <definedName name="c.LTMYear" localSheetId="18" hidden="1">#REF!</definedName>
    <definedName name="c.LTMYear" hidden="1">#REF!</definedName>
    <definedName name="CIQWBGuid" hidden="1">"Peoples Gas ROE - 12-20-2019.xlsx"</definedName>
    <definedName name="Common" localSheetId="0" hidden="1">{#N/A,#N/A,FALSE,"SCA";#N/A,#N/A,FALSE,"NCA";#N/A,#N/A,FALSE,"SAZ";#N/A,#N/A,FALSE,"CAZ";#N/A,#N/A,FALSE,"SNV";#N/A,#N/A,FALSE,"NNV";#N/A,#N/A,FALSE,"PP";#N/A,#N/A,FALSE,"SA"}</definedName>
    <definedName name="Common" hidden="1">{#N/A,#N/A,FALSE,"SCA";#N/A,#N/A,FALSE,"NCA";#N/A,#N/A,FALSE,"SAZ";#N/A,#N/A,FALSE,"CAZ";#N/A,#N/A,FALSE,"SNV";#N/A,#N/A,FALSE,"NNV";#N/A,#N/A,FALSE,"PP";#N/A,#N/A,FALSE,"SA"}</definedName>
    <definedName name="cover" localSheetId="0" hidden="1">#REF!</definedName>
    <definedName name="cover" hidden="1">#REF!</definedName>
    <definedName name="d" localSheetId="0" hidden="1">#REF!</definedName>
    <definedName name="d" hidden="1">#REF!</definedName>
    <definedName name="Dividend">[3]Dividend!$A$2:$SA$2</definedName>
    <definedName name="Dividend_Ticker">[3]Dividend!$A$1:$SA$1</definedName>
    <definedName name="er" localSheetId="0" hidden="1">{TRUE,TRUE,-1.25,-15.5,484.5,279.75,FALSE,FALSE,TRUE,TRUE,0,3,#N/A,1,#N/A,6.54545454545454,15.55,1,FALSE,FALSE,3,TRUE,1,FALSE,100,"Swvu.WP1.","ACwvu.WP1.",1,FALSE,FALSE,0.25,0.25,0.25,0.25,1,"","&amp;L&amp;D &amp;T NBW&amp;C&amp;P&amp;R&amp;F",FALSE,FALSE,FALSE,FALSE,1,100,#N/A,#N/A,FALSE,FALSE,#N/A,#N/A,FALSE,FALSE}</definedName>
    <definedName name="er" hidden="1">{TRUE,TRUE,-1.25,-15.5,484.5,279.75,FALSE,FALSE,TRUE,TRUE,0,3,#N/A,1,#N/A,6.54545454545454,15.55,1,FALSE,FALSE,3,TRUE,1,FALSE,100,"Swvu.WP1.","ACwvu.WP1.",1,FALSE,FALSE,0.25,0.25,0.25,0.25,1,"","&amp;L&amp;D &amp;T NBW&amp;C&amp;P&amp;R&amp;F",FALSE,FALSE,FALSE,FALSE,1,100,#N/A,#N/A,FALSE,FALSE,#N/A,#N/A,FALSE,FALSE}</definedName>
    <definedName name="ev.Calculation" hidden="1">-4105</definedName>
    <definedName name="ev.Initialized" hidden="1">FALSE</definedName>
    <definedName name="EV__LASTREFTIME__" hidden="1">39198.5712152778</definedName>
    <definedName name="f" localSheetId="0" hidden="1">#REF!</definedName>
    <definedName name="f" hidden="1">#REF!</definedName>
    <definedName name="fdv" localSheetId="0" hidden="1">{"quarterly",#N/A,FALSE,"Income Statement";#N/A,#N/A,FALSE,"print segment";#N/A,#N/A,FALSE,"Balance Sheet";#N/A,#N/A,FALSE,"Annl Inc";#N/A,#N/A,FALSE,"Cash Flow"}</definedName>
    <definedName name="fdv" localSheetId="2" hidden="1">{"quarterly",#N/A,FALSE,"Income Statement";#N/A,#N/A,FALSE,"print segment";#N/A,#N/A,FALSE,"Balance Sheet";#N/A,#N/A,FALSE,"Annl Inc";#N/A,#N/A,FALSE,"Cash Flow"}</definedName>
    <definedName name="fdv" localSheetId="1" hidden="1">{"quarterly",#N/A,FALSE,"Income Statement";#N/A,#N/A,FALSE,"print segment";#N/A,#N/A,FALSE,"Balance Sheet";#N/A,#N/A,FALSE,"Annl Inc";#N/A,#N/A,FALSE,"Cash Flow"}</definedName>
    <definedName name="fdv" localSheetId="20" hidden="1">{"quarterly",#N/A,FALSE,"Income Statement";#N/A,#N/A,FALSE,"print segment";#N/A,#N/A,FALSE,"Balance Sheet";#N/A,#N/A,FALSE,"Annl Inc";#N/A,#N/A,FALSE,"Cash Flow"}</definedName>
    <definedName name="fdv" localSheetId="19" hidden="1">{"quarterly",#N/A,FALSE,"Income Statement";#N/A,#N/A,FALSE,"print segment";#N/A,#N/A,FALSE,"Balance Sheet";#N/A,#N/A,FALSE,"Annl Inc";#N/A,#N/A,FALSE,"Cash Flow"}</definedName>
    <definedName name="fdv" localSheetId="7" hidden="1">{"quarterly",#N/A,FALSE,"Income Statement";#N/A,#N/A,FALSE,"print segment";#N/A,#N/A,FALSE,"Balance Sheet";#N/A,#N/A,FALSE,"Annl Inc";#N/A,#N/A,FALSE,"Cash Flow"}</definedName>
    <definedName name="fdv" localSheetId="15" hidden="1">{"quarterly",#N/A,FALSE,"Income Statement";#N/A,#N/A,FALSE,"print segment";#N/A,#N/A,FALSE,"Balance Sheet";#N/A,#N/A,FALSE,"Annl Inc";#N/A,#N/A,FALSE,"Cash Flow"}</definedName>
    <definedName name="fdv" localSheetId="17" hidden="1">{"quarterly",#N/A,FALSE,"Income Statement";#N/A,#N/A,FALSE,"print segment";#N/A,#N/A,FALSE,"Balance Sheet";#N/A,#N/A,FALSE,"Annl Inc";#N/A,#N/A,FALSE,"Cash Flow"}</definedName>
    <definedName name="fdv" localSheetId="18" hidden="1">{"quarterly",#N/A,FALSE,"Income Statement";#N/A,#N/A,FALSE,"print segment";#N/A,#N/A,FALSE,"Balance Sheet";#N/A,#N/A,FALSE,"Annl Inc";#N/A,#N/A,FALSE,"Cash Flow"}</definedName>
    <definedName name="fdv" hidden="1">{"quarterly",#N/A,FALSE,"Income Statement";#N/A,#N/A,FALSE,"print segment";#N/A,#N/A,FALSE,"Balance Sheet";#N/A,#N/A,FALSE,"Annl Inc";#N/A,#N/A,FALSE,"Cash Flow"}</definedName>
    <definedName name="ff" localSheetId="0" hidden="1">#REF!</definedName>
    <definedName name="ff" hidden="1">#REF!</definedName>
    <definedName name="fffff" localSheetId="0" hidden="1">#REF!</definedName>
    <definedName name="fffff" hidden="1">#REF!</definedName>
    <definedName name="fffffffffffffffffffff" localSheetId="0" hidden="1">#REF!</definedName>
    <definedName name="fffffffffffffffffffff" hidden="1">#REF!</definedName>
    <definedName name="FuelCycle" localSheetId="0" hidden="1">{#N/A,#N/A,FALSE,"AltFuel"}</definedName>
    <definedName name="FuelCycle" localSheetId="2" hidden="1">{#N/A,#N/A,FALSE,"AltFuel"}</definedName>
    <definedName name="FuelCycle" localSheetId="1" hidden="1">{#N/A,#N/A,FALSE,"AltFuel"}</definedName>
    <definedName name="FuelCycle" localSheetId="20" hidden="1">{#N/A,#N/A,FALSE,"AltFuel"}</definedName>
    <definedName name="FuelCycle" localSheetId="19" hidden="1">{#N/A,#N/A,FALSE,"AltFuel"}</definedName>
    <definedName name="FuelCycle" localSheetId="7" hidden="1">{#N/A,#N/A,FALSE,"AltFuel"}</definedName>
    <definedName name="FuelCycle" localSheetId="15" hidden="1">{#N/A,#N/A,FALSE,"AltFuel"}</definedName>
    <definedName name="FuelCycle" localSheetId="17" hidden="1">{#N/A,#N/A,FALSE,"AltFuel"}</definedName>
    <definedName name="FuelCycle" localSheetId="18" hidden="1">{#N/A,#N/A,FALSE,"AltFuel"}</definedName>
    <definedName name="FuelCycle" hidden="1">{#N/A,#N/A,FALSE,"AltFuel"}</definedName>
    <definedName name="Growth_Rates_Ticker">[3]Growth_Rates!$C$5:$C$66</definedName>
    <definedName name="hn._I006" localSheetId="0" hidden="1">#REF!</definedName>
    <definedName name="hn._I006" localSheetId="2" hidden="1">#REF!</definedName>
    <definedName name="hn._I006" localSheetId="1" hidden="1">#REF!</definedName>
    <definedName name="hn._I006" localSheetId="20" hidden="1">#REF!</definedName>
    <definedName name="hn._I006" localSheetId="19" hidden="1">#REF!</definedName>
    <definedName name="hn._I006" localSheetId="15" hidden="1">#REF!</definedName>
    <definedName name="hn._I006" localSheetId="17" hidden="1">#REF!</definedName>
    <definedName name="hn._I006" localSheetId="18" hidden="1">#REF!</definedName>
    <definedName name="hn._I006" hidden="1">#REF!</definedName>
    <definedName name="hn._I018" localSheetId="0" hidden="1">#REF!</definedName>
    <definedName name="hn._I018" localSheetId="2" hidden="1">#REF!</definedName>
    <definedName name="hn._I018" localSheetId="1" hidden="1">#REF!</definedName>
    <definedName name="hn._I018" localSheetId="20" hidden="1">#REF!</definedName>
    <definedName name="hn._I018" localSheetId="19" hidden="1">#REF!</definedName>
    <definedName name="hn._I018" localSheetId="15" hidden="1">#REF!</definedName>
    <definedName name="hn._I018" localSheetId="17" hidden="1">#REF!</definedName>
    <definedName name="hn._I018" localSheetId="18" hidden="1">#REF!</definedName>
    <definedName name="hn._I018" hidden="1">#REF!</definedName>
    <definedName name="hn._I024" localSheetId="0" hidden="1">#REF!</definedName>
    <definedName name="hn._I024" localSheetId="2" hidden="1">#REF!</definedName>
    <definedName name="hn._I024" localSheetId="1" hidden="1">#REF!</definedName>
    <definedName name="hn._I024" localSheetId="20" hidden="1">#REF!</definedName>
    <definedName name="hn._I024" localSheetId="19" hidden="1">#REF!</definedName>
    <definedName name="hn._I024" localSheetId="15" hidden="1">#REF!</definedName>
    <definedName name="hn._I024" localSheetId="17" hidden="1">#REF!</definedName>
    <definedName name="hn._I024" localSheetId="18" hidden="1">#REF!</definedName>
    <definedName name="hn._I024" hidden="1">#REF!</definedName>
    <definedName name="hn._I028" localSheetId="0" hidden="1">#REF!</definedName>
    <definedName name="hn._I028" localSheetId="2" hidden="1">#REF!</definedName>
    <definedName name="hn._I028" localSheetId="1" hidden="1">#REF!</definedName>
    <definedName name="hn._I028" localSheetId="17" hidden="1">#REF!</definedName>
    <definedName name="hn._I028" localSheetId="18" hidden="1">#REF!</definedName>
    <definedName name="hn._I028" hidden="1">#REF!</definedName>
    <definedName name="hn._I029" localSheetId="0" hidden="1">#REF!</definedName>
    <definedName name="hn._I029" localSheetId="2" hidden="1">#REF!</definedName>
    <definedName name="hn._I029" localSheetId="1" hidden="1">#REF!</definedName>
    <definedName name="hn._I029" localSheetId="17" hidden="1">#REF!</definedName>
    <definedName name="hn._I029" localSheetId="18" hidden="1">#REF!</definedName>
    <definedName name="hn._I029" hidden="1">#REF!</definedName>
    <definedName name="hn._I030" localSheetId="0" hidden="1">#REF!</definedName>
    <definedName name="hn._I030" localSheetId="2" hidden="1">#REF!</definedName>
    <definedName name="hn._I030" localSheetId="1" hidden="1">#REF!</definedName>
    <definedName name="hn._I030" localSheetId="17" hidden="1">#REF!</definedName>
    <definedName name="hn._I030" localSheetId="18" hidden="1">#REF!</definedName>
    <definedName name="hn._I030" hidden="1">#REF!</definedName>
    <definedName name="hn._I031" localSheetId="0" hidden="1">#REF!</definedName>
    <definedName name="hn._I031" localSheetId="2" hidden="1">#REF!</definedName>
    <definedName name="hn._I031" localSheetId="1" hidden="1">#REF!</definedName>
    <definedName name="hn._I031" localSheetId="17" hidden="1">#REF!</definedName>
    <definedName name="hn._I031" localSheetId="18" hidden="1">#REF!</definedName>
    <definedName name="hn._I031" hidden="1">#REF!</definedName>
    <definedName name="hn._I059" localSheetId="0" hidden="1">#REF!</definedName>
    <definedName name="hn._I059" localSheetId="2" hidden="1">#REF!</definedName>
    <definedName name="hn._I059" localSheetId="1" hidden="1">#REF!</definedName>
    <definedName name="hn._I059" localSheetId="17" hidden="1">#REF!</definedName>
    <definedName name="hn._I059" localSheetId="18" hidden="1">#REF!</definedName>
    <definedName name="hn._I059" hidden="1">#REF!</definedName>
    <definedName name="hn._I071" localSheetId="0" hidden="1">#REF!</definedName>
    <definedName name="hn._I071" localSheetId="2" hidden="1">#REF!</definedName>
    <definedName name="hn._I071" localSheetId="1" hidden="1">#REF!</definedName>
    <definedName name="hn._I071" localSheetId="17" hidden="1">#REF!</definedName>
    <definedName name="hn._I071" localSheetId="18" hidden="1">#REF!</definedName>
    <definedName name="hn._I071" hidden="1">#REF!</definedName>
    <definedName name="hn._I075" localSheetId="0" hidden="1">#REF!</definedName>
    <definedName name="hn._I075" localSheetId="2" hidden="1">#REF!</definedName>
    <definedName name="hn._I075" localSheetId="1" hidden="1">#REF!</definedName>
    <definedName name="hn._I075" localSheetId="17" hidden="1">#REF!</definedName>
    <definedName name="hn._I075" localSheetId="18" hidden="1">#REF!</definedName>
    <definedName name="hn._I075" hidden="1">#REF!</definedName>
    <definedName name="hn._I083" localSheetId="0" hidden="1">#REF!</definedName>
    <definedName name="hn._I083" localSheetId="2" hidden="1">#REF!</definedName>
    <definedName name="hn._I083" localSheetId="1" hidden="1">#REF!</definedName>
    <definedName name="hn._I083" localSheetId="17" hidden="1">#REF!</definedName>
    <definedName name="hn._I083" localSheetId="18" hidden="1">#REF!</definedName>
    <definedName name="hn._I083" hidden="1">#REF!</definedName>
    <definedName name="hn._I085" localSheetId="0" hidden="1">#REF!</definedName>
    <definedName name="hn._I085" localSheetId="2" hidden="1">#REF!</definedName>
    <definedName name="hn._I085" localSheetId="1" hidden="1">#REF!</definedName>
    <definedName name="hn._I085" localSheetId="17" hidden="1">#REF!</definedName>
    <definedName name="hn._I085" localSheetId="18" hidden="1">#REF!</definedName>
    <definedName name="hn._I085" hidden="1">#REF!</definedName>
    <definedName name="hn._P001" localSheetId="0" hidden="1">#REF!</definedName>
    <definedName name="hn._P001" localSheetId="2" hidden="1">#REF!</definedName>
    <definedName name="hn._P001" localSheetId="1" hidden="1">#REF!</definedName>
    <definedName name="hn._P001" localSheetId="17" hidden="1">#REF!</definedName>
    <definedName name="hn._P001" localSheetId="18" hidden="1">#REF!</definedName>
    <definedName name="hn._P001" hidden="1">#REF!</definedName>
    <definedName name="hn._P004" localSheetId="0" hidden="1">#REF!</definedName>
    <definedName name="hn._P004" localSheetId="2" hidden="1">#REF!</definedName>
    <definedName name="hn._P004" localSheetId="1" hidden="1">#REF!</definedName>
    <definedName name="hn._P004" localSheetId="17" hidden="1">#REF!</definedName>
    <definedName name="hn._P004" localSheetId="18" hidden="1">#REF!</definedName>
    <definedName name="hn._P004" hidden="1">#REF!</definedName>
    <definedName name="hn._P014" localSheetId="0" hidden="1">#REF!</definedName>
    <definedName name="hn._P014" localSheetId="2" hidden="1">#REF!</definedName>
    <definedName name="hn._P014" localSheetId="1" hidden="1">#REF!</definedName>
    <definedName name="hn._P014" localSheetId="17" hidden="1">#REF!</definedName>
    <definedName name="hn._P014" localSheetId="18" hidden="1">#REF!</definedName>
    <definedName name="hn._P014" hidden="1">#REF!</definedName>
    <definedName name="hn._P016" localSheetId="0" hidden="1">#REF!</definedName>
    <definedName name="hn._P016" localSheetId="2" hidden="1">#REF!</definedName>
    <definedName name="hn._P016" localSheetId="1" hidden="1">#REF!</definedName>
    <definedName name="hn._P016" localSheetId="17" hidden="1">#REF!</definedName>
    <definedName name="hn._P016" localSheetId="18" hidden="1">#REF!</definedName>
    <definedName name="hn._P016" hidden="1">#REF!</definedName>
    <definedName name="hn._P021" localSheetId="0" hidden="1">#REF!</definedName>
    <definedName name="hn._P021" localSheetId="2" hidden="1">#REF!</definedName>
    <definedName name="hn._P021" localSheetId="1" hidden="1">#REF!</definedName>
    <definedName name="hn._P021" localSheetId="17" hidden="1">#REF!</definedName>
    <definedName name="hn._P021" localSheetId="18" hidden="1">#REF!</definedName>
    <definedName name="hn._P021" hidden="1">#REF!</definedName>
    <definedName name="hn._P024" localSheetId="0" hidden="1">#REF!</definedName>
    <definedName name="hn._P024" localSheetId="2" hidden="1">#REF!</definedName>
    <definedName name="hn._P024" localSheetId="1" hidden="1">#REF!</definedName>
    <definedName name="hn._P024" localSheetId="17" hidden="1">#REF!</definedName>
    <definedName name="hn._P024" localSheetId="18" hidden="1">#REF!</definedName>
    <definedName name="hn._P024" hidden="1">#REF!</definedName>
    <definedName name="hn.Add015" localSheetId="0" hidden="1">#REF!</definedName>
    <definedName name="hn.Add015" localSheetId="2" hidden="1">#REF!</definedName>
    <definedName name="hn.Add015" localSheetId="1" hidden="1">#REF!</definedName>
    <definedName name="hn.Add015" localSheetId="17" hidden="1">#REF!</definedName>
    <definedName name="hn.Add015" localSheetId="18" hidden="1">#REF!</definedName>
    <definedName name="hn.Add015" hidden="1">#REF!</definedName>
    <definedName name="hn.Delete015" localSheetId="0" hidden="1">#REF!,#REF!,#REF!,#REF!,#REF!</definedName>
    <definedName name="hn.Delete015" localSheetId="2" hidden="1">#REF!,#REF!,#REF!,#REF!,#REF!</definedName>
    <definedName name="hn.Delete015" localSheetId="1" hidden="1">#REF!,#REF!,#REF!,#REF!,#REF!</definedName>
    <definedName name="hn.Delete015" localSheetId="20" hidden="1">#REF!,#REF!,#REF!,#REF!,#REF!</definedName>
    <definedName name="hn.Delete015" localSheetId="19" hidden="1">#REF!,#REF!,#REF!,#REF!,#REF!</definedName>
    <definedName name="hn.Delete015" localSheetId="15" hidden="1">#REF!,#REF!,#REF!,#REF!,#REF!</definedName>
    <definedName name="hn.Delete015" localSheetId="17" hidden="1">#REF!,#REF!,#REF!,#REF!,#REF!</definedName>
    <definedName name="hn.Delete015" localSheetId="18" hidden="1">#REF!,#REF!,#REF!,#REF!,#REF!</definedName>
    <definedName name="hn.Delete015" hidden="1">#REF!,#REF!,#REF!,#REF!,#REF!</definedName>
    <definedName name="hn.ModelVersion" hidden="1">1</definedName>
    <definedName name="hn.NoUpload" hidden="1">0</definedName>
    <definedName name="hn.PrivateLTMYear" localSheetId="0" hidden="1">#REF!</definedName>
    <definedName name="hn.PrivateLTMYear" localSheetId="2" hidden="1">#REF!</definedName>
    <definedName name="hn.PrivateLTMYear" localSheetId="1" hidden="1">#REF!</definedName>
    <definedName name="hn.PrivateLTMYear" localSheetId="20" hidden="1">#REF!</definedName>
    <definedName name="hn.PrivateLTMYear" localSheetId="19" hidden="1">#REF!</definedName>
    <definedName name="hn.PrivateLTMYear" localSheetId="15" hidden="1">#REF!</definedName>
    <definedName name="hn.PrivateLTMYear" localSheetId="17" hidden="1">#REF!</definedName>
    <definedName name="hn.PrivateLTMYear" localSheetId="18" hidden="1">#REF!</definedName>
    <definedName name="hn.PrivateLTMYear" hidden="1">#REF!</definedName>
    <definedName name="IncomeStatement" localSheetId="0" hidden="1">{#N/A,#N/A,FALSE,"FinStateUS"}</definedName>
    <definedName name="IncomeStatement" localSheetId="2" hidden="1">{#N/A,#N/A,FALSE,"FinStateUS"}</definedName>
    <definedName name="IncomeStatement" localSheetId="1" hidden="1">{#N/A,#N/A,FALSE,"FinStateUS"}</definedName>
    <definedName name="IncomeStatement" localSheetId="20" hidden="1">{#N/A,#N/A,FALSE,"FinStateUS"}</definedName>
    <definedName name="IncomeStatement" localSheetId="19" hidden="1">{#N/A,#N/A,FALSE,"FinStateUS"}</definedName>
    <definedName name="IncomeStatement" localSheetId="7" hidden="1">{#N/A,#N/A,FALSE,"FinStateUS"}</definedName>
    <definedName name="IncomeStatement" localSheetId="15" hidden="1">{#N/A,#N/A,FALSE,"FinStateUS"}</definedName>
    <definedName name="IncomeStatement" localSheetId="17" hidden="1">{#N/A,#N/A,FALSE,"FinStateUS"}</definedName>
    <definedName name="IncomeStatement" localSheetId="18" hidden="1">{#N/A,#N/A,FALSE,"FinStateUS"}</definedName>
    <definedName name="IncomeStatement" hidden="1">{#N/A,#N/A,FALSE,"FinStateUS"}</definedName>
    <definedName name="IncomeStatement6Years" localSheetId="0" hidden="1">{"IncStatement 6 years",#N/A,FALSE,"FinStateUS"}</definedName>
    <definedName name="IncomeStatement6Years" localSheetId="2" hidden="1">{"IncStatement 6 years",#N/A,FALSE,"FinStateUS"}</definedName>
    <definedName name="IncomeStatement6Years" localSheetId="1" hidden="1">{"IncStatement 6 years",#N/A,FALSE,"FinStateUS"}</definedName>
    <definedName name="IncomeStatement6Years" localSheetId="20" hidden="1">{"IncStatement 6 years",#N/A,FALSE,"FinStateUS"}</definedName>
    <definedName name="IncomeStatement6Years" localSheetId="19" hidden="1">{"IncStatement 6 years",#N/A,FALSE,"FinStateUS"}</definedName>
    <definedName name="IncomeStatement6Years" localSheetId="7" hidden="1">{"IncStatement 6 years",#N/A,FALSE,"FinStateUS"}</definedName>
    <definedName name="IncomeStatement6Years" localSheetId="15" hidden="1">{"IncStatement 6 years",#N/A,FALSE,"FinStateUS"}</definedName>
    <definedName name="IncomeStatement6Years" localSheetId="17" hidden="1">{"IncStatement 6 years",#N/A,FALSE,"FinStateUS"}</definedName>
    <definedName name="IncomeStatement6Years" localSheetId="18" hidden="1">{"IncStatement 6 years",#N/A,FALSE,"FinStateUS"}</definedName>
    <definedName name="IncomeStatement6Years" hidden="1">{"IncStatement 6 years",#N/A,FALSE,"FinStateUS"}</definedName>
    <definedName name="Inputs_Group">[3]Inputs!$R$91:$R$152</definedName>
    <definedName name="Inputs_Ticker">[3]Inputs!$C$91:$C$152</definedName>
    <definedName name="IQ_ADDIN" hidden="1">"AUTO"</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localSheetId="22" hidden="1">43885.5885648148</definedName>
    <definedName name="IQ_NAMES_REVISION_DATE_" localSheetId="21" hidden="1">43885.5885648148</definedName>
    <definedName name="IQ_NAMES_REVISION_DATE_" localSheetId="7" hidden="1">43885.5885648148</definedName>
    <definedName name="IQ_NAMES_REVISION_DATE_" localSheetId="12" hidden="1">43885.5885648148</definedName>
    <definedName name="IQ_NAMES_REVISION_DATE_" hidden="1">43865.0429861111</definedName>
    <definedName name="IQ_NTM">6000</definedName>
    <definedName name="IQ_OPENED55" hidden="1">1</definedName>
    <definedName name="IQ_QTD" hidden="1">750000</definedName>
    <definedName name="IQ_TODAY" hidden="1">0</definedName>
    <definedName name="IQ_WEEK">50000</definedName>
    <definedName name="IQ_YTD">3000</definedName>
    <definedName name="IQ_YTDMONTH" hidden="1">130000</definedName>
    <definedName name="je" localSheetId="0" hidden="1">{#N/A,#N/A,FALSE,"SCA";#N/A,#N/A,FALSE,"NCA";#N/A,#N/A,FALSE,"SAZ";#N/A,#N/A,FALSE,"CAZ";#N/A,#N/A,FALSE,"SNV";#N/A,#N/A,FALSE,"NNV";#N/A,#N/A,FALSE,"PP";#N/A,#N/A,FALSE,"SA"}</definedName>
    <definedName name="je" hidden="1">{#N/A,#N/A,FALSE,"SCA";#N/A,#N/A,FALSE,"NCA";#N/A,#N/A,FALSE,"SAZ";#N/A,#N/A,FALSE,"CAZ";#N/A,#N/A,FALSE,"SNV";#N/A,#N/A,FALSE,"NNV";#N/A,#N/A,FALSE,"PP";#N/A,#N/A,FALSE,"SA"}</definedName>
    <definedName name="KI" localSheetId="0" hidden="1">#REF!,#REF!</definedName>
    <definedName name="KI" hidden="1">#REF!,#REF!</definedName>
    <definedName name="KL" localSheetId="0" hidden="1">#REF!</definedName>
    <definedName name="KL" hidden="1">#REF!</definedName>
    <definedName name="l" localSheetId="0" hidden="1">#REF!</definedName>
    <definedName name="l" hidden="1">#REF!</definedName>
    <definedName name="NADA" localSheetId="0" hidden="1">{"caz2",#N/A,FALSE,"Central Arizona 2";"saz2",#N/A,FALSE,"Southern Arizona 2";"snv2",#N/A,FALSE,"Southern Nevada 2";"nnv2",#N/A,FALSE,"Northern Nevada 2";"sca2",#N/A,FALSE,"Southern California 2";"nca2",#N/A,FALSE,"Northern California 2";"pai2",#N/A,FALSE,"Paiute 2"}</definedName>
    <definedName name="NADA" hidden="1">{"caz2",#N/A,FALSE,"Central Arizona 2";"saz2",#N/A,FALSE,"Southern Arizona 2";"snv2",#N/A,FALSE,"Southern Nevada 2";"nnv2",#N/A,FALSE,"Northern Nevada 2";"sca2",#N/A,FALSE,"Southern California 2";"nca2",#N/A,FALSE,"Northern California 2";"pai2",#N/A,FALSE,"Paiute 2"}</definedName>
    <definedName name="NONE" localSheetId="0" hidden="1">{#N/A,#N/A,FALSE,"SCA";#N/A,#N/A,FALSE,"NCA";#N/A,#N/A,FALSE,"SAZ";#N/A,#N/A,FALSE,"CAZ";#N/A,#N/A,FALSE,"SNV";#N/A,#N/A,FALSE,"NNV";#N/A,#N/A,FALSE,"PP";#N/A,#N/A,FALSE,"SA"}</definedName>
    <definedName name="NONE" hidden="1">{#N/A,#N/A,FALSE,"SCA";#N/A,#N/A,FALSE,"NCA";#N/A,#N/A,FALSE,"SAZ";#N/A,#N/A,FALSE,"CAZ";#N/A,#N/A,FALSE,"SNV";#N/A,#N/A,FALSE,"NNV";#N/A,#N/A,FALSE,"PP";#N/A,#N/A,FALSE,"SA"}</definedName>
    <definedName name="PERO" localSheetId="0" hidden="1">{#N/A,#N/A,FALSE,"SCA";#N/A,#N/A,FALSE,"NCA";#N/A,#N/A,FALSE,"SAZ";#N/A,#N/A,FALSE,"CAZ";#N/A,#N/A,FALSE,"SNV";#N/A,#N/A,FALSE,"NNV";#N/A,#N/A,FALSE,"PP";#N/A,#N/A,FALSE,"SA"}</definedName>
    <definedName name="PERO" hidden="1">{#N/A,#N/A,FALSE,"SCA";#N/A,#N/A,FALSE,"NCA";#N/A,#N/A,FALSE,"SAZ";#N/A,#N/A,FALSE,"CAZ";#N/A,#N/A,FALSE,"SNV";#N/A,#N/A,FALSE,"NNV";#N/A,#N/A,FALSE,"PP";#N/A,#N/A,FALSE,"SA"}</definedName>
    <definedName name="PopCache_GL_INTERFACE_REFERENCE7" localSheetId="0" hidden="1">[6]PopCache!$A$1:$A$2</definedName>
    <definedName name="PopCache_GL_INTERFACE_REFERENCE7" hidden="1">[7]PopCache!$A$1:$A$2</definedName>
    <definedName name="Price">[3]Price!$A$2:$HA$2</definedName>
    <definedName name="Price_Ticker">[3]Price!$A$1:$HA$1</definedName>
    <definedName name="_xlnm.Print_Area" localSheetId="20">'Schedule-10 Reg Risk Alt Proxy'!$A$1:$I$96</definedName>
    <definedName name="_xlnm.Print_Area" localSheetId="19">'Schedule-10 Reg Risk Gas Proxy'!$A$1:$I$41</definedName>
    <definedName name="_xlnm.Print_Area" localSheetId="22">'Schedule-11 Cap Structure Alt P'!$A$1:$T$82</definedName>
    <definedName name="_xlnm.Print_Area" localSheetId="21">'Schedule-11 Cap Structure Gas P'!$A$1:$T$42</definedName>
    <definedName name="_xlnm.Print_Area" localSheetId="4">'Schedule-2 Alt Proxy Selection'!$B$1:$J$31</definedName>
    <definedName name="_xlnm.Print_Area" localSheetId="3">'Schedule-2 Gas Proxy Selection'!$B$1:$I$22</definedName>
    <definedName name="_xlnm.Print_Area" localSheetId="6">'Schedule-3 Constant DCF 1 Alt P'!$A$1:$Q$116</definedName>
    <definedName name="_xlnm.Print_Area" localSheetId="5">'Schedule-3 Constant DCF 1 Gas P'!$A$1:$Q$92</definedName>
    <definedName name="_xlnm.Print_Area" localSheetId="10">'Schedule-4 CAPM 2'!$B$2:$J$14</definedName>
    <definedName name="_xlnm.Print_Area" localSheetId="9">'Schedule-4 CAPM Alt Proxy 1'!$B$2:$I$185</definedName>
    <definedName name="_xlnm.Print_Area" localSheetId="8">'Schedule-4 CAPM Gas Proxy 1'!$B$2:$I$137</definedName>
    <definedName name="_xlnm.Print_Area" localSheetId="12">'Schedule-5 Risk Premium Gas P'!$B$1:$E$119,'Schedule-5 Risk Premium Gas P'!$G$1:$P$65</definedName>
    <definedName name="_xlnm.Print_Area" localSheetId="14">'Schedule-6 Exp Earnings Alt P'!$A$1:$M$36</definedName>
    <definedName name="_xlnm.Print_Area" localSheetId="13">'Schedule-6 Exp Earnings Gas P'!$A$1:$M$27</definedName>
    <definedName name="_xlnm.Print_Area" localSheetId="15">'Schedule-7 Size Premium Gas P'!$A$1:$I$66</definedName>
    <definedName name="_xlnm.Print_Area" localSheetId="16">'Schedule-8 Flotation Cost Gas P'!$A$1:$M$54</definedName>
    <definedName name="_xlnm.Print_Area" localSheetId="17">'Schedule-9 CapEx Gas Proxy 1'!$A$1:$J$61</definedName>
    <definedName name="_xlnm.Print_Area" localSheetId="18">'Schedule-9 CapEx Gas Proxy 2'!$A$1:$E$42</definedName>
    <definedName name="_xlnm.Print_Titles" localSheetId="20">'Schedule-10 Reg Risk Alt Proxy'!$4:$6</definedName>
    <definedName name="_xlnm.Print_Titles" localSheetId="19">'Schedule-10 Reg Risk Gas Proxy'!$4:$6</definedName>
    <definedName name="_xlnm.Print_Titles" localSheetId="12">'Schedule-5 Risk Premium Gas P'!$1:$5</definedName>
    <definedName name="_xlnm.Print_Titles" localSheetId="17">'Schedule-9 CapEx Gas Proxy 1'!$2:$10</definedName>
    <definedName name="rk" localSheetId="0" hidden="1">{#N/A,#N/A,FALSE,"SCA";#N/A,#N/A,FALSE,"NCA";#N/A,#N/A,FALSE,"SAZ";#N/A,#N/A,FALSE,"CAZ";#N/A,#N/A,FALSE,"SNV";#N/A,#N/A,FALSE,"NNV";#N/A,#N/A,FALSE,"PP";#N/A,#N/A,FALSE,"SA"}</definedName>
    <definedName name="rk" hidden="1">{#N/A,#N/A,FALSE,"SCA";#N/A,#N/A,FALSE,"NCA";#N/A,#N/A,FALSE,"SAZ";#N/A,#N/A,FALSE,"CAZ";#N/A,#N/A,FALSE,"SNV";#N/A,#N/A,FALSE,"NNV";#N/A,#N/A,FALSE,"PP";#N/A,#N/A,FALSE,"SA"}</definedName>
    <definedName name="S" localSheetId="0" hidden="1">#REF!</definedName>
    <definedName name="S" hidden="1">#REF!</definedName>
    <definedName name="SI" localSheetId="0"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SI"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Swvu.DATABASE." localSheetId="0" hidden="1">[1]DATABASE!#REF!</definedName>
    <definedName name="Swvu.DATABASE." hidden="1">[2]DATABASE!#REF!</definedName>
    <definedName name="Swvu.OP." localSheetId="0" hidden="1">#REF!</definedName>
    <definedName name="Swvu.OP." hidden="1">#REF!</definedName>
    <definedName name="TEST" localSheetId="0" hidden="1">{TRUE,TRUE,-1.25,-15.5,484.5,279.75,FALSE,FALSE,TRUE,TRUE,0,3,#N/A,1,#N/A,6.54545454545454,15.55,1,FALSE,FALSE,3,TRUE,1,FALSE,100,"Swvu.WP1.","ACwvu.WP1.",1,FALSE,FALSE,0.25,0.25,0.25,0.25,1,"","&amp;L&amp;D &amp;T NBW&amp;C&amp;P&amp;R&amp;F",FALSE,FALSE,FALSE,FALSE,1,100,#N/A,#N/A,FALSE,FALSE,#N/A,#N/A,FALSE,FALSE}</definedName>
    <definedName name="TEST" hidden="1">{TRUE,TRUE,-1.25,-15.5,484.5,279.75,FALSE,FALSE,TRUE,TRUE,0,3,#N/A,1,#N/A,6.54545454545454,15.55,1,FALSE,FALSE,3,TRUE,1,FALSE,100,"Swvu.WP1.","ACwvu.WP1.",1,FALSE,FALSE,0.25,0.25,0.25,0.25,1,"","&amp;L&amp;D &amp;T NBW&amp;C&amp;P&amp;R&amp;F",FALSE,FALSE,FALSE,FALSE,1,100,#N/A,#N/A,FALSE,FALSE,#N/A,#N/A,FALSE,FALSE}</definedName>
    <definedName name="Value_Line_Book_Value_Growth">[3]Growth_Rates!$I$5:$I$66</definedName>
    <definedName name="Value_Line_Dividends_Growth">[3]Growth_Rates!$H$5:$H$66</definedName>
    <definedName name="Value_Line_Earnings_Growth">[3]Growth_Rates!$G$5:$G$66</definedName>
    <definedName name="w" localSheetId="0" hidden="1">{"quarterly",#N/A,FALSE,"Income Statement";#N/A,#N/A,FALSE,"print segment";#N/A,#N/A,FALSE,"Balance Sheet";#N/A,#N/A,FALSE,"Annl Inc";#N/A,#N/A,FALSE,"Cash Flow"}</definedName>
    <definedName name="w" localSheetId="2" hidden="1">{"quarterly",#N/A,FALSE,"Income Statement";#N/A,#N/A,FALSE,"print segment";#N/A,#N/A,FALSE,"Balance Sheet";#N/A,#N/A,FALSE,"Annl Inc";#N/A,#N/A,FALSE,"Cash Flow"}</definedName>
    <definedName name="w" localSheetId="1" hidden="1">{"quarterly",#N/A,FALSE,"Income Statement";#N/A,#N/A,FALSE,"print segment";#N/A,#N/A,FALSE,"Balance Sheet";#N/A,#N/A,FALSE,"Annl Inc";#N/A,#N/A,FALSE,"Cash Flow"}</definedName>
    <definedName name="w" localSheetId="20" hidden="1">{"quarterly",#N/A,FALSE,"Income Statement";#N/A,#N/A,FALSE,"print segment";#N/A,#N/A,FALSE,"Balance Sheet";#N/A,#N/A,FALSE,"Annl Inc";#N/A,#N/A,FALSE,"Cash Flow"}</definedName>
    <definedName name="w" localSheetId="19" hidden="1">{"quarterly",#N/A,FALSE,"Income Statement";#N/A,#N/A,FALSE,"print segment";#N/A,#N/A,FALSE,"Balance Sheet";#N/A,#N/A,FALSE,"Annl Inc";#N/A,#N/A,FALSE,"Cash Flow"}</definedName>
    <definedName name="w" localSheetId="7" hidden="1">{"quarterly",#N/A,FALSE,"Income Statement";#N/A,#N/A,FALSE,"print segment";#N/A,#N/A,FALSE,"Balance Sheet";#N/A,#N/A,FALSE,"Annl Inc";#N/A,#N/A,FALSE,"Cash Flow"}</definedName>
    <definedName name="w" localSheetId="15" hidden="1">{"quarterly",#N/A,FALSE,"Income Statement";#N/A,#N/A,FALSE,"print segment";#N/A,#N/A,FALSE,"Balance Sheet";#N/A,#N/A,FALSE,"Annl Inc";#N/A,#N/A,FALSE,"Cash Flow"}</definedName>
    <definedName name="w" localSheetId="17" hidden="1">{"quarterly",#N/A,FALSE,"Income Statement";#N/A,#N/A,FALSE,"print segment";#N/A,#N/A,FALSE,"Balance Sheet";#N/A,#N/A,FALSE,"Annl Inc";#N/A,#N/A,FALSE,"Cash Flow"}</definedName>
    <definedName name="w" localSheetId="18" hidden="1">{"quarterly",#N/A,FALSE,"Income Statement";#N/A,#N/A,FALSE,"print segment";#N/A,#N/A,FALSE,"Balance Sheet";#N/A,#N/A,FALSE,"Annl Inc";#N/A,#N/A,FALSE,"Cash Flow"}</definedName>
    <definedName name="w" hidden="1">{"quarterly",#N/A,FALSE,"Income Statement";#N/A,#N/A,FALSE,"print segment";#N/A,#N/A,FALSE,"Balance Sheet";#N/A,#N/A,FALSE,"Annl Inc";#N/A,#N/A,FALSE,"Cash Flow"}</definedName>
    <definedName name="wrn.agexpense." localSheetId="0" hidden="1">{"pb",#N/A,FALSE,"Sheet3";"pd",#N/A,FALSE,"Sheet3";"pe",#N/A,FALSE,"Sheet3"}</definedName>
    <definedName name="wrn.agexpense." hidden="1">{"pb",#N/A,FALSE,"Sheet3";"pd",#N/A,FALSE,"Sheet3";"pe",#N/A,FALSE,"Sheet3"}</definedName>
    <definedName name="wrn.AllRjs." localSheetId="0" hidden="1">{#N/A,#N/A,FALSE,"SCA";#N/A,#N/A,FALSE,"NCA";#N/A,#N/A,FALSE,"SAZ";#N/A,#N/A,FALSE,"CAZ";#N/A,#N/A,FALSE,"SNV";#N/A,#N/A,FALSE,"NNV";#N/A,#N/A,FALSE,"PP";#N/A,#N/A,FALSE,"SA"}</definedName>
    <definedName name="wrn.AllRjs." hidden="1">{#N/A,#N/A,FALSE,"SCA";#N/A,#N/A,FALSE,"NCA";#N/A,#N/A,FALSE,"SAZ";#N/A,#N/A,FALSE,"CAZ";#N/A,#N/A,FALSE,"SNV";#N/A,#N/A,FALSE,"NNV";#N/A,#N/A,FALSE,"PP";#N/A,#N/A,FALSE,"SA"}</definedName>
    <definedName name="wrn.alrjs." localSheetId="0" hidden="1">{#N/A,#N/A,FALSE,"SCA";#N/A,#N/A,FALSE,"NCA";#N/A,#N/A,FALSE,"SAZ";#N/A,#N/A,FALSE,"CAZ";#N/A,#N/A,FALSE,"SNV";#N/A,#N/A,FALSE,"NNV";#N/A,#N/A,FALSE,"PP";#N/A,#N/A,FALSE,"SA"}</definedName>
    <definedName name="wrn.alrjs." hidden="1">{#N/A,#N/A,FALSE,"SCA";#N/A,#N/A,FALSE,"NCA";#N/A,#N/A,FALSE,"SAZ";#N/A,#N/A,FALSE,"CAZ";#N/A,#N/A,FALSE,"SNV";#N/A,#N/A,FALSE,"NNV";#N/A,#N/A,FALSE,"PP";#N/A,#N/A,FALSE,"SA"}</definedName>
    <definedName name="wrn.Earnings._.Model." localSheetId="0"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2"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1"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20"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19"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7"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15"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17"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18"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Fuel._.Cycle." localSheetId="0" hidden="1">{#N/A,#N/A,FALSE,"AltFuel"}</definedName>
    <definedName name="wrn.Fuel._.Cycle." localSheetId="2" hidden="1">{#N/A,#N/A,FALSE,"AltFuel"}</definedName>
    <definedName name="wrn.Fuel._.Cycle." localSheetId="1" hidden="1">{#N/A,#N/A,FALSE,"AltFuel"}</definedName>
    <definedName name="wrn.Fuel._.Cycle." localSheetId="20" hidden="1">{#N/A,#N/A,FALSE,"AltFuel"}</definedName>
    <definedName name="wrn.Fuel._.Cycle." localSheetId="19" hidden="1">{#N/A,#N/A,FALSE,"AltFuel"}</definedName>
    <definedName name="wrn.Fuel._.Cycle." localSheetId="7" hidden="1">{#N/A,#N/A,FALSE,"AltFuel"}</definedName>
    <definedName name="wrn.Fuel._.Cycle." localSheetId="15" hidden="1">{#N/A,#N/A,FALSE,"AltFuel"}</definedName>
    <definedName name="wrn.Fuel._.Cycle." localSheetId="17" hidden="1">{#N/A,#N/A,FALSE,"AltFuel"}</definedName>
    <definedName name="wrn.Fuel._.Cycle." localSheetId="18" hidden="1">{#N/A,#N/A,FALSE,"AltFuel"}</definedName>
    <definedName name="wrn.Fuel._.Cycle." hidden="1">{#N/A,#N/A,FALSE,"AltFuel"}</definedName>
    <definedName name="wrn.handout." localSheetId="0" hidden="1">{"quarterly",#N/A,FALSE,"Income Statement";#N/A,#N/A,FALSE,"print segment";#N/A,#N/A,FALSE,"Balance Sheet";#N/A,#N/A,FALSE,"Annl Inc";#N/A,#N/A,FALSE,"Cash Flow"}</definedName>
    <definedName name="wrn.handout." localSheetId="2" hidden="1">{"quarterly",#N/A,FALSE,"Income Statement";#N/A,#N/A,FALSE,"print segment";#N/A,#N/A,FALSE,"Balance Sheet";#N/A,#N/A,FALSE,"Annl Inc";#N/A,#N/A,FALSE,"Cash Flow"}</definedName>
    <definedName name="wrn.handout." localSheetId="1" hidden="1">{"quarterly",#N/A,FALSE,"Income Statement";#N/A,#N/A,FALSE,"print segment";#N/A,#N/A,FALSE,"Balance Sheet";#N/A,#N/A,FALSE,"Annl Inc";#N/A,#N/A,FALSE,"Cash Flow"}</definedName>
    <definedName name="wrn.handout." localSheetId="20" hidden="1">{"quarterly",#N/A,FALSE,"Income Statement";#N/A,#N/A,FALSE,"print segment";#N/A,#N/A,FALSE,"Balance Sheet";#N/A,#N/A,FALSE,"Annl Inc";#N/A,#N/A,FALSE,"Cash Flow"}</definedName>
    <definedName name="wrn.handout." localSheetId="19" hidden="1">{"quarterly",#N/A,FALSE,"Income Statement";#N/A,#N/A,FALSE,"print segment";#N/A,#N/A,FALSE,"Balance Sheet";#N/A,#N/A,FALSE,"Annl Inc";#N/A,#N/A,FALSE,"Cash Flow"}</definedName>
    <definedName name="wrn.handout." localSheetId="7" hidden="1">{"quarterly",#N/A,FALSE,"Income Statement";#N/A,#N/A,FALSE,"print segment";#N/A,#N/A,FALSE,"Balance Sheet";#N/A,#N/A,FALSE,"Annl Inc";#N/A,#N/A,FALSE,"Cash Flow"}</definedName>
    <definedName name="wrn.handout." localSheetId="15" hidden="1">{"quarterly",#N/A,FALSE,"Income Statement";#N/A,#N/A,FALSE,"print segment";#N/A,#N/A,FALSE,"Balance Sheet";#N/A,#N/A,FALSE,"Annl Inc";#N/A,#N/A,FALSE,"Cash Flow"}</definedName>
    <definedName name="wrn.handout." localSheetId="17" hidden="1">{"quarterly",#N/A,FALSE,"Income Statement";#N/A,#N/A,FALSE,"print segment";#N/A,#N/A,FALSE,"Balance Sheet";#N/A,#N/A,FALSE,"Annl Inc";#N/A,#N/A,FALSE,"Cash Flow"}</definedName>
    <definedName name="wrn.handout." localSheetId="18" hidden="1">{"quarterly",#N/A,FALSE,"Income Statement";#N/A,#N/A,FALSE,"print segment";#N/A,#N/A,FALSE,"Balance Sheet";#N/A,#N/A,FALSE,"Annl Inc";#N/A,#N/A,FALSE,"Cash Flow"}</definedName>
    <definedName name="wrn.handout." hidden="1">{"quarterly",#N/A,FALSE,"Income Statement";#N/A,#N/A,FALSE,"print segment";#N/A,#N/A,FALSE,"Balance Sheet";#N/A,#N/A,FALSE,"Annl Inc";#N/A,#N/A,FALSE,"Cash Flow"}</definedName>
    <definedName name="wrn.IncStatement._.15._.years." localSheetId="0" hidden="1">{#N/A,#N/A,FALSE,"FinStateUS"}</definedName>
    <definedName name="wrn.IncStatement._.15._.years." localSheetId="2" hidden="1">{#N/A,#N/A,FALSE,"FinStateUS"}</definedName>
    <definedName name="wrn.IncStatement._.15._.years." localSheetId="1" hidden="1">{#N/A,#N/A,FALSE,"FinStateUS"}</definedName>
    <definedName name="wrn.IncStatement._.15._.years." localSheetId="20" hidden="1">{#N/A,#N/A,FALSE,"FinStateUS"}</definedName>
    <definedName name="wrn.IncStatement._.15._.years." localSheetId="19" hidden="1">{#N/A,#N/A,FALSE,"FinStateUS"}</definedName>
    <definedName name="wrn.IncStatement._.15._.years." localSheetId="7" hidden="1">{#N/A,#N/A,FALSE,"FinStateUS"}</definedName>
    <definedName name="wrn.IncStatement._.15._.years." localSheetId="15" hidden="1">{#N/A,#N/A,FALSE,"FinStateUS"}</definedName>
    <definedName name="wrn.IncStatement._.15._.years." localSheetId="17" hidden="1">{#N/A,#N/A,FALSE,"FinStateUS"}</definedName>
    <definedName name="wrn.IncStatement._.15._.years." localSheetId="18" hidden="1">{#N/A,#N/A,FALSE,"FinStateUS"}</definedName>
    <definedName name="wrn.IncStatement._.15._.years." hidden="1">{#N/A,#N/A,FALSE,"FinStateUS"}</definedName>
    <definedName name="wrn.IncStatement._.6._.years." localSheetId="0" hidden="1">{"IncStatement 6 years",#N/A,FALSE,"FinStateUS"}</definedName>
    <definedName name="wrn.IncStatement._.6._.years." localSheetId="2" hidden="1">{"IncStatement 6 years",#N/A,FALSE,"FinStateUS"}</definedName>
    <definedName name="wrn.IncStatement._.6._.years." localSheetId="1" hidden="1">{"IncStatement 6 years",#N/A,FALSE,"FinStateUS"}</definedName>
    <definedName name="wrn.IncStatement._.6._.years." localSheetId="20" hidden="1">{"IncStatement 6 years",#N/A,FALSE,"FinStateUS"}</definedName>
    <definedName name="wrn.IncStatement._.6._.years." localSheetId="19" hidden="1">{"IncStatement 6 years",#N/A,FALSE,"FinStateUS"}</definedName>
    <definedName name="wrn.IncStatement._.6._.years." localSheetId="7" hidden="1">{"IncStatement 6 years",#N/A,FALSE,"FinStateUS"}</definedName>
    <definedName name="wrn.IncStatement._.6._.years." localSheetId="15" hidden="1">{"IncStatement 6 years",#N/A,FALSE,"FinStateUS"}</definedName>
    <definedName name="wrn.IncStatement._.6._.years." localSheetId="17" hidden="1">{"IncStatement 6 years",#N/A,FALSE,"FinStateUS"}</definedName>
    <definedName name="wrn.IncStatement._.6._.years." localSheetId="18" hidden="1">{"IncStatement 6 years",#N/A,FALSE,"FinStateUS"}</definedName>
    <definedName name="wrn.IncStatement._.6._.years." hidden="1">{"IncStatement 6 years",#N/A,FALSE,"FinStateUS"}</definedName>
    <definedName name="wrn.market._.share." localSheetId="0"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2"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1"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20"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19"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7"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15"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17"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localSheetId="18" hidden="1">{#N/A,#N/A,FALSE,"Bestfoods";#N/A,#N/A,FALSE,"Campbell";#N/A,#N/A,FALSE,"ConAgra";#N/A,#N/A,FALSE,"Healthy Choice";#N/A,#N/A,FALSE,"Int'l Home Foods";#N/A,#N/A,FALSE,"General Mills";#N/A,#N/A,FALSE,"Heinz";#N/A,#N/A,FALSE,"Kellogg";#N/A,#N/A,FALSE,"Kraft";#N/A,#N/A,FALSE,"Nabisco";#N/A,#N/A,FALSE,"Quaker Oats";#N/A,#N/A,FALSE,"Sara Lee";#N/A,#N/A,FALSE,"print summary"}</definedName>
    <definedName name="wrn.market._.share." hidden="1">{#N/A,#N/A,FALSE,"Bestfoods";#N/A,#N/A,FALSE,"Campbell";#N/A,#N/A,FALSE,"ConAgra";#N/A,#N/A,FALSE,"Healthy Choice";#N/A,#N/A,FALSE,"Int'l Home Foods";#N/A,#N/A,FALSE,"General Mills";#N/A,#N/A,FALSE,"Heinz";#N/A,#N/A,FALSE,"Kellogg";#N/A,#N/A,FALSE,"Kraft";#N/A,#N/A,FALSE,"Nabisco";#N/A,#N/A,FALSE,"Quaker Oats";#N/A,#N/A,FALSE,"Sara Lee";#N/A,#N/A,FALSE,"print summary"}</definedName>
    <definedName name="wrn.MFR." localSheetId="0" hidden="1">{#N/A,#N/A,FALSE,"Index";#N/A,#N/A,FALSE,"SCH_B1";#N/A,#N/A,FALSE,"SCH_B2";#N/A,#N/A,FALSE,"SCH_B2.1";#N/A,#N/A,FALSE,"SCH_B2.2";#N/A,#N/A,FALSE,"SCH_B2.3";#N/A,#N/A,FALSE,"SCH_B2.4";#N/A,#N/A,FALSE,"SCH_B3";#N/A,#N/A,FALSE,"SCH_B3.1";#N/A,#N/A,FALSE,"SCH_C1-a";#N/A,#N/A,FALSE,"SCH_C2";#N/A,#N/A,FALSE,"SCH_C2.1";#N/A,#N/A,FALSE,"SCH_D1A";#N/A,#N/A,FALSE,"SCH_D2";#N/A,#N/A,FALSE,"SCH_D2.1";#N/A,#N/A,FALSE,"SCH_E1";#N/A,#N/A,FALSE,"SCH_F1";#N/A,#N/A,FALSE,"SCH_F-2";#N/A,#N/A,FALSE,"SCH_F-3";#N/A,#N/A,FALSE,"SCH_H1";#N/A,#N/A,FALSE,"SCH_H2";#N/A,#N/A,FALSE,"SCH_H2.1";#N/A,#N/A,FALSE,"SCH_I1";#N/A,#N/A,FALSE,"SCH_I1a";#N/A,#N/A,FALSE,"SCH_J1";#N/A,#N/A,FALSE,"SCH_J3";#N/A,#N/A,FALSE,"SCH_J4"}</definedName>
    <definedName name="wrn.MFR." hidden="1">{#N/A,#N/A,FALSE,"Index";#N/A,#N/A,FALSE,"SCH_B1";#N/A,#N/A,FALSE,"SCH_B2";#N/A,#N/A,FALSE,"SCH_B2.1";#N/A,#N/A,FALSE,"SCH_B2.2";#N/A,#N/A,FALSE,"SCH_B2.3";#N/A,#N/A,FALSE,"SCH_B2.4";#N/A,#N/A,FALSE,"SCH_B3";#N/A,#N/A,FALSE,"SCH_B3.1";#N/A,#N/A,FALSE,"SCH_C1-a";#N/A,#N/A,FALSE,"SCH_C2";#N/A,#N/A,FALSE,"SCH_C2.1";#N/A,#N/A,FALSE,"SCH_D1A";#N/A,#N/A,FALSE,"SCH_D2";#N/A,#N/A,FALSE,"SCH_D2.1";#N/A,#N/A,FALSE,"SCH_E1";#N/A,#N/A,FALSE,"SCH_F1";#N/A,#N/A,FALSE,"SCH_F-2";#N/A,#N/A,FALSE,"SCH_F-3";#N/A,#N/A,FALSE,"SCH_H1";#N/A,#N/A,FALSE,"SCH_H2";#N/A,#N/A,FALSE,"SCH_H2.1";#N/A,#N/A,FALSE,"SCH_I1";#N/A,#N/A,FALSE,"SCH_I1a";#N/A,#N/A,FALSE,"SCH_J1";#N/A,#N/A,FALSE,"SCH_J3";#N/A,#N/A,FALSE,"SCH_J4"}</definedName>
    <definedName name="wrn.MMFRENT." localSheetId="0" hidden="1">{#N/A,#N/A,FALSE,"Page 1";#N/A,#N/A,FALSE,"Page 2";#N/A,#N/A,FALSE,"Page 3";#N/A,#N/A,FALSE,"Page 4";#N/A,#N/A,FALSE,"Page 5";#N/A,#N/A,FALSE,"Page 6";#N/A,#N/A,FALSE,"Page 7";#N/A,#N/A,FALSE,"Page 8";#N/A,#N/A,FALSE,"Page 9";#N/A,#N/A,FALSE,"PG8WP";#N/A,#N/A,FALSE,"PG9WP"}</definedName>
    <definedName name="wrn.MMFRENT." hidden="1">{#N/A,#N/A,FALSE,"Page 1";#N/A,#N/A,FALSE,"Page 2";#N/A,#N/A,FALSE,"Page 3";#N/A,#N/A,FALSE,"Page 4";#N/A,#N/A,FALSE,"Page 5";#N/A,#N/A,FALSE,"Page 6";#N/A,#N/A,FALSE,"Page 7";#N/A,#N/A,FALSE,"Page 8";#N/A,#N/A,FALSE,"Page 9";#N/A,#N/A,FALSE,"PG8WP";#N/A,#N/A,FALSE,"PG9WP"}</definedName>
    <definedName name="wrn.mmfrent2" localSheetId="0" hidden="1">{#N/A,#N/A,FALSE,"Page 1";#N/A,#N/A,FALSE,"Page 2";#N/A,#N/A,FALSE,"Page 3";#N/A,#N/A,FALSE,"Page 4";#N/A,#N/A,FALSE,"Page 5";#N/A,#N/A,FALSE,"Page 6";#N/A,#N/A,FALSE,"Page 7";#N/A,#N/A,FALSE,"Page 8";#N/A,#N/A,FALSE,"Page 9";#N/A,#N/A,FALSE,"PG8WP";#N/A,#N/A,FALSE,"PG9WP"}</definedName>
    <definedName name="wrn.mmfrent2" hidden="1">{#N/A,#N/A,FALSE,"Page 1";#N/A,#N/A,FALSE,"Page 2";#N/A,#N/A,FALSE,"Page 3";#N/A,#N/A,FALSE,"Page 4";#N/A,#N/A,FALSE,"Page 5";#N/A,#N/A,FALSE,"Page 6";#N/A,#N/A,FALSE,"Page 7";#N/A,#N/A,FALSE,"Page 8";#N/A,#N/A,FALSE,"Page 9";#N/A,#N/A,FALSE,"PG8WP";#N/A,#N/A,FALSE,"PG9WP"}</definedName>
    <definedName name="wrn.OMEXPENSE." localSheetId="0" hidden="1">{"PF",#N/A,FALSE,"Sheet4";"PG",#N/A,FALSE,"Sheet4";"PH",#N/A,FALSE,"Sheet4";"PI",#N/A,FALSE,"Sheet4";"PJ",#N/A,FALSE,"Sheet4"}</definedName>
    <definedName name="wrn.OMEXPENSE." hidden="1">{"PF",#N/A,FALSE,"Sheet4";"PG",#N/A,FALSE,"Sheet4";"PH",#N/A,FALSE,"Sheet4";"PI",#N/A,FALSE,"Sheet4";"PJ",#N/A,FALSE,"Sheet4"}</definedName>
    <definedName name="wrn.one." localSheetId="0" hidden="1">{"page1",#N/A,FALSE,"A";"page2",#N/A,FALSE,"A"}</definedName>
    <definedName name="wrn.one." localSheetId="2" hidden="1">{"page1",#N/A,FALSE,"A";"page2",#N/A,FALSE,"A"}</definedName>
    <definedName name="wrn.one." localSheetId="1" hidden="1">{"page1",#N/A,FALSE,"A";"page2",#N/A,FALSE,"A"}</definedName>
    <definedName name="wrn.one." localSheetId="20" hidden="1">{"page1",#N/A,FALSE,"A";"page2",#N/A,FALSE,"A"}</definedName>
    <definedName name="wrn.one." localSheetId="19" hidden="1">{"page1",#N/A,FALSE,"A";"page2",#N/A,FALSE,"A"}</definedName>
    <definedName name="wrn.one." localSheetId="7" hidden="1">{"page1",#N/A,FALSE,"A";"page2",#N/A,FALSE,"A"}</definedName>
    <definedName name="wrn.one." localSheetId="15" hidden="1">{"page1",#N/A,FALSE,"A";"page2",#N/A,FALSE,"A"}</definedName>
    <definedName name="wrn.one." localSheetId="17" hidden="1">{"page1",#N/A,FALSE,"A";"page2",#N/A,FALSE,"A"}</definedName>
    <definedName name="wrn.one." localSheetId="18" hidden="1">{"page1",#N/A,FALSE,"A";"page2",#N/A,FALSE,"A"}</definedName>
    <definedName name="wrn.one." hidden="1">{"page1",#N/A,FALSE,"A";"page2",#N/A,FALSE,"A"}</definedName>
    <definedName name="wrn.PPJOURNAL._.ENTRY." localSheetId="0" hidden="1">{"PPDEFERREDBAL",#N/A,FALSE,"PRIOR PERIOD ADJMT";#N/A,#N/A,FALSE,"PRIOR PERIOD ADJMT";"PPJOURNALENTRY",#N/A,FALSE,"PRIOR PERIOD ADJMT"}</definedName>
    <definedName name="wrn.PPJOURNAL._.ENTRY." hidden="1">{"PPDEFERREDBAL",#N/A,FALSE,"PRIOR PERIOD ADJMT";#N/A,#N/A,FALSE,"PRIOR PERIOD ADJMT";"PPJOURNALENTRY",#N/A,FALSE,"PRIOR PERIOD ADJMT"}</definedName>
    <definedName name="wrn.printtable1." localSheetId="0" hidden="1">{"print1",#N/A,FALSE,"D21CUSTS"}</definedName>
    <definedName name="wrn.printtable1." hidden="1">{"print1",#N/A,FALSE,"D21CUSTS"}</definedName>
    <definedName name="wrn.printtable2." localSheetId="0" hidden="1">{"print2",#N/A,FALSE,"D21CUSTS"}</definedName>
    <definedName name="wrn.printtable2." hidden="1">{"print2",#N/A,FALSE,"D21CUSTS"}</definedName>
    <definedName name="wrn.printtable3." localSheetId="0" hidden="1">{"print3",#N/A,FALSE,"D21CUSTS"}</definedName>
    <definedName name="wrn.printtable3." hidden="1">{"print3",#N/A,FALSE,"D21CUSTS"}</definedName>
    <definedName name="wrn.printtable4." localSheetId="0" hidden="1">{"print4",#N/A,FALSE,"D21CUSTS"}</definedName>
    <definedName name="wrn.printtable4." hidden="1">{"print4",#N/A,FALSE,"D21CUSTS"}</definedName>
    <definedName name="wrn.PRIOR._.PERIOD._.ADJMT." localSheetId="0" hidden="1">{#N/A,#N/A,FALSE,"PRIOR PERIOD ADJMT"}</definedName>
    <definedName name="wrn.PRIOR._.PERIOD._.ADJMT." hidden="1">{#N/A,#N/A,FALSE,"PRIOR PERIOD ADJMT"}</definedName>
    <definedName name="wrn.Projected._.Def._.Adjustments." localSheetId="0"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wrn.Projected._.Def._.Adjustments." hidden="1">{"projom",#N/A,FALSE,"Central Arizona 1";"projomvar",#N/A,FALSE,"Central Arizona 1";"caz1",#N/A,FALSE,"Central Arizona 1";"cazvar",#N/A,FALSE,"Central Arizona 1";"saz1",#N/A,FALSE,"Southern Arizona 1";"sazvar",#N/A,FALSE,"Southern Arizona 1";"snv1",#N/A,FALSE,"Southern Nevada 1";"snvvar",#N/A,FALSE,"Southern Nevada 1";"nnv1",#N/A,FALSE,"Northern Nevada 1";"nnvvar",#N/A,FALSE,"Northern Nevada 1";"sca1",#N/A,FALSE,"Southern California 1";"scavar",#N/A,FALSE,"Southern California 1";"nca1",#N/A,FALSE,"Northern California 1";"ncavar",#N/A,FALSE,"Northern California 1";"paiute1",#N/A,FALSE,"Paiute 1";"paivar",#N/A,FALSE,"Paiute 1"}</definedName>
    <definedName name="wrn.Projected._.Defiency." localSheetId="0" hidden="1">{"caz2",#N/A,FALSE,"Central Arizona 2";"saz2",#N/A,FALSE,"Southern Arizona 2";"snv2",#N/A,FALSE,"Southern Nevada 2";"nnv2",#N/A,FALSE,"Northern Nevada 2";"sca2",#N/A,FALSE,"Southern California 2";"nca2",#N/A,FALSE,"Northern California 2";"pai2",#N/A,FALSE,"Paiute 2"}</definedName>
    <definedName name="wrn.Projected._.Defiency." hidden="1">{"caz2",#N/A,FALSE,"Central Arizona 2";"saz2",#N/A,FALSE,"Southern Arizona 2";"snv2",#N/A,FALSE,"Southern Nevada 2";"nnv2",#N/A,FALSE,"Northern Nevada 2";"sca2",#N/A,FALSE,"Southern California 2";"nca2",#N/A,FALSE,"Northern California 2";"pai2",#N/A,FALSE,"Paiute 2"}</definedName>
    <definedName name="wrn.Report1." localSheetId="0" hidden="1">{#N/A,#N/A,TRUE,"TOC";#N/A,#N/A,TRUE,"Assum";#N/A,#N/A,TRUE,"Op-BS";#N/A,#N/A,TRUE,"IS";#N/A,#N/A,TRUE,"BSCF";#N/A,#N/A,TRUE,"Ratios";#N/A,#N/A,TRUE,"Sens";#N/A,#N/A,TRUE,"Holmes_IS";#N/A,#N/A,TRUE,"Holmes_BSCF";#N/A,#N/A,TRUE,"Holmes_Rat";#N/A,#N/A,TRUE,"Hound_IS";#N/A,#N/A,TRUE,"Hound_BSCF";#N/A,#N/A,TRUE,"Hound_Rat";#N/A,#N/A,TRUE,"Hound_DCF1"}</definedName>
    <definedName name="wrn.Report1." localSheetId="2" hidden="1">{#N/A,#N/A,TRUE,"TOC";#N/A,#N/A,TRUE,"Assum";#N/A,#N/A,TRUE,"Op-BS";#N/A,#N/A,TRUE,"IS";#N/A,#N/A,TRUE,"BSCF";#N/A,#N/A,TRUE,"Ratios";#N/A,#N/A,TRUE,"Sens";#N/A,#N/A,TRUE,"Holmes_IS";#N/A,#N/A,TRUE,"Holmes_BSCF";#N/A,#N/A,TRUE,"Holmes_Rat";#N/A,#N/A,TRUE,"Hound_IS";#N/A,#N/A,TRUE,"Hound_BSCF";#N/A,#N/A,TRUE,"Hound_Rat";#N/A,#N/A,TRUE,"Hound_DCF1"}</definedName>
    <definedName name="wrn.Report1." localSheetId="1" hidden="1">{#N/A,#N/A,TRUE,"TOC";#N/A,#N/A,TRUE,"Assum";#N/A,#N/A,TRUE,"Op-BS";#N/A,#N/A,TRUE,"IS";#N/A,#N/A,TRUE,"BSCF";#N/A,#N/A,TRUE,"Ratios";#N/A,#N/A,TRUE,"Sens";#N/A,#N/A,TRUE,"Holmes_IS";#N/A,#N/A,TRUE,"Holmes_BSCF";#N/A,#N/A,TRUE,"Holmes_Rat";#N/A,#N/A,TRUE,"Hound_IS";#N/A,#N/A,TRUE,"Hound_BSCF";#N/A,#N/A,TRUE,"Hound_Rat";#N/A,#N/A,TRUE,"Hound_DCF1"}</definedName>
    <definedName name="wrn.Report1." localSheetId="20" hidden="1">{#N/A,#N/A,TRUE,"TOC";#N/A,#N/A,TRUE,"Assum";#N/A,#N/A,TRUE,"Op-BS";#N/A,#N/A,TRUE,"IS";#N/A,#N/A,TRUE,"BSCF";#N/A,#N/A,TRUE,"Ratios";#N/A,#N/A,TRUE,"Sens";#N/A,#N/A,TRUE,"Holmes_IS";#N/A,#N/A,TRUE,"Holmes_BSCF";#N/A,#N/A,TRUE,"Holmes_Rat";#N/A,#N/A,TRUE,"Hound_IS";#N/A,#N/A,TRUE,"Hound_BSCF";#N/A,#N/A,TRUE,"Hound_Rat";#N/A,#N/A,TRUE,"Hound_DCF1"}</definedName>
    <definedName name="wrn.Report1." localSheetId="19" hidden="1">{#N/A,#N/A,TRUE,"TOC";#N/A,#N/A,TRUE,"Assum";#N/A,#N/A,TRUE,"Op-BS";#N/A,#N/A,TRUE,"IS";#N/A,#N/A,TRUE,"BSCF";#N/A,#N/A,TRUE,"Ratios";#N/A,#N/A,TRUE,"Sens";#N/A,#N/A,TRUE,"Holmes_IS";#N/A,#N/A,TRUE,"Holmes_BSCF";#N/A,#N/A,TRUE,"Holmes_Rat";#N/A,#N/A,TRUE,"Hound_IS";#N/A,#N/A,TRUE,"Hound_BSCF";#N/A,#N/A,TRUE,"Hound_Rat";#N/A,#N/A,TRUE,"Hound_DCF1"}</definedName>
    <definedName name="wrn.Report1." localSheetId="7" hidden="1">{#N/A,#N/A,TRUE,"TOC";#N/A,#N/A,TRUE,"Assum";#N/A,#N/A,TRUE,"Op-BS";#N/A,#N/A,TRUE,"IS";#N/A,#N/A,TRUE,"BSCF";#N/A,#N/A,TRUE,"Ratios";#N/A,#N/A,TRUE,"Sens";#N/A,#N/A,TRUE,"Holmes_IS";#N/A,#N/A,TRUE,"Holmes_BSCF";#N/A,#N/A,TRUE,"Holmes_Rat";#N/A,#N/A,TRUE,"Hound_IS";#N/A,#N/A,TRUE,"Hound_BSCF";#N/A,#N/A,TRUE,"Hound_Rat";#N/A,#N/A,TRUE,"Hound_DCF1"}</definedName>
    <definedName name="wrn.Report1." localSheetId="15" hidden="1">{#N/A,#N/A,TRUE,"TOC";#N/A,#N/A,TRUE,"Assum";#N/A,#N/A,TRUE,"Op-BS";#N/A,#N/A,TRUE,"IS";#N/A,#N/A,TRUE,"BSCF";#N/A,#N/A,TRUE,"Ratios";#N/A,#N/A,TRUE,"Sens";#N/A,#N/A,TRUE,"Holmes_IS";#N/A,#N/A,TRUE,"Holmes_BSCF";#N/A,#N/A,TRUE,"Holmes_Rat";#N/A,#N/A,TRUE,"Hound_IS";#N/A,#N/A,TRUE,"Hound_BSCF";#N/A,#N/A,TRUE,"Hound_Rat";#N/A,#N/A,TRUE,"Hound_DCF1"}</definedName>
    <definedName name="wrn.Report1." localSheetId="17" hidden="1">{#N/A,#N/A,TRUE,"TOC";#N/A,#N/A,TRUE,"Assum";#N/A,#N/A,TRUE,"Op-BS";#N/A,#N/A,TRUE,"IS";#N/A,#N/A,TRUE,"BSCF";#N/A,#N/A,TRUE,"Ratios";#N/A,#N/A,TRUE,"Sens";#N/A,#N/A,TRUE,"Holmes_IS";#N/A,#N/A,TRUE,"Holmes_BSCF";#N/A,#N/A,TRUE,"Holmes_Rat";#N/A,#N/A,TRUE,"Hound_IS";#N/A,#N/A,TRUE,"Hound_BSCF";#N/A,#N/A,TRUE,"Hound_Rat";#N/A,#N/A,TRUE,"Hound_DCF1"}</definedName>
    <definedName name="wrn.Report1." localSheetId="18" hidden="1">{#N/A,#N/A,TRUE,"TOC";#N/A,#N/A,TRUE,"Assum";#N/A,#N/A,TRUE,"Op-BS";#N/A,#N/A,TRUE,"IS";#N/A,#N/A,TRUE,"BSCF";#N/A,#N/A,TRUE,"Ratios";#N/A,#N/A,TRUE,"Sens";#N/A,#N/A,TRUE,"Holmes_IS";#N/A,#N/A,TRUE,"Holmes_BSCF";#N/A,#N/A,TRUE,"Holmes_Rat";#N/A,#N/A,TRUE,"Hound_IS";#N/A,#N/A,TRUE,"Hound_BSCF";#N/A,#N/A,TRUE,"Hound_Rat";#N/A,#N/A,TRUE,"Hound_DCF1"}</definedName>
    <definedName name="wrn.Report1." hidden="1">{#N/A,#N/A,TRUE,"TOC";#N/A,#N/A,TRUE,"Assum";#N/A,#N/A,TRUE,"Op-BS";#N/A,#N/A,TRUE,"IS";#N/A,#N/A,TRUE,"BSCF";#N/A,#N/A,TRUE,"Ratios";#N/A,#N/A,TRUE,"Sens";#N/A,#N/A,TRUE,"Holmes_IS";#N/A,#N/A,TRUE,"Holmes_BSCF";#N/A,#N/A,TRUE,"Holmes_Rat";#N/A,#N/A,TRUE,"Hound_IS";#N/A,#N/A,TRUE,"Hound_BSCF";#N/A,#N/A,TRUE,"Hound_Rat";#N/A,#N/A,TRUE,"Hound_DCF1"}</definedName>
    <definedName name="wrn.SUP." localSheetId="0" hidden="1">{#N/A,#N/A,FALSE,"WP_B5";#N/A,#N/A,FALSE,"WP_B6";#N/A,#N/A,FALSE,"WP_B6.1";#N/A,#N/A,FALSE,"WP_B6.2";#N/A,#N/A,FALSE,"WP_B7";#N/A,#N/A,FALSE,"WP_B8";#N/A,#N/A,FALSE,"WP_B9";#N/A,#N/A,FALSE,"WP_C1";#N/A,#N/A,FALSE,"WP_C1.1";"WP_C1.2.1",#N/A,FALSE,"WP_C1.2";"WP_C1.2.2",#N/A,FALSE,"WP_C1.2";"WP_C1.2.3",#N/A,FALSE,"WP_C1.2";"WP_C1.2.4",#N/A,FALSE,"WP_C1.2";"WP_C1.2.5",#N/A,FALSE,"WP_C1.2";#N/A,#N/A,FALSE,"WP_C4";#N/A,#N/A,FALSE,"WP_C4a";#N/A,#N/A,FALSE,"WP_C4.1";#N/A,#N/A,FALSE,"WP_C4.2";#N/A,#N/A,FALSE,"WP_C4.3";#N/A,#N/A,FALSE,"WP_C5";#N/A,#N/A,FALSE,"WP_C7";#N/A,#N/A,FALSE,"WP_C8";#N/A,#N/A,FALSE,"WP_C9";#N/A,#N/A,FALSE,"WP_C10";#N/A,#N/A,FALSE,"WP_C11";#N/A,#N/A,FALSE,"WP_C12";#N/A,#N/A,FALSE,"WP_C13";#N/A,#N/A,FALSE,"WP_C14";"WP_D1.1",#N/A,FALSE,"WP_D1";"WP_D1.2",#N/A,FALSE,"WP_D1";"WP_D1.3",#N/A,FALSE,"WP_D1";"WP_D1.4",#N/A,FALSE,"WP_D1";"WP_D1.5",#N/A,FALSE,"WP_D1";#N/A,#N/A,FALSE,"WP_E1 ";#N/A,#N/A,FALSE,"WP_E1.1";#N/A,#N/A,FALSE,"WP_E2";#N/A,#N/A,FALSE,"WP_E3";#N/A,#N/A,FALSE,"WP_E4";#N/A,#N/A,FALSE,"WP_F1";#N/A,#N/A,FALSE,"WP_F-2";#N/A,#N/A,FALSE,"WP_F-2-1";#N/A,#N/A,FALSE,"WP_F-2-2";#N/A,#N/A,FALSE,"WP_F-3";#N/A,#N/A,FALSE,"WP_F-3-1";#N/A,#N/A,FALSE,"WP_F-3-2";#N/A,#N/A,FALSE,"WP_F-4";#N/A,#N/A,FALSE,"WP_F-4.1";#N/A,#N/A,FALSE,"WP_F-4.2";#N/A,#N/A,FALSE,"WP_F-5";#N/A,#N/A,FALSE,"WP_F-6";#N/A,#N/A,FALSE,"WP_F-7"}</definedName>
    <definedName name="wrn.SUP." hidden="1">{#N/A,#N/A,FALSE,"WP_B5";#N/A,#N/A,FALSE,"WP_B6";#N/A,#N/A,FALSE,"WP_B6.1";#N/A,#N/A,FALSE,"WP_B6.2";#N/A,#N/A,FALSE,"WP_B7";#N/A,#N/A,FALSE,"WP_B8";#N/A,#N/A,FALSE,"WP_B9";#N/A,#N/A,FALSE,"WP_C1";#N/A,#N/A,FALSE,"WP_C1.1";"WP_C1.2.1",#N/A,FALSE,"WP_C1.2";"WP_C1.2.2",#N/A,FALSE,"WP_C1.2";"WP_C1.2.3",#N/A,FALSE,"WP_C1.2";"WP_C1.2.4",#N/A,FALSE,"WP_C1.2";"WP_C1.2.5",#N/A,FALSE,"WP_C1.2";#N/A,#N/A,FALSE,"WP_C4";#N/A,#N/A,FALSE,"WP_C4a";#N/A,#N/A,FALSE,"WP_C4.1";#N/A,#N/A,FALSE,"WP_C4.2";#N/A,#N/A,FALSE,"WP_C4.3";#N/A,#N/A,FALSE,"WP_C5";#N/A,#N/A,FALSE,"WP_C7";#N/A,#N/A,FALSE,"WP_C8";#N/A,#N/A,FALSE,"WP_C9";#N/A,#N/A,FALSE,"WP_C10";#N/A,#N/A,FALSE,"WP_C11";#N/A,#N/A,FALSE,"WP_C12";#N/A,#N/A,FALSE,"WP_C13";#N/A,#N/A,FALSE,"WP_C14";"WP_D1.1",#N/A,FALSE,"WP_D1";"WP_D1.2",#N/A,FALSE,"WP_D1";"WP_D1.3",#N/A,FALSE,"WP_D1";"WP_D1.4",#N/A,FALSE,"WP_D1";"WP_D1.5",#N/A,FALSE,"WP_D1";#N/A,#N/A,FALSE,"WP_E1 ";#N/A,#N/A,FALSE,"WP_E1.1";#N/A,#N/A,FALSE,"WP_E2";#N/A,#N/A,FALSE,"WP_E3";#N/A,#N/A,FALSE,"WP_E4";#N/A,#N/A,FALSE,"WP_F1";#N/A,#N/A,FALSE,"WP_F-2";#N/A,#N/A,FALSE,"WP_F-2-1";#N/A,#N/A,FALSE,"WP_F-2-2";#N/A,#N/A,FALSE,"WP_F-3";#N/A,#N/A,FALSE,"WP_F-3-1";#N/A,#N/A,FALSE,"WP_F-3-2";#N/A,#N/A,FALSE,"WP_F-4";#N/A,#N/A,FALSE,"WP_F-4.1";#N/A,#N/A,FALSE,"WP_F-4.2";#N/A,#N/A,FALSE,"WP_F-5";#N/A,#N/A,FALSE,"WP_F-6";#N/A,#N/A,FALSE,"WP_F-7"}</definedName>
    <definedName name="wrn.tables." localSheetId="0" hidden="1">{"print1",#N/A,FALSE,"D21CUSTS";"print2",#N/A,FALSE,"D21CUSTS";"print3",#N/A,FALSE,"D21CUSTS";"print4",#N/A,FALSE,"D21CUSTS"}</definedName>
    <definedName name="wrn.tables." hidden="1">{"print1",#N/A,FALSE,"D21CUSTS";"print2",#N/A,FALSE,"D21CUSTS";"print3",#N/A,FALSE,"D21CUSTS";"print4",#N/A,FALSE,"D21CUSTS"}</definedName>
    <definedName name="wvu.DATABASE." localSheetId="0" hidden="1">{TRUE,TRUE,-1.25,-15.5,484.5,279.75,FALSE,FALSE,TRUE,TRUE,0,1,#N/A,1,#N/A,4.39094650205761,21.0666666666667,1,FALSE,FALSE,3,TRUE,1,FALSE,75,"Swvu.DATABASE.","ACwvu.DATABASE.",1,FALSE,FALSE,0.5,0.5,0.5,0.77,2,"","&amp;L&amp;""""&amp;8PREPARED: N. WINTER  &amp;D &amp;T&amp;C&amp;""""&amp;8&amp;P OF &amp;N&amp;R&amp;""""&amp;8J:INCTAX\94MTHEND\&amp;F",FALSE,FALSE,FALSE,FALSE,1,68,#N/A,#N/A,"=R6C1:R142C8","=R1:R5",#N/A,#N/A,FALSE,FALSE}</definedName>
    <definedName name="wvu.DATABASE." hidden="1">{TRUE,TRUE,-1.25,-15.5,484.5,279.75,FALSE,FALSE,TRUE,TRUE,0,1,#N/A,1,#N/A,4.39094650205761,21.0666666666667,1,FALSE,FALSE,3,TRUE,1,FALSE,75,"Swvu.DATABASE.","ACwvu.DATABASE.",1,FALSE,FALSE,0.5,0.5,0.5,0.77,2,"","&amp;L&amp;""""&amp;8PREPARED: N. WINTER  &amp;D &amp;T&amp;C&amp;""""&amp;8&amp;P OF &amp;N&amp;R&amp;""""&amp;8J:INCTAX\94MTHEND\&amp;F",FALSE,FALSE,FALSE,FALSE,1,68,#N/A,#N/A,"=R6C1:R142C8","=R1:R5",#N/A,#N/A,FALSE,FALSE}</definedName>
    <definedName name="wvu.OP." localSheetId="0" hidden="1">{TRUE,TRUE,-1.25,-15.5,484.5,279.75,FALSE,FALSE,TRUE,TRUE,0,1,#N/A,1,#N/A,5.69105691056911,21.0666666666667,1,FALSE,FALSE,3,TRUE,1,FALSE,75,"Swvu.OP.","ACwvu.OP.",1,FALSE,FALSE,0.535,0.535,0,0.73,2,"","&amp;L&amp;""Courier New""&amp;8PREPARED BY N. WINTER &amp;D &amp;T &amp;C&amp;""Courier New""&amp;8&amp;P OF &amp;N&amp;R&amp;""Courier New""&amp;8J:INCTAX\94MTHEND\&amp;F",FALSE,FALSE,FALSE,FALSE,1,#N/A,1,3,"=R11C1:R77C7","=R2:R10",#N/A,#N/A,FALSE,FALSE}</definedName>
    <definedName name="wvu.OP." hidden="1">{TRUE,TRUE,-1.25,-15.5,484.5,279.75,FALSE,FALSE,TRUE,TRUE,0,1,#N/A,1,#N/A,5.69105691056911,21.0666666666667,1,FALSE,FALSE,3,TRUE,1,FALSE,75,"Swvu.OP.","ACwvu.OP.",1,FALSE,FALSE,0.535,0.535,0,0.73,2,"","&amp;L&amp;""Courier New""&amp;8PREPARED BY N. WINTER &amp;D &amp;T &amp;C&amp;""Courier New""&amp;8&amp;P OF &amp;N&amp;R&amp;""Courier New""&amp;8J:INCTAX\94MTHEND\&amp;F",FALSE,FALSE,FALSE,FALSE,1,#N/A,1,3,"=R11C1:R77C7","=R2:R10",#N/A,#N/A,FALSE,FALSE}</definedName>
    <definedName name="wvu.WP1." localSheetId="0" hidden="1">{TRUE,TRUE,-1.25,-15.5,484.5,279.75,FALSE,FALSE,TRUE,TRUE,0,3,#N/A,1,#N/A,6.54545454545454,15.55,1,FALSE,FALSE,3,TRUE,1,FALSE,100,"Swvu.WP1.","ACwvu.WP1.",1,FALSE,FALSE,0.25,0.25,0.25,0.25,1,"","&amp;L&amp;D &amp;T NBW&amp;C&amp;P&amp;R&amp;F",FALSE,FALSE,FALSE,FALSE,1,100,#N/A,#N/A,FALSE,FALSE,#N/A,#N/A,FALSE,FALSE}</definedName>
    <definedName name="wvu.WP1." hidden="1">{TRUE,TRUE,-1.25,-15.5,484.5,279.75,FALSE,FALSE,TRUE,TRUE,0,3,#N/A,1,#N/A,6.54545454545454,15.55,1,FALSE,FALSE,3,TRUE,1,FALSE,100,"Swvu.WP1.","ACwvu.WP1.",1,FALSE,FALSE,0.25,0.25,0.25,0.25,1,"","&amp;L&amp;D &amp;T NBW&amp;C&amp;P&amp;R&amp;F",FALSE,FALSE,FALSE,FALSE,1,100,#N/A,#N/A,FALSE,FALSE,#N/A,#N/A,FALSE,FALSE}</definedName>
    <definedName name="X" localSheetId="0" hidden="1">#REF!</definedName>
    <definedName name="X" hidden="1">#REF!</definedName>
    <definedName name="Y" localSheetId="0" hidden="1">#REF!</definedName>
    <definedName name="Y" hidden="1">#REF!</definedName>
    <definedName name="Yahoo_Earnings_Growth">[3]Growth_Rates!$E$5:$E$66</definedName>
    <definedName name="Z" localSheetId="0" hidden="1">#REF!</definedName>
    <definedName name="Z" hidden="1">#REF!</definedName>
    <definedName name="Z_055ABE5A_5E06_11D2_8EED_0008C7BCAF29_.wvu.PrintArea" localSheetId="0" hidden="1">#REF!</definedName>
    <definedName name="Z_055ABE5A_5E06_11D2_8EED_0008C7BCAF29_.wvu.PrintArea" hidden="1">#REF!</definedName>
    <definedName name="Z_055ABE5A_5E06_11D2_8EED_0008C7BCAF29_.wvu.PrintTitles" localSheetId="0" hidden="1">#REF!</definedName>
    <definedName name="Z_055ABE5A_5E06_11D2_8EED_0008C7BCAF29_.wvu.PrintTitles" hidden="1">#REF!</definedName>
    <definedName name="Z_055ABE69_5E06_11D2_8EED_0008C7BCAF29_.wvu.PrintArea" localSheetId="0" hidden="1">#REF!</definedName>
    <definedName name="Z_055ABE69_5E06_11D2_8EED_0008C7BCAF29_.wvu.PrintArea" hidden="1">#REF!</definedName>
    <definedName name="Z_055ABE69_5E06_11D2_8EED_0008C7BCAF29_.wvu.PrintTitles" localSheetId="0" hidden="1">#REF!</definedName>
    <definedName name="Z_055ABE69_5E06_11D2_8EED_0008C7BCAF29_.wvu.PrintTitles" hidden="1">#REF!</definedName>
    <definedName name="Z_055ABE76_5E06_11D2_8EED_0008C7BCAF29_.wvu.PrintArea" localSheetId="0" hidden="1">#REF!</definedName>
    <definedName name="Z_055ABE76_5E06_11D2_8EED_0008C7BCAF29_.wvu.PrintArea" hidden="1">#REF!</definedName>
    <definedName name="Z_055ABE76_5E06_11D2_8EED_0008C7BCAF29_.wvu.PrintTitles" localSheetId="0" hidden="1">#REF!,#REF!</definedName>
    <definedName name="Z_055ABE76_5E06_11D2_8EED_0008C7BCAF29_.wvu.PrintTitles" hidden="1">#REF!,#REF!</definedName>
    <definedName name="Z_055ABE84_5E06_11D2_8EED_0008C7BCAF29_.wvu.PrintArea" localSheetId="0" hidden="1">#REF!</definedName>
    <definedName name="Z_055ABE84_5E06_11D2_8EED_0008C7BCAF29_.wvu.PrintArea" hidden="1">#REF!</definedName>
    <definedName name="Z_055ABE84_5E06_11D2_8EED_0008C7BCAF29_.wvu.PrintTitles" localSheetId="0" hidden="1">#REF!</definedName>
    <definedName name="Z_055ABE84_5E06_11D2_8EED_0008C7BCAF29_.wvu.PrintTitles" hidden="1">#REF!</definedName>
    <definedName name="Z_055ABE93_5E06_11D2_8EED_0008C7BCAF29_.wvu.PrintArea" localSheetId="0" hidden="1">#REF!</definedName>
    <definedName name="Z_055ABE93_5E06_11D2_8EED_0008C7BCAF29_.wvu.PrintArea" hidden="1">#REF!</definedName>
    <definedName name="Z_055ABE93_5E06_11D2_8EED_0008C7BCAF29_.wvu.PrintTitles" localSheetId="0" hidden="1">#REF!</definedName>
    <definedName name="Z_055ABE93_5E06_11D2_8EED_0008C7BCAF29_.wvu.PrintTitles" hidden="1">#REF!</definedName>
    <definedName name="Z_055ABEA0_5E06_11D2_8EED_0008C7BCAF29_.wvu.PrintArea" localSheetId="0" hidden="1">#REF!</definedName>
    <definedName name="Z_055ABEA0_5E06_11D2_8EED_0008C7BCAF29_.wvu.PrintArea" hidden="1">#REF!</definedName>
    <definedName name="Z_055ABEA0_5E06_11D2_8EED_0008C7BCAF29_.wvu.PrintTitles" localSheetId="0" hidden="1">#REF!,#REF!</definedName>
    <definedName name="Z_055ABEA0_5E06_11D2_8EED_0008C7BCAF29_.wvu.PrintTitles" hidden="1">#REF!,#REF!</definedName>
    <definedName name="Z_05DE23E1_1046_11D2_8E70_0008C77C0743_.wvu.PrintArea" localSheetId="0" hidden="1">#REF!</definedName>
    <definedName name="Z_05DE23E1_1046_11D2_8E70_0008C77C0743_.wvu.PrintArea" hidden="1">#REF!</definedName>
    <definedName name="Z_05DE23E1_1046_11D2_8E70_0008C77C0743_.wvu.PrintTitles" localSheetId="0" hidden="1">#REF!,#REF!</definedName>
    <definedName name="Z_05DE23E1_1046_11D2_8E70_0008C77C0743_.wvu.PrintTitles" hidden="1">#REF!,#REF!</definedName>
    <definedName name="Z_05DE23E4_1046_11D2_8E70_0008C77C0743_.wvu.PrintArea" localSheetId="0" hidden="1">#REF!</definedName>
    <definedName name="Z_05DE23E4_1046_11D2_8E70_0008C77C0743_.wvu.PrintArea" hidden="1">#REF!</definedName>
    <definedName name="Z_05DE23E4_1046_11D2_8E70_0008C77C0743_.wvu.PrintTitles" localSheetId="0" hidden="1">#REF!</definedName>
    <definedName name="Z_05DE23E4_1046_11D2_8E70_0008C77C0743_.wvu.PrintTitles" hidden="1">#REF!</definedName>
    <definedName name="Z_05DE23E9_1046_11D2_8E70_0008C77C0743_.wvu.PrintArea" localSheetId="0" hidden="1">#REF!</definedName>
    <definedName name="Z_05DE23E9_1046_11D2_8E70_0008C77C0743_.wvu.PrintArea" hidden="1">#REF!</definedName>
    <definedName name="Z_05DE23E9_1046_11D2_8E70_0008C77C0743_.wvu.PrintTitles" localSheetId="0" hidden="1">#REF!,#REF!</definedName>
    <definedName name="Z_05DE23E9_1046_11D2_8E70_0008C77C0743_.wvu.PrintTitles" hidden="1">#REF!,#REF!</definedName>
    <definedName name="Z_05DE23EB_1046_11D2_8E70_0008C77C0743_.wvu.PrintArea" localSheetId="0" hidden="1">#REF!</definedName>
    <definedName name="Z_05DE23EB_1046_11D2_8E70_0008C77C0743_.wvu.PrintArea" hidden="1">#REF!</definedName>
    <definedName name="Z_05DE23EB_1046_11D2_8E70_0008C77C0743_.wvu.PrintTitles" localSheetId="0" hidden="1">#REF!,#REF!</definedName>
    <definedName name="Z_05DE23EB_1046_11D2_8E70_0008C77C0743_.wvu.PrintTitles" hidden="1">#REF!,#REF!</definedName>
    <definedName name="Z_05DE23EE_1046_11D2_8E70_0008C77C0743_.wvu.PrintArea" localSheetId="0" hidden="1">#REF!</definedName>
    <definedName name="Z_05DE23EE_1046_11D2_8E70_0008C77C0743_.wvu.PrintArea" hidden="1">#REF!</definedName>
    <definedName name="Z_05DE23EE_1046_11D2_8E70_0008C77C0743_.wvu.PrintTitles" localSheetId="0" hidden="1">#REF!</definedName>
    <definedName name="Z_05DE23EE_1046_11D2_8E70_0008C77C0743_.wvu.PrintTitles" hidden="1">#REF!</definedName>
    <definedName name="Z_05DE23F3_1046_11D2_8E70_0008C77C0743_.wvu.PrintArea" localSheetId="0" hidden="1">#REF!</definedName>
    <definedName name="Z_05DE23F3_1046_11D2_8E70_0008C77C0743_.wvu.PrintArea" hidden="1">#REF!</definedName>
    <definedName name="Z_05DE23F3_1046_11D2_8E70_0008C77C0743_.wvu.PrintTitles" localSheetId="0" hidden="1">#REF!,#REF!</definedName>
    <definedName name="Z_05DE23F3_1046_11D2_8E70_0008C77C0743_.wvu.PrintTitles" hidden="1">#REF!,#REF!</definedName>
    <definedName name="Z_05DE23F6_1046_11D2_8E70_0008C77C0743_.wvu.PrintArea" localSheetId="0" hidden="1">#REF!</definedName>
    <definedName name="Z_05DE23F6_1046_11D2_8E70_0008C77C0743_.wvu.PrintArea" hidden="1">#REF!</definedName>
    <definedName name="Z_05DE23F6_1046_11D2_8E70_0008C77C0743_.wvu.PrintTitles" localSheetId="0" hidden="1">#REF!,#REF!</definedName>
    <definedName name="Z_05DE23F6_1046_11D2_8E70_0008C77C0743_.wvu.PrintTitles" hidden="1">#REF!,#REF!</definedName>
    <definedName name="Z_0CE6A482_5DEF_11D2_8EC3_0008C77C0743_.wvu.PrintArea" localSheetId="0" hidden="1">#REF!</definedName>
    <definedName name="Z_0CE6A482_5DEF_11D2_8EC3_0008C77C0743_.wvu.PrintArea" hidden="1">#REF!</definedName>
    <definedName name="Z_0CE6A482_5DEF_11D2_8EC3_0008C77C0743_.wvu.PrintTitles" localSheetId="0" hidden="1">#REF!</definedName>
    <definedName name="Z_0CE6A482_5DEF_11D2_8EC3_0008C77C0743_.wvu.PrintTitles" hidden="1">#REF!</definedName>
    <definedName name="Z_0CE6A491_5DEF_11D2_8EC3_0008C77C0743_.wvu.PrintArea" localSheetId="0" hidden="1">#REF!</definedName>
    <definedName name="Z_0CE6A491_5DEF_11D2_8EC3_0008C77C0743_.wvu.PrintArea" hidden="1">#REF!</definedName>
    <definedName name="Z_0CE6A491_5DEF_11D2_8EC3_0008C77C0743_.wvu.PrintTitles" localSheetId="0" hidden="1">#REF!</definedName>
    <definedName name="Z_0CE6A491_5DEF_11D2_8EC3_0008C77C0743_.wvu.PrintTitles" hidden="1">#REF!</definedName>
    <definedName name="Z_0CE6A49E_5DEF_11D2_8EC3_0008C77C0743_.wvu.PrintArea" localSheetId="0" hidden="1">#REF!</definedName>
    <definedName name="Z_0CE6A49E_5DEF_11D2_8EC3_0008C77C0743_.wvu.PrintArea" hidden="1">#REF!</definedName>
    <definedName name="Z_0CE6A49E_5DEF_11D2_8EC3_0008C77C0743_.wvu.PrintTitles" localSheetId="0" hidden="1">#REF!,#REF!</definedName>
    <definedName name="Z_0CE6A49E_5DEF_11D2_8EC3_0008C77C0743_.wvu.PrintTitles" hidden="1">#REF!,#REF!</definedName>
    <definedName name="Z_0CE6A4AB_5DEF_11D2_8EC3_0008C77C0743_.wvu.PrintArea" localSheetId="0" hidden="1">#REF!</definedName>
    <definedName name="Z_0CE6A4AB_5DEF_11D2_8EC3_0008C77C0743_.wvu.PrintArea" hidden="1">#REF!</definedName>
    <definedName name="Z_0CE6A4AB_5DEF_11D2_8EC3_0008C77C0743_.wvu.PrintTitles" localSheetId="0" hidden="1">#REF!</definedName>
    <definedName name="Z_0CE6A4AB_5DEF_11D2_8EC3_0008C77C0743_.wvu.PrintTitles" hidden="1">#REF!</definedName>
    <definedName name="Z_0CE6A4BA_5DEF_11D2_8EC3_0008C77C0743_.wvu.PrintArea" localSheetId="0" hidden="1">#REF!</definedName>
    <definedName name="Z_0CE6A4BA_5DEF_11D2_8EC3_0008C77C0743_.wvu.PrintArea" hidden="1">#REF!</definedName>
    <definedName name="Z_0CE6A4BA_5DEF_11D2_8EC3_0008C77C0743_.wvu.PrintTitles" localSheetId="0" hidden="1">#REF!</definedName>
    <definedName name="Z_0CE6A4BA_5DEF_11D2_8EC3_0008C77C0743_.wvu.PrintTitles" hidden="1">#REF!</definedName>
    <definedName name="Z_0CE6A4C7_5DEF_11D2_8EC3_0008C77C0743_.wvu.PrintArea" localSheetId="0" hidden="1">#REF!</definedName>
    <definedName name="Z_0CE6A4C7_5DEF_11D2_8EC3_0008C77C0743_.wvu.PrintArea" hidden="1">#REF!</definedName>
    <definedName name="Z_0CE6A4C7_5DEF_11D2_8EC3_0008C77C0743_.wvu.PrintTitles" localSheetId="0" hidden="1">#REF!,#REF!</definedName>
    <definedName name="Z_0CE6A4C7_5DEF_11D2_8EC3_0008C77C0743_.wvu.PrintTitles" hidden="1">#REF!,#REF!</definedName>
    <definedName name="Z_0CE6A4D4_5DEF_11D2_8EC3_0008C77C0743_.wvu.PrintArea" localSheetId="0" hidden="1">#REF!</definedName>
    <definedName name="Z_0CE6A4D4_5DEF_11D2_8EC3_0008C77C0743_.wvu.PrintArea" hidden="1">#REF!</definedName>
    <definedName name="Z_0CE6A4D4_5DEF_11D2_8EC3_0008C77C0743_.wvu.PrintTitles" localSheetId="0" hidden="1">#REF!</definedName>
    <definedName name="Z_0CE6A4D4_5DEF_11D2_8EC3_0008C77C0743_.wvu.PrintTitles" hidden="1">#REF!</definedName>
    <definedName name="Z_0CE6A4E3_5DEF_11D2_8EC3_0008C77C0743_.wvu.PrintArea" localSheetId="0" hidden="1">#REF!</definedName>
    <definedName name="Z_0CE6A4E3_5DEF_11D2_8EC3_0008C77C0743_.wvu.PrintArea" hidden="1">#REF!</definedName>
    <definedName name="Z_0CE6A4E3_5DEF_11D2_8EC3_0008C77C0743_.wvu.PrintTitles" localSheetId="0" hidden="1">#REF!</definedName>
    <definedName name="Z_0CE6A4E3_5DEF_11D2_8EC3_0008C77C0743_.wvu.PrintTitles" hidden="1">#REF!</definedName>
    <definedName name="Z_0CE6A4F0_5DEF_11D2_8EC3_0008C77C0743_.wvu.PrintArea" localSheetId="0" hidden="1">#REF!</definedName>
    <definedName name="Z_0CE6A4F0_5DEF_11D2_8EC3_0008C77C0743_.wvu.PrintArea" hidden="1">#REF!</definedName>
    <definedName name="Z_0CE6A4F0_5DEF_11D2_8EC3_0008C77C0743_.wvu.PrintTitles" localSheetId="0" hidden="1">#REF!,#REF!</definedName>
    <definedName name="Z_0CE6A4F0_5DEF_11D2_8EC3_0008C77C0743_.wvu.PrintTitles" hidden="1">#REF!,#REF!</definedName>
    <definedName name="Z_0CE6A4FD_5DEF_11D2_8EC3_0008C77C0743_.wvu.PrintArea" localSheetId="0" hidden="1">#REF!</definedName>
    <definedName name="Z_0CE6A4FD_5DEF_11D2_8EC3_0008C77C0743_.wvu.PrintArea" hidden="1">#REF!</definedName>
    <definedName name="Z_0CE6A4FD_5DEF_11D2_8EC3_0008C77C0743_.wvu.PrintTitles" localSheetId="0" hidden="1">#REF!</definedName>
    <definedName name="Z_0CE6A4FD_5DEF_11D2_8EC3_0008C77C0743_.wvu.PrintTitles" hidden="1">#REF!</definedName>
    <definedName name="Z_0CE6A50C_5DEF_11D2_8EC3_0008C77C0743_.wvu.PrintArea" localSheetId="0" hidden="1">#REF!</definedName>
    <definedName name="Z_0CE6A50C_5DEF_11D2_8EC3_0008C77C0743_.wvu.PrintArea" hidden="1">#REF!</definedName>
    <definedName name="Z_0CE6A50C_5DEF_11D2_8EC3_0008C77C0743_.wvu.PrintTitles" localSheetId="0" hidden="1">#REF!</definedName>
    <definedName name="Z_0CE6A50C_5DEF_11D2_8EC3_0008C77C0743_.wvu.PrintTitles" hidden="1">#REF!</definedName>
    <definedName name="Z_0CE6A519_5DEF_11D2_8EC3_0008C77C0743_.wvu.PrintArea" localSheetId="0" hidden="1">#REF!</definedName>
    <definedName name="Z_0CE6A519_5DEF_11D2_8EC3_0008C77C0743_.wvu.PrintArea" hidden="1">#REF!</definedName>
    <definedName name="Z_0CE6A519_5DEF_11D2_8EC3_0008C77C0743_.wvu.PrintTitles" localSheetId="0" hidden="1">#REF!,#REF!</definedName>
    <definedName name="Z_0CE6A519_5DEF_11D2_8EC3_0008C77C0743_.wvu.PrintTitles" hidden="1">#REF!,#REF!</definedName>
    <definedName name="Z_0E8DEF60_5D61_11D2_8EEB_0008C7BCAF29_.wvu.PrintArea" localSheetId="0" hidden="1">#REF!</definedName>
    <definedName name="Z_0E8DEF60_5D61_11D2_8EEB_0008C7BCAF29_.wvu.PrintArea" hidden="1">#REF!</definedName>
    <definedName name="Z_0E8DEF60_5D61_11D2_8EEB_0008C7BCAF29_.wvu.PrintTitles" localSheetId="0" hidden="1">#REF!,#REF!</definedName>
    <definedName name="Z_0E8DEF60_5D61_11D2_8EEB_0008C7BCAF29_.wvu.PrintTitles" hidden="1">#REF!,#REF!</definedName>
    <definedName name="Z_0E8DEF63_5D61_11D2_8EEB_0008C7BCAF29_.wvu.PrintArea" localSheetId="0" hidden="1">#REF!</definedName>
    <definedName name="Z_0E8DEF63_5D61_11D2_8EEB_0008C7BCAF29_.wvu.PrintArea" hidden="1">#REF!</definedName>
    <definedName name="Z_0E8DEF63_5D61_11D2_8EEB_0008C7BCAF29_.wvu.PrintTitles" localSheetId="0" hidden="1">#REF!</definedName>
    <definedName name="Z_0E8DEF63_5D61_11D2_8EEB_0008C7BCAF29_.wvu.PrintTitles" hidden="1">#REF!</definedName>
    <definedName name="Z_0E8DEF68_5D61_11D2_8EEB_0008C7BCAF29_.wvu.PrintArea" localSheetId="0" hidden="1">#REF!</definedName>
    <definedName name="Z_0E8DEF68_5D61_11D2_8EEB_0008C7BCAF29_.wvu.PrintArea" hidden="1">#REF!</definedName>
    <definedName name="Z_0E8DEF68_5D61_11D2_8EEB_0008C7BCAF29_.wvu.PrintTitles" localSheetId="0" hidden="1">#REF!,#REF!</definedName>
    <definedName name="Z_0E8DEF68_5D61_11D2_8EEB_0008C7BCAF29_.wvu.PrintTitles" hidden="1">#REF!,#REF!</definedName>
    <definedName name="Z_0E8DEF6A_5D61_11D2_8EEB_0008C7BCAF29_.wvu.PrintArea" localSheetId="0" hidden="1">#REF!</definedName>
    <definedName name="Z_0E8DEF6A_5D61_11D2_8EEB_0008C7BCAF29_.wvu.PrintArea" hidden="1">#REF!</definedName>
    <definedName name="Z_0E8DEF6A_5D61_11D2_8EEB_0008C7BCAF29_.wvu.PrintTitles" localSheetId="0" hidden="1">#REF!,#REF!</definedName>
    <definedName name="Z_0E8DEF6A_5D61_11D2_8EEB_0008C7BCAF29_.wvu.PrintTitles" hidden="1">#REF!,#REF!</definedName>
    <definedName name="Z_0E8DEF6D_5D61_11D2_8EEB_0008C7BCAF29_.wvu.PrintArea" localSheetId="0" hidden="1">#REF!</definedName>
    <definedName name="Z_0E8DEF6D_5D61_11D2_8EEB_0008C7BCAF29_.wvu.PrintArea" hidden="1">#REF!</definedName>
    <definedName name="Z_0E8DEF6D_5D61_11D2_8EEB_0008C7BCAF29_.wvu.PrintTitles" localSheetId="0" hidden="1">#REF!</definedName>
    <definedName name="Z_0E8DEF6D_5D61_11D2_8EEB_0008C7BCAF29_.wvu.PrintTitles" hidden="1">#REF!</definedName>
    <definedName name="Z_0E8DEF72_5D61_11D2_8EEB_0008C7BCAF29_.wvu.PrintArea" localSheetId="0" hidden="1">#REF!</definedName>
    <definedName name="Z_0E8DEF72_5D61_11D2_8EEB_0008C7BCAF29_.wvu.PrintArea" hidden="1">#REF!</definedName>
    <definedName name="Z_0E8DEF72_5D61_11D2_8EEB_0008C7BCAF29_.wvu.PrintTitles" localSheetId="0" hidden="1">#REF!,#REF!</definedName>
    <definedName name="Z_0E8DEF72_5D61_11D2_8EEB_0008C7BCAF29_.wvu.PrintTitles" hidden="1">#REF!,#REF!</definedName>
    <definedName name="Z_0E8DEF75_5D61_11D2_8EEB_0008C7BCAF29_.wvu.PrintArea" localSheetId="0" hidden="1">#REF!</definedName>
    <definedName name="Z_0E8DEF75_5D61_11D2_8EEB_0008C7BCAF29_.wvu.PrintArea" hidden="1">#REF!</definedName>
    <definedName name="Z_0E8DEF75_5D61_11D2_8EEB_0008C7BCAF29_.wvu.PrintTitles" localSheetId="0" hidden="1">#REF!,#REF!</definedName>
    <definedName name="Z_0E8DEF75_5D61_11D2_8EEB_0008C7BCAF29_.wvu.PrintTitles" hidden="1">#REF!,#REF!</definedName>
    <definedName name="Z_179EFDC8_A1B1_11D3_8FA9_0008C7809E09_.wvu.PrintArea" localSheetId="0" hidden="1">#REF!</definedName>
    <definedName name="Z_179EFDC8_A1B1_11D3_8FA9_0008C7809E09_.wvu.PrintArea" hidden="1">#REF!</definedName>
    <definedName name="Z_179EFDC8_A1B1_11D3_8FA9_0008C7809E09_.wvu.PrintTitles" localSheetId="0" hidden="1">#REF!,#REF!</definedName>
    <definedName name="Z_179EFDC8_A1B1_11D3_8FA9_0008C7809E09_.wvu.PrintTitles" hidden="1">#REF!,#REF!</definedName>
    <definedName name="Z_179EFDC9_A1B1_11D3_8FA9_0008C7809E09_.wvu.PrintArea" localSheetId="0" hidden="1">#REF!</definedName>
    <definedName name="Z_179EFDC9_A1B1_11D3_8FA9_0008C7809E09_.wvu.PrintArea" hidden="1">#REF!</definedName>
    <definedName name="Z_179EFDC9_A1B1_11D3_8FA9_0008C7809E09_.wvu.PrintTitles" localSheetId="0" hidden="1">#REF!,#REF!</definedName>
    <definedName name="Z_179EFDC9_A1B1_11D3_8FA9_0008C7809E09_.wvu.PrintTitles" hidden="1">#REF!,#REF!</definedName>
    <definedName name="Z_179EFDCA_A1B1_11D3_8FA9_0008C7809E09_.wvu.PrintArea" localSheetId="0" hidden="1">#REF!</definedName>
    <definedName name="Z_179EFDCA_A1B1_11D3_8FA9_0008C7809E09_.wvu.PrintArea" hidden="1">#REF!</definedName>
    <definedName name="Z_179EFDCA_A1B1_11D3_8FA9_0008C7809E09_.wvu.PrintTitles" localSheetId="0" hidden="1">#REF!,#REF!</definedName>
    <definedName name="Z_179EFDCA_A1B1_11D3_8FA9_0008C7809E09_.wvu.PrintTitles" hidden="1">#REF!,#REF!</definedName>
    <definedName name="Z_179EFDCB_A1B1_11D3_8FA9_0008C7809E09_.wvu.PrintArea" localSheetId="0" hidden="1">#REF!</definedName>
    <definedName name="Z_179EFDCB_A1B1_11D3_8FA9_0008C7809E09_.wvu.PrintArea" hidden="1">#REF!</definedName>
    <definedName name="Z_179EFDCB_A1B1_11D3_8FA9_0008C7809E09_.wvu.PrintTitles" localSheetId="0" hidden="1">#REF!,#REF!</definedName>
    <definedName name="Z_179EFDCB_A1B1_11D3_8FA9_0008C7809E09_.wvu.PrintTitles" hidden="1">#REF!,#REF!</definedName>
    <definedName name="Z_179EFDCC_A1B1_11D3_8FA9_0008C7809E09_.wvu.PrintArea" localSheetId="0" hidden="1">#REF!</definedName>
    <definedName name="Z_179EFDCC_A1B1_11D3_8FA9_0008C7809E09_.wvu.PrintArea" hidden="1">#REF!</definedName>
    <definedName name="Z_179EFDCC_A1B1_11D3_8FA9_0008C7809E09_.wvu.PrintTitles" localSheetId="0" hidden="1">#REF!,#REF!</definedName>
    <definedName name="Z_179EFDCC_A1B1_11D3_8FA9_0008C7809E09_.wvu.PrintTitles" hidden="1">#REF!,#REF!</definedName>
    <definedName name="Z_179EFDCD_A1B1_11D3_8FA9_0008C7809E09_.wvu.PrintArea" localSheetId="0" hidden="1">#REF!</definedName>
    <definedName name="Z_179EFDCD_A1B1_11D3_8FA9_0008C7809E09_.wvu.PrintArea" hidden="1">#REF!</definedName>
    <definedName name="Z_179EFDCD_A1B1_11D3_8FA9_0008C7809E09_.wvu.PrintTitles" localSheetId="0" hidden="1">#REF!,#REF!</definedName>
    <definedName name="Z_179EFDCD_A1B1_11D3_8FA9_0008C7809E09_.wvu.PrintTitles" hidden="1">#REF!,#REF!</definedName>
    <definedName name="Z_179EFDCE_A1B1_11D3_8FA9_0008C7809E09_.wvu.PrintArea" localSheetId="0" hidden="1">#REF!</definedName>
    <definedName name="Z_179EFDCE_A1B1_11D3_8FA9_0008C7809E09_.wvu.PrintArea" hidden="1">#REF!</definedName>
    <definedName name="Z_179EFDCE_A1B1_11D3_8FA9_0008C7809E09_.wvu.PrintTitles" localSheetId="0" hidden="1">#REF!,#REF!</definedName>
    <definedName name="Z_179EFDCE_A1B1_11D3_8FA9_0008C7809E09_.wvu.PrintTitles" hidden="1">#REF!,#REF!</definedName>
    <definedName name="Z_179EFDCF_A1B1_11D3_8FA9_0008C7809E09_.wvu.PrintArea" localSheetId="0" hidden="1">#REF!</definedName>
    <definedName name="Z_179EFDCF_A1B1_11D3_8FA9_0008C7809E09_.wvu.PrintArea" hidden="1">#REF!</definedName>
    <definedName name="Z_179EFDCF_A1B1_11D3_8FA9_0008C7809E09_.wvu.PrintTitles" localSheetId="0" hidden="1">#REF!,#REF!</definedName>
    <definedName name="Z_179EFDCF_A1B1_11D3_8FA9_0008C7809E09_.wvu.PrintTitles" hidden="1">#REF!,#REF!</definedName>
    <definedName name="Z_179EFDD0_A1B1_11D3_8FA9_0008C7809E09_.wvu.PrintArea" localSheetId="0" hidden="1">#REF!</definedName>
    <definedName name="Z_179EFDD0_A1B1_11D3_8FA9_0008C7809E09_.wvu.PrintArea" hidden="1">#REF!</definedName>
    <definedName name="Z_179EFDD0_A1B1_11D3_8FA9_0008C7809E09_.wvu.PrintTitles" localSheetId="0" hidden="1">#REF!,#REF!</definedName>
    <definedName name="Z_179EFDD0_A1B1_11D3_8FA9_0008C7809E09_.wvu.PrintTitles" hidden="1">#REF!,#REF!</definedName>
    <definedName name="Z_179EFDD1_A1B1_11D3_8FA9_0008C7809E09_.wvu.PrintArea" localSheetId="0" hidden="1">#REF!</definedName>
    <definedName name="Z_179EFDD1_A1B1_11D3_8FA9_0008C7809E09_.wvu.PrintArea" hidden="1">#REF!</definedName>
    <definedName name="Z_179EFDD1_A1B1_11D3_8FA9_0008C7809E09_.wvu.PrintTitles" localSheetId="0" hidden="1">#REF!,#REF!</definedName>
    <definedName name="Z_179EFDD1_A1B1_11D3_8FA9_0008C7809E09_.wvu.PrintTitles" hidden="1">#REF!,#REF!</definedName>
    <definedName name="Z_179EFDD2_A1B1_11D3_8FA9_0008C7809E09_.wvu.PrintArea" localSheetId="0" hidden="1">#REF!</definedName>
    <definedName name="Z_179EFDD2_A1B1_11D3_8FA9_0008C7809E09_.wvu.PrintArea" hidden="1">#REF!</definedName>
    <definedName name="Z_179EFDD2_A1B1_11D3_8FA9_0008C7809E09_.wvu.PrintTitles" localSheetId="0" hidden="1">#REF!,#REF!</definedName>
    <definedName name="Z_179EFDD2_A1B1_11D3_8FA9_0008C7809E09_.wvu.PrintTitles" hidden="1">#REF!,#REF!</definedName>
    <definedName name="Z_179EFDD3_A1B1_11D3_8FA9_0008C7809E09_.wvu.PrintArea" localSheetId="0" hidden="1">#REF!</definedName>
    <definedName name="Z_179EFDD3_A1B1_11D3_8FA9_0008C7809E09_.wvu.PrintArea" hidden="1">#REF!</definedName>
    <definedName name="Z_179EFDD3_A1B1_11D3_8FA9_0008C7809E09_.wvu.PrintTitles" localSheetId="0" hidden="1">#REF!,#REF!</definedName>
    <definedName name="Z_179EFDD3_A1B1_11D3_8FA9_0008C7809E09_.wvu.PrintTitles" hidden="1">#REF!,#REF!</definedName>
    <definedName name="Z_179EFDD4_A1B1_11D3_8FA9_0008C7809E09_.wvu.PrintArea" localSheetId="0" hidden="1">#REF!</definedName>
    <definedName name="Z_179EFDD4_A1B1_11D3_8FA9_0008C7809E09_.wvu.PrintArea" hidden="1">#REF!</definedName>
    <definedName name="Z_179EFDD4_A1B1_11D3_8FA9_0008C7809E09_.wvu.PrintTitles" localSheetId="0" hidden="1">#REF!,#REF!</definedName>
    <definedName name="Z_179EFDD4_A1B1_11D3_8FA9_0008C7809E09_.wvu.PrintTitles" hidden="1">#REF!,#REF!</definedName>
    <definedName name="Z_179EFDD5_A1B1_11D3_8FA9_0008C7809E09_.wvu.PrintArea" localSheetId="0" hidden="1">#REF!</definedName>
    <definedName name="Z_179EFDD5_A1B1_11D3_8FA9_0008C7809E09_.wvu.PrintArea" hidden="1">#REF!</definedName>
    <definedName name="Z_179EFDD5_A1B1_11D3_8FA9_0008C7809E09_.wvu.PrintTitles" localSheetId="0" hidden="1">#REF!,#REF!</definedName>
    <definedName name="Z_179EFDD5_A1B1_11D3_8FA9_0008C7809E09_.wvu.PrintTitles" hidden="1">#REF!,#REF!</definedName>
    <definedName name="Z_179EFDD6_A1B1_11D3_8FA9_0008C7809E09_.wvu.PrintArea" localSheetId="0" hidden="1">#REF!</definedName>
    <definedName name="Z_179EFDD6_A1B1_11D3_8FA9_0008C7809E09_.wvu.PrintArea" hidden="1">#REF!</definedName>
    <definedName name="Z_179EFDD6_A1B1_11D3_8FA9_0008C7809E09_.wvu.PrintTitles" localSheetId="0" hidden="1">#REF!,#REF!</definedName>
    <definedName name="Z_179EFDD6_A1B1_11D3_8FA9_0008C7809E09_.wvu.PrintTitles" hidden="1">#REF!,#REF!</definedName>
    <definedName name="Z_179EFDD7_A1B1_11D3_8FA9_0008C7809E09_.wvu.PrintArea" localSheetId="0" hidden="1">#REF!</definedName>
    <definedName name="Z_179EFDD7_A1B1_11D3_8FA9_0008C7809E09_.wvu.PrintArea" hidden="1">#REF!</definedName>
    <definedName name="Z_179EFDD7_A1B1_11D3_8FA9_0008C7809E09_.wvu.PrintTitles" localSheetId="0" hidden="1">#REF!,#REF!</definedName>
    <definedName name="Z_179EFDD7_A1B1_11D3_8FA9_0008C7809E09_.wvu.PrintTitles" hidden="1">#REF!,#REF!</definedName>
    <definedName name="Z_179EFDD8_A1B1_11D3_8FA9_0008C7809E09_.wvu.PrintArea" localSheetId="0" hidden="1">#REF!</definedName>
    <definedName name="Z_179EFDD8_A1B1_11D3_8FA9_0008C7809E09_.wvu.PrintArea" hidden="1">#REF!</definedName>
    <definedName name="Z_179EFDD8_A1B1_11D3_8FA9_0008C7809E09_.wvu.PrintTitles" localSheetId="0" hidden="1">#REF!,#REF!</definedName>
    <definedName name="Z_179EFDD8_A1B1_11D3_8FA9_0008C7809E09_.wvu.PrintTitles" hidden="1">#REF!,#REF!</definedName>
    <definedName name="Z_179EFDD9_A1B1_11D3_8FA9_0008C7809E09_.wvu.PrintArea" localSheetId="0" hidden="1">#REF!</definedName>
    <definedName name="Z_179EFDD9_A1B1_11D3_8FA9_0008C7809E09_.wvu.PrintArea" hidden="1">#REF!</definedName>
    <definedName name="Z_179EFDD9_A1B1_11D3_8FA9_0008C7809E09_.wvu.PrintTitles" localSheetId="0" hidden="1">#REF!,#REF!</definedName>
    <definedName name="Z_179EFDD9_A1B1_11D3_8FA9_0008C7809E09_.wvu.PrintTitles" hidden="1">#REF!,#REF!</definedName>
    <definedName name="Z_179EFDDA_A1B1_11D3_8FA9_0008C7809E09_.wvu.PrintArea" localSheetId="0" hidden="1">#REF!</definedName>
    <definedName name="Z_179EFDDA_A1B1_11D3_8FA9_0008C7809E09_.wvu.PrintArea" hidden="1">#REF!</definedName>
    <definedName name="Z_179EFDDA_A1B1_11D3_8FA9_0008C7809E09_.wvu.PrintTitles" localSheetId="0" hidden="1">#REF!,#REF!</definedName>
    <definedName name="Z_179EFDDA_A1B1_11D3_8FA9_0008C7809E09_.wvu.PrintTitles" hidden="1">#REF!,#REF!</definedName>
    <definedName name="Z_179EFDDB_A1B1_11D3_8FA9_0008C7809E09_.wvu.PrintArea" localSheetId="0" hidden="1">#REF!</definedName>
    <definedName name="Z_179EFDDB_A1B1_11D3_8FA9_0008C7809E09_.wvu.PrintArea" hidden="1">#REF!</definedName>
    <definedName name="Z_179EFDDB_A1B1_11D3_8FA9_0008C7809E09_.wvu.PrintTitles" localSheetId="0" hidden="1">#REF!,#REF!</definedName>
    <definedName name="Z_179EFDDB_A1B1_11D3_8FA9_0008C7809E09_.wvu.PrintTitles" hidden="1">#REF!,#REF!</definedName>
    <definedName name="Z_179EFDDC_A1B1_11D3_8FA9_0008C7809E09_.wvu.PrintArea" localSheetId="0" hidden="1">#REF!</definedName>
    <definedName name="Z_179EFDDC_A1B1_11D3_8FA9_0008C7809E09_.wvu.PrintArea" hidden="1">#REF!</definedName>
    <definedName name="Z_179EFDDC_A1B1_11D3_8FA9_0008C7809E09_.wvu.PrintTitles" localSheetId="0" hidden="1">#REF!,#REF!</definedName>
    <definedName name="Z_179EFDDC_A1B1_11D3_8FA9_0008C7809E09_.wvu.PrintTitles" hidden="1">#REF!,#REF!</definedName>
    <definedName name="Z_179EFDDD_A1B1_11D3_8FA9_0008C7809E09_.wvu.PrintArea" localSheetId="0" hidden="1">#REF!</definedName>
    <definedName name="Z_179EFDDD_A1B1_11D3_8FA9_0008C7809E09_.wvu.PrintArea" hidden="1">#REF!</definedName>
    <definedName name="Z_179EFDDD_A1B1_11D3_8FA9_0008C7809E09_.wvu.PrintTitles" localSheetId="0" hidden="1">#REF!,#REF!</definedName>
    <definedName name="Z_179EFDDD_A1B1_11D3_8FA9_0008C7809E09_.wvu.PrintTitles" hidden="1">#REF!,#REF!</definedName>
    <definedName name="Z_179EFDDE_A1B1_11D3_8FA9_0008C7809E09_.wvu.PrintArea" localSheetId="0" hidden="1">#REF!</definedName>
    <definedName name="Z_179EFDDE_A1B1_11D3_8FA9_0008C7809E09_.wvu.PrintArea" hidden="1">#REF!</definedName>
    <definedName name="Z_179EFDDE_A1B1_11D3_8FA9_0008C7809E09_.wvu.PrintTitles" localSheetId="0" hidden="1">#REF!,#REF!</definedName>
    <definedName name="Z_179EFDDE_A1B1_11D3_8FA9_0008C7809E09_.wvu.PrintTitles" hidden="1">#REF!,#REF!</definedName>
    <definedName name="Z_179EFDDF_A1B1_11D3_8FA9_0008C7809E09_.wvu.PrintArea" localSheetId="0" hidden="1">#REF!</definedName>
    <definedName name="Z_179EFDDF_A1B1_11D3_8FA9_0008C7809E09_.wvu.PrintArea" hidden="1">#REF!</definedName>
    <definedName name="Z_179EFDDF_A1B1_11D3_8FA9_0008C7809E09_.wvu.PrintTitles" localSheetId="0" hidden="1">#REF!,#REF!</definedName>
    <definedName name="Z_179EFDDF_A1B1_11D3_8FA9_0008C7809E09_.wvu.PrintTitles" hidden="1">#REF!,#REF!</definedName>
    <definedName name="Z_179EFDE0_A1B1_11D3_8FA9_0008C7809E09_.wvu.PrintArea" localSheetId="0" hidden="1">#REF!</definedName>
    <definedName name="Z_179EFDE0_A1B1_11D3_8FA9_0008C7809E09_.wvu.PrintArea" hidden="1">#REF!</definedName>
    <definedName name="Z_179EFDE0_A1B1_11D3_8FA9_0008C7809E09_.wvu.PrintTitles" localSheetId="0" hidden="1">#REF!,#REF!</definedName>
    <definedName name="Z_179EFDE0_A1B1_11D3_8FA9_0008C7809E09_.wvu.PrintTitles" hidden="1">#REF!,#REF!</definedName>
    <definedName name="Z_179EFDE1_A1B1_11D3_8FA9_0008C7809E09_.wvu.PrintArea" localSheetId="0" hidden="1">#REF!</definedName>
    <definedName name="Z_179EFDE1_A1B1_11D3_8FA9_0008C7809E09_.wvu.PrintArea" hidden="1">#REF!</definedName>
    <definedName name="Z_179EFDE1_A1B1_11D3_8FA9_0008C7809E09_.wvu.PrintTitles" localSheetId="0" hidden="1">#REF!,#REF!</definedName>
    <definedName name="Z_179EFDE1_A1B1_11D3_8FA9_0008C7809E09_.wvu.PrintTitles" hidden="1">#REF!,#REF!</definedName>
    <definedName name="Z_179EFDE2_A1B1_11D3_8FA9_0008C7809E09_.wvu.PrintArea" localSheetId="0" hidden="1">#REF!</definedName>
    <definedName name="Z_179EFDE2_A1B1_11D3_8FA9_0008C7809E09_.wvu.PrintArea" hidden="1">#REF!</definedName>
    <definedName name="Z_179EFDE2_A1B1_11D3_8FA9_0008C7809E09_.wvu.PrintTitles" localSheetId="0" hidden="1">#REF!,#REF!</definedName>
    <definedName name="Z_179EFDE2_A1B1_11D3_8FA9_0008C7809E09_.wvu.PrintTitles" hidden="1">#REF!,#REF!</definedName>
    <definedName name="Z_179EFDE3_A1B1_11D3_8FA9_0008C7809E09_.wvu.PrintArea" localSheetId="0" hidden="1">#REF!</definedName>
    <definedName name="Z_179EFDE3_A1B1_11D3_8FA9_0008C7809E09_.wvu.PrintArea" hidden="1">#REF!</definedName>
    <definedName name="Z_179EFDE3_A1B1_11D3_8FA9_0008C7809E09_.wvu.PrintTitles" localSheetId="0" hidden="1">#REF!,#REF!</definedName>
    <definedName name="Z_179EFDE3_A1B1_11D3_8FA9_0008C7809E09_.wvu.PrintTitles" hidden="1">#REF!,#REF!</definedName>
    <definedName name="Z_179EFDE4_A1B1_11D3_8FA9_0008C7809E09_.wvu.PrintArea" localSheetId="0" hidden="1">#REF!</definedName>
    <definedName name="Z_179EFDE4_A1B1_11D3_8FA9_0008C7809E09_.wvu.PrintArea" hidden="1">#REF!</definedName>
    <definedName name="Z_179EFDE4_A1B1_11D3_8FA9_0008C7809E09_.wvu.PrintTitles" localSheetId="0" hidden="1">#REF!,#REF!</definedName>
    <definedName name="Z_179EFDE4_A1B1_11D3_8FA9_0008C7809E09_.wvu.PrintTitles" hidden="1">#REF!,#REF!</definedName>
    <definedName name="Z_179EFDE5_A1B1_11D3_8FA9_0008C7809E09_.wvu.PrintArea" localSheetId="0" hidden="1">#REF!</definedName>
    <definedName name="Z_179EFDE5_A1B1_11D3_8FA9_0008C7809E09_.wvu.PrintArea" hidden="1">#REF!</definedName>
    <definedName name="Z_179EFDE5_A1B1_11D3_8FA9_0008C7809E09_.wvu.PrintTitles" localSheetId="0" hidden="1">#REF!,#REF!</definedName>
    <definedName name="Z_179EFDE5_A1B1_11D3_8FA9_0008C7809E09_.wvu.PrintTitles" hidden="1">#REF!,#REF!</definedName>
    <definedName name="Z_179EFDE6_A1B1_11D3_8FA9_0008C7809E09_.wvu.PrintArea" localSheetId="0" hidden="1">#REF!</definedName>
    <definedName name="Z_179EFDE6_A1B1_11D3_8FA9_0008C7809E09_.wvu.PrintArea" hidden="1">#REF!</definedName>
    <definedName name="Z_179EFDE6_A1B1_11D3_8FA9_0008C7809E09_.wvu.PrintTitles" localSheetId="0" hidden="1">#REF!</definedName>
    <definedName name="Z_179EFDE6_A1B1_11D3_8FA9_0008C7809E09_.wvu.PrintTitles" hidden="1">#REF!</definedName>
    <definedName name="Z_179EFDE7_A1B1_11D3_8FA9_0008C7809E09_.wvu.PrintArea" localSheetId="0" hidden="1">#REF!</definedName>
    <definedName name="Z_179EFDE7_A1B1_11D3_8FA9_0008C7809E09_.wvu.PrintArea" hidden="1">#REF!</definedName>
    <definedName name="Z_179EFDE7_A1B1_11D3_8FA9_0008C7809E09_.wvu.PrintTitles" localSheetId="0" hidden="1">#REF!</definedName>
    <definedName name="Z_179EFDE7_A1B1_11D3_8FA9_0008C7809E09_.wvu.PrintTitles" hidden="1">#REF!</definedName>
    <definedName name="Z_179EFDE8_A1B1_11D3_8FA9_0008C7809E09_.wvu.PrintArea" localSheetId="0" hidden="1">#REF!</definedName>
    <definedName name="Z_179EFDE8_A1B1_11D3_8FA9_0008C7809E09_.wvu.PrintArea" hidden="1">#REF!</definedName>
    <definedName name="Z_179EFDE8_A1B1_11D3_8FA9_0008C7809E09_.wvu.PrintTitles" localSheetId="0" hidden="1">#REF!</definedName>
    <definedName name="Z_179EFDE8_A1B1_11D3_8FA9_0008C7809E09_.wvu.PrintTitles" hidden="1">#REF!</definedName>
    <definedName name="Z_179EFDE9_A1B1_11D3_8FA9_0008C7809E09_.wvu.PrintArea" localSheetId="0" hidden="1">#REF!</definedName>
    <definedName name="Z_179EFDE9_A1B1_11D3_8FA9_0008C7809E09_.wvu.PrintArea" hidden="1">#REF!</definedName>
    <definedName name="Z_179EFDE9_A1B1_11D3_8FA9_0008C7809E09_.wvu.PrintTitles" localSheetId="0" hidden="1">#REF!</definedName>
    <definedName name="Z_179EFDE9_A1B1_11D3_8FA9_0008C7809E09_.wvu.PrintTitles" hidden="1">#REF!</definedName>
    <definedName name="Z_179EFDEA_A1B1_11D3_8FA9_0008C7809E09_.wvu.PrintArea" localSheetId="0" hidden="1">#REF!</definedName>
    <definedName name="Z_179EFDEA_A1B1_11D3_8FA9_0008C7809E09_.wvu.PrintArea" hidden="1">#REF!</definedName>
    <definedName name="Z_179EFDEA_A1B1_11D3_8FA9_0008C7809E09_.wvu.PrintTitles" localSheetId="0" hidden="1">#REF!</definedName>
    <definedName name="Z_179EFDEA_A1B1_11D3_8FA9_0008C7809E09_.wvu.PrintTitles" hidden="1">#REF!</definedName>
    <definedName name="Z_179EFDEB_A1B1_11D3_8FA9_0008C7809E09_.wvu.PrintArea" localSheetId="0" hidden="1">#REF!</definedName>
    <definedName name="Z_179EFDEB_A1B1_11D3_8FA9_0008C7809E09_.wvu.PrintArea" hidden="1">#REF!</definedName>
    <definedName name="Z_179EFDEB_A1B1_11D3_8FA9_0008C7809E09_.wvu.PrintTitles" localSheetId="0" hidden="1">#REF!</definedName>
    <definedName name="Z_179EFDEB_A1B1_11D3_8FA9_0008C7809E09_.wvu.PrintTitles" hidden="1">#REF!</definedName>
    <definedName name="Z_179EFDEC_A1B1_11D3_8FA9_0008C7809E09_.wvu.PrintArea" localSheetId="0" hidden="1">#REF!</definedName>
    <definedName name="Z_179EFDEC_A1B1_11D3_8FA9_0008C7809E09_.wvu.PrintArea" hidden="1">#REF!</definedName>
    <definedName name="Z_179EFDEC_A1B1_11D3_8FA9_0008C7809E09_.wvu.PrintTitles" localSheetId="0" hidden="1">#REF!</definedName>
    <definedName name="Z_179EFDEC_A1B1_11D3_8FA9_0008C7809E09_.wvu.PrintTitles" hidden="1">#REF!</definedName>
    <definedName name="Z_179EFDED_A1B1_11D3_8FA9_0008C7809E09_.wvu.PrintArea" localSheetId="0" hidden="1">#REF!</definedName>
    <definedName name="Z_179EFDED_A1B1_11D3_8FA9_0008C7809E09_.wvu.PrintArea" hidden="1">#REF!</definedName>
    <definedName name="Z_179EFDED_A1B1_11D3_8FA9_0008C7809E09_.wvu.PrintTitles" localSheetId="0" hidden="1">#REF!</definedName>
    <definedName name="Z_179EFDED_A1B1_11D3_8FA9_0008C7809E09_.wvu.PrintTitles" hidden="1">#REF!</definedName>
    <definedName name="Z_179EFDEE_A1B1_11D3_8FA9_0008C7809E09_.wvu.PrintArea" localSheetId="0" hidden="1">#REF!</definedName>
    <definedName name="Z_179EFDEE_A1B1_11D3_8FA9_0008C7809E09_.wvu.PrintArea" hidden="1">#REF!</definedName>
    <definedName name="Z_179EFDEE_A1B1_11D3_8FA9_0008C7809E09_.wvu.PrintTitles" localSheetId="0" hidden="1">#REF!</definedName>
    <definedName name="Z_179EFDEE_A1B1_11D3_8FA9_0008C7809E09_.wvu.PrintTitles" hidden="1">#REF!</definedName>
    <definedName name="Z_179EFDEF_A1B1_11D3_8FA9_0008C7809E09_.wvu.PrintArea" localSheetId="0" hidden="1">#REF!</definedName>
    <definedName name="Z_179EFDEF_A1B1_11D3_8FA9_0008C7809E09_.wvu.PrintArea" hidden="1">#REF!</definedName>
    <definedName name="Z_179EFDEF_A1B1_11D3_8FA9_0008C7809E09_.wvu.PrintTitles" localSheetId="0" hidden="1">#REF!</definedName>
    <definedName name="Z_179EFDEF_A1B1_11D3_8FA9_0008C7809E09_.wvu.PrintTitles" hidden="1">#REF!</definedName>
    <definedName name="Z_179EFDF0_A1B1_11D3_8FA9_0008C7809E09_.wvu.PrintArea" localSheetId="0" hidden="1">#REF!</definedName>
    <definedName name="Z_179EFDF0_A1B1_11D3_8FA9_0008C7809E09_.wvu.PrintArea" hidden="1">#REF!</definedName>
    <definedName name="Z_179EFDF0_A1B1_11D3_8FA9_0008C7809E09_.wvu.PrintTitles" localSheetId="0" hidden="1">#REF!</definedName>
    <definedName name="Z_179EFDF0_A1B1_11D3_8FA9_0008C7809E09_.wvu.PrintTitles" hidden="1">#REF!</definedName>
    <definedName name="Z_179EFDF1_A1B1_11D3_8FA9_0008C7809E09_.wvu.PrintArea" localSheetId="0" hidden="1">#REF!</definedName>
    <definedName name="Z_179EFDF1_A1B1_11D3_8FA9_0008C7809E09_.wvu.PrintArea" hidden="1">#REF!</definedName>
    <definedName name="Z_179EFDF1_A1B1_11D3_8FA9_0008C7809E09_.wvu.PrintTitles" localSheetId="0" hidden="1">#REF!</definedName>
    <definedName name="Z_179EFDF1_A1B1_11D3_8FA9_0008C7809E09_.wvu.PrintTitles" hidden="1">#REF!</definedName>
    <definedName name="Z_179EFDF2_A1B1_11D3_8FA9_0008C7809E09_.wvu.PrintArea" localSheetId="0" hidden="1">#REF!</definedName>
    <definedName name="Z_179EFDF2_A1B1_11D3_8FA9_0008C7809E09_.wvu.PrintArea" hidden="1">#REF!</definedName>
    <definedName name="Z_179EFDF2_A1B1_11D3_8FA9_0008C7809E09_.wvu.PrintTitles" localSheetId="0" hidden="1">#REF!</definedName>
    <definedName name="Z_179EFDF2_A1B1_11D3_8FA9_0008C7809E09_.wvu.PrintTitles" hidden="1">#REF!</definedName>
    <definedName name="Z_179EFDF3_A1B1_11D3_8FA9_0008C7809E09_.wvu.PrintArea" localSheetId="0" hidden="1">#REF!</definedName>
    <definedName name="Z_179EFDF3_A1B1_11D3_8FA9_0008C7809E09_.wvu.PrintArea" hidden="1">#REF!</definedName>
    <definedName name="Z_179EFDF3_A1B1_11D3_8FA9_0008C7809E09_.wvu.PrintTitles" localSheetId="0" hidden="1">#REF!,#REF!</definedName>
    <definedName name="Z_179EFDF3_A1B1_11D3_8FA9_0008C7809E09_.wvu.PrintTitles" hidden="1">#REF!,#REF!</definedName>
    <definedName name="Z_179EFDF4_A1B1_11D3_8FA9_0008C7809E09_.wvu.PrintArea" localSheetId="0" hidden="1">#REF!</definedName>
    <definedName name="Z_179EFDF4_A1B1_11D3_8FA9_0008C7809E09_.wvu.PrintArea" hidden="1">#REF!</definedName>
    <definedName name="Z_179EFDF4_A1B1_11D3_8FA9_0008C7809E09_.wvu.PrintTitles" localSheetId="0" hidden="1">#REF!,#REF!</definedName>
    <definedName name="Z_179EFDF4_A1B1_11D3_8FA9_0008C7809E09_.wvu.PrintTitles" hidden="1">#REF!,#REF!</definedName>
    <definedName name="Z_179EFDF5_A1B1_11D3_8FA9_0008C7809E09_.wvu.PrintArea" localSheetId="0" hidden="1">#REF!</definedName>
    <definedName name="Z_179EFDF5_A1B1_11D3_8FA9_0008C7809E09_.wvu.PrintArea" hidden="1">#REF!</definedName>
    <definedName name="Z_179EFDF5_A1B1_11D3_8FA9_0008C7809E09_.wvu.PrintTitles" localSheetId="0" hidden="1">#REF!,#REF!</definedName>
    <definedName name="Z_179EFDF5_A1B1_11D3_8FA9_0008C7809E09_.wvu.PrintTitles" hidden="1">#REF!,#REF!</definedName>
    <definedName name="Z_179EFDF6_A1B1_11D3_8FA9_0008C7809E09_.wvu.PrintArea" localSheetId="0" hidden="1">#REF!</definedName>
    <definedName name="Z_179EFDF6_A1B1_11D3_8FA9_0008C7809E09_.wvu.PrintArea" hidden="1">#REF!</definedName>
    <definedName name="Z_179EFDF6_A1B1_11D3_8FA9_0008C7809E09_.wvu.PrintTitles" localSheetId="0" hidden="1">#REF!,#REF!</definedName>
    <definedName name="Z_179EFDF6_A1B1_11D3_8FA9_0008C7809E09_.wvu.PrintTitles" hidden="1">#REF!,#REF!</definedName>
    <definedName name="Z_179EFDF7_A1B1_11D3_8FA9_0008C7809E09_.wvu.PrintArea" localSheetId="0" hidden="1">#REF!</definedName>
    <definedName name="Z_179EFDF7_A1B1_11D3_8FA9_0008C7809E09_.wvu.PrintArea" hidden="1">#REF!</definedName>
    <definedName name="Z_179EFDF7_A1B1_11D3_8FA9_0008C7809E09_.wvu.PrintTitles" localSheetId="0" hidden="1">#REF!,#REF!</definedName>
    <definedName name="Z_179EFDF7_A1B1_11D3_8FA9_0008C7809E09_.wvu.PrintTitles" hidden="1">#REF!,#REF!</definedName>
    <definedName name="Z_179EFDF8_A1B1_11D3_8FA9_0008C7809E09_.wvu.PrintArea" localSheetId="0" hidden="1">#REF!</definedName>
    <definedName name="Z_179EFDF8_A1B1_11D3_8FA9_0008C7809E09_.wvu.PrintArea" hidden="1">#REF!</definedName>
    <definedName name="Z_179EFDF8_A1B1_11D3_8FA9_0008C7809E09_.wvu.PrintTitles" localSheetId="0" hidden="1">#REF!,#REF!</definedName>
    <definedName name="Z_179EFDF8_A1B1_11D3_8FA9_0008C7809E09_.wvu.PrintTitles" hidden="1">#REF!,#REF!</definedName>
    <definedName name="Z_179EFDF9_A1B1_11D3_8FA9_0008C7809E09_.wvu.PrintArea" localSheetId="0" hidden="1">#REF!</definedName>
    <definedName name="Z_179EFDF9_A1B1_11D3_8FA9_0008C7809E09_.wvu.PrintArea" hidden="1">#REF!</definedName>
    <definedName name="Z_179EFDF9_A1B1_11D3_8FA9_0008C7809E09_.wvu.PrintTitles" localSheetId="0" hidden="1">#REF!,#REF!</definedName>
    <definedName name="Z_179EFDF9_A1B1_11D3_8FA9_0008C7809E09_.wvu.PrintTitles" hidden="1">#REF!,#REF!</definedName>
    <definedName name="Z_179EFDFA_A1B1_11D3_8FA9_0008C7809E09_.wvu.PrintArea" localSheetId="0" hidden="1">#REF!</definedName>
    <definedName name="Z_179EFDFA_A1B1_11D3_8FA9_0008C7809E09_.wvu.PrintArea" hidden="1">#REF!</definedName>
    <definedName name="Z_179EFDFA_A1B1_11D3_8FA9_0008C7809E09_.wvu.PrintTitles" localSheetId="0" hidden="1">#REF!,#REF!</definedName>
    <definedName name="Z_179EFDFA_A1B1_11D3_8FA9_0008C7809E09_.wvu.PrintTitles" hidden="1">#REF!,#REF!</definedName>
    <definedName name="Z_179EFDFB_A1B1_11D3_8FA9_0008C7809E09_.wvu.PrintArea" localSheetId="0" hidden="1">#REF!</definedName>
    <definedName name="Z_179EFDFB_A1B1_11D3_8FA9_0008C7809E09_.wvu.PrintArea" hidden="1">#REF!</definedName>
    <definedName name="Z_179EFDFB_A1B1_11D3_8FA9_0008C7809E09_.wvu.PrintTitles" localSheetId="0" hidden="1">#REF!,#REF!</definedName>
    <definedName name="Z_179EFDFB_A1B1_11D3_8FA9_0008C7809E09_.wvu.PrintTitles" hidden="1">#REF!,#REF!</definedName>
    <definedName name="Z_179EFDFC_A1B1_11D3_8FA9_0008C7809E09_.wvu.PrintArea" localSheetId="0" hidden="1">#REF!</definedName>
    <definedName name="Z_179EFDFC_A1B1_11D3_8FA9_0008C7809E09_.wvu.PrintArea" hidden="1">#REF!</definedName>
    <definedName name="Z_179EFDFC_A1B1_11D3_8FA9_0008C7809E09_.wvu.PrintTitles" localSheetId="0" hidden="1">#REF!,#REF!</definedName>
    <definedName name="Z_179EFDFC_A1B1_11D3_8FA9_0008C7809E09_.wvu.PrintTitles" hidden="1">#REF!,#REF!</definedName>
    <definedName name="Z_179EFDFD_A1B1_11D3_8FA9_0008C7809E09_.wvu.PrintArea" localSheetId="0" hidden="1">#REF!</definedName>
    <definedName name="Z_179EFDFD_A1B1_11D3_8FA9_0008C7809E09_.wvu.PrintArea" hidden="1">#REF!</definedName>
    <definedName name="Z_179EFDFD_A1B1_11D3_8FA9_0008C7809E09_.wvu.PrintTitles" localSheetId="0" hidden="1">#REF!,#REF!</definedName>
    <definedName name="Z_179EFDFD_A1B1_11D3_8FA9_0008C7809E09_.wvu.PrintTitles" hidden="1">#REF!,#REF!</definedName>
    <definedName name="Z_179EFDFE_A1B1_11D3_8FA9_0008C7809E09_.wvu.PrintArea" localSheetId="0" hidden="1">#REF!</definedName>
    <definedName name="Z_179EFDFE_A1B1_11D3_8FA9_0008C7809E09_.wvu.PrintArea" hidden="1">#REF!</definedName>
    <definedName name="Z_179EFDFE_A1B1_11D3_8FA9_0008C7809E09_.wvu.PrintTitles" localSheetId="0" hidden="1">#REF!,#REF!</definedName>
    <definedName name="Z_179EFDFE_A1B1_11D3_8FA9_0008C7809E09_.wvu.PrintTitles" hidden="1">#REF!,#REF!</definedName>
    <definedName name="Z_179EFDFF_A1B1_11D3_8FA9_0008C7809E09_.wvu.PrintArea" localSheetId="0" hidden="1">#REF!</definedName>
    <definedName name="Z_179EFDFF_A1B1_11D3_8FA9_0008C7809E09_.wvu.PrintArea" hidden="1">#REF!</definedName>
    <definedName name="Z_179EFDFF_A1B1_11D3_8FA9_0008C7809E09_.wvu.PrintTitles" localSheetId="0" hidden="1">#REF!,#REF!</definedName>
    <definedName name="Z_179EFDFF_A1B1_11D3_8FA9_0008C7809E09_.wvu.PrintTitles" hidden="1">#REF!,#REF!</definedName>
    <definedName name="Z_179EFE00_A1B1_11D3_8FA9_0008C7809E09_.wvu.PrintArea" localSheetId="0" hidden="1">#REF!</definedName>
    <definedName name="Z_179EFE00_A1B1_11D3_8FA9_0008C7809E09_.wvu.PrintArea" hidden="1">#REF!</definedName>
    <definedName name="Z_179EFE00_A1B1_11D3_8FA9_0008C7809E09_.wvu.PrintTitles" localSheetId="0" hidden="1">#REF!,#REF!</definedName>
    <definedName name="Z_179EFE00_A1B1_11D3_8FA9_0008C7809E09_.wvu.PrintTitles" hidden="1">#REF!,#REF!</definedName>
    <definedName name="Z_179EFE01_A1B1_11D3_8FA9_0008C7809E09_.wvu.PrintArea" localSheetId="0" hidden="1">#REF!</definedName>
    <definedName name="Z_179EFE01_A1B1_11D3_8FA9_0008C7809E09_.wvu.PrintArea" hidden="1">#REF!</definedName>
    <definedName name="Z_179EFE01_A1B1_11D3_8FA9_0008C7809E09_.wvu.PrintTitles" localSheetId="0" hidden="1">#REF!,#REF!</definedName>
    <definedName name="Z_179EFE01_A1B1_11D3_8FA9_0008C7809E09_.wvu.PrintTitles" hidden="1">#REF!,#REF!</definedName>
    <definedName name="Z_179EFE02_A1B1_11D3_8FA9_0008C7809E09_.wvu.PrintArea" localSheetId="0" hidden="1">#REF!</definedName>
    <definedName name="Z_179EFE02_A1B1_11D3_8FA9_0008C7809E09_.wvu.PrintArea" hidden="1">#REF!</definedName>
    <definedName name="Z_179EFE02_A1B1_11D3_8FA9_0008C7809E09_.wvu.PrintTitles" localSheetId="0" hidden="1">#REF!,#REF!</definedName>
    <definedName name="Z_179EFE02_A1B1_11D3_8FA9_0008C7809E09_.wvu.PrintTitles" hidden="1">#REF!,#REF!</definedName>
    <definedName name="Z_179EFE03_A1B1_11D3_8FA9_0008C7809E09_.wvu.PrintArea" localSheetId="0" hidden="1">#REF!</definedName>
    <definedName name="Z_179EFE03_A1B1_11D3_8FA9_0008C7809E09_.wvu.PrintArea" hidden="1">#REF!</definedName>
    <definedName name="Z_179EFE03_A1B1_11D3_8FA9_0008C7809E09_.wvu.PrintTitles" localSheetId="0" hidden="1">#REF!,#REF!</definedName>
    <definedName name="Z_179EFE03_A1B1_11D3_8FA9_0008C7809E09_.wvu.PrintTitles" hidden="1">#REF!,#REF!</definedName>
    <definedName name="Z_179EFE04_A1B1_11D3_8FA9_0008C7809E09_.wvu.PrintArea" localSheetId="0" hidden="1">#REF!</definedName>
    <definedName name="Z_179EFE04_A1B1_11D3_8FA9_0008C7809E09_.wvu.PrintArea" hidden="1">#REF!</definedName>
    <definedName name="Z_179EFE04_A1B1_11D3_8FA9_0008C7809E09_.wvu.PrintTitles" localSheetId="0" hidden="1">#REF!,#REF!</definedName>
    <definedName name="Z_179EFE04_A1B1_11D3_8FA9_0008C7809E09_.wvu.PrintTitles" hidden="1">#REF!,#REF!</definedName>
    <definedName name="Z_179EFE05_A1B1_11D3_8FA9_0008C7809E09_.wvu.PrintArea" localSheetId="0" hidden="1">#REF!</definedName>
    <definedName name="Z_179EFE05_A1B1_11D3_8FA9_0008C7809E09_.wvu.PrintArea" hidden="1">#REF!</definedName>
    <definedName name="Z_179EFE05_A1B1_11D3_8FA9_0008C7809E09_.wvu.PrintTitles" localSheetId="0" hidden="1">#REF!,#REF!</definedName>
    <definedName name="Z_179EFE05_A1B1_11D3_8FA9_0008C7809E09_.wvu.PrintTitles" hidden="1">#REF!,#REF!</definedName>
    <definedName name="Z_179EFE06_A1B1_11D3_8FA9_0008C7809E09_.wvu.PrintArea" localSheetId="0" hidden="1">#REF!</definedName>
    <definedName name="Z_179EFE06_A1B1_11D3_8FA9_0008C7809E09_.wvu.PrintArea" hidden="1">#REF!</definedName>
    <definedName name="Z_179EFE06_A1B1_11D3_8FA9_0008C7809E09_.wvu.PrintTitles" localSheetId="0" hidden="1">#REF!,#REF!</definedName>
    <definedName name="Z_179EFE06_A1B1_11D3_8FA9_0008C7809E09_.wvu.PrintTitles" hidden="1">#REF!,#REF!</definedName>
    <definedName name="Z_179EFE07_A1B1_11D3_8FA9_0008C7809E09_.wvu.PrintArea" localSheetId="0" hidden="1">#REF!</definedName>
    <definedName name="Z_179EFE07_A1B1_11D3_8FA9_0008C7809E09_.wvu.PrintArea" hidden="1">#REF!</definedName>
    <definedName name="Z_179EFE07_A1B1_11D3_8FA9_0008C7809E09_.wvu.PrintTitles" localSheetId="0" hidden="1">#REF!,#REF!</definedName>
    <definedName name="Z_179EFE07_A1B1_11D3_8FA9_0008C7809E09_.wvu.PrintTitles" hidden="1">#REF!,#REF!</definedName>
    <definedName name="Z_179EFE08_A1B1_11D3_8FA9_0008C7809E09_.wvu.PrintArea" localSheetId="0" hidden="1">#REF!</definedName>
    <definedName name="Z_179EFE08_A1B1_11D3_8FA9_0008C7809E09_.wvu.PrintArea" hidden="1">#REF!</definedName>
    <definedName name="Z_179EFE08_A1B1_11D3_8FA9_0008C7809E09_.wvu.PrintTitles" localSheetId="0" hidden="1">#REF!,#REF!</definedName>
    <definedName name="Z_179EFE08_A1B1_11D3_8FA9_0008C7809E09_.wvu.PrintTitles" hidden="1">#REF!,#REF!</definedName>
    <definedName name="Z_179EFE09_A1B1_11D3_8FA9_0008C7809E09_.wvu.PrintArea" localSheetId="0" hidden="1">#REF!</definedName>
    <definedName name="Z_179EFE09_A1B1_11D3_8FA9_0008C7809E09_.wvu.PrintArea" hidden="1">#REF!</definedName>
    <definedName name="Z_179EFE09_A1B1_11D3_8FA9_0008C7809E09_.wvu.PrintTitles" localSheetId="0" hidden="1">#REF!,#REF!</definedName>
    <definedName name="Z_179EFE09_A1B1_11D3_8FA9_0008C7809E09_.wvu.PrintTitles" hidden="1">#REF!,#REF!</definedName>
    <definedName name="Z_179EFE0A_A1B1_11D3_8FA9_0008C7809E09_.wvu.PrintArea" localSheetId="0" hidden="1">#REF!</definedName>
    <definedName name="Z_179EFE0A_A1B1_11D3_8FA9_0008C7809E09_.wvu.PrintArea" hidden="1">#REF!</definedName>
    <definedName name="Z_179EFE0A_A1B1_11D3_8FA9_0008C7809E09_.wvu.PrintTitles" localSheetId="0" hidden="1">#REF!,#REF!</definedName>
    <definedName name="Z_179EFE0A_A1B1_11D3_8FA9_0008C7809E09_.wvu.PrintTitles" hidden="1">#REF!,#REF!</definedName>
    <definedName name="Z_179EFE0B_A1B1_11D3_8FA9_0008C7809E09_.wvu.PrintArea" localSheetId="0" hidden="1">#REF!</definedName>
    <definedName name="Z_179EFE0B_A1B1_11D3_8FA9_0008C7809E09_.wvu.PrintArea" hidden="1">#REF!</definedName>
    <definedName name="Z_179EFE0B_A1B1_11D3_8FA9_0008C7809E09_.wvu.PrintTitles" localSheetId="0" hidden="1">#REF!,#REF!</definedName>
    <definedName name="Z_179EFE0B_A1B1_11D3_8FA9_0008C7809E09_.wvu.PrintTitles" hidden="1">#REF!,#REF!</definedName>
    <definedName name="Z_179EFE0C_A1B1_11D3_8FA9_0008C7809E09_.wvu.PrintArea" localSheetId="0" hidden="1">#REF!</definedName>
    <definedName name="Z_179EFE0C_A1B1_11D3_8FA9_0008C7809E09_.wvu.PrintArea" hidden="1">#REF!</definedName>
    <definedName name="Z_179EFE0C_A1B1_11D3_8FA9_0008C7809E09_.wvu.PrintTitles" localSheetId="0" hidden="1">#REF!,#REF!</definedName>
    <definedName name="Z_179EFE0C_A1B1_11D3_8FA9_0008C7809E09_.wvu.PrintTitles" hidden="1">#REF!,#REF!</definedName>
    <definedName name="Z_179EFE0D_A1B1_11D3_8FA9_0008C7809E09_.wvu.PrintArea" localSheetId="0" hidden="1">#REF!</definedName>
    <definedName name="Z_179EFE0D_A1B1_11D3_8FA9_0008C7809E09_.wvu.PrintArea" hidden="1">#REF!</definedName>
    <definedName name="Z_179EFE0D_A1B1_11D3_8FA9_0008C7809E09_.wvu.PrintTitles" localSheetId="0" hidden="1">#REF!,#REF!</definedName>
    <definedName name="Z_179EFE0D_A1B1_11D3_8FA9_0008C7809E09_.wvu.PrintTitles" hidden="1">#REF!,#REF!</definedName>
    <definedName name="Z_179EFE0E_A1B1_11D3_8FA9_0008C7809E09_.wvu.PrintArea" localSheetId="0" hidden="1">#REF!</definedName>
    <definedName name="Z_179EFE0E_A1B1_11D3_8FA9_0008C7809E09_.wvu.PrintArea" hidden="1">#REF!</definedName>
    <definedName name="Z_179EFE0E_A1B1_11D3_8FA9_0008C7809E09_.wvu.PrintTitles" localSheetId="0" hidden="1">#REF!,#REF!</definedName>
    <definedName name="Z_179EFE0E_A1B1_11D3_8FA9_0008C7809E09_.wvu.PrintTitles" hidden="1">#REF!,#REF!</definedName>
    <definedName name="Z_179EFE0F_A1B1_11D3_8FA9_0008C7809E09_.wvu.PrintArea" localSheetId="0" hidden="1">#REF!</definedName>
    <definedName name="Z_179EFE0F_A1B1_11D3_8FA9_0008C7809E09_.wvu.PrintArea" hidden="1">#REF!</definedName>
    <definedName name="Z_179EFE0F_A1B1_11D3_8FA9_0008C7809E09_.wvu.PrintTitles" localSheetId="0" hidden="1">#REF!,#REF!</definedName>
    <definedName name="Z_179EFE0F_A1B1_11D3_8FA9_0008C7809E09_.wvu.PrintTitles" hidden="1">#REF!,#REF!</definedName>
    <definedName name="Z_179EFE10_A1B1_11D3_8FA9_0008C7809E09_.wvu.PrintArea" localSheetId="0" hidden="1">#REF!</definedName>
    <definedName name="Z_179EFE10_A1B1_11D3_8FA9_0008C7809E09_.wvu.PrintArea" hidden="1">#REF!</definedName>
    <definedName name="Z_179EFE10_A1B1_11D3_8FA9_0008C7809E09_.wvu.PrintTitles" localSheetId="0" hidden="1">#REF!,#REF!</definedName>
    <definedName name="Z_179EFE10_A1B1_11D3_8FA9_0008C7809E09_.wvu.PrintTitles" hidden="1">#REF!,#REF!</definedName>
    <definedName name="Z_179EFE11_A1B1_11D3_8FA9_0008C7809E09_.wvu.PrintArea" localSheetId="0" hidden="1">#REF!</definedName>
    <definedName name="Z_179EFE11_A1B1_11D3_8FA9_0008C7809E09_.wvu.PrintArea" hidden="1">#REF!</definedName>
    <definedName name="Z_179EFE11_A1B1_11D3_8FA9_0008C7809E09_.wvu.PrintTitles" localSheetId="0" hidden="1">#REF!,#REF!</definedName>
    <definedName name="Z_179EFE11_A1B1_11D3_8FA9_0008C7809E09_.wvu.PrintTitles" hidden="1">#REF!,#REF!</definedName>
    <definedName name="Z_179EFE12_A1B1_11D3_8FA9_0008C7809E09_.wvu.PrintArea" localSheetId="0" hidden="1">#REF!</definedName>
    <definedName name="Z_179EFE12_A1B1_11D3_8FA9_0008C7809E09_.wvu.PrintArea" hidden="1">#REF!</definedName>
    <definedName name="Z_179EFE12_A1B1_11D3_8FA9_0008C7809E09_.wvu.PrintTitles" localSheetId="0" hidden="1">#REF!,#REF!</definedName>
    <definedName name="Z_179EFE12_A1B1_11D3_8FA9_0008C7809E09_.wvu.PrintTitles" hidden="1">#REF!,#REF!</definedName>
    <definedName name="Z_179EFE13_A1B1_11D3_8FA9_0008C7809E09_.wvu.PrintArea" localSheetId="0" hidden="1">#REF!</definedName>
    <definedName name="Z_179EFE13_A1B1_11D3_8FA9_0008C7809E09_.wvu.PrintArea" hidden="1">#REF!</definedName>
    <definedName name="Z_179EFE13_A1B1_11D3_8FA9_0008C7809E09_.wvu.PrintTitles" localSheetId="0" hidden="1">#REF!,#REF!</definedName>
    <definedName name="Z_179EFE13_A1B1_11D3_8FA9_0008C7809E09_.wvu.PrintTitles" hidden="1">#REF!,#REF!</definedName>
    <definedName name="Z_179EFE14_A1B1_11D3_8FA9_0008C7809E09_.wvu.PrintArea" localSheetId="0" hidden="1">#REF!</definedName>
    <definedName name="Z_179EFE14_A1B1_11D3_8FA9_0008C7809E09_.wvu.PrintArea" hidden="1">#REF!</definedName>
    <definedName name="Z_179EFE14_A1B1_11D3_8FA9_0008C7809E09_.wvu.PrintTitles" localSheetId="0" hidden="1">#REF!,#REF!</definedName>
    <definedName name="Z_179EFE14_A1B1_11D3_8FA9_0008C7809E09_.wvu.PrintTitles" hidden="1">#REF!,#REF!</definedName>
    <definedName name="Z_179EFE15_A1B1_11D3_8FA9_0008C7809E09_.wvu.PrintArea" localSheetId="0" hidden="1">#REF!</definedName>
    <definedName name="Z_179EFE15_A1B1_11D3_8FA9_0008C7809E09_.wvu.PrintArea" hidden="1">#REF!</definedName>
    <definedName name="Z_179EFE15_A1B1_11D3_8FA9_0008C7809E09_.wvu.PrintTitles" localSheetId="0" hidden="1">#REF!,#REF!</definedName>
    <definedName name="Z_179EFE15_A1B1_11D3_8FA9_0008C7809E09_.wvu.PrintTitles" hidden="1">#REF!,#REF!</definedName>
    <definedName name="Z_179EFE16_A1B1_11D3_8FA9_0008C7809E09_.wvu.PrintArea" localSheetId="0" hidden="1">#REF!</definedName>
    <definedName name="Z_179EFE16_A1B1_11D3_8FA9_0008C7809E09_.wvu.PrintArea" hidden="1">#REF!</definedName>
    <definedName name="Z_179EFE16_A1B1_11D3_8FA9_0008C7809E09_.wvu.PrintTitles" localSheetId="0" hidden="1">#REF!,#REF!</definedName>
    <definedName name="Z_179EFE16_A1B1_11D3_8FA9_0008C7809E09_.wvu.PrintTitles" hidden="1">#REF!,#REF!</definedName>
    <definedName name="Z_179EFE17_A1B1_11D3_8FA9_0008C7809E09_.wvu.PrintArea" localSheetId="0" hidden="1">#REF!</definedName>
    <definedName name="Z_179EFE17_A1B1_11D3_8FA9_0008C7809E09_.wvu.PrintArea" hidden="1">#REF!</definedName>
    <definedName name="Z_179EFE17_A1B1_11D3_8FA9_0008C7809E09_.wvu.PrintTitles" localSheetId="0" hidden="1">#REF!,#REF!</definedName>
    <definedName name="Z_179EFE17_A1B1_11D3_8FA9_0008C7809E09_.wvu.PrintTitles" hidden="1">#REF!,#REF!</definedName>
    <definedName name="Z_179EFE18_A1B1_11D3_8FA9_0008C7809E09_.wvu.PrintArea" localSheetId="0" hidden="1">#REF!</definedName>
    <definedName name="Z_179EFE18_A1B1_11D3_8FA9_0008C7809E09_.wvu.PrintArea" hidden="1">#REF!</definedName>
    <definedName name="Z_179EFE18_A1B1_11D3_8FA9_0008C7809E09_.wvu.PrintTitles" localSheetId="0" hidden="1">#REF!,#REF!</definedName>
    <definedName name="Z_179EFE18_A1B1_11D3_8FA9_0008C7809E09_.wvu.PrintTitles" hidden="1">#REF!,#REF!</definedName>
    <definedName name="Z_179EFE19_A1B1_11D3_8FA9_0008C7809E09_.wvu.PrintArea" localSheetId="0" hidden="1">#REF!</definedName>
    <definedName name="Z_179EFE19_A1B1_11D3_8FA9_0008C7809E09_.wvu.PrintArea" hidden="1">#REF!</definedName>
    <definedName name="Z_179EFE19_A1B1_11D3_8FA9_0008C7809E09_.wvu.PrintTitles" localSheetId="0" hidden="1">#REF!,#REF!</definedName>
    <definedName name="Z_179EFE19_A1B1_11D3_8FA9_0008C7809E09_.wvu.PrintTitles" hidden="1">#REF!,#REF!</definedName>
    <definedName name="Z_179EFE1A_A1B1_11D3_8FA9_0008C7809E09_.wvu.PrintArea" localSheetId="0" hidden="1">#REF!</definedName>
    <definedName name="Z_179EFE1A_A1B1_11D3_8FA9_0008C7809E09_.wvu.PrintArea" hidden="1">#REF!</definedName>
    <definedName name="Z_179EFE1A_A1B1_11D3_8FA9_0008C7809E09_.wvu.PrintTitles" localSheetId="0" hidden="1">#REF!,#REF!</definedName>
    <definedName name="Z_179EFE1A_A1B1_11D3_8FA9_0008C7809E09_.wvu.PrintTitles" hidden="1">#REF!,#REF!</definedName>
    <definedName name="Z_179EFE1B_A1B1_11D3_8FA9_0008C7809E09_.wvu.PrintArea" localSheetId="0" hidden="1">#REF!</definedName>
    <definedName name="Z_179EFE1B_A1B1_11D3_8FA9_0008C7809E09_.wvu.PrintArea" hidden="1">#REF!</definedName>
    <definedName name="Z_179EFE1B_A1B1_11D3_8FA9_0008C7809E09_.wvu.PrintTitles" localSheetId="0" hidden="1">#REF!,#REF!</definedName>
    <definedName name="Z_179EFE1B_A1B1_11D3_8FA9_0008C7809E09_.wvu.PrintTitles" hidden="1">#REF!,#REF!</definedName>
    <definedName name="Z_179EFE1C_A1B1_11D3_8FA9_0008C7809E09_.wvu.PrintArea" localSheetId="0" hidden="1">#REF!</definedName>
    <definedName name="Z_179EFE1C_A1B1_11D3_8FA9_0008C7809E09_.wvu.PrintArea" hidden="1">#REF!</definedName>
    <definedName name="Z_179EFE1C_A1B1_11D3_8FA9_0008C7809E09_.wvu.PrintTitles" localSheetId="0" hidden="1">#REF!,#REF!</definedName>
    <definedName name="Z_179EFE1C_A1B1_11D3_8FA9_0008C7809E09_.wvu.PrintTitles" hidden="1">#REF!,#REF!</definedName>
    <definedName name="Z_179EFE1D_A1B1_11D3_8FA9_0008C7809E09_.wvu.PrintArea" localSheetId="0" hidden="1">#REF!</definedName>
    <definedName name="Z_179EFE1D_A1B1_11D3_8FA9_0008C7809E09_.wvu.PrintArea" hidden="1">#REF!</definedName>
    <definedName name="Z_179EFE1D_A1B1_11D3_8FA9_0008C7809E09_.wvu.PrintTitles" localSheetId="0" hidden="1">#REF!,#REF!</definedName>
    <definedName name="Z_179EFE1D_A1B1_11D3_8FA9_0008C7809E09_.wvu.PrintTitles" hidden="1">#REF!,#REF!</definedName>
    <definedName name="Z_179EFE1E_A1B1_11D3_8FA9_0008C7809E09_.wvu.PrintArea" localSheetId="0" hidden="1">#REF!</definedName>
    <definedName name="Z_179EFE1E_A1B1_11D3_8FA9_0008C7809E09_.wvu.PrintArea" hidden="1">#REF!</definedName>
    <definedName name="Z_179EFE1E_A1B1_11D3_8FA9_0008C7809E09_.wvu.PrintTitles" localSheetId="0" hidden="1">#REF!,#REF!</definedName>
    <definedName name="Z_179EFE1E_A1B1_11D3_8FA9_0008C7809E09_.wvu.PrintTitles" hidden="1">#REF!,#REF!</definedName>
    <definedName name="Z_179EFE1F_A1B1_11D3_8FA9_0008C7809E09_.wvu.PrintArea" localSheetId="0" hidden="1">#REF!</definedName>
    <definedName name="Z_179EFE1F_A1B1_11D3_8FA9_0008C7809E09_.wvu.PrintArea" hidden="1">#REF!</definedName>
    <definedName name="Z_179EFE1F_A1B1_11D3_8FA9_0008C7809E09_.wvu.PrintTitles" localSheetId="0" hidden="1">#REF!,#REF!</definedName>
    <definedName name="Z_179EFE1F_A1B1_11D3_8FA9_0008C7809E09_.wvu.PrintTitles" hidden="1">#REF!,#REF!</definedName>
    <definedName name="Z_179EFE20_A1B1_11D3_8FA9_0008C7809E09_.wvu.PrintArea" localSheetId="0" hidden="1">#REF!</definedName>
    <definedName name="Z_179EFE20_A1B1_11D3_8FA9_0008C7809E09_.wvu.PrintArea" hidden="1">#REF!</definedName>
    <definedName name="Z_179EFE20_A1B1_11D3_8FA9_0008C7809E09_.wvu.PrintTitles" localSheetId="0" hidden="1">#REF!,#REF!</definedName>
    <definedName name="Z_179EFE20_A1B1_11D3_8FA9_0008C7809E09_.wvu.PrintTitles" hidden="1">#REF!,#REF!</definedName>
    <definedName name="Z_179EFE21_A1B1_11D3_8FA9_0008C7809E09_.wvu.PrintArea" localSheetId="0" hidden="1">#REF!</definedName>
    <definedName name="Z_179EFE21_A1B1_11D3_8FA9_0008C7809E09_.wvu.PrintArea" hidden="1">#REF!</definedName>
    <definedName name="Z_179EFE21_A1B1_11D3_8FA9_0008C7809E09_.wvu.PrintTitles" localSheetId="0" hidden="1">#REF!,#REF!</definedName>
    <definedName name="Z_179EFE21_A1B1_11D3_8FA9_0008C7809E09_.wvu.PrintTitles" hidden="1">#REF!,#REF!</definedName>
    <definedName name="Z_179EFE22_A1B1_11D3_8FA9_0008C7809E09_.wvu.PrintArea" localSheetId="0" hidden="1">#REF!</definedName>
    <definedName name="Z_179EFE22_A1B1_11D3_8FA9_0008C7809E09_.wvu.PrintArea" hidden="1">#REF!</definedName>
    <definedName name="Z_179EFE22_A1B1_11D3_8FA9_0008C7809E09_.wvu.PrintTitles" localSheetId="0" hidden="1">#REF!,#REF!</definedName>
    <definedName name="Z_179EFE22_A1B1_11D3_8FA9_0008C7809E09_.wvu.PrintTitles" hidden="1">#REF!,#REF!</definedName>
    <definedName name="Z_179EFE23_A1B1_11D3_8FA9_0008C7809E09_.wvu.PrintArea" localSheetId="0" hidden="1">#REF!</definedName>
    <definedName name="Z_179EFE23_A1B1_11D3_8FA9_0008C7809E09_.wvu.PrintArea" hidden="1">#REF!</definedName>
    <definedName name="Z_179EFE23_A1B1_11D3_8FA9_0008C7809E09_.wvu.PrintTitles" localSheetId="0" hidden="1">#REF!,#REF!</definedName>
    <definedName name="Z_179EFE23_A1B1_11D3_8FA9_0008C7809E09_.wvu.PrintTitles" hidden="1">#REF!,#REF!</definedName>
    <definedName name="Z_179EFE24_A1B1_11D3_8FA9_0008C7809E09_.wvu.PrintArea" localSheetId="0" hidden="1">#REF!</definedName>
    <definedName name="Z_179EFE24_A1B1_11D3_8FA9_0008C7809E09_.wvu.PrintArea" hidden="1">#REF!</definedName>
    <definedName name="Z_179EFE24_A1B1_11D3_8FA9_0008C7809E09_.wvu.PrintTitles" localSheetId="0" hidden="1">#REF!,#REF!</definedName>
    <definedName name="Z_179EFE24_A1B1_11D3_8FA9_0008C7809E09_.wvu.PrintTitles" hidden="1">#REF!,#REF!</definedName>
    <definedName name="Z_179EFE25_A1B1_11D3_8FA9_0008C7809E09_.wvu.PrintArea" localSheetId="0" hidden="1">#REF!</definedName>
    <definedName name="Z_179EFE25_A1B1_11D3_8FA9_0008C7809E09_.wvu.PrintArea" hidden="1">#REF!</definedName>
    <definedName name="Z_179EFE25_A1B1_11D3_8FA9_0008C7809E09_.wvu.PrintTitles" localSheetId="0" hidden="1">#REF!,#REF!</definedName>
    <definedName name="Z_179EFE25_A1B1_11D3_8FA9_0008C7809E09_.wvu.PrintTitles" hidden="1">#REF!,#REF!</definedName>
    <definedName name="Z_179EFE26_A1B1_11D3_8FA9_0008C7809E09_.wvu.PrintArea" localSheetId="0" hidden="1">#REF!</definedName>
    <definedName name="Z_179EFE26_A1B1_11D3_8FA9_0008C7809E09_.wvu.PrintArea" hidden="1">#REF!</definedName>
    <definedName name="Z_179EFE26_A1B1_11D3_8FA9_0008C7809E09_.wvu.PrintTitles" localSheetId="0" hidden="1">#REF!,#REF!</definedName>
    <definedName name="Z_179EFE26_A1B1_11D3_8FA9_0008C7809E09_.wvu.PrintTitles" hidden="1">#REF!,#REF!</definedName>
    <definedName name="Z_179EFE27_A1B1_11D3_8FA9_0008C7809E09_.wvu.PrintArea" localSheetId="0" hidden="1">#REF!</definedName>
    <definedName name="Z_179EFE27_A1B1_11D3_8FA9_0008C7809E09_.wvu.PrintArea" hidden="1">#REF!</definedName>
    <definedName name="Z_179EFE27_A1B1_11D3_8FA9_0008C7809E09_.wvu.PrintTitles" localSheetId="0" hidden="1">#REF!,#REF!</definedName>
    <definedName name="Z_179EFE27_A1B1_11D3_8FA9_0008C7809E09_.wvu.PrintTitles" hidden="1">#REF!,#REF!</definedName>
    <definedName name="Z_179EFE28_A1B1_11D3_8FA9_0008C7809E09_.wvu.PrintArea" localSheetId="0" hidden="1">#REF!</definedName>
    <definedName name="Z_179EFE28_A1B1_11D3_8FA9_0008C7809E09_.wvu.PrintArea" hidden="1">#REF!</definedName>
    <definedName name="Z_179EFE28_A1B1_11D3_8FA9_0008C7809E09_.wvu.PrintTitles" localSheetId="0" hidden="1">#REF!,#REF!</definedName>
    <definedName name="Z_179EFE28_A1B1_11D3_8FA9_0008C7809E09_.wvu.PrintTitles" hidden="1">#REF!,#REF!</definedName>
    <definedName name="Z_179EFE29_A1B1_11D3_8FA9_0008C7809E09_.wvu.PrintArea" localSheetId="0" hidden="1">#REF!</definedName>
    <definedName name="Z_179EFE29_A1B1_11D3_8FA9_0008C7809E09_.wvu.PrintArea" hidden="1">#REF!</definedName>
    <definedName name="Z_179EFE29_A1B1_11D3_8FA9_0008C7809E09_.wvu.PrintTitles" localSheetId="0" hidden="1">#REF!,#REF!</definedName>
    <definedName name="Z_179EFE29_A1B1_11D3_8FA9_0008C7809E09_.wvu.PrintTitles" hidden="1">#REF!,#REF!</definedName>
    <definedName name="Z_179EFE2A_A1B1_11D3_8FA9_0008C7809E09_.wvu.PrintArea" localSheetId="0" hidden="1">#REF!</definedName>
    <definedName name="Z_179EFE2A_A1B1_11D3_8FA9_0008C7809E09_.wvu.PrintArea" hidden="1">#REF!</definedName>
    <definedName name="Z_179EFE2A_A1B1_11D3_8FA9_0008C7809E09_.wvu.PrintTitles" localSheetId="0" hidden="1">#REF!,#REF!</definedName>
    <definedName name="Z_179EFE2A_A1B1_11D3_8FA9_0008C7809E09_.wvu.PrintTitles" hidden="1">#REF!,#REF!</definedName>
    <definedName name="Z_179EFE2B_A1B1_11D3_8FA9_0008C7809E09_.wvu.PrintArea" localSheetId="0" hidden="1">#REF!</definedName>
    <definedName name="Z_179EFE2B_A1B1_11D3_8FA9_0008C7809E09_.wvu.PrintArea" hidden="1">#REF!</definedName>
    <definedName name="Z_179EFE2B_A1B1_11D3_8FA9_0008C7809E09_.wvu.PrintTitles" localSheetId="0" hidden="1">#REF!,#REF!</definedName>
    <definedName name="Z_179EFE2B_A1B1_11D3_8FA9_0008C7809E09_.wvu.PrintTitles" hidden="1">#REF!,#REF!</definedName>
    <definedName name="Z_179EFE2C_A1B1_11D3_8FA9_0008C7809E09_.wvu.PrintArea" localSheetId="0" hidden="1">#REF!</definedName>
    <definedName name="Z_179EFE2C_A1B1_11D3_8FA9_0008C7809E09_.wvu.PrintArea" hidden="1">#REF!</definedName>
    <definedName name="Z_179EFE2C_A1B1_11D3_8FA9_0008C7809E09_.wvu.PrintTitles" localSheetId="0" hidden="1">#REF!,#REF!</definedName>
    <definedName name="Z_179EFE2C_A1B1_11D3_8FA9_0008C7809E09_.wvu.PrintTitles" hidden="1">#REF!,#REF!</definedName>
    <definedName name="Z_179EFE2D_A1B1_11D3_8FA9_0008C7809E09_.wvu.PrintArea" localSheetId="0" hidden="1">#REF!</definedName>
    <definedName name="Z_179EFE2D_A1B1_11D3_8FA9_0008C7809E09_.wvu.PrintArea" hidden="1">#REF!</definedName>
    <definedName name="Z_179EFE2D_A1B1_11D3_8FA9_0008C7809E09_.wvu.PrintTitles" localSheetId="0" hidden="1">#REF!,#REF!</definedName>
    <definedName name="Z_179EFE2D_A1B1_11D3_8FA9_0008C7809E09_.wvu.PrintTitles" hidden="1">#REF!,#REF!</definedName>
    <definedName name="Z_179EFE2E_A1B1_11D3_8FA9_0008C7809E09_.wvu.PrintArea" localSheetId="0" hidden="1">#REF!</definedName>
    <definedName name="Z_179EFE2E_A1B1_11D3_8FA9_0008C7809E09_.wvu.PrintArea" hidden="1">#REF!</definedName>
    <definedName name="Z_179EFE2E_A1B1_11D3_8FA9_0008C7809E09_.wvu.PrintTitles" localSheetId="0" hidden="1">#REF!,#REF!</definedName>
    <definedName name="Z_179EFE2E_A1B1_11D3_8FA9_0008C7809E09_.wvu.PrintTitles" hidden="1">#REF!,#REF!</definedName>
    <definedName name="Z_179EFE2F_A1B1_11D3_8FA9_0008C7809E09_.wvu.PrintArea" localSheetId="0" hidden="1">#REF!</definedName>
    <definedName name="Z_179EFE2F_A1B1_11D3_8FA9_0008C7809E09_.wvu.PrintArea" hidden="1">#REF!</definedName>
    <definedName name="Z_179EFE2F_A1B1_11D3_8FA9_0008C7809E09_.wvu.PrintTitles" localSheetId="0" hidden="1">#REF!</definedName>
    <definedName name="Z_179EFE2F_A1B1_11D3_8FA9_0008C7809E09_.wvu.PrintTitles" hidden="1">#REF!</definedName>
    <definedName name="Z_179EFE30_A1B1_11D3_8FA9_0008C7809E09_.wvu.PrintArea" localSheetId="0" hidden="1">#REF!</definedName>
    <definedName name="Z_179EFE30_A1B1_11D3_8FA9_0008C7809E09_.wvu.PrintArea" hidden="1">#REF!</definedName>
    <definedName name="Z_179EFE30_A1B1_11D3_8FA9_0008C7809E09_.wvu.PrintTitles" localSheetId="0" hidden="1">#REF!</definedName>
    <definedName name="Z_179EFE30_A1B1_11D3_8FA9_0008C7809E09_.wvu.PrintTitles" hidden="1">#REF!</definedName>
    <definedName name="Z_179EFE31_A1B1_11D3_8FA9_0008C7809E09_.wvu.PrintArea" localSheetId="0" hidden="1">#REF!</definedName>
    <definedName name="Z_179EFE31_A1B1_11D3_8FA9_0008C7809E09_.wvu.PrintArea" hidden="1">#REF!</definedName>
    <definedName name="Z_179EFE31_A1B1_11D3_8FA9_0008C7809E09_.wvu.PrintTitles" localSheetId="0" hidden="1">#REF!</definedName>
    <definedName name="Z_179EFE31_A1B1_11D3_8FA9_0008C7809E09_.wvu.PrintTitles" hidden="1">#REF!</definedName>
    <definedName name="Z_179EFE32_A1B1_11D3_8FA9_0008C7809E09_.wvu.PrintArea" localSheetId="0" hidden="1">#REF!</definedName>
    <definedName name="Z_179EFE32_A1B1_11D3_8FA9_0008C7809E09_.wvu.PrintArea" hidden="1">#REF!</definedName>
    <definedName name="Z_179EFE32_A1B1_11D3_8FA9_0008C7809E09_.wvu.PrintTitles" localSheetId="0" hidden="1">#REF!</definedName>
    <definedName name="Z_179EFE32_A1B1_11D3_8FA9_0008C7809E09_.wvu.PrintTitles" hidden="1">#REF!</definedName>
    <definedName name="Z_179EFE33_A1B1_11D3_8FA9_0008C7809E09_.wvu.PrintArea" localSheetId="0" hidden="1">#REF!</definedName>
    <definedName name="Z_179EFE33_A1B1_11D3_8FA9_0008C7809E09_.wvu.PrintArea" hidden="1">#REF!</definedName>
    <definedName name="Z_179EFE33_A1B1_11D3_8FA9_0008C7809E09_.wvu.PrintTitles" localSheetId="0" hidden="1">#REF!</definedName>
    <definedName name="Z_179EFE33_A1B1_11D3_8FA9_0008C7809E09_.wvu.PrintTitles" hidden="1">#REF!</definedName>
    <definedName name="Z_179EFE34_A1B1_11D3_8FA9_0008C7809E09_.wvu.PrintArea" localSheetId="0" hidden="1">#REF!</definedName>
    <definedName name="Z_179EFE34_A1B1_11D3_8FA9_0008C7809E09_.wvu.PrintArea" hidden="1">#REF!</definedName>
    <definedName name="Z_179EFE34_A1B1_11D3_8FA9_0008C7809E09_.wvu.PrintTitles" localSheetId="0" hidden="1">#REF!</definedName>
    <definedName name="Z_179EFE34_A1B1_11D3_8FA9_0008C7809E09_.wvu.PrintTitles" hidden="1">#REF!</definedName>
    <definedName name="Z_179EFE35_A1B1_11D3_8FA9_0008C7809E09_.wvu.PrintArea" localSheetId="0" hidden="1">#REF!</definedName>
    <definedName name="Z_179EFE35_A1B1_11D3_8FA9_0008C7809E09_.wvu.PrintArea" hidden="1">#REF!</definedName>
    <definedName name="Z_179EFE35_A1B1_11D3_8FA9_0008C7809E09_.wvu.PrintTitles" localSheetId="0" hidden="1">#REF!</definedName>
    <definedName name="Z_179EFE35_A1B1_11D3_8FA9_0008C7809E09_.wvu.PrintTitles" hidden="1">#REF!</definedName>
    <definedName name="Z_179EFE36_A1B1_11D3_8FA9_0008C7809E09_.wvu.PrintArea" localSheetId="0" hidden="1">#REF!</definedName>
    <definedName name="Z_179EFE36_A1B1_11D3_8FA9_0008C7809E09_.wvu.PrintArea" hidden="1">#REF!</definedName>
    <definedName name="Z_179EFE36_A1B1_11D3_8FA9_0008C7809E09_.wvu.PrintTitles" localSheetId="0" hidden="1">#REF!</definedName>
    <definedName name="Z_179EFE36_A1B1_11D3_8FA9_0008C7809E09_.wvu.PrintTitles" hidden="1">#REF!</definedName>
    <definedName name="Z_179EFE37_A1B1_11D3_8FA9_0008C7809E09_.wvu.PrintArea" localSheetId="0" hidden="1">#REF!</definedName>
    <definedName name="Z_179EFE37_A1B1_11D3_8FA9_0008C7809E09_.wvu.PrintArea" hidden="1">#REF!</definedName>
    <definedName name="Z_179EFE37_A1B1_11D3_8FA9_0008C7809E09_.wvu.PrintTitles" localSheetId="0" hidden="1">#REF!</definedName>
    <definedName name="Z_179EFE37_A1B1_11D3_8FA9_0008C7809E09_.wvu.PrintTitles" hidden="1">#REF!</definedName>
    <definedName name="Z_179EFE38_A1B1_11D3_8FA9_0008C7809E09_.wvu.PrintArea" localSheetId="0" hidden="1">#REF!</definedName>
    <definedName name="Z_179EFE38_A1B1_11D3_8FA9_0008C7809E09_.wvu.PrintArea" hidden="1">#REF!</definedName>
    <definedName name="Z_179EFE38_A1B1_11D3_8FA9_0008C7809E09_.wvu.PrintTitles" localSheetId="0" hidden="1">#REF!</definedName>
    <definedName name="Z_179EFE38_A1B1_11D3_8FA9_0008C7809E09_.wvu.PrintTitles" hidden="1">#REF!</definedName>
    <definedName name="Z_179EFE39_A1B1_11D3_8FA9_0008C7809E09_.wvu.PrintArea" localSheetId="0" hidden="1">#REF!</definedName>
    <definedName name="Z_179EFE39_A1B1_11D3_8FA9_0008C7809E09_.wvu.PrintArea" hidden="1">#REF!</definedName>
    <definedName name="Z_179EFE39_A1B1_11D3_8FA9_0008C7809E09_.wvu.PrintTitles" localSheetId="0" hidden="1">#REF!</definedName>
    <definedName name="Z_179EFE39_A1B1_11D3_8FA9_0008C7809E09_.wvu.PrintTitles" hidden="1">#REF!</definedName>
    <definedName name="Z_179EFE3A_A1B1_11D3_8FA9_0008C7809E09_.wvu.PrintArea" localSheetId="0" hidden="1">#REF!</definedName>
    <definedName name="Z_179EFE3A_A1B1_11D3_8FA9_0008C7809E09_.wvu.PrintArea" hidden="1">#REF!</definedName>
    <definedName name="Z_179EFE3A_A1B1_11D3_8FA9_0008C7809E09_.wvu.PrintTitles" localSheetId="0" hidden="1">#REF!</definedName>
    <definedName name="Z_179EFE3A_A1B1_11D3_8FA9_0008C7809E09_.wvu.PrintTitles" hidden="1">#REF!</definedName>
    <definedName name="Z_179EFE3B_A1B1_11D3_8FA9_0008C7809E09_.wvu.PrintArea" localSheetId="0" hidden="1">#REF!</definedName>
    <definedName name="Z_179EFE3B_A1B1_11D3_8FA9_0008C7809E09_.wvu.PrintArea" hidden="1">#REF!</definedName>
    <definedName name="Z_179EFE3B_A1B1_11D3_8FA9_0008C7809E09_.wvu.PrintTitles" localSheetId="0" hidden="1">#REF!</definedName>
    <definedName name="Z_179EFE3B_A1B1_11D3_8FA9_0008C7809E09_.wvu.PrintTitles" hidden="1">#REF!</definedName>
    <definedName name="Z_179EFE3C_A1B1_11D3_8FA9_0008C7809E09_.wvu.PrintArea" localSheetId="0" hidden="1">#REF!</definedName>
    <definedName name="Z_179EFE3C_A1B1_11D3_8FA9_0008C7809E09_.wvu.PrintArea" hidden="1">#REF!</definedName>
    <definedName name="Z_179EFE3C_A1B1_11D3_8FA9_0008C7809E09_.wvu.PrintTitles" localSheetId="0" hidden="1">#REF!,#REF!</definedName>
    <definedName name="Z_179EFE3C_A1B1_11D3_8FA9_0008C7809E09_.wvu.PrintTitles" hidden="1">#REF!,#REF!</definedName>
    <definedName name="Z_179EFE3D_A1B1_11D3_8FA9_0008C7809E09_.wvu.PrintArea" localSheetId="0" hidden="1">#REF!</definedName>
    <definedName name="Z_179EFE3D_A1B1_11D3_8FA9_0008C7809E09_.wvu.PrintArea" hidden="1">#REF!</definedName>
    <definedName name="Z_179EFE3D_A1B1_11D3_8FA9_0008C7809E09_.wvu.PrintTitles" localSheetId="0" hidden="1">#REF!,#REF!</definedName>
    <definedName name="Z_179EFE3D_A1B1_11D3_8FA9_0008C7809E09_.wvu.PrintTitles" hidden="1">#REF!,#REF!</definedName>
    <definedName name="Z_179EFE3E_A1B1_11D3_8FA9_0008C7809E09_.wvu.PrintArea" localSheetId="0" hidden="1">#REF!</definedName>
    <definedName name="Z_179EFE3E_A1B1_11D3_8FA9_0008C7809E09_.wvu.PrintArea" hidden="1">#REF!</definedName>
    <definedName name="Z_179EFE3E_A1B1_11D3_8FA9_0008C7809E09_.wvu.PrintTitles" localSheetId="0" hidden="1">#REF!,#REF!</definedName>
    <definedName name="Z_179EFE3E_A1B1_11D3_8FA9_0008C7809E09_.wvu.PrintTitles" hidden="1">#REF!,#REF!</definedName>
    <definedName name="Z_179EFE3F_A1B1_11D3_8FA9_0008C7809E09_.wvu.PrintArea" localSheetId="0" hidden="1">#REF!</definedName>
    <definedName name="Z_179EFE3F_A1B1_11D3_8FA9_0008C7809E09_.wvu.PrintArea" hidden="1">#REF!</definedName>
    <definedName name="Z_179EFE3F_A1B1_11D3_8FA9_0008C7809E09_.wvu.PrintTitles" localSheetId="0" hidden="1">#REF!,#REF!</definedName>
    <definedName name="Z_179EFE3F_A1B1_11D3_8FA9_0008C7809E09_.wvu.PrintTitles" hidden="1">#REF!,#REF!</definedName>
    <definedName name="Z_179EFE40_A1B1_11D3_8FA9_0008C7809E09_.wvu.PrintArea" localSheetId="0" hidden="1">#REF!</definedName>
    <definedName name="Z_179EFE40_A1B1_11D3_8FA9_0008C7809E09_.wvu.PrintArea" hidden="1">#REF!</definedName>
    <definedName name="Z_179EFE40_A1B1_11D3_8FA9_0008C7809E09_.wvu.PrintTitles" localSheetId="0" hidden="1">#REF!,#REF!</definedName>
    <definedName name="Z_179EFE40_A1B1_11D3_8FA9_0008C7809E09_.wvu.PrintTitles" hidden="1">#REF!,#REF!</definedName>
    <definedName name="Z_179EFE41_A1B1_11D3_8FA9_0008C7809E09_.wvu.PrintArea" localSheetId="0" hidden="1">#REF!</definedName>
    <definedName name="Z_179EFE41_A1B1_11D3_8FA9_0008C7809E09_.wvu.PrintArea" hidden="1">#REF!</definedName>
    <definedName name="Z_179EFE41_A1B1_11D3_8FA9_0008C7809E09_.wvu.PrintTitles" localSheetId="0" hidden="1">#REF!,#REF!</definedName>
    <definedName name="Z_179EFE41_A1B1_11D3_8FA9_0008C7809E09_.wvu.PrintTitles" hidden="1">#REF!,#REF!</definedName>
    <definedName name="Z_179EFE42_A1B1_11D3_8FA9_0008C7809E09_.wvu.PrintArea" localSheetId="0" hidden="1">#REF!</definedName>
    <definedName name="Z_179EFE42_A1B1_11D3_8FA9_0008C7809E09_.wvu.PrintArea" hidden="1">#REF!</definedName>
    <definedName name="Z_179EFE42_A1B1_11D3_8FA9_0008C7809E09_.wvu.PrintTitles" localSheetId="0" hidden="1">#REF!,#REF!</definedName>
    <definedName name="Z_179EFE42_A1B1_11D3_8FA9_0008C7809E09_.wvu.PrintTitles" hidden="1">#REF!,#REF!</definedName>
    <definedName name="Z_179EFE43_A1B1_11D3_8FA9_0008C7809E09_.wvu.PrintArea" localSheetId="0" hidden="1">#REF!</definedName>
    <definedName name="Z_179EFE43_A1B1_11D3_8FA9_0008C7809E09_.wvu.PrintArea" hidden="1">#REF!</definedName>
    <definedName name="Z_179EFE43_A1B1_11D3_8FA9_0008C7809E09_.wvu.PrintTitles" localSheetId="0" hidden="1">#REF!,#REF!</definedName>
    <definedName name="Z_179EFE43_A1B1_11D3_8FA9_0008C7809E09_.wvu.PrintTitles" hidden="1">#REF!,#REF!</definedName>
    <definedName name="Z_179EFE44_A1B1_11D3_8FA9_0008C7809E09_.wvu.PrintArea" localSheetId="0" hidden="1">#REF!</definedName>
    <definedName name="Z_179EFE44_A1B1_11D3_8FA9_0008C7809E09_.wvu.PrintArea" hidden="1">#REF!</definedName>
    <definedName name="Z_179EFE44_A1B1_11D3_8FA9_0008C7809E09_.wvu.PrintTitles" localSheetId="0" hidden="1">#REF!,#REF!</definedName>
    <definedName name="Z_179EFE44_A1B1_11D3_8FA9_0008C7809E09_.wvu.PrintTitles" hidden="1">#REF!,#REF!</definedName>
    <definedName name="Z_179EFE45_A1B1_11D3_8FA9_0008C7809E09_.wvu.PrintArea" localSheetId="0" hidden="1">#REF!</definedName>
    <definedName name="Z_179EFE45_A1B1_11D3_8FA9_0008C7809E09_.wvu.PrintArea" hidden="1">#REF!</definedName>
    <definedName name="Z_179EFE45_A1B1_11D3_8FA9_0008C7809E09_.wvu.PrintTitles" localSheetId="0" hidden="1">#REF!,#REF!</definedName>
    <definedName name="Z_179EFE45_A1B1_11D3_8FA9_0008C7809E09_.wvu.PrintTitles" hidden="1">#REF!,#REF!</definedName>
    <definedName name="Z_179EFE46_A1B1_11D3_8FA9_0008C7809E09_.wvu.PrintArea" localSheetId="0" hidden="1">#REF!</definedName>
    <definedName name="Z_179EFE46_A1B1_11D3_8FA9_0008C7809E09_.wvu.PrintArea" hidden="1">#REF!</definedName>
    <definedName name="Z_179EFE46_A1B1_11D3_8FA9_0008C7809E09_.wvu.PrintTitles" localSheetId="0" hidden="1">#REF!,#REF!</definedName>
    <definedName name="Z_179EFE46_A1B1_11D3_8FA9_0008C7809E09_.wvu.PrintTitles" hidden="1">#REF!,#REF!</definedName>
    <definedName name="Z_179EFE47_A1B1_11D3_8FA9_0008C7809E09_.wvu.PrintArea" localSheetId="0" hidden="1">#REF!</definedName>
    <definedName name="Z_179EFE47_A1B1_11D3_8FA9_0008C7809E09_.wvu.PrintArea" hidden="1">#REF!</definedName>
    <definedName name="Z_179EFE47_A1B1_11D3_8FA9_0008C7809E09_.wvu.PrintTitles" localSheetId="0" hidden="1">#REF!,#REF!</definedName>
    <definedName name="Z_179EFE47_A1B1_11D3_8FA9_0008C7809E09_.wvu.PrintTitles" hidden="1">#REF!,#REF!</definedName>
    <definedName name="Z_179EFE48_A1B1_11D3_8FA9_0008C7809E09_.wvu.PrintArea" localSheetId="0" hidden="1">#REF!</definedName>
    <definedName name="Z_179EFE48_A1B1_11D3_8FA9_0008C7809E09_.wvu.PrintArea" hidden="1">#REF!</definedName>
    <definedName name="Z_179EFE48_A1B1_11D3_8FA9_0008C7809E09_.wvu.PrintTitles" localSheetId="0" hidden="1">#REF!,#REF!</definedName>
    <definedName name="Z_179EFE48_A1B1_11D3_8FA9_0008C7809E09_.wvu.PrintTitles" hidden="1">#REF!,#REF!</definedName>
    <definedName name="Z_179EFE49_A1B1_11D3_8FA9_0008C7809E09_.wvu.PrintArea" localSheetId="0" hidden="1">#REF!</definedName>
    <definedName name="Z_179EFE49_A1B1_11D3_8FA9_0008C7809E09_.wvu.PrintArea" hidden="1">#REF!</definedName>
    <definedName name="Z_179EFE49_A1B1_11D3_8FA9_0008C7809E09_.wvu.PrintTitles" localSheetId="0" hidden="1">#REF!,#REF!</definedName>
    <definedName name="Z_179EFE49_A1B1_11D3_8FA9_0008C7809E09_.wvu.PrintTitles" hidden="1">#REF!,#REF!</definedName>
    <definedName name="Z_179EFE4A_A1B1_11D3_8FA9_0008C7809E09_.wvu.PrintArea" localSheetId="0" hidden="1">#REF!</definedName>
    <definedName name="Z_179EFE4A_A1B1_11D3_8FA9_0008C7809E09_.wvu.PrintArea" hidden="1">#REF!</definedName>
    <definedName name="Z_179EFE4A_A1B1_11D3_8FA9_0008C7809E09_.wvu.PrintTitles" localSheetId="0" hidden="1">#REF!,#REF!</definedName>
    <definedName name="Z_179EFE4A_A1B1_11D3_8FA9_0008C7809E09_.wvu.PrintTitles" hidden="1">#REF!,#REF!</definedName>
    <definedName name="Z_179EFE4B_A1B1_11D3_8FA9_0008C7809E09_.wvu.PrintArea" localSheetId="0" hidden="1">#REF!</definedName>
    <definedName name="Z_179EFE4B_A1B1_11D3_8FA9_0008C7809E09_.wvu.PrintArea" hidden="1">#REF!</definedName>
    <definedName name="Z_179EFE4B_A1B1_11D3_8FA9_0008C7809E09_.wvu.PrintTitles" localSheetId="0" hidden="1">#REF!,#REF!</definedName>
    <definedName name="Z_179EFE4B_A1B1_11D3_8FA9_0008C7809E09_.wvu.PrintTitles" hidden="1">#REF!,#REF!</definedName>
    <definedName name="Z_179EFE4C_A1B1_11D3_8FA9_0008C7809E09_.wvu.PrintArea" localSheetId="0" hidden="1">#REF!</definedName>
    <definedName name="Z_179EFE4C_A1B1_11D3_8FA9_0008C7809E09_.wvu.PrintArea" hidden="1">#REF!</definedName>
    <definedName name="Z_179EFE4C_A1B1_11D3_8FA9_0008C7809E09_.wvu.PrintTitles" localSheetId="0" hidden="1">#REF!,#REF!</definedName>
    <definedName name="Z_179EFE4C_A1B1_11D3_8FA9_0008C7809E09_.wvu.PrintTitles" hidden="1">#REF!,#REF!</definedName>
    <definedName name="Z_179EFE4D_A1B1_11D3_8FA9_0008C7809E09_.wvu.PrintArea" localSheetId="0" hidden="1">#REF!</definedName>
    <definedName name="Z_179EFE4D_A1B1_11D3_8FA9_0008C7809E09_.wvu.PrintArea" hidden="1">#REF!</definedName>
    <definedName name="Z_179EFE4D_A1B1_11D3_8FA9_0008C7809E09_.wvu.PrintTitles" localSheetId="0" hidden="1">#REF!,#REF!</definedName>
    <definedName name="Z_179EFE4D_A1B1_11D3_8FA9_0008C7809E09_.wvu.PrintTitles" hidden="1">#REF!,#REF!</definedName>
    <definedName name="Z_179EFE4E_A1B1_11D3_8FA9_0008C7809E09_.wvu.PrintArea" localSheetId="0" hidden="1">#REF!</definedName>
    <definedName name="Z_179EFE4E_A1B1_11D3_8FA9_0008C7809E09_.wvu.PrintArea" hidden="1">#REF!</definedName>
    <definedName name="Z_179EFE4E_A1B1_11D3_8FA9_0008C7809E09_.wvu.PrintTitles" localSheetId="0" hidden="1">#REF!,#REF!</definedName>
    <definedName name="Z_179EFE4E_A1B1_11D3_8FA9_0008C7809E09_.wvu.PrintTitles" hidden="1">#REF!,#REF!</definedName>
    <definedName name="Z_179EFE4F_A1B1_11D3_8FA9_0008C7809E09_.wvu.PrintArea" localSheetId="0" hidden="1">#REF!</definedName>
    <definedName name="Z_179EFE4F_A1B1_11D3_8FA9_0008C7809E09_.wvu.PrintArea" hidden="1">#REF!</definedName>
    <definedName name="Z_179EFE4F_A1B1_11D3_8FA9_0008C7809E09_.wvu.PrintTitles" localSheetId="0" hidden="1">#REF!,#REF!</definedName>
    <definedName name="Z_179EFE4F_A1B1_11D3_8FA9_0008C7809E09_.wvu.PrintTitles" hidden="1">#REF!,#REF!</definedName>
    <definedName name="Z_179EFE50_A1B1_11D3_8FA9_0008C7809E09_.wvu.PrintArea" localSheetId="0" hidden="1">#REF!</definedName>
    <definedName name="Z_179EFE50_A1B1_11D3_8FA9_0008C7809E09_.wvu.PrintArea" hidden="1">#REF!</definedName>
    <definedName name="Z_179EFE50_A1B1_11D3_8FA9_0008C7809E09_.wvu.PrintTitles" localSheetId="0" hidden="1">#REF!,#REF!</definedName>
    <definedName name="Z_179EFE50_A1B1_11D3_8FA9_0008C7809E09_.wvu.PrintTitles" hidden="1">#REF!,#REF!</definedName>
    <definedName name="Z_179EFE51_A1B1_11D3_8FA9_0008C7809E09_.wvu.PrintArea" localSheetId="0" hidden="1">#REF!</definedName>
    <definedName name="Z_179EFE51_A1B1_11D3_8FA9_0008C7809E09_.wvu.PrintArea" hidden="1">#REF!</definedName>
    <definedName name="Z_179EFE51_A1B1_11D3_8FA9_0008C7809E09_.wvu.PrintTitles" localSheetId="0" hidden="1">#REF!,#REF!</definedName>
    <definedName name="Z_179EFE51_A1B1_11D3_8FA9_0008C7809E09_.wvu.PrintTitles" hidden="1">#REF!,#REF!</definedName>
    <definedName name="Z_179EFE52_A1B1_11D3_8FA9_0008C7809E09_.wvu.PrintArea" localSheetId="0" hidden="1">#REF!</definedName>
    <definedName name="Z_179EFE52_A1B1_11D3_8FA9_0008C7809E09_.wvu.PrintArea" hidden="1">#REF!</definedName>
    <definedName name="Z_179EFE52_A1B1_11D3_8FA9_0008C7809E09_.wvu.PrintTitles" localSheetId="0" hidden="1">#REF!,#REF!</definedName>
    <definedName name="Z_179EFE52_A1B1_11D3_8FA9_0008C7809E09_.wvu.PrintTitles" hidden="1">#REF!,#REF!</definedName>
    <definedName name="Z_179EFE53_A1B1_11D3_8FA9_0008C7809E09_.wvu.PrintArea" localSheetId="0" hidden="1">#REF!</definedName>
    <definedName name="Z_179EFE53_A1B1_11D3_8FA9_0008C7809E09_.wvu.PrintArea" hidden="1">#REF!</definedName>
    <definedName name="Z_179EFE53_A1B1_11D3_8FA9_0008C7809E09_.wvu.PrintTitles" localSheetId="0" hidden="1">#REF!,#REF!</definedName>
    <definedName name="Z_179EFE53_A1B1_11D3_8FA9_0008C7809E09_.wvu.PrintTitles" hidden="1">#REF!,#REF!</definedName>
    <definedName name="Z_179EFE54_A1B1_11D3_8FA9_0008C7809E09_.wvu.PrintArea" localSheetId="0" hidden="1">#REF!</definedName>
    <definedName name="Z_179EFE54_A1B1_11D3_8FA9_0008C7809E09_.wvu.PrintArea" hidden="1">#REF!</definedName>
    <definedName name="Z_179EFE54_A1B1_11D3_8FA9_0008C7809E09_.wvu.PrintTitles" localSheetId="0" hidden="1">#REF!,#REF!</definedName>
    <definedName name="Z_179EFE54_A1B1_11D3_8FA9_0008C7809E09_.wvu.PrintTitles" hidden="1">#REF!,#REF!</definedName>
    <definedName name="Z_179EFE55_A1B1_11D3_8FA9_0008C7809E09_.wvu.PrintArea" localSheetId="0" hidden="1">#REF!</definedName>
    <definedName name="Z_179EFE55_A1B1_11D3_8FA9_0008C7809E09_.wvu.PrintArea" hidden="1">#REF!</definedName>
    <definedName name="Z_179EFE55_A1B1_11D3_8FA9_0008C7809E09_.wvu.PrintTitles" localSheetId="0" hidden="1">#REF!</definedName>
    <definedName name="Z_179EFE55_A1B1_11D3_8FA9_0008C7809E09_.wvu.PrintTitles" hidden="1">#REF!</definedName>
    <definedName name="Z_179EFE56_A1B1_11D3_8FA9_0008C7809E09_.wvu.PrintArea" localSheetId="0" hidden="1">#REF!</definedName>
    <definedName name="Z_179EFE56_A1B1_11D3_8FA9_0008C7809E09_.wvu.PrintArea" hidden="1">#REF!</definedName>
    <definedName name="Z_179EFE56_A1B1_11D3_8FA9_0008C7809E09_.wvu.PrintTitles" localSheetId="0" hidden="1">#REF!,#REF!</definedName>
    <definedName name="Z_179EFE56_A1B1_11D3_8FA9_0008C7809E09_.wvu.PrintTitles" hidden="1">#REF!,#REF!</definedName>
    <definedName name="Z_179EFE57_A1B1_11D3_8FA9_0008C7809E09_.wvu.PrintArea" localSheetId="0" hidden="1">#REF!</definedName>
    <definedName name="Z_179EFE57_A1B1_11D3_8FA9_0008C7809E09_.wvu.PrintArea" hidden="1">#REF!</definedName>
    <definedName name="Z_179EFE57_A1B1_11D3_8FA9_0008C7809E09_.wvu.PrintTitles" localSheetId="0" hidden="1">#REF!,#REF!</definedName>
    <definedName name="Z_179EFE57_A1B1_11D3_8FA9_0008C7809E09_.wvu.PrintTitles" hidden="1">#REF!,#REF!</definedName>
    <definedName name="Z_179EFE58_A1B1_11D3_8FA9_0008C7809E09_.wvu.PrintArea" localSheetId="0" hidden="1">#REF!</definedName>
    <definedName name="Z_179EFE58_A1B1_11D3_8FA9_0008C7809E09_.wvu.PrintArea" hidden="1">#REF!</definedName>
    <definedName name="Z_179EFE58_A1B1_11D3_8FA9_0008C7809E09_.wvu.PrintTitles" localSheetId="0" hidden="1">#REF!,#REF!</definedName>
    <definedName name="Z_179EFE58_A1B1_11D3_8FA9_0008C7809E09_.wvu.PrintTitles" hidden="1">#REF!,#REF!</definedName>
    <definedName name="Z_179EFE59_A1B1_11D3_8FA9_0008C7809E09_.wvu.PrintArea" localSheetId="0" hidden="1">#REF!</definedName>
    <definedName name="Z_179EFE59_A1B1_11D3_8FA9_0008C7809E09_.wvu.PrintArea" hidden="1">#REF!</definedName>
    <definedName name="Z_179EFE59_A1B1_11D3_8FA9_0008C7809E09_.wvu.PrintTitles" localSheetId="0" hidden="1">#REF!,#REF!</definedName>
    <definedName name="Z_179EFE59_A1B1_11D3_8FA9_0008C7809E09_.wvu.PrintTitles" hidden="1">#REF!,#REF!</definedName>
    <definedName name="Z_179EFE5A_A1B1_11D3_8FA9_0008C7809E09_.wvu.PrintArea" localSheetId="0" hidden="1">#REF!</definedName>
    <definedName name="Z_179EFE5A_A1B1_11D3_8FA9_0008C7809E09_.wvu.PrintArea" hidden="1">#REF!</definedName>
    <definedName name="Z_179EFE5A_A1B1_11D3_8FA9_0008C7809E09_.wvu.PrintTitles" localSheetId="0" hidden="1">#REF!,#REF!</definedName>
    <definedName name="Z_179EFE5A_A1B1_11D3_8FA9_0008C7809E09_.wvu.PrintTitles" hidden="1">#REF!,#REF!</definedName>
    <definedName name="Z_1DA8B6E2_5DE1_11D2_8EEC_0008C7BCAF29_.wvu.PrintArea" localSheetId="0" hidden="1">#REF!</definedName>
    <definedName name="Z_1DA8B6E2_5DE1_11D2_8EEC_0008C7BCAF29_.wvu.PrintArea" hidden="1">#REF!</definedName>
    <definedName name="Z_1DA8B6E2_5DE1_11D2_8EEC_0008C7BCAF29_.wvu.PrintTitles" localSheetId="0" hidden="1">#REF!</definedName>
    <definedName name="Z_1DA8B6E2_5DE1_11D2_8EEC_0008C7BCAF29_.wvu.PrintTitles" hidden="1">#REF!</definedName>
    <definedName name="Z_1DA8B6F1_5DE1_11D2_8EEC_0008C7BCAF29_.wvu.PrintArea" localSheetId="0" hidden="1">#REF!</definedName>
    <definedName name="Z_1DA8B6F1_5DE1_11D2_8EEC_0008C7BCAF29_.wvu.PrintArea" hidden="1">#REF!</definedName>
    <definedName name="Z_1DA8B6F1_5DE1_11D2_8EEC_0008C7BCAF29_.wvu.PrintTitles" localSheetId="0" hidden="1">#REF!</definedName>
    <definedName name="Z_1DA8B6F1_5DE1_11D2_8EEC_0008C7BCAF29_.wvu.PrintTitles" hidden="1">#REF!</definedName>
    <definedName name="Z_1DA8B6FE_5DE1_11D2_8EEC_0008C7BCAF29_.wvu.PrintArea" localSheetId="0" hidden="1">#REF!</definedName>
    <definedName name="Z_1DA8B6FE_5DE1_11D2_8EEC_0008C7BCAF29_.wvu.PrintArea" hidden="1">#REF!</definedName>
    <definedName name="Z_1DA8B6FE_5DE1_11D2_8EEC_0008C7BCAF29_.wvu.PrintTitles" localSheetId="0" hidden="1">#REF!,#REF!</definedName>
    <definedName name="Z_1DA8B6FE_5DE1_11D2_8EEC_0008C7BCAF29_.wvu.PrintTitles" hidden="1">#REF!,#REF!</definedName>
    <definedName name="Z_2DA61901_F1AB_11D2_8EBB_0008C77C0743_.wvu.PrintArea" localSheetId="0" hidden="1">#REF!</definedName>
    <definedName name="Z_2DA61901_F1AB_11D2_8EBB_0008C77C0743_.wvu.PrintArea" hidden="1">#REF!</definedName>
    <definedName name="Z_2DA61901_F1AB_11D2_8EBB_0008C77C0743_.wvu.PrintTitles" localSheetId="0" hidden="1">#REF!</definedName>
    <definedName name="Z_2DA61901_F1AB_11D2_8EBB_0008C77C0743_.wvu.PrintTitles" hidden="1">#REF!</definedName>
    <definedName name="Z_2DA61914_F1AB_11D2_8EBB_0008C77C0743_.wvu.PrintArea" localSheetId="0" hidden="1">#REF!</definedName>
    <definedName name="Z_2DA61914_F1AB_11D2_8EBB_0008C77C0743_.wvu.PrintArea" hidden="1">#REF!</definedName>
    <definedName name="Z_2DA61914_F1AB_11D2_8EBB_0008C77C0743_.wvu.PrintTitles" localSheetId="0" hidden="1">#REF!</definedName>
    <definedName name="Z_2DA61914_F1AB_11D2_8EBB_0008C77C0743_.wvu.PrintTitles" hidden="1">#REF!</definedName>
    <definedName name="Z_2DA61924_F1AB_11D2_8EBB_0008C77C0743_.wvu.PrintArea" localSheetId="0" hidden="1">#REF!</definedName>
    <definedName name="Z_2DA61924_F1AB_11D2_8EBB_0008C77C0743_.wvu.PrintArea" hidden="1">#REF!</definedName>
    <definedName name="Z_2DA61924_F1AB_11D2_8EBB_0008C77C0743_.wvu.PrintTitles" localSheetId="0" hidden="1">#REF!,#REF!</definedName>
    <definedName name="Z_2DA61924_F1AB_11D2_8EBB_0008C77C0743_.wvu.PrintTitles" hidden="1">#REF!,#REF!</definedName>
    <definedName name="Z_3FBA103C_5DE2_11D2_8EE8_0008C77CC149_.wvu.PrintArea" localSheetId="0" hidden="1">#REF!</definedName>
    <definedName name="Z_3FBA103C_5DE2_11D2_8EE8_0008C77CC149_.wvu.PrintArea" hidden="1">#REF!</definedName>
    <definedName name="Z_3FBA103C_5DE2_11D2_8EE8_0008C77CC149_.wvu.PrintTitles" localSheetId="0" hidden="1">#REF!</definedName>
    <definedName name="Z_3FBA103C_5DE2_11D2_8EE8_0008C77CC149_.wvu.PrintTitles" hidden="1">#REF!</definedName>
    <definedName name="Z_3FBA104B_5DE2_11D2_8EE8_0008C77CC149_.wvu.PrintArea" localSheetId="0" hidden="1">#REF!</definedName>
    <definedName name="Z_3FBA104B_5DE2_11D2_8EE8_0008C77CC149_.wvu.PrintArea" hidden="1">#REF!</definedName>
    <definedName name="Z_3FBA104B_5DE2_11D2_8EE8_0008C77CC149_.wvu.PrintTitles" localSheetId="0" hidden="1">#REF!</definedName>
    <definedName name="Z_3FBA104B_5DE2_11D2_8EE8_0008C77CC149_.wvu.PrintTitles" hidden="1">#REF!</definedName>
    <definedName name="Z_3FBA1058_5DE2_11D2_8EE8_0008C77CC149_.wvu.PrintArea" localSheetId="0" hidden="1">#REF!</definedName>
    <definedName name="Z_3FBA1058_5DE2_11D2_8EE8_0008C77CC149_.wvu.PrintArea" hidden="1">#REF!</definedName>
    <definedName name="Z_3FBA1058_5DE2_11D2_8EE8_0008C77CC149_.wvu.PrintTitles" localSheetId="0" hidden="1">#REF!,#REF!</definedName>
    <definedName name="Z_3FBA1058_5DE2_11D2_8EE8_0008C77CC149_.wvu.PrintTitles" hidden="1">#REF!,#REF!</definedName>
    <definedName name="Z_3FE15DB3_17FC_11D2_8E97_0008C77CC149_.wvu.PrintArea" localSheetId="0" hidden="1">#REF!</definedName>
    <definedName name="Z_3FE15DB3_17FC_11D2_8E97_0008C77CC149_.wvu.PrintArea" hidden="1">#REF!</definedName>
    <definedName name="Z_3FE15DB3_17FC_11D2_8E97_0008C77CC149_.wvu.PrintTitles" localSheetId="0" hidden="1">#REF!</definedName>
    <definedName name="Z_3FE15DB3_17FC_11D2_8E97_0008C77CC149_.wvu.PrintTitles" hidden="1">#REF!</definedName>
    <definedName name="Z_3FE15DC2_17FC_11D2_8E97_0008C77CC149_.wvu.PrintArea" localSheetId="0" hidden="1">#REF!</definedName>
    <definedName name="Z_3FE15DC2_17FC_11D2_8E97_0008C77CC149_.wvu.PrintArea" hidden="1">#REF!</definedName>
    <definedName name="Z_3FE15DC2_17FC_11D2_8E97_0008C77CC149_.wvu.PrintTitles" localSheetId="0" hidden="1">#REF!</definedName>
    <definedName name="Z_3FE15DC2_17FC_11D2_8E97_0008C77CC149_.wvu.PrintTitles" hidden="1">#REF!</definedName>
    <definedName name="Z_3FE15DCF_17FC_11D2_8E97_0008C77CC149_.wvu.PrintArea" localSheetId="0" hidden="1">#REF!</definedName>
    <definedName name="Z_3FE15DCF_17FC_11D2_8E97_0008C77CC149_.wvu.PrintArea" hidden="1">#REF!</definedName>
    <definedName name="Z_3FE15DCF_17FC_11D2_8E97_0008C77CC149_.wvu.PrintTitles" localSheetId="0" hidden="1">#REF!,#REF!</definedName>
    <definedName name="Z_3FE15DCF_17FC_11D2_8E97_0008C77CC149_.wvu.PrintTitles" hidden="1">#REF!,#REF!</definedName>
    <definedName name="Z_4CC3570C_99A5_11D2_8E90_0008C7BCAF29_.wvu.PrintArea" localSheetId="0" hidden="1">#REF!</definedName>
    <definedName name="Z_4CC3570C_99A5_11D2_8E90_0008C7BCAF29_.wvu.PrintArea" hidden="1">#REF!</definedName>
    <definedName name="Z_4CC3570C_99A5_11D2_8E90_0008C7BCAF29_.wvu.PrintTitles" localSheetId="0" hidden="1">#REF!,#REF!</definedName>
    <definedName name="Z_4CC3570C_99A5_11D2_8E90_0008C7BCAF29_.wvu.PrintTitles" hidden="1">#REF!,#REF!</definedName>
    <definedName name="Z_4CC3570F_99A5_11D2_8E90_0008C7BCAF29_.wvu.PrintArea" localSheetId="0" hidden="1">#REF!</definedName>
    <definedName name="Z_4CC3570F_99A5_11D2_8E90_0008C7BCAF29_.wvu.PrintArea" hidden="1">#REF!</definedName>
    <definedName name="Z_4CC3570F_99A5_11D2_8E90_0008C7BCAF29_.wvu.PrintTitles" localSheetId="0" hidden="1">#REF!</definedName>
    <definedName name="Z_4CC3570F_99A5_11D2_8E90_0008C7BCAF29_.wvu.PrintTitles" hidden="1">#REF!</definedName>
    <definedName name="Z_4CC35714_99A5_11D2_8E90_0008C7BCAF29_.wvu.PrintArea" localSheetId="0" hidden="1">#REF!</definedName>
    <definedName name="Z_4CC35714_99A5_11D2_8E90_0008C7BCAF29_.wvu.PrintArea" hidden="1">#REF!</definedName>
    <definedName name="Z_4CC35714_99A5_11D2_8E90_0008C7BCAF29_.wvu.PrintTitles" localSheetId="0" hidden="1">#REF!,#REF!</definedName>
    <definedName name="Z_4CC35714_99A5_11D2_8E90_0008C7BCAF29_.wvu.PrintTitles" hidden="1">#REF!,#REF!</definedName>
    <definedName name="Z_4CC35716_99A5_11D2_8E90_0008C7BCAF29_.wvu.PrintArea" localSheetId="0" hidden="1">#REF!</definedName>
    <definedName name="Z_4CC35716_99A5_11D2_8E90_0008C7BCAF29_.wvu.PrintArea" hidden="1">#REF!</definedName>
    <definedName name="Z_4CC35716_99A5_11D2_8E90_0008C7BCAF29_.wvu.PrintTitles" localSheetId="0" hidden="1">#REF!,#REF!</definedName>
    <definedName name="Z_4CC35716_99A5_11D2_8E90_0008C7BCAF29_.wvu.PrintTitles" hidden="1">#REF!,#REF!</definedName>
    <definedName name="Z_4CC35719_99A5_11D2_8E90_0008C7BCAF29_.wvu.PrintArea" localSheetId="0" hidden="1">#REF!</definedName>
    <definedName name="Z_4CC35719_99A5_11D2_8E90_0008C7BCAF29_.wvu.PrintArea" hidden="1">#REF!</definedName>
    <definedName name="Z_4CC35719_99A5_11D2_8E90_0008C7BCAF29_.wvu.PrintTitles" localSheetId="0" hidden="1">#REF!</definedName>
    <definedName name="Z_4CC35719_99A5_11D2_8E90_0008C7BCAF29_.wvu.PrintTitles" hidden="1">#REF!</definedName>
    <definedName name="Z_4CC3571E_99A5_11D2_8E90_0008C7BCAF29_.wvu.PrintArea" localSheetId="0" hidden="1">#REF!</definedName>
    <definedName name="Z_4CC3571E_99A5_11D2_8E90_0008C7BCAF29_.wvu.PrintArea" hidden="1">#REF!</definedName>
    <definedName name="Z_4CC3571E_99A5_11D2_8E90_0008C7BCAF29_.wvu.PrintTitles" localSheetId="0" hidden="1">#REF!,#REF!</definedName>
    <definedName name="Z_4CC3571E_99A5_11D2_8E90_0008C7BCAF29_.wvu.PrintTitles" hidden="1">#REF!,#REF!</definedName>
    <definedName name="Z_4CC35721_99A5_11D2_8E90_0008C7BCAF29_.wvu.PrintArea" localSheetId="0" hidden="1">#REF!</definedName>
    <definedName name="Z_4CC35721_99A5_11D2_8E90_0008C7BCAF29_.wvu.PrintArea" hidden="1">#REF!</definedName>
    <definedName name="Z_4CC35721_99A5_11D2_8E90_0008C7BCAF29_.wvu.PrintTitles" localSheetId="0" hidden="1">#REF!,#REF!</definedName>
    <definedName name="Z_4CC35721_99A5_11D2_8E90_0008C7BCAF29_.wvu.PrintTitles" hidden="1">#REF!,#REF!</definedName>
    <definedName name="Z_5F95E421_892A_11D2_8E7F_0008C7809E09_.wvu.PrintArea" localSheetId="0" hidden="1">#REF!</definedName>
    <definedName name="Z_5F95E421_892A_11D2_8E7F_0008C7809E09_.wvu.PrintArea" hidden="1">#REF!</definedName>
    <definedName name="Z_5F95E421_892A_11D2_8E7F_0008C7809E09_.wvu.PrintTitles" localSheetId="0" hidden="1">#REF!,#REF!</definedName>
    <definedName name="Z_5F95E421_892A_11D2_8E7F_0008C7809E09_.wvu.PrintTitles" hidden="1">#REF!,#REF!</definedName>
    <definedName name="Z_5F95E424_892A_11D2_8E7F_0008C7809E09_.wvu.PrintArea" localSheetId="0" hidden="1">#REF!</definedName>
    <definedName name="Z_5F95E424_892A_11D2_8E7F_0008C7809E09_.wvu.PrintArea" hidden="1">#REF!</definedName>
    <definedName name="Z_5F95E424_892A_11D2_8E7F_0008C7809E09_.wvu.PrintTitles" localSheetId="0" hidden="1">#REF!</definedName>
    <definedName name="Z_5F95E424_892A_11D2_8E7F_0008C7809E09_.wvu.PrintTitles" hidden="1">#REF!</definedName>
    <definedName name="Z_5F95E429_892A_11D2_8E7F_0008C7809E09_.wvu.PrintArea" localSheetId="0" hidden="1">#REF!</definedName>
    <definedName name="Z_5F95E429_892A_11D2_8E7F_0008C7809E09_.wvu.PrintArea" hidden="1">#REF!</definedName>
    <definedName name="Z_5F95E429_892A_11D2_8E7F_0008C7809E09_.wvu.PrintTitles" localSheetId="0" hidden="1">#REF!,#REF!</definedName>
    <definedName name="Z_5F95E429_892A_11D2_8E7F_0008C7809E09_.wvu.PrintTitles" hidden="1">#REF!,#REF!</definedName>
    <definedName name="Z_5F95E42B_892A_11D2_8E7F_0008C7809E09_.wvu.PrintArea" localSheetId="0" hidden="1">#REF!</definedName>
    <definedName name="Z_5F95E42B_892A_11D2_8E7F_0008C7809E09_.wvu.PrintArea" hidden="1">#REF!</definedName>
    <definedName name="Z_5F95E42B_892A_11D2_8E7F_0008C7809E09_.wvu.PrintTitles" localSheetId="0" hidden="1">#REF!,#REF!</definedName>
    <definedName name="Z_5F95E42B_892A_11D2_8E7F_0008C7809E09_.wvu.PrintTitles" hidden="1">#REF!,#REF!</definedName>
    <definedName name="Z_5F95E42E_892A_11D2_8E7F_0008C7809E09_.wvu.PrintArea" localSheetId="0" hidden="1">#REF!</definedName>
    <definedName name="Z_5F95E42E_892A_11D2_8E7F_0008C7809E09_.wvu.PrintArea" hidden="1">#REF!</definedName>
    <definedName name="Z_5F95E42E_892A_11D2_8E7F_0008C7809E09_.wvu.PrintTitles" localSheetId="0" hidden="1">#REF!</definedName>
    <definedName name="Z_5F95E42E_892A_11D2_8E7F_0008C7809E09_.wvu.PrintTitles" hidden="1">#REF!</definedName>
    <definedName name="Z_5F95E433_892A_11D2_8E7F_0008C7809E09_.wvu.PrintArea" localSheetId="0" hidden="1">#REF!</definedName>
    <definedName name="Z_5F95E433_892A_11D2_8E7F_0008C7809E09_.wvu.PrintArea" hidden="1">#REF!</definedName>
    <definedName name="Z_5F95E433_892A_11D2_8E7F_0008C7809E09_.wvu.PrintTitles" localSheetId="0" hidden="1">#REF!,#REF!</definedName>
    <definedName name="Z_5F95E433_892A_11D2_8E7F_0008C7809E09_.wvu.PrintTitles" hidden="1">#REF!,#REF!</definedName>
    <definedName name="Z_5F95E436_892A_11D2_8E7F_0008C7809E09_.wvu.PrintArea" localSheetId="0" hidden="1">#REF!</definedName>
    <definedName name="Z_5F95E436_892A_11D2_8E7F_0008C7809E09_.wvu.PrintArea" hidden="1">#REF!</definedName>
    <definedName name="Z_5F95E436_892A_11D2_8E7F_0008C7809E09_.wvu.PrintTitles" localSheetId="0" hidden="1">#REF!,#REF!</definedName>
    <definedName name="Z_5F95E436_892A_11D2_8E7F_0008C7809E09_.wvu.PrintTitles" hidden="1">#REF!,#REF!</definedName>
    <definedName name="Z_61DB0F02_10ED_11D2_8E73_0008C77C0743_.wvu.PrintArea" localSheetId="0" hidden="1">#REF!</definedName>
    <definedName name="Z_61DB0F02_10ED_11D2_8E73_0008C77C0743_.wvu.PrintArea" hidden="1">#REF!</definedName>
    <definedName name="Z_61DB0F02_10ED_11D2_8E73_0008C77C0743_.wvu.PrintTitles" localSheetId="0" hidden="1">#REF!</definedName>
    <definedName name="Z_61DB0F02_10ED_11D2_8E73_0008C77C0743_.wvu.PrintTitles" hidden="1">#REF!</definedName>
    <definedName name="Z_61DB0F11_10ED_11D2_8E73_0008C77C0743_.wvu.PrintArea" localSheetId="0" hidden="1">#REF!</definedName>
    <definedName name="Z_61DB0F11_10ED_11D2_8E73_0008C77C0743_.wvu.PrintArea" hidden="1">#REF!</definedName>
    <definedName name="Z_61DB0F11_10ED_11D2_8E73_0008C77C0743_.wvu.PrintTitles" localSheetId="0" hidden="1">#REF!</definedName>
    <definedName name="Z_61DB0F11_10ED_11D2_8E73_0008C77C0743_.wvu.PrintTitles" hidden="1">#REF!</definedName>
    <definedName name="Z_61DB0F1E_10ED_11D2_8E73_0008C77C0743_.wvu.PrintArea" localSheetId="0" hidden="1">#REF!</definedName>
    <definedName name="Z_61DB0F1E_10ED_11D2_8E73_0008C77C0743_.wvu.PrintArea" hidden="1">#REF!</definedName>
    <definedName name="Z_61DB0F1E_10ED_11D2_8E73_0008C77C0743_.wvu.PrintTitles" localSheetId="0" hidden="1">#REF!,#REF!</definedName>
    <definedName name="Z_61DB0F1E_10ED_11D2_8E73_0008C77C0743_.wvu.PrintTitles" hidden="1">#REF!,#REF!</definedName>
    <definedName name="Z_6749F589_14FD_11D3_8EF9_0008C7BCAF29_.wvu.PrintArea" localSheetId="0" hidden="1">#REF!</definedName>
    <definedName name="Z_6749F589_14FD_11D3_8EF9_0008C7BCAF29_.wvu.PrintArea" hidden="1">#REF!</definedName>
    <definedName name="Z_6749F589_14FD_11D3_8EF9_0008C7BCAF29_.wvu.PrintTitles" localSheetId="0" hidden="1">#REF!</definedName>
    <definedName name="Z_6749F589_14FD_11D3_8EF9_0008C7BCAF29_.wvu.PrintTitles" hidden="1">#REF!</definedName>
    <definedName name="Z_6749F59C_14FD_11D3_8EF9_0008C7BCAF29_.wvu.PrintArea" localSheetId="0" hidden="1">#REF!</definedName>
    <definedName name="Z_6749F59C_14FD_11D3_8EF9_0008C7BCAF29_.wvu.PrintArea" hidden="1">#REF!</definedName>
    <definedName name="Z_6749F59C_14FD_11D3_8EF9_0008C7BCAF29_.wvu.PrintTitles" localSheetId="0" hidden="1">#REF!</definedName>
    <definedName name="Z_6749F59C_14FD_11D3_8EF9_0008C7BCAF29_.wvu.PrintTitles" hidden="1">#REF!</definedName>
    <definedName name="Z_6749F5AC_14FD_11D3_8EF9_0008C7BCAF29_.wvu.PrintArea" localSheetId="0" hidden="1">#REF!</definedName>
    <definedName name="Z_6749F5AC_14FD_11D3_8EF9_0008C7BCAF29_.wvu.PrintArea" hidden="1">#REF!</definedName>
    <definedName name="Z_6749F5AC_14FD_11D3_8EF9_0008C7BCAF29_.wvu.PrintTitles" localSheetId="0" hidden="1">#REF!,#REF!</definedName>
    <definedName name="Z_6749F5AC_14FD_11D3_8EF9_0008C7BCAF29_.wvu.PrintTitles" hidden="1">#REF!,#REF!</definedName>
    <definedName name="Z_68F84A93_5E0B_11D2_8EEE_0008C7BCAF29_.wvu.PrintArea" localSheetId="0" hidden="1">#REF!</definedName>
    <definedName name="Z_68F84A93_5E0B_11D2_8EEE_0008C7BCAF29_.wvu.PrintArea" hidden="1">#REF!</definedName>
    <definedName name="Z_68F84A93_5E0B_11D2_8EEE_0008C7BCAF29_.wvu.PrintTitles" localSheetId="0" hidden="1">#REF!</definedName>
    <definedName name="Z_68F84A93_5E0B_11D2_8EEE_0008C7BCAF29_.wvu.PrintTitles" hidden="1">#REF!</definedName>
    <definedName name="Z_68F84AA2_5E0B_11D2_8EEE_0008C7BCAF29_.wvu.PrintArea" localSheetId="0" hidden="1">#REF!</definedName>
    <definedName name="Z_68F84AA2_5E0B_11D2_8EEE_0008C7BCAF29_.wvu.PrintArea" hidden="1">#REF!</definedName>
    <definedName name="Z_68F84AA2_5E0B_11D2_8EEE_0008C7BCAF29_.wvu.PrintTitles" localSheetId="0" hidden="1">#REF!</definedName>
    <definedName name="Z_68F84AA2_5E0B_11D2_8EEE_0008C7BCAF29_.wvu.PrintTitles" hidden="1">#REF!</definedName>
    <definedName name="Z_68F84AAF_5E0B_11D2_8EEE_0008C7BCAF29_.wvu.PrintArea" localSheetId="0" hidden="1">#REF!</definedName>
    <definedName name="Z_68F84AAF_5E0B_11D2_8EEE_0008C7BCAF29_.wvu.PrintArea" hidden="1">#REF!</definedName>
    <definedName name="Z_68F84AAF_5E0B_11D2_8EEE_0008C7BCAF29_.wvu.PrintTitles" localSheetId="0" hidden="1">#REF!,#REF!</definedName>
    <definedName name="Z_68F84AAF_5E0B_11D2_8EEE_0008C7BCAF29_.wvu.PrintTitles" hidden="1">#REF!,#REF!</definedName>
    <definedName name="Z_68F84ABA_5E0B_11D2_8EEE_0008C7BCAF29_.wvu.PrintArea" localSheetId="0" hidden="1">#REF!</definedName>
    <definedName name="Z_68F84ABA_5E0B_11D2_8EEE_0008C7BCAF29_.wvu.PrintArea" hidden="1">#REF!</definedName>
    <definedName name="Z_68F84ABA_5E0B_11D2_8EEE_0008C7BCAF29_.wvu.PrintTitles" localSheetId="0" hidden="1">#REF!,#REF!</definedName>
    <definedName name="Z_68F84ABA_5E0B_11D2_8EEE_0008C7BCAF29_.wvu.PrintTitles" hidden="1">#REF!,#REF!</definedName>
    <definedName name="Z_68F84ABC_5E0B_11D2_8EEE_0008C7BCAF29_.wvu.PrintArea" localSheetId="0" hidden="1">#REF!</definedName>
    <definedName name="Z_68F84ABC_5E0B_11D2_8EEE_0008C7BCAF29_.wvu.PrintArea" hidden="1">#REF!</definedName>
    <definedName name="Z_68F84ABC_5E0B_11D2_8EEE_0008C7BCAF29_.wvu.PrintTitles" localSheetId="0" hidden="1">#REF!</definedName>
    <definedName name="Z_68F84ABC_5E0B_11D2_8EEE_0008C7BCAF29_.wvu.PrintTitles" hidden="1">#REF!</definedName>
    <definedName name="Z_68F84ABF_5E0B_11D2_8EEE_0008C7BCAF29_.wvu.PrintArea" localSheetId="0" hidden="1">#REF!</definedName>
    <definedName name="Z_68F84ABF_5E0B_11D2_8EEE_0008C7BCAF29_.wvu.PrintArea" hidden="1">#REF!</definedName>
    <definedName name="Z_68F84ABF_5E0B_11D2_8EEE_0008C7BCAF29_.wvu.PrintTitles" localSheetId="0" hidden="1">#REF!,#REF!</definedName>
    <definedName name="Z_68F84ABF_5E0B_11D2_8EEE_0008C7BCAF29_.wvu.PrintTitles" hidden="1">#REF!,#REF!</definedName>
    <definedName name="Z_68F84AC1_5E0B_11D2_8EEE_0008C7BCAF29_.wvu.PrintArea" localSheetId="0" hidden="1">#REF!</definedName>
    <definedName name="Z_68F84AC1_5E0B_11D2_8EEE_0008C7BCAF29_.wvu.PrintArea" hidden="1">#REF!</definedName>
    <definedName name="Z_68F84AC1_5E0B_11D2_8EEE_0008C7BCAF29_.wvu.PrintTitles" localSheetId="0" hidden="1">#REF!,#REF!</definedName>
    <definedName name="Z_68F84AC1_5E0B_11D2_8EEE_0008C7BCAF29_.wvu.PrintTitles" hidden="1">#REF!,#REF!</definedName>
    <definedName name="Z_68F84AC3_5E0B_11D2_8EEE_0008C7BCAF29_.wvu.PrintArea" localSheetId="0" hidden="1">#REF!</definedName>
    <definedName name="Z_68F84AC3_5E0B_11D2_8EEE_0008C7BCAF29_.wvu.PrintArea" hidden="1">#REF!</definedName>
    <definedName name="Z_68F84AC3_5E0B_11D2_8EEE_0008C7BCAF29_.wvu.PrintTitles" localSheetId="0" hidden="1">#REF!</definedName>
    <definedName name="Z_68F84AC3_5E0B_11D2_8EEE_0008C7BCAF29_.wvu.PrintTitles" hidden="1">#REF!</definedName>
    <definedName name="Z_68F84AC6_5E0B_11D2_8EEE_0008C7BCAF29_.wvu.PrintArea" localSheetId="0" hidden="1">#REF!</definedName>
    <definedName name="Z_68F84AC6_5E0B_11D2_8EEE_0008C7BCAF29_.wvu.PrintArea" hidden="1">#REF!</definedName>
    <definedName name="Z_68F84AC6_5E0B_11D2_8EEE_0008C7BCAF29_.wvu.PrintTitles" localSheetId="0" hidden="1">#REF!,#REF!</definedName>
    <definedName name="Z_68F84AC6_5E0B_11D2_8EEE_0008C7BCAF29_.wvu.PrintTitles" hidden="1">#REF!,#REF!</definedName>
    <definedName name="Z_68F84AC8_5E0B_11D2_8EEE_0008C7BCAF29_.wvu.PrintArea" localSheetId="0" hidden="1">#REF!</definedName>
    <definedName name="Z_68F84AC8_5E0B_11D2_8EEE_0008C7BCAF29_.wvu.PrintArea" hidden="1">#REF!</definedName>
    <definedName name="Z_68F84AC8_5E0B_11D2_8EEE_0008C7BCAF29_.wvu.PrintTitles" localSheetId="0" hidden="1">#REF!,#REF!</definedName>
    <definedName name="Z_68F84AC8_5E0B_11D2_8EEE_0008C7BCAF29_.wvu.PrintTitles" hidden="1">#REF!,#REF!</definedName>
    <definedName name="Z_68F84ACE_5E0B_11D2_8EEE_0008C7BCAF29_.wvu.PrintArea" localSheetId="0" hidden="1">#REF!</definedName>
    <definedName name="Z_68F84ACE_5E0B_11D2_8EEE_0008C7BCAF29_.wvu.PrintArea" hidden="1">#REF!</definedName>
    <definedName name="Z_68F84ACE_5E0B_11D2_8EEE_0008C7BCAF29_.wvu.PrintTitles" localSheetId="0" hidden="1">#REF!</definedName>
    <definedName name="Z_68F84ACE_5E0B_11D2_8EEE_0008C7BCAF29_.wvu.PrintTitles" hidden="1">#REF!</definedName>
    <definedName name="Z_68F84ADD_5E0B_11D2_8EEE_0008C7BCAF29_.wvu.PrintArea" localSheetId="0" hidden="1">#REF!</definedName>
    <definedName name="Z_68F84ADD_5E0B_11D2_8EEE_0008C7BCAF29_.wvu.PrintArea" hidden="1">#REF!</definedName>
    <definedName name="Z_68F84ADD_5E0B_11D2_8EEE_0008C7BCAF29_.wvu.PrintTitles" localSheetId="0" hidden="1">#REF!</definedName>
    <definedName name="Z_68F84ADD_5E0B_11D2_8EEE_0008C7BCAF29_.wvu.PrintTitles" hidden="1">#REF!</definedName>
    <definedName name="Z_68F84AEA_5E0B_11D2_8EEE_0008C7BCAF29_.wvu.PrintArea" localSheetId="0" hidden="1">#REF!</definedName>
    <definedName name="Z_68F84AEA_5E0B_11D2_8EEE_0008C7BCAF29_.wvu.PrintArea" hidden="1">#REF!</definedName>
    <definedName name="Z_68F84AEA_5E0B_11D2_8EEE_0008C7BCAF29_.wvu.PrintTitles" localSheetId="0" hidden="1">#REF!,#REF!</definedName>
    <definedName name="Z_68F84AEA_5E0B_11D2_8EEE_0008C7BCAF29_.wvu.PrintTitles" hidden="1">#REF!,#REF!</definedName>
    <definedName name="Z_68F84AF6_5E0B_11D2_8EEE_0008C7BCAF29_.wvu.PrintArea" localSheetId="0" hidden="1">#REF!</definedName>
    <definedName name="Z_68F84AF6_5E0B_11D2_8EEE_0008C7BCAF29_.wvu.PrintArea" hidden="1">#REF!</definedName>
    <definedName name="Z_68F84AF6_5E0B_11D2_8EEE_0008C7BCAF29_.wvu.PrintTitles" localSheetId="0" hidden="1">#REF!,#REF!</definedName>
    <definedName name="Z_68F84AF6_5E0B_11D2_8EEE_0008C7BCAF29_.wvu.PrintTitles" hidden="1">#REF!,#REF!</definedName>
    <definedName name="Z_68F84AF9_5E0B_11D2_8EEE_0008C7BCAF29_.wvu.PrintArea" localSheetId="0" hidden="1">#REF!</definedName>
    <definedName name="Z_68F84AF9_5E0B_11D2_8EEE_0008C7BCAF29_.wvu.PrintArea" hidden="1">#REF!</definedName>
    <definedName name="Z_68F84AF9_5E0B_11D2_8EEE_0008C7BCAF29_.wvu.PrintTitles" localSheetId="0" hidden="1">#REF!</definedName>
    <definedName name="Z_68F84AF9_5E0B_11D2_8EEE_0008C7BCAF29_.wvu.PrintTitles" hidden="1">#REF!</definedName>
    <definedName name="Z_68F84AFE_5E0B_11D2_8EEE_0008C7BCAF29_.wvu.PrintArea" localSheetId="0" hidden="1">#REF!</definedName>
    <definedName name="Z_68F84AFE_5E0B_11D2_8EEE_0008C7BCAF29_.wvu.PrintArea" hidden="1">#REF!</definedName>
    <definedName name="Z_68F84AFE_5E0B_11D2_8EEE_0008C7BCAF29_.wvu.PrintTitles" localSheetId="0" hidden="1">#REF!,#REF!</definedName>
    <definedName name="Z_68F84AFE_5E0B_11D2_8EEE_0008C7BCAF29_.wvu.PrintTitles" hidden="1">#REF!,#REF!</definedName>
    <definedName name="Z_68F84B00_5E0B_11D2_8EEE_0008C7BCAF29_.wvu.PrintArea" localSheetId="0" hidden="1">#REF!</definedName>
    <definedName name="Z_68F84B00_5E0B_11D2_8EEE_0008C7BCAF29_.wvu.PrintArea" hidden="1">#REF!</definedName>
    <definedName name="Z_68F84B00_5E0B_11D2_8EEE_0008C7BCAF29_.wvu.PrintTitles" localSheetId="0" hidden="1">#REF!,#REF!</definedName>
    <definedName name="Z_68F84B00_5E0B_11D2_8EEE_0008C7BCAF29_.wvu.PrintTitles" hidden="1">#REF!,#REF!</definedName>
    <definedName name="Z_68F84B03_5E0B_11D2_8EEE_0008C7BCAF29_.wvu.PrintArea" localSheetId="0" hidden="1">#REF!</definedName>
    <definedName name="Z_68F84B03_5E0B_11D2_8EEE_0008C7BCAF29_.wvu.PrintArea" hidden="1">#REF!</definedName>
    <definedName name="Z_68F84B03_5E0B_11D2_8EEE_0008C7BCAF29_.wvu.PrintTitles" localSheetId="0" hidden="1">#REF!</definedName>
    <definedName name="Z_68F84B03_5E0B_11D2_8EEE_0008C7BCAF29_.wvu.PrintTitles" hidden="1">#REF!</definedName>
    <definedName name="Z_68F84B08_5E0B_11D2_8EEE_0008C7BCAF29_.wvu.PrintArea" localSheetId="0" hidden="1">#REF!</definedName>
    <definedName name="Z_68F84B08_5E0B_11D2_8EEE_0008C7BCAF29_.wvu.PrintArea" hidden="1">#REF!</definedName>
    <definedName name="Z_68F84B08_5E0B_11D2_8EEE_0008C7BCAF29_.wvu.PrintTitles" localSheetId="0" hidden="1">#REF!,#REF!</definedName>
    <definedName name="Z_68F84B08_5E0B_11D2_8EEE_0008C7BCAF29_.wvu.PrintTitles" hidden="1">#REF!,#REF!</definedName>
    <definedName name="Z_68F84B0B_5E0B_11D2_8EEE_0008C7BCAF29_.wvu.PrintArea" localSheetId="0" hidden="1">#REF!</definedName>
    <definedName name="Z_68F84B0B_5E0B_11D2_8EEE_0008C7BCAF29_.wvu.PrintArea" hidden="1">#REF!</definedName>
    <definedName name="Z_68F84B0B_5E0B_11D2_8EEE_0008C7BCAF29_.wvu.PrintTitles" localSheetId="0" hidden="1">#REF!,#REF!</definedName>
    <definedName name="Z_68F84B0B_5E0B_11D2_8EEE_0008C7BCAF29_.wvu.PrintTitles" hidden="1">#REF!,#REF!</definedName>
    <definedName name="Z_68F84B11_5E0B_11D2_8EEE_0008C7BCAF29_.wvu.PrintArea" localSheetId="0" hidden="1">#REF!</definedName>
    <definedName name="Z_68F84B11_5E0B_11D2_8EEE_0008C7BCAF29_.wvu.PrintArea" hidden="1">#REF!</definedName>
    <definedName name="Z_68F84B11_5E0B_11D2_8EEE_0008C7BCAF29_.wvu.PrintTitles" localSheetId="0" hidden="1">#REF!,#REF!</definedName>
    <definedName name="Z_68F84B11_5E0B_11D2_8EEE_0008C7BCAF29_.wvu.PrintTitles" hidden="1">#REF!,#REF!</definedName>
    <definedName name="Z_68F84B14_5E0B_11D2_8EEE_0008C7BCAF29_.wvu.PrintArea" localSheetId="0" hidden="1">#REF!</definedName>
    <definedName name="Z_68F84B14_5E0B_11D2_8EEE_0008C7BCAF29_.wvu.PrintArea" hidden="1">#REF!</definedName>
    <definedName name="Z_68F84B14_5E0B_11D2_8EEE_0008C7BCAF29_.wvu.PrintTitles" localSheetId="0" hidden="1">#REF!</definedName>
    <definedName name="Z_68F84B14_5E0B_11D2_8EEE_0008C7BCAF29_.wvu.PrintTitles" hidden="1">#REF!</definedName>
    <definedName name="Z_68F84B19_5E0B_11D2_8EEE_0008C7BCAF29_.wvu.PrintArea" localSheetId="0" hidden="1">#REF!</definedName>
    <definedName name="Z_68F84B19_5E0B_11D2_8EEE_0008C7BCAF29_.wvu.PrintArea" hidden="1">#REF!</definedName>
    <definedName name="Z_68F84B19_5E0B_11D2_8EEE_0008C7BCAF29_.wvu.PrintTitles" localSheetId="0" hidden="1">#REF!,#REF!</definedName>
    <definedName name="Z_68F84B19_5E0B_11D2_8EEE_0008C7BCAF29_.wvu.PrintTitles" hidden="1">#REF!,#REF!</definedName>
    <definedName name="Z_68F84B1B_5E0B_11D2_8EEE_0008C7BCAF29_.wvu.PrintArea" localSheetId="0" hidden="1">#REF!</definedName>
    <definedName name="Z_68F84B1B_5E0B_11D2_8EEE_0008C7BCAF29_.wvu.PrintArea" hidden="1">#REF!</definedName>
    <definedName name="Z_68F84B1B_5E0B_11D2_8EEE_0008C7BCAF29_.wvu.PrintTitles" localSheetId="0" hidden="1">#REF!,#REF!</definedName>
    <definedName name="Z_68F84B1B_5E0B_11D2_8EEE_0008C7BCAF29_.wvu.PrintTitles" hidden="1">#REF!,#REF!</definedName>
    <definedName name="Z_68F84B1E_5E0B_11D2_8EEE_0008C7BCAF29_.wvu.PrintArea" localSheetId="0" hidden="1">#REF!</definedName>
    <definedName name="Z_68F84B1E_5E0B_11D2_8EEE_0008C7BCAF29_.wvu.PrintArea" hidden="1">#REF!</definedName>
    <definedName name="Z_68F84B1E_5E0B_11D2_8EEE_0008C7BCAF29_.wvu.PrintTitles" localSheetId="0" hidden="1">#REF!</definedName>
    <definedName name="Z_68F84B1E_5E0B_11D2_8EEE_0008C7BCAF29_.wvu.PrintTitles" hidden="1">#REF!</definedName>
    <definedName name="Z_68F84B23_5E0B_11D2_8EEE_0008C7BCAF29_.wvu.PrintArea" localSheetId="0" hidden="1">#REF!</definedName>
    <definedName name="Z_68F84B23_5E0B_11D2_8EEE_0008C7BCAF29_.wvu.PrintArea" hidden="1">#REF!</definedName>
    <definedName name="Z_68F84B23_5E0B_11D2_8EEE_0008C7BCAF29_.wvu.PrintTitles" localSheetId="0" hidden="1">#REF!,#REF!</definedName>
    <definedName name="Z_68F84B23_5E0B_11D2_8EEE_0008C7BCAF29_.wvu.PrintTitles" hidden="1">#REF!,#REF!</definedName>
    <definedName name="Z_68F84B26_5E0B_11D2_8EEE_0008C7BCAF29_.wvu.PrintArea" localSheetId="0" hidden="1">#REF!</definedName>
    <definedName name="Z_68F84B26_5E0B_11D2_8EEE_0008C7BCAF29_.wvu.PrintArea" hidden="1">#REF!</definedName>
    <definedName name="Z_68F84B26_5E0B_11D2_8EEE_0008C7BCAF29_.wvu.PrintTitles" localSheetId="0" hidden="1">#REF!,#REF!</definedName>
    <definedName name="Z_68F84B26_5E0B_11D2_8EEE_0008C7BCAF29_.wvu.PrintTitles" hidden="1">#REF!,#REF!</definedName>
    <definedName name="Z_76FBE7D5_5EAD_11D2_8EEF_0008C7BCAF29_.wvu.PrintArea" localSheetId="0" hidden="1">#REF!</definedName>
    <definedName name="Z_76FBE7D5_5EAD_11D2_8EEF_0008C7BCAF29_.wvu.PrintArea" hidden="1">#REF!</definedName>
    <definedName name="Z_76FBE7D5_5EAD_11D2_8EEF_0008C7BCAF29_.wvu.PrintTitles" localSheetId="0" hidden="1">#REF!,#REF!</definedName>
    <definedName name="Z_76FBE7D5_5EAD_11D2_8EEF_0008C7BCAF29_.wvu.PrintTitles" hidden="1">#REF!,#REF!</definedName>
    <definedName name="Z_76FBE7D7_5EAD_11D2_8EEF_0008C7BCAF29_.wvu.PrintArea" localSheetId="0" hidden="1">#REF!</definedName>
    <definedName name="Z_76FBE7D7_5EAD_11D2_8EEF_0008C7BCAF29_.wvu.PrintArea" hidden="1">#REF!</definedName>
    <definedName name="Z_76FBE7D7_5EAD_11D2_8EEF_0008C7BCAF29_.wvu.PrintTitles" localSheetId="0" hidden="1">#REF!</definedName>
    <definedName name="Z_76FBE7D7_5EAD_11D2_8EEF_0008C7BCAF29_.wvu.PrintTitles" hidden="1">#REF!</definedName>
    <definedName name="Z_76FBE7DA_5EAD_11D2_8EEF_0008C7BCAF29_.wvu.PrintArea" localSheetId="0" hidden="1">#REF!</definedName>
    <definedName name="Z_76FBE7DA_5EAD_11D2_8EEF_0008C7BCAF29_.wvu.PrintArea" hidden="1">#REF!</definedName>
    <definedName name="Z_76FBE7DA_5EAD_11D2_8EEF_0008C7BCAF29_.wvu.PrintTitles" localSheetId="0" hidden="1">#REF!,#REF!</definedName>
    <definedName name="Z_76FBE7DA_5EAD_11D2_8EEF_0008C7BCAF29_.wvu.PrintTitles" hidden="1">#REF!,#REF!</definedName>
    <definedName name="Z_76FBE7DC_5EAD_11D2_8EEF_0008C7BCAF29_.wvu.PrintArea" localSheetId="0" hidden="1">#REF!</definedName>
    <definedName name="Z_76FBE7DC_5EAD_11D2_8EEF_0008C7BCAF29_.wvu.PrintArea" hidden="1">#REF!</definedName>
    <definedName name="Z_76FBE7DC_5EAD_11D2_8EEF_0008C7BCAF29_.wvu.PrintTitles" localSheetId="0" hidden="1">#REF!,#REF!</definedName>
    <definedName name="Z_76FBE7DC_5EAD_11D2_8EEF_0008C7BCAF29_.wvu.PrintTitles" hidden="1">#REF!,#REF!</definedName>
    <definedName name="Z_76FBE7DE_5EAD_11D2_8EEF_0008C7BCAF29_.wvu.PrintArea" localSheetId="0" hidden="1">#REF!</definedName>
    <definedName name="Z_76FBE7DE_5EAD_11D2_8EEF_0008C7BCAF29_.wvu.PrintArea" hidden="1">#REF!</definedName>
    <definedName name="Z_76FBE7DE_5EAD_11D2_8EEF_0008C7BCAF29_.wvu.PrintTitles" localSheetId="0" hidden="1">#REF!</definedName>
    <definedName name="Z_76FBE7DE_5EAD_11D2_8EEF_0008C7BCAF29_.wvu.PrintTitles" hidden="1">#REF!</definedName>
    <definedName name="Z_76FBE7E1_5EAD_11D2_8EEF_0008C7BCAF29_.wvu.PrintArea" localSheetId="0" hidden="1">#REF!</definedName>
    <definedName name="Z_76FBE7E1_5EAD_11D2_8EEF_0008C7BCAF29_.wvu.PrintArea" hidden="1">#REF!</definedName>
    <definedName name="Z_76FBE7E1_5EAD_11D2_8EEF_0008C7BCAF29_.wvu.PrintTitles" localSheetId="0" hidden="1">#REF!,#REF!</definedName>
    <definedName name="Z_76FBE7E1_5EAD_11D2_8EEF_0008C7BCAF29_.wvu.PrintTitles" hidden="1">#REF!,#REF!</definedName>
    <definedName name="Z_76FBE7E3_5EAD_11D2_8EEF_0008C7BCAF29_.wvu.PrintArea" localSheetId="0" hidden="1">#REF!</definedName>
    <definedName name="Z_76FBE7E3_5EAD_11D2_8EEF_0008C7BCAF29_.wvu.PrintArea" hidden="1">#REF!</definedName>
    <definedName name="Z_76FBE7E3_5EAD_11D2_8EEF_0008C7BCAF29_.wvu.PrintTitles" localSheetId="0" hidden="1">#REF!,#REF!</definedName>
    <definedName name="Z_76FBE7E3_5EAD_11D2_8EEF_0008C7BCAF29_.wvu.PrintTitles" hidden="1">#REF!,#REF!</definedName>
    <definedName name="Z_974EFDB0_1051_11D2_8E71_0008C77C0743_.wvu.PrintArea" localSheetId="0" hidden="1">#REF!</definedName>
    <definedName name="Z_974EFDB0_1051_11D2_8E71_0008C77C0743_.wvu.PrintArea" hidden="1">#REF!</definedName>
    <definedName name="Z_974EFDB0_1051_11D2_8E71_0008C77C0743_.wvu.PrintTitles" localSheetId="0" hidden="1">#REF!,#REF!</definedName>
    <definedName name="Z_974EFDB0_1051_11D2_8E71_0008C77C0743_.wvu.PrintTitles" hidden="1">#REF!,#REF!</definedName>
    <definedName name="Z_974EFDB2_1051_11D2_8E71_0008C77C0743_.wvu.PrintArea" localSheetId="0" hidden="1">#REF!</definedName>
    <definedName name="Z_974EFDB2_1051_11D2_8E71_0008C77C0743_.wvu.PrintArea" hidden="1">#REF!</definedName>
    <definedName name="Z_974EFDB2_1051_11D2_8E71_0008C77C0743_.wvu.PrintTitles" localSheetId="0" hidden="1">#REF!</definedName>
    <definedName name="Z_974EFDB2_1051_11D2_8E71_0008C77C0743_.wvu.PrintTitles" hidden="1">#REF!</definedName>
    <definedName name="Z_974EFDB5_1051_11D2_8E71_0008C77C0743_.wvu.PrintArea" localSheetId="0" hidden="1">#REF!</definedName>
    <definedName name="Z_974EFDB5_1051_11D2_8E71_0008C77C0743_.wvu.PrintArea" hidden="1">#REF!</definedName>
    <definedName name="Z_974EFDB5_1051_11D2_8E71_0008C77C0743_.wvu.PrintTitles" localSheetId="0" hidden="1">#REF!,#REF!</definedName>
    <definedName name="Z_974EFDB5_1051_11D2_8E71_0008C77C0743_.wvu.PrintTitles" hidden="1">#REF!,#REF!</definedName>
    <definedName name="Z_974EFDB7_1051_11D2_8E71_0008C77C0743_.wvu.PrintArea" localSheetId="0" hidden="1">#REF!</definedName>
    <definedName name="Z_974EFDB7_1051_11D2_8E71_0008C77C0743_.wvu.PrintArea" hidden="1">#REF!</definedName>
    <definedName name="Z_974EFDB7_1051_11D2_8E71_0008C77C0743_.wvu.PrintTitles" localSheetId="0" hidden="1">#REF!,#REF!</definedName>
    <definedName name="Z_974EFDB7_1051_11D2_8E71_0008C77C0743_.wvu.PrintTitles" hidden="1">#REF!,#REF!</definedName>
    <definedName name="Z_974EFDB9_1051_11D2_8E71_0008C77C0743_.wvu.PrintArea" localSheetId="0" hidden="1">#REF!</definedName>
    <definedName name="Z_974EFDB9_1051_11D2_8E71_0008C77C0743_.wvu.PrintArea" hidden="1">#REF!</definedName>
    <definedName name="Z_974EFDB9_1051_11D2_8E71_0008C77C0743_.wvu.PrintTitles" localSheetId="0" hidden="1">#REF!</definedName>
    <definedName name="Z_974EFDB9_1051_11D2_8E71_0008C77C0743_.wvu.PrintTitles" hidden="1">#REF!</definedName>
    <definedName name="Z_974EFDBC_1051_11D2_8E71_0008C77C0743_.wvu.PrintArea" localSheetId="0" hidden="1">#REF!</definedName>
    <definedName name="Z_974EFDBC_1051_11D2_8E71_0008C77C0743_.wvu.PrintArea" hidden="1">#REF!</definedName>
    <definedName name="Z_974EFDBC_1051_11D2_8E71_0008C77C0743_.wvu.PrintTitles" localSheetId="0" hidden="1">#REF!,#REF!</definedName>
    <definedName name="Z_974EFDBC_1051_11D2_8E71_0008C77C0743_.wvu.PrintTitles" hidden="1">#REF!,#REF!</definedName>
    <definedName name="Z_974EFDBE_1051_11D2_8E71_0008C77C0743_.wvu.PrintArea" localSheetId="0" hidden="1">#REF!</definedName>
    <definedName name="Z_974EFDBE_1051_11D2_8E71_0008C77C0743_.wvu.PrintArea" hidden="1">#REF!</definedName>
    <definedName name="Z_974EFDBE_1051_11D2_8E71_0008C77C0743_.wvu.PrintTitles" localSheetId="0" hidden="1">#REF!,#REF!</definedName>
    <definedName name="Z_974EFDBE_1051_11D2_8E71_0008C77C0743_.wvu.PrintTitles" hidden="1">#REF!,#REF!</definedName>
    <definedName name="Z_A1DB4122_5E0E_11D2_8EC3_0008C77C0743_.wvu.PrintArea" localSheetId="0" hidden="1">#REF!</definedName>
    <definedName name="Z_A1DB4122_5E0E_11D2_8EC3_0008C77C0743_.wvu.PrintArea" hidden="1">#REF!</definedName>
    <definedName name="Z_A1DB4122_5E0E_11D2_8EC3_0008C77C0743_.wvu.PrintTitles" localSheetId="0" hidden="1">#REF!</definedName>
    <definedName name="Z_A1DB4122_5E0E_11D2_8EC3_0008C77C0743_.wvu.PrintTitles" hidden="1">#REF!</definedName>
    <definedName name="Z_A1DB4131_5E0E_11D2_8EC3_0008C77C0743_.wvu.PrintArea" localSheetId="0" hidden="1">#REF!</definedName>
    <definedName name="Z_A1DB4131_5E0E_11D2_8EC3_0008C77C0743_.wvu.PrintArea" hidden="1">#REF!</definedName>
    <definedName name="Z_A1DB4131_5E0E_11D2_8EC3_0008C77C0743_.wvu.PrintTitles" localSheetId="0" hidden="1">#REF!</definedName>
    <definedName name="Z_A1DB4131_5E0E_11D2_8EC3_0008C77C0743_.wvu.PrintTitles" hidden="1">#REF!</definedName>
    <definedName name="Z_A1DB413E_5E0E_11D2_8EC3_0008C77C0743_.wvu.PrintArea" localSheetId="0" hidden="1">#REF!</definedName>
    <definedName name="Z_A1DB413E_5E0E_11D2_8EC3_0008C77C0743_.wvu.PrintArea" hidden="1">#REF!</definedName>
    <definedName name="Z_A1DB413E_5E0E_11D2_8EC3_0008C77C0743_.wvu.PrintTitles" localSheetId="0" hidden="1">#REF!,#REF!</definedName>
    <definedName name="Z_A1DB413E_5E0E_11D2_8EC3_0008C77C0743_.wvu.PrintTitles" hidden="1">#REF!,#REF!</definedName>
    <definedName name="Z_A1DB414B_5E0E_11D2_8EC3_0008C77C0743_.wvu.PrintArea" localSheetId="0" hidden="1">#REF!</definedName>
    <definedName name="Z_A1DB414B_5E0E_11D2_8EC3_0008C77C0743_.wvu.PrintArea" hidden="1">#REF!</definedName>
    <definedName name="Z_A1DB414B_5E0E_11D2_8EC3_0008C77C0743_.wvu.PrintTitles" localSheetId="0" hidden="1">#REF!</definedName>
    <definedName name="Z_A1DB414B_5E0E_11D2_8EC3_0008C77C0743_.wvu.PrintTitles" hidden="1">#REF!</definedName>
    <definedName name="Z_A1DB415A_5E0E_11D2_8EC3_0008C77C0743_.wvu.PrintArea" localSheetId="0" hidden="1">#REF!</definedName>
    <definedName name="Z_A1DB415A_5E0E_11D2_8EC3_0008C77C0743_.wvu.PrintArea" hidden="1">#REF!</definedName>
    <definedName name="Z_A1DB415A_5E0E_11D2_8EC3_0008C77C0743_.wvu.PrintTitles" localSheetId="0" hidden="1">#REF!</definedName>
    <definedName name="Z_A1DB415A_5E0E_11D2_8EC3_0008C77C0743_.wvu.PrintTitles" hidden="1">#REF!</definedName>
    <definedName name="Z_A1DB4167_5E0E_11D2_8EC3_0008C77C0743_.wvu.PrintArea" localSheetId="0" hidden="1">#REF!</definedName>
    <definedName name="Z_A1DB4167_5E0E_11D2_8EC3_0008C77C0743_.wvu.PrintArea" hidden="1">#REF!</definedName>
    <definedName name="Z_A1DB4167_5E0E_11D2_8EC3_0008C77C0743_.wvu.PrintTitles" localSheetId="0" hidden="1">#REF!,#REF!</definedName>
    <definedName name="Z_A1DB4167_5E0E_11D2_8EC3_0008C77C0743_.wvu.PrintTitles" hidden="1">#REF!,#REF!</definedName>
    <definedName name="Z_A1DB4176_5E0E_11D2_8EC3_0008C77C0743_.wvu.PrintArea" localSheetId="0" hidden="1">#REF!</definedName>
    <definedName name="Z_A1DB4176_5E0E_11D2_8EC3_0008C77C0743_.wvu.PrintArea" hidden="1">#REF!</definedName>
    <definedName name="Z_A1DB4176_5E0E_11D2_8EC3_0008C77C0743_.wvu.PrintTitles" localSheetId="0" hidden="1">#REF!</definedName>
    <definedName name="Z_A1DB4176_5E0E_11D2_8EC3_0008C77C0743_.wvu.PrintTitles" hidden="1">#REF!</definedName>
    <definedName name="Z_A1DB4185_5E0E_11D2_8EC3_0008C77C0743_.wvu.PrintArea" localSheetId="0" hidden="1">#REF!</definedName>
    <definedName name="Z_A1DB4185_5E0E_11D2_8EC3_0008C77C0743_.wvu.PrintArea" hidden="1">#REF!</definedName>
    <definedName name="Z_A1DB4185_5E0E_11D2_8EC3_0008C77C0743_.wvu.PrintTitles" localSheetId="0" hidden="1">#REF!</definedName>
    <definedName name="Z_A1DB4185_5E0E_11D2_8EC3_0008C77C0743_.wvu.PrintTitles" hidden="1">#REF!</definedName>
    <definedName name="Z_A1DB4192_5E0E_11D2_8EC3_0008C77C0743_.wvu.PrintArea" localSheetId="0" hidden="1">#REF!</definedName>
    <definedName name="Z_A1DB4192_5E0E_11D2_8EC3_0008C77C0743_.wvu.PrintArea" hidden="1">#REF!</definedName>
    <definedName name="Z_A1DB4192_5E0E_11D2_8EC3_0008C77C0743_.wvu.PrintTitles" localSheetId="0" hidden="1">#REF!,#REF!</definedName>
    <definedName name="Z_A1DB4192_5E0E_11D2_8EC3_0008C77C0743_.wvu.PrintTitles" hidden="1">#REF!,#REF!</definedName>
    <definedName name="Z_A1DB41A0_5E0E_11D2_8EC3_0008C77C0743_.wvu.PrintArea" localSheetId="0" hidden="1">#REF!</definedName>
    <definedName name="Z_A1DB41A0_5E0E_11D2_8EC3_0008C77C0743_.wvu.PrintArea" hidden="1">#REF!</definedName>
    <definedName name="Z_A1DB41A0_5E0E_11D2_8EC3_0008C77C0743_.wvu.PrintTitles" localSheetId="0" hidden="1">#REF!</definedName>
    <definedName name="Z_A1DB41A0_5E0E_11D2_8EC3_0008C77C0743_.wvu.PrintTitles" hidden="1">#REF!</definedName>
    <definedName name="Z_A1DB41AF_5E0E_11D2_8EC3_0008C77C0743_.wvu.PrintArea" localSheetId="0" hidden="1">#REF!</definedName>
    <definedName name="Z_A1DB41AF_5E0E_11D2_8EC3_0008C77C0743_.wvu.PrintArea" hidden="1">#REF!</definedName>
    <definedName name="Z_A1DB41AF_5E0E_11D2_8EC3_0008C77C0743_.wvu.PrintTitles" localSheetId="0" hidden="1">#REF!</definedName>
    <definedName name="Z_A1DB41AF_5E0E_11D2_8EC3_0008C77C0743_.wvu.PrintTitles" hidden="1">#REF!</definedName>
    <definedName name="Z_A1DB41BC_5E0E_11D2_8EC3_0008C77C0743_.wvu.PrintArea" localSheetId="0" hidden="1">#REF!</definedName>
    <definedName name="Z_A1DB41BC_5E0E_11D2_8EC3_0008C77C0743_.wvu.PrintArea" hidden="1">#REF!</definedName>
    <definedName name="Z_A1DB41BC_5E0E_11D2_8EC3_0008C77C0743_.wvu.PrintTitles" localSheetId="0" hidden="1">#REF!,#REF!</definedName>
    <definedName name="Z_A1DB41BC_5E0E_11D2_8EC3_0008C77C0743_.wvu.PrintTitles" hidden="1">#REF!,#REF!</definedName>
    <definedName name="Z_B6FCCF30_1696_11D2_8E91_0008C77C21AF_.wvu.PrintArea" localSheetId="0" hidden="1">#REF!</definedName>
    <definedName name="Z_B6FCCF30_1696_11D2_8E91_0008C77C21AF_.wvu.PrintArea" hidden="1">#REF!</definedName>
    <definedName name="Z_B6FCCF30_1696_11D2_8E91_0008C77C21AF_.wvu.PrintTitles" localSheetId="0" hidden="1">#REF!,#REF!</definedName>
    <definedName name="Z_B6FCCF30_1696_11D2_8E91_0008C77C21AF_.wvu.PrintTitles" hidden="1">#REF!,#REF!</definedName>
    <definedName name="Z_B6FCCF32_1696_11D2_8E91_0008C77C21AF_.wvu.PrintArea" localSheetId="0" hidden="1">#REF!</definedName>
    <definedName name="Z_B6FCCF32_1696_11D2_8E91_0008C77C21AF_.wvu.PrintArea" hidden="1">#REF!</definedName>
    <definedName name="Z_B6FCCF32_1696_11D2_8E91_0008C77C21AF_.wvu.PrintTitles" localSheetId="0" hidden="1">#REF!</definedName>
    <definedName name="Z_B6FCCF32_1696_11D2_8E91_0008C77C21AF_.wvu.PrintTitles" hidden="1">#REF!</definedName>
    <definedName name="Z_B6FCCF35_1696_11D2_8E91_0008C77C21AF_.wvu.PrintArea" localSheetId="0" hidden="1">#REF!</definedName>
    <definedName name="Z_B6FCCF35_1696_11D2_8E91_0008C77C21AF_.wvu.PrintArea" hidden="1">#REF!</definedName>
    <definedName name="Z_B6FCCF35_1696_11D2_8E91_0008C77C21AF_.wvu.PrintTitles" localSheetId="0" hidden="1">#REF!,#REF!</definedName>
    <definedName name="Z_B6FCCF35_1696_11D2_8E91_0008C77C21AF_.wvu.PrintTitles" hidden="1">#REF!,#REF!</definedName>
    <definedName name="Z_B6FCCF37_1696_11D2_8E91_0008C77C21AF_.wvu.PrintArea" localSheetId="0" hidden="1">#REF!</definedName>
    <definedName name="Z_B6FCCF37_1696_11D2_8E91_0008C77C21AF_.wvu.PrintArea" hidden="1">#REF!</definedName>
    <definedName name="Z_B6FCCF37_1696_11D2_8E91_0008C77C21AF_.wvu.PrintTitles" localSheetId="0" hidden="1">#REF!,#REF!</definedName>
    <definedName name="Z_B6FCCF37_1696_11D2_8E91_0008C77C21AF_.wvu.PrintTitles" hidden="1">#REF!,#REF!</definedName>
    <definedName name="Z_B6FCCF39_1696_11D2_8E91_0008C77C21AF_.wvu.PrintArea" localSheetId="0" hidden="1">#REF!</definedName>
    <definedName name="Z_B6FCCF39_1696_11D2_8E91_0008C77C21AF_.wvu.PrintArea" hidden="1">#REF!</definedName>
    <definedName name="Z_B6FCCF39_1696_11D2_8E91_0008C77C21AF_.wvu.PrintTitles" localSheetId="0" hidden="1">#REF!</definedName>
    <definedName name="Z_B6FCCF39_1696_11D2_8E91_0008C77C21AF_.wvu.PrintTitles" hidden="1">#REF!</definedName>
    <definedName name="Z_B6FCCF3C_1696_11D2_8E91_0008C77C21AF_.wvu.PrintArea" localSheetId="0" hidden="1">#REF!</definedName>
    <definedName name="Z_B6FCCF3C_1696_11D2_8E91_0008C77C21AF_.wvu.PrintArea" hidden="1">#REF!</definedName>
    <definedName name="Z_B6FCCF3C_1696_11D2_8E91_0008C77C21AF_.wvu.PrintTitles" localSheetId="0" hidden="1">#REF!,#REF!</definedName>
    <definedName name="Z_B6FCCF3C_1696_11D2_8E91_0008C77C21AF_.wvu.PrintTitles" hidden="1">#REF!,#REF!</definedName>
    <definedName name="Z_B6FCCF3E_1696_11D2_8E91_0008C77C21AF_.wvu.PrintArea" localSheetId="0" hidden="1">#REF!</definedName>
    <definedName name="Z_B6FCCF3E_1696_11D2_8E91_0008C77C21AF_.wvu.PrintArea" hidden="1">#REF!</definedName>
    <definedName name="Z_B6FCCF3E_1696_11D2_8E91_0008C77C21AF_.wvu.PrintTitles" localSheetId="0" hidden="1">#REF!,#REF!</definedName>
    <definedName name="Z_B6FCCF3E_1696_11D2_8E91_0008C77C21AF_.wvu.PrintTitles" hidden="1">#REF!,#REF!</definedName>
    <definedName name="Z_BDFEE6B6_734C_11D2_8E68_0008C77C0743_.wvu.PrintArea" localSheetId="0" hidden="1">#REF!</definedName>
    <definedName name="Z_BDFEE6B6_734C_11D2_8E68_0008C77C0743_.wvu.PrintArea" hidden="1">#REF!</definedName>
    <definedName name="Z_BDFEE6B6_734C_11D2_8E68_0008C77C0743_.wvu.PrintTitles" localSheetId="0" hidden="1">#REF!,#REF!</definedName>
    <definedName name="Z_BDFEE6B6_734C_11D2_8E68_0008C77C0743_.wvu.PrintTitles" hidden="1">#REF!,#REF!</definedName>
    <definedName name="Z_BDFEE6B9_734C_11D2_8E68_0008C77C0743_.wvu.PrintArea" localSheetId="0" hidden="1">#REF!</definedName>
    <definedName name="Z_BDFEE6B9_734C_11D2_8E68_0008C77C0743_.wvu.PrintArea" hidden="1">#REF!</definedName>
    <definedName name="Z_BDFEE6B9_734C_11D2_8E68_0008C77C0743_.wvu.PrintTitles" localSheetId="0" hidden="1">#REF!,#REF!</definedName>
    <definedName name="Z_BDFEE6B9_734C_11D2_8E68_0008C77C0743_.wvu.PrintTitles" hidden="1">#REF!,#REF!</definedName>
    <definedName name="Z_BDFEE6BB_734C_11D2_8E68_0008C77C0743_.wvu.PrintArea" localSheetId="0" hidden="1">#REF!</definedName>
    <definedName name="Z_BDFEE6BB_734C_11D2_8E68_0008C77C0743_.wvu.PrintArea" hidden="1">#REF!</definedName>
    <definedName name="Z_BDFEE6BB_734C_11D2_8E68_0008C77C0743_.wvu.PrintTitles" localSheetId="0" hidden="1">#REF!,#REF!</definedName>
    <definedName name="Z_BDFEE6BB_734C_11D2_8E68_0008C77C0743_.wvu.PrintTitles" hidden="1">#REF!,#REF!</definedName>
    <definedName name="Z_BDFEE6C1_734C_11D2_8E68_0008C77C0743_.wvu.PrintArea" localSheetId="0" hidden="1">#REF!</definedName>
    <definedName name="Z_BDFEE6C1_734C_11D2_8E68_0008C77C0743_.wvu.PrintArea" hidden="1">#REF!</definedName>
    <definedName name="Z_BDFEE6C1_734C_11D2_8E68_0008C77C0743_.wvu.PrintTitles" localSheetId="0" hidden="1">#REF!</definedName>
    <definedName name="Z_BDFEE6C1_734C_11D2_8E68_0008C77C0743_.wvu.PrintTitles" hidden="1">#REF!</definedName>
    <definedName name="Z_BDFEE6C3_734C_11D2_8E68_0008C77C0743_.wvu.PrintArea" localSheetId="0" hidden="1">#REF!</definedName>
    <definedName name="Z_BDFEE6C3_734C_11D2_8E68_0008C77C0743_.wvu.PrintArea" hidden="1">#REF!</definedName>
    <definedName name="Z_BDFEE6C3_734C_11D2_8E68_0008C77C0743_.wvu.PrintTitles" localSheetId="0" hidden="1">#REF!</definedName>
    <definedName name="Z_BDFEE6C3_734C_11D2_8E68_0008C77C0743_.wvu.PrintTitles" hidden="1">#REF!</definedName>
    <definedName name="Z_BDFEE6C5_734C_11D2_8E68_0008C77C0743_.wvu.PrintArea" localSheetId="0" hidden="1">#REF!</definedName>
    <definedName name="Z_BDFEE6C5_734C_11D2_8E68_0008C77C0743_.wvu.PrintArea" hidden="1">#REF!</definedName>
    <definedName name="Z_BDFEE6C5_734C_11D2_8E68_0008C77C0743_.wvu.PrintTitles" localSheetId="0" hidden="1">#REF!</definedName>
    <definedName name="Z_BDFEE6C5_734C_11D2_8E68_0008C77C0743_.wvu.PrintTitles" hidden="1">#REF!</definedName>
    <definedName name="Z_BDFEE6CE_734C_11D2_8E68_0008C77C0743_.wvu.PrintArea" localSheetId="0" hidden="1">#REF!</definedName>
    <definedName name="Z_BDFEE6CE_734C_11D2_8E68_0008C77C0743_.wvu.PrintArea" hidden="1">#REF!</definedName>
    <definedName name="Z_BDFEE6CE_734C_11D2_8E68_0008C77C0743_.wvu.PrintTitles" localSheetId="0" hidden="1">#REF!,#REF!</definedName>
    <definedName name="Z_BDFEE6CE_734C_11D2_8E68_0008C77C0743_.wvu.PrintTitles" hidden="1">#REF!,#REF!</definedName>
    <definedName name="Z_BDFEE6D1_734C_11D2_8E68_0008C77C0743_.wvu.PrintArea" localSheetId="0" hidden="1">#REF!</definedName>
    <definedName name="Z_BDFEE6D1_734C_11D2_8E68_0008C77C0743_.wvu.PrintArea" hidden="1">#REF!</definedName>
    <definedName name="Z_BDFEE6D1_734C_11D2_8E68_0008C77C0743_.wvu.PrintTitles" localSheetId="0" hidden="1">#REF!,#REF!</definedName>
    <definedName name="Z_BDFEE6D1_734C_11D2_8E68_0008C77C0743_.wvu.PrintTitles" hidden="1">#REF!,#REF!</definedName>
    <definedName name="Z_BDFEE6D3_734C_11D2_8E68_0008C77C0743_.wvu.PrintArea" localSheetId="0" hidden="1">#REF!</definedName>
    <definedName name="Z_BDFEE6D3_734C_11D2_8E68_0008C77C0743_.wvu.PrintArea" hidden="1">#REF!</definedName>
    <definedName name="Z_BDFEE6D3_734C_11D2_8E68_0008C77C0743_.wvu.PrintTitles" localSheetId="0" hidden="1">#REF!,#REF!</definedName>
    <definedName name="Z_BDFEE6D3_734C_11D2_8E68_0008C77C0743_.wvu.PrintTitles" hidden="1">#REF!,#REF!</definedName>
    <definedName name="Z_BDFEE6D7_734C_11D2_8E68_0008C77C0743_.wvu.PrintArea" localSheetId="0" hidden="1">#REF!</definedName>
    <definedName name="Z_BDFEE6D7_734C_11D2_8E68_0008C77C0743_.wvu.PrintArea" hidden="1">#REF!</definedName>
    <definedName name="Z_BDFEE6D7_734C_11D2_8E68_0008C77C0743_.wvu.PrintTitles" localSheetId="0" hidden="1">#REF!,#REF!</definedName>
    <definedName name="Z_BDFEE6D7_734C_11D2_8E68_0008C77C0743_.wvu.PrintTitles" hidden="1">#REF!,#REF!</definedName>
    <definedName name="Z_BDFEE6DA_734C_11D2_8E68_0008C77C0743_.wvu.PrintArea" localSheetId="0" hidden="1">#REF!</definedName>
    <definedName name="Z_BDFEE6DA_734C_11D2_8E68_0008C77C0743_.wvu.PrintArea" hidden="1">#REF!</definedName>
    <definedName name="Z_BDFEE6DA_734C_11D2_8E68_0008C77C0743_.wvu.PrintTitles" localSheetId="0" hidden="1">#REF!,#REF!</definedName>
    <definedName name="Z_BDFEE6DA_734C_11D2_8E68_0008C77C0743_.wvu.PrintTitles" hidden="1">#REF!,#REF!</definedName>
    <definedName name="Z_BDFEE6DC_734C_11D2_8E68_0008C77C0743_.wvu.PrintArea" localSheetId="0" hidden="1">#REF!</definedName>
    <definedName name="Z_BDFEE6DC_734C_11D2_8E68_0008C77C0743_.wvu.PrintArea" hidden="1">#REF!</definedName>
    <definedName name="Z_BDFEE6DC_734C_11D2_8E68_0008C77C0743_.wvu.PrintTitles" localSheetId="0" hidden="1">#REF!,#REF!</definedName>
    <definedName name="Z_BDFEE6DC_734C_11D2_8E68_0008C77C0743_.wvu.PrintTitles" hidden="1">#REF!,#REF!</definedName>
    <definedName name="Z_BDFEE6E2_734C_11D2_8E68_0008C77C0743_.wvu.PrintArea" localSheetId="0" hidden="1">#REF!</definedName>
    <definedName name="Z_BDFEE6E2_734C_11D2_8E68_0008C77C0743_.wvu.PrintArea" hidden="1">#REF!</definedName>
    <definedName name="Z_BDFEE6E2_734C_11D2_8E68_0008C77C0743_.wvu.PrintTitles" localSheetId="0" hidden="1">#REF!</definedName>
    <definedName name="Z_BDFEE6E2_734C_11D2_8E68_0008C77C0743_.wvu.PrintTitles" hidden="1">#REF!</definedName>
    <definedName name="Z_BDFEE6E4_734C_11D2_8E68_0008C77C0743_.wvu.PrintArea" localSheetId="0" hidden="1">#REF!</definedName>
    <definedName name="Z_BDFEE6E4_734C_11D2_8E68_0008C77C0743_.wvu.PrintArea" hidden="1">#REF!</definedName>
    <definedName name="Z_BDFEE6E4_734C_11D2_8E68_0008C77C0743_.wvu.PrintTitles" localSheetId="0" hidden="1">#REF!</definedName>
    <definedName name="Z_BDFEE6E4_734C_11D2_8E68_0008C77C0743_.wvu.PrintTitles" hidden="1">#REF!</definedName>
    <definedName name="Z_BDFEE6E6_734C_11D2_8E68_0008C77C0743_.wvu.PrintArea" localSheetId="0" hidden="1">#REF!</definedName>
    <definedName name="Z_BDFEE6E6_734C_11D2_8E68_0008C77C0743_.wvu.PrintArea" hidden="1">#REF!</definedName>
    <definedName name="Z_BDFEE6E6_734C_11D2_8E68_0008C77C0743_.wvu.PrintTitles" localSheetId="0" hidden="1">#REF!</definedName>
    <definedName name="Z_BDFEE6E6_734C_11D2_8E68_0008C77C0743_.wvu.PrintTitles" hidden="1">#REF!</definedName>
    <definedName name="Z_BDFEE6EF_734C_11D2_8E68_0008C77C0743_.wvu.PrintArea" localSheetId="0" hidden="1">#REF!</definedName>
    <definedName name="Z_BDFEE6EF_734C_11D2_8E68_0008C77C0743_.wvu.PrintArea" hidden="1">#REF!</definedName>
    <definedName name="Z_BDFEE6EF_734C_11D2_8E68_0008C77C0743_.wvu.PrintTitles" localSheetId="0" hidden="1">#REF!,#REF!</definedName>
    <definedName name="Z_BDFEE6EF_734C_11D2_8E68_0008C77C0743_.wvu.PrintTitles" hidden="1">#REF!,#REF!</definedName>
    <definedName name="Z_BDFEE6F2_734C_11D2_8E68_0008C77C0743_.wvu.PrintArea" localSheetId="0" hidden="1">#REF!</definedName>
    <definedName name="Z_BDFEE6F2_734C_11D2_8E68_0008C77C0743_.wvu.PrintArea" hidden="1">#REF!</definedName>
    <definedName name="Z_BDFEE6F2_734C_11D2_8E68_0008C77C0743_.wvu.PrintTitles" localSheetId="0" hidden="1">#REF!,#REF!</definedName>
    <definedName name="Z_BDFEE6F2_734C_11D2_8E68_0008C77C0743_.wvu.PrintTitles" hidden="1">#REF!,#REF!</definedName>
    <definedName name="Z_BDFEE6F4_734C_11D2_8E68_0008C77C0743_.wvu.PrintArea" localSheetId="0" hidden="1">#REF!</definedName>
    <definedName name="Z_BDFEE6F4_734C_11D2_8E68_0008C77C0743_.wvu.PrintArea" hidden="1">#REF!</definedName>
    <definedName name="Z_BDFEE6F4_734C_11D2_8E68_0008C77C0743_.wvu.PrintTitles" localSheetId="0" hidden="1">#REF!,#REF!</definedName>
    <definedName name="Z_BDFEE6F4_734C_11D2_8E68_0008C77C0743_.wvu.PrintTitles" hidden="1">#REF!,#REF!</definedName>
    <definedName name="Z_BDFEE6FA_734C_11D2_8E68_0008C77C0743_.wvu.PrintArea" localSheetId="0" hidden="1">#REF!</definedName>
    <definedName name="Z_BDFEE6FA_734C_11D2_8E68_0008C77C0743_.wvu.PrintArea" hidden="1">#REF!</definedName>
    <definedName name="Z_BDFEE6FA_734C_11D2_8E68_0008C77C0743_.wvu.PrintTitles" localSheetId="0" hidden="1">#REF!,#REF!</definedName>
    <definedName name="Z_BDFEE6FA_734C_11D2_8E68_0008C77C0743_.wvu.PrintTitles" hidden="1">#REF!,#REF!</definedName>
    <definedName name="Z_BDFEE6FC_734C_11D2_8E68_0008C77C0743_.wvu.PrintArea" localSheetId="0" hidden="1">#REF!</definedName>
    <definedName name="Z_BDFEE6FC_734C_11D2_8E68_0008C77C0743_.wvu.PrintArea" hidden="1">#REF!</definedName>
    <definedName name="Z_BDFEE6FC_734C_11D2_8E68_0008C77C0743_.wvu.PrintTitles" localSheetId="0" hidden="1">#REF!,#REF!</definedName>
    <definedName name="Z_BDFEE6FC_734C_11D2_8E68_0008C77C0743_.wvu.PrintTitles" hidden="1">#REF!,#REF!</definedName>
    <definedName name="Z_BDFEE6FE_734C_11D2_8E68_0008C77C0743_.wvu.PrintArea" localSheetId="0" hidden="1">#REF!</definedName>
    <definedName name="Z_BDFEE6FE_734C_11D2_8E68_0008C77C0743_.wvu.PrintArea" hidden="1">#REF!</definedName>
    <definedName name="Z_BDFEE6FE_734C_11D2_8E68_0008C77C0743_.wvu.PrintTitles" localSheetId="0" hidden="1">#REF!,#REF!</definedName>
    <definedName name="Z_BDFEE6FE_734C_11D2_8E68_0008C77C0743_.wvu.PrintTitles" hidden="1">#REF!,#REF!</definedName>
    <definedName name="Z_BE4AA1C5_ECFE_11D2_8EB8_0008C77C0743_.wvu.PrintArea" localSheetId="0" hidden="1">#REF!</definedName>
    <definedName name="Z_BE4AA1C5_ECFE_11D2_8EB8_0008C77C0743_.wvu.PrintArea" hidden="1">#REF!</definedName>
    <definedName name="Z_BE4AA1C5_ECFE_11D2_8EB8_0008C77C0743_.wvu.PrintTitles" localSheetId="0" hidden="1">#REF!</definedName>
    <definedName name="Z_BE4AA1C5_ECFE_11D2_8EB8_0008C77C0743_.wvu.PrintTitles" hidden="1">#REF!</definedName>
    <definedName name="Z_BE4AA1D8_ECFE_11D2_8EB8_0008C77C0743_.wvu.PrintArea" localSheetId="0" hidden="1">#REF!</definedName>
    <definedName name="Z_BE4AA1D8_ECFE_11D2_8EB8_0008C77C0743_.wvu.PrintArea" hidden="1">#REF!</definedName>
    <definedName name="Z_BE4AA1D8_ECFE_11D2_8EB8_0008C77C0743_.wvu.PrintTitles" localSheetId="0" hidden="1">#REF!</definedName>
    <definedName name="Z_BE4AA1D8_ECFE_11D2_8EB8_0008C77C0743_.wvu.PrintTitles" hidden="1">#REF!</definedName>
    <definedName name="Z_BE4AA1E8_ECFE_11D2_8EB8_0008C77C0743_.wvu.PrintArea" localSheetId="0" hidden="1">#REF!</definedName>
    <definedName name="Z_BE4AA1E8_ECFE_11D2_8EB8_0008C77C0743_.wvu.PrintArea" hidden="1">#REF!</definedName>
    <definedName name="Z_BE4AA1E8_ECFE_11D2_8EB8_0008C77C0743_.wvu.PrintTitles" localSheetId="0" hidden="1">#REF!,#REF!</definedName>
    <definedName name="Z_BE4AA1E8_ECFE_11D2_8EB8_0008C77C0743_.wvu.PrintTitles" hidden="1">#REF!,#REF!</definedName>
    <definedName name="Z_BFEBD6B7_EDBB_11D2_8EB9_0008C77C0743_.wvu.PrintArea" localSheetId="0" hidden="1">#REF!</definedName>
    <definedName name="Z_BFEBD6B7_EDBB_11D2_8EB9_0008C77C0743_.wvu.PrintArea" hidden="1">#REF!</definedName>
    <definedName name="Z_BFEBD6B7_EDBB_11D2_8EB9_0008C77C0743_.wvu.PrintTitles" localSheetId="0" hidden="1">#REF!</definedName>
    <definedName name="Z_BFEBD6B7_EDBB_11D2_8EB9_0008C77C0743_.wvu.PrintTitles" hidden="1">#REF!</definedName>
    <definedName name="Z_BFEBD6CA_EDBB_11D2_8EB9_0008C77C0743_.wvu.PrintArea" localSheetId="0" hidden="1">#REF!</definedName>
    <definedName name="Z_BFEBD6CA_EDBB_11D2_8EB9_0008C77C0743_.wvu.PrintArea" hidden="1">#REF!</definedName>
    <definedName name="Z_BFEBD6CA_EDBB_11D2_8EB9_0008C77C0743_.wvu.PrintTitles" localSheetId="0" hidden="1">#REF!</definedName>
    <definedName name="Z_BFEBD6CA_EDBB_11D2_8EB9_0008C77C0743_.wvu.PrintTitles" hidden="1">#REF!</definedName>
    <definedName name="Z_BFEBD6DA_EDBB_11D2_8EB9_0008C77C0743_.wvu.PrintArea" localSheetId="0" hidden="1">#REF!</definedName>
    <definedName name="Z_BFEBD6DA_EDBB_11D2_8EB9_0008C77C0743_.wvu.PrintArea" hidden="1">#REF!</definedName>
    <definedName name="Z_BFEBD6DA_EDBB_11D2_8EB9_0008C77C0743_.wvu.PrintTitles" localSheetId="0" hidden="1">#REF!,#REF!</definedName>
    <definedName name="Z_BFEBD6DA_EDBB_11D2_8EB9_0008C77C0743_.wvu.PrintTitles" hidden="1">#REF!,#REF!</definedName>
    <definedName name="Z_CD050555_ECE8_11D2_8EB7_0008C77C0743_.wvu.PrintArea" localSheetId="0" hidden="1">#REF!</definedName>
    <definedName name="Z_CD050555_ECE8_11D2_8EB7_0008C77C0743_.wvu.PrintArea" hidden="1">#REF!</definedName>
    <definedName name="Z_CD050555_ECE8_11D2_8EB7_0008C77C0743_.wvu.PrintTitles" localSheetId="0" hidden="1">#REF!</definedName>
    <definedName name="Z_CD050555_ECE8_11D2_8EB7_0008C77C0743_.wvu.PrintTitles" hidden="1">#REF!</definedName>
    <definedName name="Z_CD050568_ECE8_11D2_8EB7_0008C77C0743_.wvu.PrintArea" localSheetId="0" hidden="1">#REF!</definedName>
    <definedName name="Z_CD050568_ECE8_11D2_8EB7_0008C77C0743_.wvu.PrintArea" hidden="1">#REF!</definedName>
    <definedName name="Z_CD050568_ECE8_11D2_8EB7_0008C77C0743_.wvu.PrintTitles" localSheetId="0" hidden="1">#REF!</definedName>
    <definedName name="Z_CD050568_ECE8_11D2_8EB7_0008C77C0743_.wvu.PrintTitles" hidden="1">#REF!</definedName>
    <definedName name="Z_CD050578_ECE8_11D2_8EB7_0008C77C0743_.wvu.PrintArea" localSheetId="0" hidden="1">#REF!</definedName>
    <definedName name="Z_CD050578_ECE8_11D2_8EB7_0008C77C0743_.wvu.PrintArea" hidden="1">#REF!</definedName>
    <definedName name="Z_CD050578_ECE8_11D2_8EB7_0008C77C0743_.wvu.PrintTitles" localSheetId="0" hidden="1">#REF!,#REF!</definedName>
    <definedName name="Z_CD050578_ECE8_11D2_8EB7_0008C77C0743_.wvu.PrintTitles" hidden="1">#REF!,#REF!</definedName>
    <definedName name="Z_CF4A68D4_EB6D_11D2_8EB5_0008C77C0743_.wvu.PrintArea" localSheetId="0" hidden="1">#REF!</definedName>
    <definedName name="Z_CF4A68D4_EB6D_11D2_8EB5_0008C77C0743_.wvu.PrintArea" hidden="1">#REF!</definedName>
    <definedName name="Z_CF4A68D4_EB6D_11D2_8EB5_0008C77C0743_.wvu.PrintTitles" localSheetId="0" hidden="1">#REF!</definedName>
    <definedName name="Z_CF4A68D4_EB6D_11D2_8EB5_0008C77C0743_.wvu.PrintTitles" hidden="1">#REF!</definedName>
    <definedName name="Z_CF4A68E7_EB6D_11D2_8EB5_0008C77C0743_.wvu.PrintArea" localSheetId="0" hidden="1">#REF!</definedName>
    <definedName name="Z_CF4A68E7_EB6D_11D2_8EB5_0008C77C0743_.wvu.PrintArea" hidden="1">#REF!</definedName>
    <definedName name="Z_CF4A68E7_EB6D_11D2_8EB5_0008C77C0743_.wvu.PrintTitles" localSheetId="0" hidden="1">#REF!</definedName>
    <definedName name="Z_CF4A68E7_EB6D_11D2_8EB5_0008C77C0743_.wvu.PrintTitles" hidden="1">#REF!</definedName>
    <definedName name="Z_CF4A68F7_EB6D_11D2_8EB5_0008C77C0743_.wvu.PrintArea" localSheetId="0" hidden="1">#REF!</definedName>
    <definedName name="Z_CF4A68F7_EB6D_11D2_8EB5_0008C77C0743_.wvu.PrintArea" hidden="1">#REF!</definedName>
    <definedName name="Z_CF4A68F7_EB6D_11D2_8EB5_0008C77C0743_.wvu.PrintTitles" localSheetId="0" hidden="1">#REF!,#REF!</definedName>
    <definedName name="Z_CF4A68F7_EB6D_11D2_8EB5_0008C77C0743_.wvu.PrintTitles" hidden="1">#REF!,#REF!</definedName>
    <definedName name="Z_F3D6017D_338E_11D2_8E9B_0008C77C0743_.wvu.PrintArea" localSheetId="0" hidden="1">#REF!</definedName>
    <definedName name="Z_F3D6017D_338E_11D2_8E9B_0008C77C0743_.wvu.PrintArea" hidden="1">#REF!</definedName>
    <definedName name="Z_F3D6017D_338E_11D2_8E9B_0008C77C0743_.wvu.PrintTitles" localSheetId="0" hidden="1">#REF!</definedName>
    <definedName name="Z_F3D6017D_338E_11D2_8E9B_0008C77C0743_.wvu.PrintTitles" hidden="1">#REF!</definedName>
    <definedName name="Z_F3D6018C_338E_11D2_8E9B_0008C77C0743_.wvu.PrintArea" localSheetId="0" hidden="1">#REF!</definedName>
    <definedName name="Z_F3D6018C_338E_11D2_8E9B_0008C77C0743_.wvu.PrintArea" hidden="1">#REF!</definedName>
    <definedName name="Z_F3D6018C_338E_11D2_8E9B_0008C77C0743_.wvu.PrintTitles" localSheetId="0" hidden="1">#REF!</definedName>
    <definedName name="Z_F3D6018C_338E_11D2_8E9B_0008C77C0743_.wvu.PrintTitles" hidden="1">#REF!</definedName>
    <definedName name="Z_F3D60199_338E_11D2_8E9B_0008C77C0743_.wvu.PrintArea" localSheetId="0" hidden="1">#REF!</definedName>
    <definedName name="Z_F3D60199_338E_11D2_8E9B_0008C77C0743_.wvu.PrintArea" hidden="1">#REF!</definedName>
    <definedName name="Z_F3D60199_338E_11D2_8E9B_0008C77C0743_.wvu.PrintTitles" localSheetId="0" hidden="1">#REF!,#REF!</definedName>
    <definedName name="Z_F3D60199_338E_11D2_8E9B_0008C77C0743_.wvu.PrintTitles" hidden="1">#REF!,#REF!</definedName>
    <definedName name="Zacks_Earnings_Growth">[3]Growth_Rates!$F$5:$F$66</definedName>
  </definedNames>
  <calcPr calcId="191028" iterateCount="10" iterateDelta="100" calcOnSave="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7" i="94" l="1"/>
  <c r="J52" i="93"/>
  <c r="M8" i="97" l="1"/>
  <c r="M9" i="97" l="1"/>
  <c r="E11" i="91" l="1"/>
  <c r="G71" i="35" l="1"/>
  <c r="G40" i="35"/>
  <c r="G86" i="97"/>
  <c r="G47" i="97"/>
  <c r="K52" i="92" l="1"/>
  <c r="K51" i="92"/>
  <c r="D31" i="76"/>
  <c r="D32" i="76" s="1"/>
  <c r="D33" i="76" s="1"/>
  <c r="D34" i="76" s="1"/>
  <c r="D35" i="76" s="1"/>
  <c r="D30" i="76"/>
  <c r="D29" i="76"/>
  <c r="K50" i="92"/>
  <c r="D39" i="98"/>
  <c r="D40" i="98" s="1"/>
  <c r="D41" i="98" s="1"/>
  <c r="D42" i="98" s="1"/>
  <c r="D43" i="98" s="1"/>
  <c r="D44" i="98" s="1"/>
  <c r="D45" i="98" s="1"/>
  <c r="D46" i="98" s="1"/>
  <c r="D47" i="98" s="1"/>
  <c r="D48" i="98" s="1"/>
  <c r="D49" i="98" s="1"/>
  <c r="D50" i="98" s="1"/>
  <c r="D51" i="98" s="1"/>
  <c r="D52" i="98" s="1"/>
  <c r="D38" i="98"/>
  <c r="D37" i="98"/>
  <c r="K16" i="99" l="1"/>
  <c r="L16" i="99" s="1"/>
  <c r="M16" i="99" s="1"/>
  <c r="K8" i="99"/>
  <c r="L8" i="99" s="1"/>
  <c r="M8" i="99" s="1"/>
  <c r="J22" i="99"/>
  <c r="J21" i="99"/>
  <c r="K21" i="99" s="1"/>
  <c r="L21" i="99" s="1"/>
  <c r="M21" i="99" s="1"/>
  <c r="J20" i="99"/>
  <c r="J19" i="99"/>
  <c r="J18" i="99"/>
  <c r="J17" i="99"/>
  <c r="K17" i="99" s="1"/>
  <c r="L17" i="99" s="1"/>
  <c r="M17" i="99" s="1"/>
  <c r="J16" i="99"/>
  <c r="J15" i="99"/>
  <c r="J14" i="99"/>
  <c r="J13" i="99"/>
  <c r="K13" i="99" s="1"/>
  <c r="L13" i="99" s="1"/>
  <c r="M13" i="99" s="1"/>
  <c r="J12" i="99"/>
  <c r="J11" i="99"/>
  <c r="J10" i="99"/>
  <c r="J9" i="99"/>
  <c r="K9" i="99" s="1"/>
  <c r="L9" i="99" s="1"/>
  <c r="M9" i="99" s="1"/>
  <c r="J8" i="99"/>
  <c r="G22" i="99"/>
  <c r="G21" i="99"/>
  <c r="G20" i="99"/>
  <c r="K20" i="99" s="1"/>
  <c r="L20" i="99" s="1"/>
  <c r="M20" i="99" s="1"/>
  <c r="G19" i="99"/>
  <c r="G18" i="99"/>
  <c r="G17" i="99"/>
  <c r="G16" i="99"/>
  <c r="G15" i="99"/>
  <c r="G14" i="99"/>
  <c r="G13" i="99"/>
  <c r="G12" i="99"/>
  <c r="K12" i="99" s="1"/>
  <c r="L12" i="99" s="1"/>
  <c r="M12" i="99" s="1"/>
  <c r="G11" i="99"/>
  <c r="G10" i="99"/>
  <c r="G9" i="99"/>
  <c r="G8" i="99"/>
  <c r="K14" i="99" l="1"/>
  <c r="L14" i="99" s="1"/>
  <c r="M14" i="99" s="1"/>
  <c r="K22" i="99"/>
  <c r="L22" i="99" s="1"/>
  <c r="M22" i="99" s="1"/>
  <c r="K15" i="99"/>
  <c r="L15" i="99" s="1"/>
  <c r="M15" i="99" s="1"/>
  <c r="K10" i="99"/>
  <c r="L10" i="99" s="1"/>
  <c r="M10" i="99" s="1"/>
  <c r="K18" i="99"/>
  <c r="L18" i="99" s="1"/>
  <c r="M18" i="99" s="1"/>
  <c r="K11" i="99"/>
  <c r="L11" i="99" s="1"/>
  <c r="M11" i="99" s="1"/>
  <c r="K19" i="99"/>
  <c r="L19" i="99" s="1"/>
  <c r="M19" i="99" s="1"/>
  <c r="J7" i="99"/>
  <c r="G7" i="99"/>
  <c r="I44" i="93"/>
  <c r="H44" i="93"/>
  <c r="G44" i="93"/>
  <c r="F44" i="93"/>
  <c r="E44" i="93"/>
  <c r="I39" i="93"/>
  <c r="H39" i="93"/>
  <c r="G39" i="93"/>
  <c r="F39" i="93"/>
  <c r="E39" i="93"/>
  <c r="I34" i="93"/>
  <c r="H34" i="93"/>
  <c r="G34" i="93"/>
  <c r="F34" i="93"/>
  <c r="E34" i="93"/>
  <c r="I29" i="93"/>
  <c r="H29" i="93"/>
  <c r="G29" i="93"/>
  <c r="F29" i="93"/>
  <c r="E29" i="93"/>
  <c r="I24" i="93"/>
  <c r="H24" i="93"/>
  <c r="G24" i="93"/>
  <c r="F24" i="93"/>
  <c r="E24" i="93"/>
  <c r="I19" i="93"/>
  <c r="H19" i="93"/>
  <c r="G19" i="93"/>
  <c r="F19" i="93"/>
  <c r="E19" i="93"/>
  <c r="I14" i="93"/>
  <c r="H14" i="93"/>
  <c r="G14" i="93"/>
  <c r="F14" i="93"/>
  <c r="I43" i="93"/>
  <c r="I42" i="93"/>
  <c r="F43" i="93"/>
  <c r="F42" i="93"/>
  <c r="I38" i="93"/>
  <c r="I37" i="93"/>
  <c r="F38" i="93"/>
  <c r="F37" i="93"/>
  <c r="I33" i="93"/>
  <c r="I32" i="93"/>
  <c r="F33" i="93"/>
  <c r="F32" i="93"/>
  <c r="I28" i="93"/>
  <c r="I27" i="93"/>
  <c r="F28" i="93"/>
  <c r="F27" i="93"/>
  <c r="I23" i="93"/>
  <c r="I22" i="93"/>
  <c r="F23" i="93"/>
  <c r="F22" i="93"/>
  <c r="I18" i="93"/>
  <c r="I17" i="93"/>
  <c r="F18" i="93"/>
  <c r="F17" i="93"/>
  <c r="I13" i="93"/>
  <c r="I12" i="93"/>
  <c r="F13" i="93"/>
  <c r="F12" i="93"/>
  <c r="E14" i="93"/>
  <c r="J24" i="93"/>
  <c r="C6" i="4"/>
  <c r="K7" i="99" l="1"/>
  <c r="J44" i="93"/>
  <c r="J34" i="93"/>
  <c r="J29" i="93"/>
  <c r="J19" i="93"/>
  <c r="J14" i="93"/>
  <c r="J39" i="93"/>
  <c r="L7" i="99" l="1"/>
  <c r="M7" i="99" l="1"/>
  <c r="T78" i="101" l="1"/>
  <c r="T77" i="101"/>
  <c r="T76" i="101"/>
  <c r="T75" i="101"/>
  <c r="T74" i="101"/>
  <c r="T73" i="101"/>
  <c r="T72" i="101"/>
  <c r="T71" i="101"/>
  <c r="T70" i="101"/>
  <c r="T69" i="101"/>
  <c r="T68" i="101"/>
  <c r="T67" i="101"/>
  <c r="T66" i="101"/>
  <c r="T65" i="101"/>
  <c r="T64" i="101"/>
  <c r="T63" i="101"/>
  <c r="T62" i="101"/>
  <c r="T61" i="101"/>
  <c r="T60" i="101"/>
  <c r="T59" i="101"/>
  <c r="T58" i="101"/>
  <c r="T57" i="101"/>
  <c r="T56" i="101"/>
  <c r="T55" i="101"/>
  <c r="T54" i="101"/>
  <c r="T53" i="101"/>
  <c r="T52" i="101"/>
  <c r="T51" i="101"/>
  <c r="T50" i="101"/>
  <c r="T49" i="101"/>
  <c r="T48" i="101"/>
  <c r="T47" i="101"/>
  <c r="T46" i="101"/>
  <c r="T45" i="101"/>
  <c r="T44" i="101"/>
  <c r="T43" i="101"/>
  <c r="T42" i="101"/>
  <c r="T41" i="101"/>
  <c r="T40" i="101"/>
  <c r="T39" i="101"/>
  <c r="T38" i="101"/>
  <c r="T37" i="101"/>
  <c r="T36" i="101"/>
  <c r="T35" i="101"/>
  <c r="T34" i="101"/>
  <c r="T33" i="101"/>
  <c r="T32" i="101"/>
  <c r="T31" i="101"/>
  <c r="M78" i="101"/>
  <c r="M77" i="101"/>
  <c r="M76" i="101"/>
  <c r="M75" i="101"/>
  <c r="M74" i="101"/>
  <c r="M73" i="101"/>
  <c r="M72" i="101"/>
  <c r="M71" i="101"/>
  <c r="M70" i="101"/>
  <c r="M69" i="101"/>
  <c r="M68" i="101"/>
  <c r="M67" i="101"/>
  <c r="M66" i="101"/>
  <c r="M65" i="101"/>
  <c r="M64" i="101"/>
  <c r="M63" i="101"/>
  <c r="M62" i="101"/>
  <c r="M61" i="101"/>
  <c r="M60" i="101"/>
  <c r="M59" i="101"/>
  <c r="M58" i="101"/>
  <c r="M57" i="101"/>
  <c r="M56" i="101"/>
  <c r="M55" i="101"/>
  <c r="M54" i="101"/>
  <c r="M53" i="101"/>
  <c r="M52" i="101"/>
  <c r="M51" i="101"/>
  <c r="M50" i="101"/>
  <c r="M49" i="101"/>
  <c r="M48" i="101"/>
  <c r="M47" i="101"/>
  <c r="M46" i="101"/>
  <c r="M45" i="101"/>
  <c r="M44" i="101"/>
  <c r="M43" i="101"/>
  <c r="M42" i="101"/>
  <c r="M41" i="101"/>
  <c r="M40" i="101"/>
  <c r="M39" i="101"/>
  <c r="M38" i="101"/>
  <c r="M37" i="101"/>
  <c r="M36" i="101"/>
  <c r="M35" i="101"/>
  <c r="M34" i="101"/>
  <c r="M33" i="101"/>
  <c r="M32" i="101"/>
  <c r="M31" i="101"/>
  <c r="F78" i="101"/>
  <c r="F77" i="101"/>
  <c r="F76" i="101"/>
  <c r="F75" i="101"/>
  <c r="F74" i="101"/>
  <c r="F73" i="101"/>
  <c r="F72" i="101"/>
  <c r="F71" i="101"/>
  <c r="F70" i="101"/>
  <c r="F69" i="101"/>
  <c r="F68" i="101"/>
  <c r="F67" i="101"/>
  <c r="F66" i="101"/>
  <c r="F65" i="101"/>
  <c r="F64" i="101"/>
  <c r="F63" i="101"/>
  <c r="F62" i="101"/>
  <c r="F61" i="101"/>
  <c r="F60" i="101"/>
  <c r="F59" i="101"/>
  <c r="F58" i="101"/>
  <c r="F57" i="101"/>
  <c r="F56" i="101"/>
  <c r="F55" i="101"/>
  <c r="F54" i="101"/>
  <c r="F53" i="101"/>
  <c r="F52" i="101"/>
  <c r="F51" i="101"/>
  <c r="F50" i="101"/>
  <c r="F49" i="101"/>
  <c r="F48" i="101"/>
  <c r="F47" i="101"/>
  <c r="F46" i="101"/>
  <c r="F45" i="101"/>
  <c r="F44" i="101"/>
  <c r="F43" i="101"/>
  <c r="F42" i="101"/>
  <c r="F41" i="101"/>
  <c r="F40" i="101"/>
  <c r="F39" i="101"/>
  <c r="F38" i="101"/>
  <c r="F37" i="101"/>
  <c r="F36" i="101"/>
  <c r="F35" i="101"/>
  <c r="F34" i="101"/>
  <c r="F33" i="101"/>
  <c r="F32" i="101"/>
  <c r="F31" i="101"/>
  <c r="T38" i="90"/>
  <c r="T37" i="90"/>
  <c r="T36" i="90"/>
  <c r="T35" i="90"/>
  <c r="T34" i="90"/>
  <c r="T33" i="90"/>
  <c r="T32" i="90"/>
  <c r="T31" i="90"/>
  <c r="T30" i="90"/>
  <c r="T29" i="90"/>
  <c r="T28" i="90"/>
  <c r="T27" i="90"/>
  <c r="T26" i="90"/>
  <c r="M38" i="90"/>
  <c r="M37" i="90"/>
  <c r="M36" i="90"/>
  <c r="M35" i="90"/>
  <c r="M34" i="90"/>
  <c r="M33" i="90"/>
  <c r="M32" i="90"/>
  <c r="M31" i="90"/>
  <c r="M30" i="90"/>
  <c r="M29" i="90"/>
  <c r="M28" i="90"/>
  <c r="M27" i="90"/>
  <c r="M26" i="90"/>
  <c r="F38" i="90"/>
  <c r="F37" i="90"/>
  <c r="F36" i="90"/>
  <c r="F35" i="90"/>
  <c r="F34" i="90"/>
  <c r="F33" i="90"/>
  <c r="F32" i="90"/>
  <c r="F31" i="90"/>
  <c r="F30" i="90"/>
  <c r="F29" i="90"/>
  <c r="F28" i="90"/>
  <c r="F27" i="90"/>
  <c r="F26" i="90"/>
  <c r="K53" i="85" l="1"/>
  <c r="G53" i="85"/>
  <c r="G22" i="85"/>
  <c r="F22" i="85"/>
  <c r="J53" i="85" s="1"/>
  <c r="G21" i="85"/>
  <c r="F21" i="85"/>
  <c r="F53" i="85" s="1"/>
  <c r="G20" i="85"/>
  <c r="F20" i="85"/>
  <c r="G19" i="85"/>
  <c r="F19" i="85"/>
  <c r="C29" i="80" l="1"/>
  <c r="C28" i="80"/>
  <c r="D29" i="94" l="1"/>
  <c r="D30" i="94"/>
  <c r="D31" i="94"/>
  <c r="D32" i="94"/>
  <c r="D33" i="94"/>
  <c r="D35" i="94"/>
  <c r="H6" i="77"/>
  <c r="C8" i="4" l="1"/>
  <c r="J8" i="35" l="1"/>
  <c r="J91" i="97"/>
  <c r="E16" i="35"/>
  <c r="G28" i="85" l="1"/>
  <c r="J29" i="85" l="1"/>
  <c r="J30" i="85" s="1"/>
  <c r="G29" i="85"/>
  <c r="G30" i="85" s="1"/>
  <c r="T11" i="90"/>
  <c r="T10" i="90"/>
  <c r="T9" i="90"/>
  <c r="T8" i="90"/>
  <c r="T7" i="90"/>
  <c r="T6" i="90"/>
  <c r="T5" i="90"/>
  <c r="M11" i="90"/>
  <c r="M10" i="90"/>
  <c r="M9" i="90"/>
  <c r="M8" i="90"/>
  <c r="M7" i="90"/>
  <c r="M6" i="90"/>
  <c r="M5" i="90"/>
  <c r="F11" i="90"/>
  <c r="F10" i="90"/>
  <c r="F20" i="90" s="1"/>
  <c r="F9" i="90"/>
  <c r="F8" i="90"/>
  <c r="F7" i="90"/>
  <c r="F6" i="90"/>
  <c r="F5" i="90"/>
  <c r="T20" i="101"/>
  <c r="T19" i="101"/>
  <c r="T18" i="101"/>
  <c r="T17" i="101"/>
  <c r="T16" i="101"/>
  <c r="T15" i="101"/>
  <c r="T14" i="101"/>
  <c r="T13" i="101"/>
  <c r="T12" i="101"/>
  <c r="T11" i="101"/>
  <c r="T10" i="101"/>
  <c r="T9" i="101"/>
  <c r="T8" i="101"/>
  <c r="T7" i="101"/>
  <c r="T6" i="101"/>
  <c r="T5" i="101"/>
  <c r="M20" i="101"/>
  <c r="M19" i="101"/>
  <c r="M18" i="101"/>
  <c r="M17" i="101"/>
  <c r="M16" i="101"/>
  <c r="M15" i="101"/>
  <c r="M14" i="101"/>
  <c r="M13" i="101"/>
  <c r="M12" i="101"/>
  <c r="M11" i="101"/>
  <c r="M10" i="101"/>
  <c r="M9" i="101"/>
  <c r="M8" i="101"/>
  <c r="M7" i="101"/>
  <c r="M6" i="101"/>
  <c r="M5" i="101"/>
  <c r="F20" i="101"/>
  <c r="F19" i="101"/>
  <c r="F18" i="101"/>
  <c r="F17" i="101"/>
  <c r="F16" i="101"/>
  <c r="F15" i="101"/>
  <c r="F14" i="101"/>
  <c r="F13" i="101"/>
  <c r="F12" i="101"/>
  <c r="F11" i="101"/>
  <c r="F10" i="101"/>
  <c r="F9" i="101"/>
  <c r="F8" i="101"/>
  <c r="F7" i="101"/>
  <c r="F6" i="101"/>
  <c r="F5" i="101"/>
  <c r="M13" i="35" l="1"/>
  <c r="Q13" i="35" s="1"/>
  <c r="M12" i="35"/>
  <c r="Q12" i="35" s="1"/>
  <c r="M11" i="35"/>
  <c r="Q11" i="35" s="1"/>
  <c r="M10" i="35"/>
  <c r="Q10" i="35" s="1"/>
  <c r="M8" i="35"/>
  <c r="Q8" i="35" s="1"/>
  <c r="K13" i="35"/>
  <c r="O13" i="35" s="1"/>
  <c r="K12" i="35"/>
  <c r="O12" i="35" s="1"/>
  <c r="K11" i="35"/>
  <c r="O11" i="35" s="1"/>
  <c r="K10" i="35"/>
  <c r="O10" i="35" s="1"/>
  <c r="K8" i="35"/>
  <c r="O8" i="35" s="1"/>
  <c r="J13" i="35"/>
  <c r="F13" i="35" s="1"/>
  <c r="L13" i="35" s="1"/>
  <c r="P13" i="35" s="1"/>
  <c r="J12" i="35"/>
  <c r="F12" i="35" s="1"/>
  <c r="L12" i="35" s="1"/>
  <c r="P12" i="35" s="1"/>
  <c r="J11" i="35"/>
  <c r="F11" i="35" s="1"/>
  <c r="L11" i="35" s="1"/>
  <c r="P11" i="35" s="1"/>
  <c r="J10" i="35"/>
  <c r="F10" i="35" s="1"/>
  <c r="L10" i="35" s="1"/>
  <c r="P10" i="35" s="1"/>
  <c r="F8" i="35"/>
  <c r="L8" i="35" l="1"/>
  <c r="G12" i="66"/>
  <c r="I83" i="100"/>
  <c r="I82" i="100"/>
  <c r="G84" i="100"/>
  <c r="G83" i="100"/>
  <c r="G82" i="100"/>
  <c r="E83" i="100"/>
  <c r="E82" i="100"/>
  <c r="C84" i="100"/>
  <c r="C83" i="100"/>
  <c r="C82" i="100"/>
  <c r="P8" i="35" l="1"/>
  <c r="S25" i="101"/>
  <c r="R25" i="101"/>
  <c r="S24" i="101"/>
  <c r="R24" i="101"/>
  <c r="S23" i="101"/>
  <c r="R23" i="101"/>
  <c r="L25" i="101"/>
  <c r="K25" i="101"/>
  <c r="L24" i="101"/>
  <c r="K24" i="101"/>
  <c r="L23" i="101"/>
  <c r="K23" i="101"/>
  <c r="E25" i="101"/>
  <c r="D25" i="101"/>
  <c r="E24" i="101"/>
  <c r="D24" i="101"/>
  <c r="E23" i="101"/>
  <c r="D23" i="101"/>
  <c r="I82" i="101" l="1"/>
  <c r="P82" i="101" s="1"/>
  <c r="I81" i="101"/>
  <c r="P81" i="101" s="1"/>
  <c r="E30" i="101"/>
  <c r="L4" i="101"/>
  <c r="L30" i="101" s="1"/>
  <c r="E86" i="100"/>
  <c r="F176" i="98"/>
  <c r="G176" i="98" s="1"/>
  <c r="F175" i="98"/>
  <c r="G175" i="98" s="1"/>
  <c r="F174" i="98"/>
  <c r="G174" i="98" s="1"/>
  <c r="F173" i="98"/>
  <c r="G173" i="98" s="1"/>
  <c r="F172" i="98"/>
  <c r="G172" i="98" s="1"/>
  <c r="F171" i="98"/>
  <c r="G171" i="98" s="1"/>
  <c r="F170" i="98"/>
  <c r="G170" i="98" s="1"/>
  <c r="F169" i="98"/>
  <c r="G169" i="98" s="1"/>
  <c r="F168" i="98"/>
  <c r="G168" i="98" s="1"/>
  <c r="F167" i="98"/>
  <c r="G167" i="98" s="1"/>
  <c r="F145" i="98"/>
  <c r="G145" i="98" s="1"/>
  <c r="F144" i="98"/>
  <c r="G144" i="98" s="1"/>
  <c r="F143" i="98"/>
  <c r="G143" i="98" s="1"/>
  <c r="F142" i="98"/>
  <c r="G142" i="98" s="1"/>
  <c r="F141" i="98"/>
  <c r="G141" i="98" s="1"/>
  <c r="F140" i="98"/>
  <c r="G140" i="98" s="1"/>
  <c r="F139" i="98"/>
  <c r="G139" i="98" s="1"/>
  <c r="F138" i="98"/>
  <c r="G138" i="98" s="1"/>
  <c r="F137" i="98"/>
  <c r="G137" i="98" s="1"/>
  <c r="F136" i="98"/>
  <c r="G136" i="98" s="1"/>
  <c r="D114" i="98"/>
  <c r="D113" i="98"/>
  <c r="D112" i="98"/>
  <c r="D111" i="98"/>
  <c r="D110" i="98"/>
  <c r="D109" i="98"/>
  <c r="D108" i="98"/>
  <c r="D107" i="98"/>
  <c r="D106" i="98"/>
  <c r="D105" i="98"/>
  <c r="F114" i="98"/>
  <c r="G114" i="98" s="1"/>
  <c r="F113" i="98"/>
  <c r="G113" i="98" s="1"/>
  <c r="F112" i="98"/>
  <c r="G112" i="98" s="1"/>
  <c r="F111" i="98"/>
  <c r="F110" i="98"/>
  <c r="F109" i="98"/>
  <c r="G109" i="98" s="1"/>
  <c r="F108" i="98"/>
  <c r="G108" i="98" s="1"/>
  <c r="F107" i="98"/>
  <c r="F106" i="98"/>
  <c r="G106" i="98" s="1"/>
  <c r="F105" i="98"/>
  <c r="G105" i="98" s="1"/>
  <c r="F83" i="98"/>
  <c r="G83" i="98" s="1"/>
  <c r="F82" i="98"/>
  <c r="G82" i="98" s="1"/>
  <c r="F81" i="98"/>
  <c r="G81" i="98" s="1"/>
  <c r="F80" i="98"/>
  <c r="G80" i="98" s="1"/>
  <c r="F79" i="98"/>
  <c r="G79" i="98" s="1"/>
  <c r="F78" i="98"/>
  <c r="G78" i="98" s="1"/>
  <c r="F77" i="98"/>
  <c r="G77" i="98" s="1"/>
  <c r="F76" i="98"/>
  <c r="G76" i="98" s="1"/>
  <c r="F75" i="98"/>
  <c r="G75" i="98" s="1"/>
  <c r="F74" i="98"/>
  <c r="G74" i="98" s="1"/>
  <c r="F52" i="98"/>
  <c r="F51" i="98"/>
  <c r="F50" i="98"/>
  <c r="F49" i="98"/>
  <c r="F48" i="98"/>
  <c r="F47" i="98"/>
  <c r="F46" i="98"/>
  <c r="F45" i="98"/>
  <c r="G45" i="98" s="1"/>
  <c r="H45" i="98" s="1"/>
  <c r="F44" i="98"/>
  <c r="G44" i="98" s="1"/>
  <c r="H44" i="98" s="1"/>
  <c r="F43" i="98"/>
  <c r="G43" i="98" s="1"/>
  <c r="H43" i="98" s="1"/>
  <c r="F21" i="98"/>
  <c r="G21" i="98" s="1"/>
  <c r="F20" i="98"/>
  <c r="G20" i="98" s="1"/>
  <c r="F19" i="98"/>
  <c r="G19" i="98" s="1"/>
  <c r="F18" i="98"/>
  <c r="G18" i="98" s="1"/>
  <c r="F17" i="98"/>
  <c r="G17" i="98" s="1"/>
  <c r="F16" i="98"/>
  <c r="G16" i="98" s="1"/>
  <c r="F15" i="98"/>
  <c r="G15" i="98" s="1"/>
  <c r="F14" i="98"/>
  <c r="G14" i="98" s="1"/>
  <c r="F13" i="98"/>
  <c r="G13" i="98" s="1"/>
  <c r="F12" i="98"/>
  <c r="G12" i="98" s="1"/>
  <c r="B180" i="98"/>
  <c r="F166" i="98"/>
  <c r="C166" i="98"/>
  <c r="B166" i="98"/>
  <c r="F165" i="98"/>
  <c r="C165" i="98"/>
  <c r="B165" i="98"/>
  <c r="F164" i="98"/>
  <c r="C164" i="98"/>
  <c r="B164" i="98"/>
  <c r="F163" i="98"/>
  <c r="C163" i="98"/>
  <c r="B163" i="98"/>
  <c r="F162" i="98"/>
  <c r="C162" i="98"/>
  <c r="B162" i="98"/>
  <c r="F161" i="98"/>
  <c r="C161" i="98"/>
  <c r="B161" i="98"/>
  <c r="D160" i="98"/>
  <c r="B149" i="98"/>
  <c r="F135" i="98"/>
  <c r="C135" i="98"/>
  <c r="B135" i="98"/>
  <c r="F134" i="98"/>
  <c r="C134" i="98"/>
  <c r="B134" i="98"/>
  <c r="F133" i="98"/>
  <c r="C133" i="98"/>
  <c r="B133" i="98"/>
  <c r="F132" i="98"/>
  <c r="C132" i="98"/>
  <c r="B132" i="98"/>
  <c r="F131" i="98"/>
  <c r="C131" i="98"/>
  <c r="B131" i="98"/>
  <c r="F130" i="98"/>
  <c r="C130" i="98"/>
  <c r="B130" i="98"/>
  <c r="D129" i="98"/>
  <c r="F104" i="98"/>
  <c r="C104" i="98"/>
  <c r="B104" i="98"/>
  <c r="F103" i="98"/>
  <c r="C103" i="98"/>
  <c r="B103" i="98"/>
  <c r="F102" i="98"/>
  <c r="C102" i="98"/>
  <c r="B102" i="98"/>
  <c r="F101" i="98"/>
  <c r="C101" i="98"/>
  <c r="B101" i="98"/>
  <c r="F100" i="98"/>
  <c r="C100" i="98"/>
  <c r="B100" i="98"/>
  <c r="F99" i="98"/>
  <c r="D99" i="98"/>
  <c r="C99" i="98"/>
  <c r="B99" i="98"/>
  <c r="D98" i="98"/>
  <c r="B88" i="98"/>
  <c r="F73" i="98"/>
  <c r="C73" i="98"/>
  <c r="B73" i="98"/>
  <c r="F72" i="98"/>
  <c r="C72" i="98"/>
  <c r="B72" i="98"/>
  <c r="F71" i="98"/>
  <c r="C71" i="98"/>
  <c r="B71" i="98"/>
  <c r="F70" i="98"/>
  <c r="G70" i="98" s="1"/>
  <c r="C70" i="98"/>
  <c r="B70" i="98"/>
  <c r="F69" i="98"/>
  <c r="G69" i="98" s="1"/>
  <c r="C69" i="98"/>
  <c r="B69" i="98"/>
  <c r="F68" i="98"/>
  <c r="G68" i="98" s="1"/>
  <c r="C68" i="98"/>
  <c r="B68" i="98"/>
  <c r="B58" i="98"/>
  <c r="B89" i="98" s="1"/>
  <c r="B120" i="98" s="1"/>
  <c r="B151" i="98" s="1"/>
  <c r="B182" i="98" s="1"/>
  <c r="B57" i="98"/>
  <c r="F42" i="98"/>
  <c r="G42" i="98" s="1"/>
  <c r="C42" i="98"/>
  <c r="B42" i="98"/>
  <c r="F41" i="98"/>
  <c r="G41" i="98" s="1"/>
  <c r="C41" i="98"/>
  <c r="B41" i="98"/>
  <c r="F40" i="98"/>
  <c r="G40" i="98" s="1"/>
  <c r="C40" i="98"/>
  <c r="B40" i="98"/>
  <c r="F39" i="98"/>
  <c r="G39" i="98" s="1"/>
  <c r="C39" i="98"/>
  <c r="B39" i="98"/>
  <c r="F38" i="98"/>
  <c r="G38" i="98" s="1"/>
  <c r="C38" i="98"/>
  <c r="B38" i="98"/>
  <c r="F37" i="98"/>
  <c r="G37" i="98" s="1"/>
  <c r="C37" i="98"/>
  <c r="B37" i="98"/>
  <c r="F11" i="98"/>
  <c r="C11" i="98"/>
  <c r="B11" i="98"/>
  <c r="F10" i="98"/>
  <c r="C10" i="98"/>
  <c r="B10" i="98"/>
  <c r="F9" i="98"/>
  <c r="C9" i="98"/>
  <c r="B9" i="98"/>
  <c r="F8" i="98"/>
  <c r="C8" i="98"/>
  <c r="B8" i="98"/>
  <c r="F7" i="98"/>
  <c r="C7" i="98"/>
  <c r="B7" i="98"/>
  <c r="F6" i="98"/>
  <c r="G6" i="98" s="1"/>
  <c r="I6" i="98" s="1"/>
  <c r="C6" i="98"/>
  <c r="B6" i="98"/>
  <c r="M100" i="97"/>
  <c r="Q100" i="97" s="1"/>
  <c r="K100" i="97"/>
  <c r="O100" i="97" s="1"/>
  <c r="J100" i="97"/>
  <c r="L100" i="97" s="1"/>
  <c r="P100" i="97" s="1"/>
  <c r="M99" i="97"/>
  <c r="Q99" i="97" s="1"/>
  <c r="L99" i="97"/>
  <c r="P99" i="97" s="1"/>
  <c r="K99" i="97"/>
  <c r="O99" i="97" s="1"/>
  <c r="J99" i="97"/>
  <c r="M98" i="97"/>
  <c r="Q98" i="97" s="1"/>
  <c r="K98" i="97"/>
  <c r="O98" i="97" s="1"/>
  <c r="J98" i="97"/>
  <c r="L98" i="97" s="1"/>
  <c r="P98" i="97" s="1"/>
  <c r="M97" i="97"/>
  <c r="Q97" i="97" s="1"/>
  <c r="K97" i="97"/>
  <c r="O97" i="97" s="1"/>
  <c r="J97" i="97"/>
  <c r="L97" i="97" s="1"/>
  <c r="P97" i="97" s="1"/>
  <c r="M96" i="97"/>
  <c r="Q96" i="97" s="1"/>
  <c r="K96" i="97"/>
  <c r="O96" i="97" s="1"/>
  <c r="J96" i="97"/>
  <c r="L96" i="97" s="1"/>
  <c r="P96" i="97" s="1"/>
  <c r="M95" i="97"/>
  <c r="Q95" i="97" s="1"/>
  <c r="L95" i="97"/>
  <c r="P95" i="97" s="1"/>
  <c r="K95" i="97"/>
  <c r="O95" i="97" s="1"/>
  <c r="J95" i="97"/>
  <c r="M94" i="97"/>
  <c r="Q94" i="97" s="1"/>
  <c r="K94" i="97"/>
  <c r="O94" i="97" s="1"/>
  <c r="J94" i="97"/>
  <c r="L94" i="97" s="1"/>
  <c r="P94" i="97" s="1"/>
  <c r="O93" i="97"/>
  <c r="M93" i="97"/>
  <c r="Q93" i="97" s="1"/>
  <c r="K93" i="97"/>
  <c r="J93" i="97"/>
  <c r="L93" i="97" s="1"/>
  <c r="P93" i="97" s="1"/>
  <c r="M92" i="97"/>
  <c r="Q92" i="97" s="1"/>
  <c r="K92" i="97"/>
  <c r="O92" i="97" s="1"/>
  <c r="J92" i="97"/>
  <c r="L92" i="97" s="1"/>
  <c r="P92" i="97" s="1"/>
  <c r="M91" i="97"/>
  <c r="Q91" i="97" s="1"/>
  <c r="L91" i="97"/>
  <c r="K91" i="97"/>
  <c r="O91" i="97" s="1"/>
  <c r="M61" i="97"/>
  <c r="Q61" i="97" s="1"/>
  <c r="K61" i="97"/>
  <c r="O61" i="97" s="1"/>
  <c r="J61" i="97"/>
  <c r="L61" i="97" s="1"/>
  <c r="P61" i="97" s="1"/>
  <c r="M60" i="97"/>
  <c r="Q60" i="97" s="1"/>
  <c r="K60" i="97"/>
  <c r="O60" i="97" s="1"/>
  <c r="J60" i="97"/>
  <c r="L60" i="97" s="1"/>
  <c r="P60" i="97" s="1"/>
  <c r="M59" i="97"/>
  <c r="Q59" i="97" s="1"/>
  <c r="K59" i="97"/>
  <c r="O59" i="97" s="1"/>
  <c r="J59" i="97"/>
  <c r="L59" i="97" s="1"/>
  <c r="P59" i="97" s="1"/>
  <c r="M58" i="97"/>
  <c r="Q58" i="97" s="1"/>
  <c r="K58" i="97"/>
  <c r="O58" i="97" s="1"/>
  <c r="J58" i="97"/>
  <c r="L58" i="97" s="1"/>
  <c r="P58" i="97" s="1"/>
  <c r="M57" i="97"/>
  <c r="Q57" i="97" s="1"/>
  <c r="K57" i="97"/>
  <c r="O57" i="97" s="1"/>
  <c r="J57" i="97"/>
  <c r="L57" i="97" s="1"/>
  <c r="P57" i="97" s="1"/>
  <c r="M56" i="97"/>
  <c r="Q56" i="97" s="1"/>
  <c r="K56" i="97"/>
  <c r="O56" i="97" s="1"/>
  <c r="J56" i="97"/>
  <c r="L56" i="97" s="1"/>
  <c r="P56" i="97" s="1"/>
  <c r="M55" i="97"/>
  <c r="Q55" i="97" s="1"/>
  <c r="K55" i="97"/>
  <c r="O55" i="97" s="1"/>
  <c r="J55" i="97"/>
  <c r="L55" i="97" s="1"/>
  <c r="P55" i="97" s="1"/>
  <c r="M54" i="97"/>
  <c r="Q54" i="97" s="1"/>
  <c r="K54" i="97"/>
  <c r="O54" i="97" s="1"/>
  <c r="J54" i="97"/>
  <c r="L54" i="97" s="1"/>
  <c r="P54" i="97" s="1"/>
  <c r="M53" i="97"/>
  <c r="Q53" i="97" s="1"/>
  <c r="K53" i="97"/>
  <c r="O53" i="97" s="1"/>
  <c r="J53" i="97"/>
  <c r="L53" i="97" s="1"/>
  <c r="P53" i="97" s="1"/>
  <c r="M52" i="97"/>
  <c r="Q52" i="97" s="1"/>
  <c r="K52" i="97"/>
  <c r="O52" i="97" s="1"/>
  <c r="J52" i="97"/>
  <c r="L52" i="97" s="1"/>
  <c r="P52" i="97" s="1"/>
  <c r="G110" i="98" l="1"/>
  <c r="I110" i="98" s="1"/>
  <c r="I43" i="98"/>
  <c r="P91" i="97"/>
  <c r="T23" i="101"/>
  <c r="T24" i="101"/>
  <c r="T25" i="101"/>
  <c r="M25" i="101"/>
  <c r="M23" i="101"/>
  <c r="M24" i="101"/>
  <c r="F25" i="101"/>
  <c r="F23" i="101"/>
  <c r="F24" i="101"/>
  <c r="C86" i="100"/>
  <c r="I86" i="100"/>
  <c r="G86" i="100"/>
  <c r="S4" i="101"/>
  <c r="S30" i="101" s="1"/>
  <c r="I173" i="98"/>
  <c r="H173" i="98"/>
  <c r="I170" i="98"/>
  <c r="H170" i="98"/>
  <c r="I174" i="98"/>
  <c r="H174" i="98"/>
  <c r="I167" i="98"/>
  <c r="H167" i="98"/>
  <c r="I171" i="98"/>
  <c r="H171" i="98"/>
  <c r="I175" i="98"/>
  <c r="H175" i="98"/>
  <c r="I169" i="98"/>
  <c r="H169" i="98"/>
  <c r="I168" i="98"/>
  <c r="H168" i="98"/>
  <c r="I172" i="98"/>
  <c r="H172" i="98"/>
  <c r="I176" i="98"/>
  <c r="H176" i="98"/>
  <c r="I138" i="98"/>
  <c r="H138" i="98"/>
  <c r="I139" i="98"/>
  <c r="H139" i="98"/>
  <c r="I143" i="98"/>
  <c r="H143" i="98"/>
  <c r="I136" i="98"/>
  <c r="H136" i="98"/>
  <c r="I140" i="98"/>
  <c r="H140" i="98"/>
  <c r="I144" i="98"/>
  <c r="H144" i="98"/>
  <c r="I142" i="98"/>
  <c r="H142" i="98"/>
  <c r="I137" i="98"/>
  <c r="H137" i="98"/>
  <c r="I141" i="98"/>
  <c r="H141" i="98"/>
  <c r="I145" i="98"/>
  <c r="H145" i="98"/>
  <c r="G107" i="98"/>
  <c r="I107" i="98" s="1"/>
  <c r="G111" i="98"/>
  <c r="H111" i="98" s="1"/>
  <c r="I112" i="98"/>
  <c r="H112" i="98"/>
  <c r="I105" i="98"/>
  <c r="H105" i="98"/>
  <c r="I109" i="98"/>
  <c r="H109" i="98"/>
  <c r="I113" i="98"/>
  <c r="H113" i="98"/>
  <c r="I108" i="98"/>
  <c r="H108" i="98"/>
  <c r="I106" i="98"/>
  <c r="H106" i="98"/>
  <c r="I114" i="98"/>
  <c r="H114" i="98"/>
  <c r="I77" i="98"/>
  <c r="H77" i="98"/>
  <c r="I81" i="98"/>
  <c r="H81" i="98"/>
  <c r="I80" i="98"/>
  <c r="H80" i="98"/>
  <c r="I74" i="98"/>
  <c r="H74" i="98"/>
  <c r="I78" i="98"/>
  <c r="H78" i="98"/>
  <c r="I82" i="98"/>
  <c r="H82" i="98"/>
  <c r="I76" i="98"/>
  <c r="H76" i="98"/>
  <c r="I75" i="98"/>
  <c r="H75" i="98"/>
  <c r="I79" i="98"/>
  <c r="H79" i="98"/>
  <c r="I83" i="98"/>
  <c r="H83" i="98"/>
  <c r="G71" i="98"/>
  <c r="I45" i="98"/>
  <c r="I44" i="98"/>
  <c r="I18" i="98"/>
  <c r="H18" i="98"/>
  <c r="I15" i="98"/>
  <c r="H15" i="98"/>
  <c r="I19" i="98"/>
  <c r="H19" i="98"/>
  <c r="I12" i="98"/>
  <c r="H12" i="98"/>
  <c r="I16" i="98"/>
  <c r="H16" i="98"/>
  <c r="I20" i="98"/>
  <c r="H20" i="98"/>
  <c r="I14" i="98"/>
  <c r="H14" i="98"/>
  <c r="I13" i="98"/>
  <c r="H13" i="98"/>
  <c r="I17" i="98"/>
  <c r="H17" i="98"/>
  <c r="I21" i="98"/>
  <c r="H21" i="98"/>
  <c r="I68" i="98"/>
  <c r="I41" i="98"/>
  <c r="I69" i="98"/>
  <c r="G130" i="98"/>
  <c r="H130" i="98" s="1"/>
  <c r="G131" i="98"/>
  <c r="I131" i="98" s="1"/>
  <c r="G135" i="98"/>
  <c r="H135" i="98" s="1"/>
  <c r="G163" i="98"/>
  <c r="I163" i="98" s="1"/>
  <c r="G132" i="98"/>
  <c r="H132" i="98" s="1"/>
  <c r="G133" i="98"/>
  <c r="H133" i="98" s="1"/>
  <c r="G134" i="98"/>
  <c r="I134" i="98" s="1"/>
  <c r="G161" i="98"/>
  <c r="H161" i="98" s="1"/>
  <c r="G162" i="98"/>
  <c r="H162" i="98" s="1"/>
  <c r="I37" i="98"/>
  <c r="H37" i="98"/>
  <c r="G99" i="98"/>
  <c r="H99" i="98" s="1"/>
  <c r="I70" i="98"/>
  <c r="H70" i="98"/>
  <c r="H39" i="98"/>
  <c r="I39" i="98"/>
  <c r="H42" i="98"/>
  <c r="I42" i="98"/>
  <c r="H38" i="98"/>
  <c r="I38" i="98"/>
  <c r="I40" i="98"/>
  <c r="H40" i="98"/>
  <c r="H6" i="98"/>
  <c r="H41" i="98"/>
  <c r="H68" i="98"/>
  <c r="H69" i="98"/>
  <c r="H110" i="98" l="1"/>
  <c r="I111" i="98"/>
  <c r="H107" i="98"/>
  <c r="H71" i="98"/>
  <c r="I71" i="98"/>
  <c r="G164" i="98"/>
  <c r="H164" i="98" s="1"/>
  <c r="G46" i="98"/>
  <c r="H46" i="98" s="1"/>
  <c r="I161" i="98"/>
  <c r="I132" i="98"/>
  <c r="H163" i="98"/>
  <c r="H134" i="98"/>
  <c r="I130" i="98"/>
  <c r="I162" i="98"/>
  <c r="H131" i="98"/>
  <c r="H146" i="98" s="1"/>
  <c r="D12" i="95" s="1"/>
  <c r="I133" i="98"/>
  <c r="I135" i="98"/>
  <c r="I99" i="98"/>
  <c r="G7" i="98"/>
  <c r="H7" i="98" s="1"/>
  <c r="D100" i="98"/>
  <c r="N24" i="95"/>
  <c r="M24" i="95"/>
  <c r="N23" i="95"/>
  <c r="M22" i="95"/>
  <c r="N19" i="95"/>
  <c r="N15" i="95"/>
  <c r="N11" i="95"/>
  <c r="N7" i="95"/>
  <c r="M23" i="99" l="1"/>
  <c r="C17" i="95" s="1"/>
  <c r="M19" i="95" s="1"/>
  <c r="I164" i="98"/>
  <c r="I146" i="98"/>
  <c r="D15" i="95" s="1"/>
  <c r="G72" i="98"/>
  <c r="H72" i="98" s="1"/>
  <c r="I46" i="98"/>
  <c r="G47" i="98"/>
  <c r="H47" i="98" s="1"/>
  <c r="I7" i="98"/>
  <c r="D101" i="98"/>
  <c r="G8" i="98"/>
  <c r="H8" i="98" s="1"/>
  <c r="G100" i="98"/>
  <c r="H100" i="98" s="1"/>
  <c r="M18" i="95" l="1"/>
  <c r="I47" i="98"/>
  <c r="I72" i="98"/>
  <c r="G165" i="98"/>
  <c r="H165" i="98" s="1"/>
  <c r="G73" i="98"/>
  <c r="H73" i="98" s="1"/>
  <c r="H84" i="98" s="1"/>
  <c r="E11" i="95" s="1"/>
  <c r="G48" i="98"/>
  <c r="H48" i="98" s="1"/>
  <c r="I100" i="98"/>
  <c r="G101" i="98"/>
  <c r="H101" i="98" s="1"/>
  <c r="D102" i="98"/>
  <c r="G9" i="98"/>
  <c r="H9" i="98" s="1"/>
  <c r="I8" i="98"/>
  <c r="I48" i="93"/>
  <c r="H48" i="93"/>
  <c r="G48" i="93"/>
  <c r="F48" i="93"/>
  <c r="E48" i="93"/>
  <c r="J48" i="93" s="1"/>
  <c r="D34" i="94" s="1"/>
  <c r="G9" i="93"/>
  <c r="H9" i="93" s="1"/>
  <c r="F9" i="93"/>
  <c r="G55" i="85"/>
  <c r="K52" i="85"/>
  <c r="K55" i="85" s="1"/>
  <c r="G52" i="85"/>
  <c r="A18" i="77"/>
  <c r="J12" i="77"/>
  <c r="I12" i="77"/>
  <c r="H12" i="77"/>
  <c r="K12" i="77" s="1"/>
  <c r="I11" i="77"/>
  <c r="J11" i="77" s="1"/>
  <c r="G11" i="77" s="1"/>
  <c r="H11" i="77"/>
  <c r="K11" i="77" s="1"/>
  <c r="I10" i="77"/>
  <c r="J10" i="77" s="1"/>
  <c r="G10" i="77" s="1"/>
  <c r="H10" i="77"/>
  <c r="K10" i="77" s="1"/>
  <c r="K9" i="77"/>
  <c r="J9" i="77"/>
  <c r="G9" i="77" s="1"/>
  <c r="I9" i="77"/>
  <c r="H9" i="77"/>
  <c r="K8" i="77"/>
  <c r="I8" i="77"/>
  <c r="J8" i="77" s="1"/>
  <c r="G8" i="77" s="1"/>
  <c r="H8" i="77"/>
  <c r="I7" i="77"/>
  <c r="J7" i="77" s="1"/>
  <c r="G7" i="77" s="1"/>
  <c r="H7" i="77"/>
  <c r="K7" i="77" s="1"/>
  <c r="I6" i="77"/>
  <c r="J6" i="77" s="1"/>
  <c r="G6" i="77" s="1"/>
  <c r="K6" i="77"/>
  <c r="I48" i="98" l="1"/>
  <c r="F52" i="85"/>
  <c r="I73" i="98"/>
  <c r="I84" i="98" s="1"/>
  <c r="E14" i="95" s="1"/>
  <c r="G166" i="98"/>
  <c r="H166" i="98" s="1"/>
  <c r="H177" i="98" s="1"/>
  <c r="E12" i="95" s="1"/>
  <c r="I165" i="98"/>
  <c r="G49" i="98"/>
  <c r="H49" i="98" s="1"/>
  <c r="I9" i="98"/>
  <c r="G102" i="98"/>
  <c r="H102" i="98" s="1"/>
  <c r="D103" i="98"/>
  <c r="G10" i="98"/>
  <c r="H10" i="98" s="1"/>
  <c r="I101" i="98"/>
  <c r="D28" i="94"/>
  <c r="J53" i="93"/>
  <c r="I166" i="98" l="1"/>
  <c r="I177" i="98" s="1"/>
  <c r="E15" i="95" s="1"/>
  <c r="I49" i="98"/>
  <c r="G50" i="98"/>
  <c r="H50" i="98" s="1"/>
  <c r="I102" i="98"/>
  <c r="G103" i="98"/>
  <c r="H103" i="98" s="1"/>
  <c r="G11" i="98"/>
  <c r="H11" i="98" s="1"/>
  <c r="H22" i="98" s="1"/>
  <c r="C11" i="95" s="1"/>
  <c r="D104" i="98"/>
  <c r="I10" i="98"/>
  <c r="D38" i="94"/>
  <c r="J54" i="93"/>
  <c r="J55" i="93" s="1"/>
  <c r="I50" i="98" l="1"/>
  <c r="G51" i="98"/>
  <c r="H51" i="98" s="1"/>
  <c r="G104" i="98"/>
  <c r="H104" i="98" s="1"/>
  <c r="H115" i="98" s="1"/>
  <c r="C12" i="95" s="1"/>
  <c r="I11" i="98"/>
  <c r="I22" i="98" s="1"/>
  <c r="C14" i="95" s="1"/>
  <c r="I103" i="98"/>
  <c r="G52" i="98" l="1"/>
  <c r="H52" i="98" s="1"/>
  <c r="H53" i="98" s="1"/>
  <c r="D11" i="95" s="1"/>
  <c r="I51" i="98"/>
  <c r="I104" i="98"/>
  <c r="I115" i="98" s="1"/>
  <c r="C15" i="95" s="1"/>
  <c r="M10" i="95" l="1"/>
  <c r="M11" i="95"/>
  <c r="I52" i="98"/>
  <c r="I53" i="98" s="1"/>
  <c r="D14" i="95" s="1"/>
  <c r="G11" i="95" s="1"/>
  <c r="H15" i="35"/>
  <c r="I15" i="35"/>
  <c r="H16" i="35"/>
  <c r="I16" i="35"/>
  <c r="E15" i="35"/>
  <c r="M14" i="95" l="1"/>
  <c r="M15" i="95"/>
  <c r="N37" i="86"/>
  <c r="N39" i="86"/>
  <c r="N41" i="86"/>
  <c r="N43" i="86"/>
  <c r="N45" i="86"/>
  <c r="N47" i="86"/>
  <c r="N50" i="86"/>
  <c r="N53" i="86"/>
  <c r="N55" i="86"/>
  <c r="N60" i="86"/>
  <c r="N59" i="86"/>
  <c r="M59" i="86"/>
  <c r="M60" i="86" s="1"/>
  <c r="M57" i="86"/>
  <c r="M58" i="86" s="1"/>
  <c r="N7" i="86"/>
  <c r="N11" i="86"/>
  <c r="N15" i="86"/>
  <c r="N18" i="86"/>
  <c r="N21" i="86"/>
  <c r="N26" i="86"/>
  <c r="N25" i="86"/>
  <c r="M26" i="86"/>
  <c r="M24" i="86"/>
  <c r="H63" i="92" l="1"/>
  <c r="L52" i="92"/>
  <c r="M52" i="92" s="1"/>
  <c r="L51" i="92"/>
  <c r="C119" i="92"/>
  <c r="E18" i="86" l="1"/>
  <c r="M18" i="86" s="1"/>
  <c r="E50" i="86"/>
  <c r="M50" i="86" s="1"/>
  <c r="L50" i="92"/>
  <c r="M50" i="92" s="1"/>
  <c r="D119" i="92"/>
  <c r="D118" i="92"/>
  <c r="M51" i="92"/>
  <c r="C118" i="92"/>
  <c r="C18" i="86" l="1"/>
  <c r="M17" i="86" s="1"/>
  <c r="C50" i="86"/>
  <c r="M49" i="86" s="1"/>
  <c r="D18" i="86"/>
  <c r="D50" i="86"/>
  <c r="M53" i="92"/>
  <c r="E119" i="92"/>
  <c r="E118" i="92"/>
  <c r="C12" i="91" l="1"/>
  <c r="E12" i="91" s="1"/>
  <c r="C11" i="91"/>
  <c r="G8" i="97" l="1"/>
  <c r="G9" i="35"/>
  <c r="J52" i="85"/>
  <c r="M9" i="35" l="1"/>
  <c r="Q9" i="35" s="1"/>
  <c r="J9" i="35"/>
  <c r="F9" i="35" s="1"/>
  <c r="L9" i="35" s="1"/>
  <c r="P9" i="35" s="1"/>
  <c r="K9" i="35"/>
  <c r="O9" i="35" s="1"/>
  <c r="G15" i="35"/>
  <c r="G16" i="35"/>
  <c r="E21" i="90"/>
  <c r="D21" i="90"/>
  <c r="E20" i="90"/>
  <c r="D20" i="90"/>
  <c r="E19" i="90"/>
  <c r="D19" i="90"/>
  <c r="E16" i="90"/>
  <c r="D16" i="90"/>
  <c r="E15" i="90"/>
  <c r="D15" i="90"/>
  <c r="E14" i="90"/>
  <c r="D14" i="90"/>
  <c r="F21" i="90" l="1"/>
  <c r="F16" i="90"/>
  <c r="F19" i="90"/>
  <c r="F14" i="90"/>
  <c r="F15" i="90"/>
  <c r="I42" i="90" l="1"/>
  <c r="P42" i="90" s="1"/>
  <c r="I41" i="90"/>
  <c r="P41" i="90" s="1"/>
  <c r="S25" i="90"/>
  <c r="E25" i="90"/>
  <c r="L25" i="90" l="1"/>
  <c r="L16" i="90"/>
  <c r="L21" i="90"/>
  <c r="L15" i="90"/>
  <c r="T21" i="90" l="1"/>
  <c r="T20" i="90"/>
  <c r="T19" i="90"/>
  <c r="T16" i="90"/>
  <c r="T15" i="90"/>
  <c r="T14" i="90"/>
  <c r="L19" i="90"/>
  <c r="S21" i="90"/>
  <c r="S20" i="90"/>
  <c r="S19" i="90"/>
  <c r="S16" i="90"/>
  <c r="S15" i="90"/>
  <c r="S14" i="90"/>
  <c r="L14" i="90"/>
  <c r="L20" i="90"/>
  <c r="R21" i="90"/>
  <c r="R20" i="90"/>
  <c r="R19" i="90"/>
  <c r="R16" i="90"/>
  <c r="R15" i="90"/>
  <c r="R14" i="90"/>
  <c r="K21" i="90"/>
  <c r="K20" i="90"/>
  <c r="K19" i="90"/>
  <c r="K16" i="90"/>
  <c r="K15" i="90"/>
  <c r="K14" i="90"/>
  <c r="M16" i="90" l="1"/>
  <c r="M19" i="90"/>
  <c r="M21" i="90"/>
  <c r="M20" i="90"/>
  <c r="M15" i="90"/>
  <c r="M14" i="90"/>
  <c r="G50" i="85" l="1"/>
  <c r="G49" i="85"/>
  <c r="G48" i="85"/>
  <c r="G47" i="85"/>
  <c r="G46" i="85"/>
  <c r="G45" i="85"/>
  <c r="G44" i="85"/>
  <c r="G43" i="85"/>
  <c r="G42" i="85"/>
  <c r="G41" i="85"/>
  <c r="B66" i="85" l="1"/>
  <c r="B42" i="76" l="1"/>
  <c r="B123" i="76"/>
  <c r="C123" i="76"/>
  <c r="B124" i="76"/>
  <c r="C124" i="76"/>
  <c r="B125" i="76"/>
  <c r="C125" i="76"/>
  <c r="B126" i="76"/>
  <c r="C126" i="76"/>
  <c r="B127" i="76"/>
  <c r="C127" i="76"/>
  <c r="C121" i="76"/>
  <c r="B121" i="76"/>
  <c r="B100" i="76"/>
  <c r="C100" i="76"/>
  <c r="B101" i="76"/>
  <c r="C101" i="76"/>
  <c r="B102" i="76"/>
  <c r="C102" i="76"/>
  <c r="B103" i="76"/>
  <c r="C103" i="76"/>
  <c r="B104" i="76"/>
  <c r="C104" i="76"/>
  <c r="C98" i="76"/>
  <c r="B98" i="76"/>
  <c r="B77" i="76"/>
  <c r="C77" i="76"/>
  <c r="B78" i="76"/>
  <c r="C78" i="76"/>
  <c r="B79" i="76"/>
  <c r="C79" i="76"/>
  <c r="B80" i="76"/>
  <c r="C80" i="76"/>
  <c r="B81" i="76"/>
  <c r="C81" i="76"/>
  <c r="B75" i="76"/>
  <c r="C75" i="76"/>
  <c r="D122" i="76" l="1"/>
  <c r="E28" i="80" l="1"/>
  <c r="H29" i="77"/>
  <c r="I29" i="77"/>
  <c r="J29" i="77"/>
  <c r="H30" i="77"/>
  <c r="I30" i="77"/>
  <c r="J30" i="77"/>
  <c r="H31" i="77"/>
  <c r="I31" i="77"/>
  <c r="J31" i="77"/>
  <c r="H32" i="77"/>
  <c r="I32" i="77"/>
  <c r="J32" i="77"/>
  <c r="H33" i="77"/>
  <c r="I33" i="77"/>
  <c r="J33" i="77"/>
  <c r="H34" i="77"/>
  <c r="I34" i="77"/>
  <c r="J34" i="77"/>
  <c r="C29" i="77"/>
  <c r="C30" i="77"/>
  <c r="C31" i="77"/>
  <c r="C32" i="77"/>
  <c r="C33" i="77"/>
  <c r="C34" i="77"/>
  <c r="J13" i="66" l="1"/>
  <c r="J7" i="66"/>
  <c r="G8" i="66"/>
  <c r="G9" i="66"/>
  <c r="G10" i="66"/>
  <c r="G11" i="66"/>
  <c r="G13" i="66"/>
  <c r="G7" i="66"/>
  <c r="B65" i="76"/>
  <c r="B88" i="76" s="1"/>
  <c r="B111" i="76" s="1"/>
  <c r="B134" i="76" s="1"/>
  <c r="K7" i="66" l="1"/>
  <c r="L7" i="66" s="1"/>
  <c r="M7" i="66" s="1"/>
  <c r="K13" i="66"/>
  <c r="L13" i="66" s="1"/>
  <c r="F122" i="76"/>
  <c r="G122" i="76" s="1"/>
  <c r="J7" i="35"/>
  <c r="I46" i="35" l="1"/>
  <c r="I47" i="35"/>
  <c r="H46" i="35"/>
  <c r="H47" i="35"/>
  <c r="J16" i="35"/>
  <c r="J15" i="35"/>
  <c r="G46" i="35"/>
  <c r="G47" i="35"/>
  <c r="E78" i="35"/>
  <c r="E77" i="35"/>
  <c r="K71" i="35"/>
  <c r="J72" i="35"/>
  <c r="F72" i="35" s="1"/>
  <c r="L72" i="35" s="1"/>
  <c r="J73" i="35"/>
  <c r="F73" i="35" s="1"/>
  <c r="L73" i="35" s="1"/>
  <c r="M72" i="35"/>
  <c r="K72" i="35"/>
  <c r="J75" i="35"/>
  <c r="F75" i="35" s="1"/>
  <c r="L75" i="35" s="1"/>
  <c r="M73" i="35"/>
  <c r="K73" i="35"/>
  <c r="K75" i="35"/>
  <c r="M75" i="35"/>
  <c r="J74" i="35"/>
  <c r="F74" i="35" s="1"/>
  <c r="L74" i="35" s="1"/>
  <c r="J70" i="35"/>
  <c r="F70" i="35" s="1"/>
  <c r="L70" i="35" s="1"/>
  <c r="K70" i="35"/>
  <c r="M70" i="35"/>
  <c r="M74" i="35"/>
  <c r="K74" i="35"/>
  <c r="H122" i="76"/>
  <c r="I122" i="76"/>
  <c r="J44" i="35"/>
  <c r="J38" i="35"/>
  <c r="I78" i="35" l="1"/>
  <c r="I77" i="35"/>
  <c r="H78" i="35"/>
  <c r="H77" i="35"/>
  <c r="J71" i="35"/>
  <c r="F71" i="35" s="1"/>
  <c r="L71" i="35" s="1"/>
  <c r="M71" i="35"/>
  <c r="G77" i="35"/>
  <c r="G78" i="35"/>
  <c r="E47" i="35"/>
  <c r="E46" i="35"/>
  <c r="M69" i="35"/>
  <c r="K69" i="35"/>
  <c r="J69" i="35"/>
  <c r="F44" i="35"/>
  <c r="F38" i="35"/>
  <c r="J77" i="35" l="1"/>
  <c r="J78" i="35"/>
  <c r="K78" i="35"/>
  <c r="K77" i="35"/>
  <c r="M77" i="35"/>
  <c r="M78" i="35"/>
  <c r="G28" i="80"/>
  <c r="I28" i="80"/>
  <c r="E29" i="80"/>
  <c r="E32" i="80" s="1"/>
  <c r="G29" i="80"/>
  <c r="I29" i="80"/>
  <c r="C30" i="80"/>
  <c r="G30" i="80"/>
  <c r="C28" i="77"/>
  <c r="D28" i="77"/>
  <c r="H28" i="77"/>
  <c r="I28" i="77"/>
  <c r="J28" i="77"/>
  <c r="D29" i="77"/>
  <c r="D30" i="77"/>
  <c r="D31" i="77"/>
  <c r="D32" i="77"/>
  <c r="D33" i="77"/>
  <c r="D34" i="77"/>
  <c r="J8" i="66"/>
  <c r="K8" i="66" s="1"/>
  <c r="J9" i="66"/>
  <c r="K9" i="66" s="1"/>
  <c r="J10" i="66"/>
  <c r="K10" i="66" s="1"/>
  <c r="J11" i="66"/>
  <c r="K11" i="66" s="1"/>
  <c r="J12" i="66"/>
  <c r="K12" i="66" s="1"/>
  <c r="M13" i="66"/>
  <c r="F54" i="76"/>
  <c r="G54" i="76" s="1"/>
  <c r="B6" i="76"/>
  <c r="C6" i="76"/>
  <c r="B8" i="76"/>
  <c r="C8" i="76"/>
  <c r="B9" i="76"/>
  <c r="C9" i="76"/>
  <c r="B10" i="76"/>
  <c r="C10" i="76"/>
  <c r="B11" i="76"/>
  <c r="C11" i="76"/>
  <c r="B12" i="76"/>
  <c r="C12" i="76"/>
  <c r="B29" i="76"/>
  <c r="C29" i="76"/>
  <c r="B31" i="76"/>
  <c r="C31" i="76"/>
  <c r="B32" i="76"/>
  <c r="C32" i="76"/>
  <c r="B33" i="76"/>
  <c r="C33" i="76"/>
  <c r="B34" i="76"/>
  <c r="C34" i="76"/>
  <c r="B35" i="76"/>
  <c r="C35" i="76"/>
  <c r="B52" i="76"/>
  <c r="C52" i="76"/>
  <c r="B54" i="76"/>
  <c r="C54" i="76"/>
  <c r="B55" i="76"/>
  <c r="C55" i="76"/>
  <c r="B56" i="76"/>
  <c r="C56" i="76"/>
  <c r="B57" i="76"/>
  <c r="C57" i="76"/>
  <c r="B58" i="76"/>
  <c r="C58" i="76"/>
  <c r="D74" i="76"/>
  <c r="D75" i="76"/>
  <c r="D76" i="76"/>
  <c r="D77" i="76"/>
  <c r="D78" i="76"/>
  <c r="F78" i="76"/>
  <c r="D79" i="76"/>
  <c r="D80" i="76"/>
  <c r="D81" i="76"/>
  <c r="D97" i="76"/>
  <c r="D98" i="76"/>
  <c r="B109" i="76"/>
  <c r="D120" i="76"/>
  <c r="D121" i="76"/>
  <c r="D123" i="76"/>
  <c r="D124" i="76"/>
  <c r="D125" i="76"/>
  <c r="D126" i="76"/>
  <c r="D127" i="76"/>
  <c r="B132" i="76"/>
  <c r="K7" i="35"/>
  <c r="M7" i="35"/>
  <c r="K38" i="35"/>
  <c r="M38" i="35"/>
  <c r="J39" i="35"/>
  <c r="K39" i="35"/>
  <c r="M39" i="35"/>
  <c r="Q39" i="35" s="1"/>
  <c r="J40" i="35"/>
  <c r="K40" i="35"/>
  <c r="O40" i="35" s="1"/>
  <c r="M40" i="35"/>
  <c r="Q40" i="35" s="1"/>
  <c r="J41" i="35"/>
  <c r="K41" i="35"/>
  <c r="O41" i="35" s="1"/>
  <c r="M41" i="35"/>
  <c r="Q41" i="35" s="1"/>
  <c r="J42" i="35"/>
  <c r="K42" i="35"/>
  <c r="O42" i="35" s="1"/>
  <c r="M42" i="35"/>
  <c r="Q42" i="35" s="1"/>
  <c r="J43" i="35"/>
  <c r="K43" i="35"/>
  <c r="O43" i="35" s="1"/>
  <c r="M43" i="35"/>
  <c r="Q43" i="35" s="1"/>
  <c r="L44" i="35"/>
  <c r="P44" i="35" s="1"/>
  <c r="K44" i="35"/>
  <c r="O44" i="35" s="1"/>
  <c r="M44" i="35"/>
  <c r="Q44" i="35" s="1"/>
  <c r="O45" i="35"/>
  <c r="P45" i="35"/>
  <c r="Q45" i="35"/>
  <c r="P71" i="35"/>
  <c r="O71" i="35"/>
  <c r="Q71" i="35"/>
  <c r="O72" i="35"/>
  <c r="Q72" i="35"/>
  <c r="O73" i="35"/>
  <c r="Q73" i="35"/>
  <c r="O74" i="35"/>
  <c r="Q74" i="35"/>
  <c r="P75" i="35"/>
  <c r="O75" i="35"/>
  <c r="Q75" i="35"/>
  <c r="O76" i="35"/>
  <c r="P76" i="35"/>
  <c r="Q76" i="35"/>
  <c r="J47" i="35" l="1"/>
  <c r="J46" i="35"/>
  <c r="M47" i="35"/>
  <c r="M46" i="35"/>
  <c r="K46" i="35"/>
  <c r="K47" i="35"/>
  <c r="M15" i="35"/>
  <c r="M16" i="35"/>
  <c r="K15" i="35"/>
  <c r="K16" i="35"/>
  <c r="Q38" i="35"/>
  <c r="I32" i="80"/>
  <c r="G32" i="80"/>
  <c r="C32" i="80"/>
  <c r="G78" i="76"/>
  <c r="I78" i="76" s="1"/>
  <c r="Q70" i="35"/>
  <c r="O39" i="35"/>
  <c r="D99" i="76"/>
  <c r="E28" i="77"/>
  <c r="K28" i="77"/>
  <c r="L10" i="66"/>
  <c r="M10" i="66" s="1"/>
  <c r="L12" i="66"/>
  <c r="M12" i="66" s="1"/>
  <c r="L9" i="66"/>
  <c r="M9" i="66" s="1"/>
  <c r="L11" i="66"/>
  <c r="M11" i="66" s="1"/>
  <c r="D100" i="76"/>
  <c r="F98" i="76"/>
  <c r="G98" i="76" s="1"/>
  <c r="H98" i="76" s="1"/>
  <c r="P73" i="35"/>
  <c r="P72" i="35"/>
  <c r="P74" i="35"/>
  <c r="F69" i="35"/>
  <c r="Q69" i="35"/>
  <c r="O69" i="35"/>
  <c r="F39" i="35"/>
  <c r="F41" i="35"/>
  <c r="L41" i="35" s="1"/>
  <c r="P41" i="35" s="1"/>
  <c r="F40" i="35"/>
  <c r="F42" i="35"/>
  <c r="L42" i="35" s="1"/>
  <c r="P42" i="35" s="1"/>
  <c r="F43" i="35"/>
  <c r="L43" i="35" s="1"/>
  <c r="P43" i="35" s="1"/>
  <c r="O38" i="35"/>
  <c r="L38" i="35"/>
  <c r="E32" i="77"/>
  <c r="E31" i="77"/>
  <c r="Q7" i="35"/>
  <c r="O7" i="35"/>
  <c r="K33" i="77"/>
  <c r="K31" i="77"/>
  <c r="K29" i="77"/>
  <c r="F7" i="35"/>
  <c r="K32" i="77"/>
  <c r="E29" i="77"/>
  <c r="K34" i="77"/>
  <c r="E33" i="77"/>
  <c r="E34" i="77"/>
  <c r="E30" i="77"/>
  <c r="F102" i="76"/>
  <c r="F124" i="76"/>
  <c r="F104" i="76"/>
  <c r="F126" i="76"/>
  <c r="F101" i="76"/>
  <c r="F123" i="76"/>
  <c r="F99" i="76"/>
  <c r="F125" i="76"/>
  <c r="F100" i="76"/>
  <c r="F75" i="76"/>
  <c r="G75" i="76" s="1"/>
  <c r="I75" i="76" s="1"/>
  <c r="F121" i="76"/>
  <c r="F103" i="76"/>
  <c r="F80" i="76"/>
  <c r="G80" i="76" s="1"/>
  <c r="I80" i="76" s="1"/>
  <c r="F57" i="76"/>
  <c r="G57" i="76" s="1"/>
  <c r="I57" i="76" s="1"/>
  <c r="F127" i="76"/>
  <c r="O70" i="35"/>
  <c r="H54" i="76"/>
  <c r="I54" i="76"/>
  <c r="F29" i="76"/>
  <c r="G29" i="76" s="1"/>
  <c r="F30" i="76"/>
  <c r="G30" i="76" s="1"/>
  <c r="F31" i="76"/>
  <c r="G31" i="76" s="1"/>
  <c r="F32" i="76"/>
  <c r="F33" i="76"/>
  <c r="F34" i="76"/>
  <c r="F35" i="76"/>
  <c r="F6" i="76"/>
  <c r="G6" i="76" s="1"/>
  <c r="F9" i="76"/>
  <c r="G9" i="76" s="1"/>
  <c r="H9" i="76" s="1"/>
  <c r="F11" i="76"/>
  <c r="G11" i="76" s="1"/>
  <c r="F53" i="76"/>
  <c r="G53" i="76" s="1"/>
  <c r="F56" i="76"/>
  <c r="G56" i="76" s="1"/>
  <c r="F52" i="76"/>
  <c r="G52" i="76" s="1"/>
  <c r="I52" i="76" s="1"/>
  <c r="F55" i="76"/>
  <c r="G55" i="76" s="1"/>
  <c r="F81" i="76"/>
  <c r="G81" i="76" s="1"/>
  <c r="F77" i="76"/>
  <c r="G77" i="76" s="1"/>
  <c r="F58" i="76"/>
  <c r="G58" i="76" s="1"/>
  <c r="F12" i="76"/>
  <c r="G12" i="76" s="1"/>
  <c r="H12" i="76" s="1"/>
  <c r="F8" i="76"/>
  <c r="G8" i="76" s="1"/>
  <c r="K30" i="77"/>
  <c r="F79" i="76"/>
  <c r="G79" i="76" s="1"/>
  <c r="F76" i="76"/>
  <c r="G76" i="76" s="1"/>
  <c r="F10" i="76"/>
  <c r="G10" i="76" s="1"/>
  <c r="F7" i="76"/>
  <c r="G7" i="76" s="1"/>
  <c r="L8" i="66"/>
  <c r="M8" i="66" s="1"/>
  <c r="G121" i="76" l="1"/>
  <c r="H121" i="76" s="1"/>
  <c r="G124" i="76"/>
  <c r="H124" i="76" s="1"/>
  <c r="G125" i="76"/>
  <c r="H125" i="76" s="1"/>
  <c r="G127" i="76"/>
  <c r="H127" i="76" s="1"/>
  <c r="G123" i="76"/>
  <c r="H123" i="76" s="1"/>
  <c r="G126" i="76"/>
  <c r="H126" i="76" s="1"/>
  <c r="F28" i="77"/>
  <c r="F46" i="35"/>
  <c r="Q15" i="35"/>
  <c r="E5" i="86" s="1"/>
  <c r="Q16" i="35"/>
  <c r="E37" i="86" s="1"/>
  <c r="F47" i="35"/>
  <c r="O78" i="35"/>
  <c r="C39" i="86" s="1"/>
  <c r="O77" i="35"/>
  <c r="C7" i="86" s="1"/>
  <c r="F15" i="35"/>
  <c r="F16" i="35"/>
  <c r="Q78" i="35"/>
  <c r="E39" i="86" s="1"/>
  <c r="Q77" i="35"/>
  <c r="E7" i="86" s="1"/>
  <c r="O47" i="35"/>
  <c r="O46" i="35"/>
  <c r="F78" i="35"/>
  <c r="F77" i="35"/>
  <c r="O15" i="35"/>
  <c r="C5" i="86" s="1"/>
  <c r="O16" i="35"/>
  <c r="C37" i="86" s="1"/>
  <c r="Q47" i="35"/>
  <c r="E38" i="86" s="1"/>
  <c r="Q46" i="35"/>
  <c r="E6" i="86" s="1"/>
  <c r="C38" i="86"/>
  <c r="C6" i="86"/>
  <c r="L69" i="35"/>
  <c r="P38" i="35"/>
  <c r="M14" i="66"/>
  <c r="C20" i="86" s="1"/>
  <c r="M15" i="66"/>
  <c r="C52" i="86" s="1"/>
  <c r="G99" i="76"/>
  <c r="H99" i="76" s="1"/>
  <c r="G100" i="76"/>
  <c r="H100" i="76" s="1"/>
  <c r="H78" i="76"/>
  <c r="L39" i="35"/>
  <c r="P39" i="35" s="1"/>
  <c r="G32" i="76"/>
  <c r="H32" i="76" s="1"/>
  <c r="F32" i="77"/>
  <c r="L32" i="77" s="1"/>
  <c r="F31" i="77"/>
  <c r="L31" i="77" s="1"/>
  <c r="L28" i="77"/>
  <c r="F29" i="77"/>
  <c r="L29" i="77" s="1"/>
  <c r="F34" i="77"/>
  <c r="L34" i="77" s="1"/>
  <c r="H80" i="76"/>
  <c r="I98" i="76"/>
  <c r="D101" i="76"/>
  <c r="G101" i="76" s="1"/>
  <c r="F33" i="77"/>
  <c r="L33" i="77" s="1"/>
  <c r="L40" i="35"/>
  <c r="P40" i="35" s="1"/>
  <c r="L7" i="35"/>
  <c r="F30" i="77"/>
  <c r="G30" i="77" s="1"/>
  <c r="M30" i="77" s="1"/>
  <c r="H75" i="76"/>
  <c r="H57" i="76"/>
  <c r="H10" i="76"/>
  <c r="I10" i="76"/>
  <c r="I12" i="76"/>
  <c r="H52" i="76"/>
  <c r="I9" i="76"/>
  <c r="H31" i="76"/>
  <c r="I31" i="76"/>
  <c r="H76" i="76"/>
  <c r="I76" i="76"/>
  <c r="H58" i="76"/>
  <c r="I58" i="76"/>
  <c r="H56" i="76"/>
  <c r="I56" i="76"/>
  <c r="H79" i="76"/>
  <c r="I79" i="76"/>
  <c r="H77" i="76"/>
  <c r="I77" i="76"/>
  <c r="I53" i="76"/>
  <c r="H53" i="76"/>
  <c r="I6" i="76"/>
  <c r="H6" i="76"/>
  <c r="H30" i="76"/>
  <c r="I30" i="76"/>
  <c r="H7" i="76"/>
  <c r="I7" i="76"/>
  <c r="H8" i="76"/>
  <c r="I8" i="76"/>
  <c r="H81" i="76"/>
  <c r="I81" i="76"/>
  <c r="I55" i="76"/>
  <c r="H55" i="76"/>
  <c r="I11" i="76"/>
  <c r="H11" i="76"/>
  <c r="H29" i="76"/>
  <c r="I29" i="76"/>
  <c r="I123" i="76" l="1"/>
  <c r="I121" i="76"/>
  <c r="I124" i="76"/>
  <c r="I126" i="76"/>
  <c r="I127" i="76"/>
  <c r="I125" i="76"/>
  <c r="I128" i="76" s="1"/>
  <c r="E15" i="86" s="1"/>
  <c r="H129" i="76"/>
  <c r="E44" i="86" s="1"/>
  <c r="I13" i="76"/>
  <c r="C14" i="86" s="1"/>
  <c r="H128" i="76"/>
  <c r="E12" i="86" s="1"/>
  <c r="L46" i="35"/>
  <c r="P47" i="35"/>
  <c r="P46" i="35"/>
  <c r="D6" i="86" s="1"/>
  <c r="L15" i="35"/>
  <c r="L16" i="35"/>
  <c r="L77" i="35"/>
  <c r="L78" i="35"/>
  <c r="L47" i="35"/>
  <c r="M54" i="86"/>
  <c r="M55" i="86"/>
  <c r="I60" i="76"/>
  <c r="E46" i="86" s="1"/>
  <c r="I59" i="76"/>
  <c r="E14" i="86" s="1"/>
  <c r="I82" i="76"/>
  <c r="C15" i="86" s="1"/>
  <c r="H60" i="76"/>
  <c r="E43" i="86" s="1"/>
  <c r="H59" i="76"/>
  <c r="E11" i="86" s="1"/>
  <c r="I83" i="76"/>
  <c r="C47" i="86" s="1"/>
  <c r="H82" i="76"/>
  <c r="C12" i="86" s="1"/>
  <c r="H83" i="76"/>
  <c r="C44" i="86" s="1"/>
  <c r="E8" i="86"/>
  <c r="C8" i="86"/>
  <c r="D38" i="86"/>
  <c r="H14" i="76"/>
  <c r="C43" i="86" s="1"/>
  <c r="I14" i="76"/>
  <c r="C46" i="86" s="1"/>
  <c r="M21" i="86"/>
  <c r="M20" i="86"/>
  <c r="M53" i="86"/>
  <c r="M52" i="86"/>
  <c r="H13" i="76"/>
  <c r="C11" i="86" s="1"/>
  <c r="E40" i="86"/>
  <c r="C40" i="86"/>
  <c r="I99" i="76"/>
  <c r="I100" i="76"/>
  <c r="I32" i="76"/>
  <c r="P70" i="35"/>
  <c r="G32" i="77"/>
  <c r="M32" i="77" s="1"/>
  <c r="G28" i="77"/>
  <c r="M28" i="77" s="1"/>
  <c r="G33" i="77"/>
  <c r="M33" i="77" s="1"/>
  <c r="G29" i="77"/>
  <c r="M29" i="77" s="1"/>
  <c r="G31" i="77"/>
  <c r="M31" i="77" s="1"/>
  <c r="G34" i="77"/>
  <c r="M34" i="77" s="1"/>
  <c r="L30" i="77"/>
  <c r="L36" i="77" s="1"/>
  <c r="H101" i="76"/>
  <c r="I101" i="76"/>
  <c r="D102" i="76"/>
  <c r="G33" i="76"/>
  <c r="P69" i="35"/>
  <c r="P7" i="35"/>
  <c r="P16" i="35" s="1"/>
  <c r="I129" i="76" l="1"/>
  <c r="E47" i="86" s="1"/>
  <c r="P78" i="35"/>
  <c r="D39" i="86" s="1"/>
  <c r="P77" i="35"/>
  <c r="D7" i="86" s="1"/>
  <c r="P15" i="35"/>
  <c r="D5" i="86" s="1"/>
  <c r="L38" i="77"/>
  <c r="M38" i="77"/>
  <c r="M36" i="77"/>
  <c r="D37" i="86"/>
  <c r="H33" i="76"/>
  <c r="I33" i="76"/>
  <c r="D103" i="76"/>
  <c r="G34" i="76"/>
  <c r="H34" i="76" s="1"/>
  <c r="G102" i="76"/>
  <c r="H102" i="76" s="1"/>
  <c r="D8" i="86" l="1"/>
  <c r="M6" i="86" s="1"/>
  <c r="M39" i="77"/>
  <c r="M37" i="77"/>
  <c r="D40" i="86"/>
  <c r="M36" i="86" s="1"/>
  <c r="I102" i="76"/>
  <c r="D104" i="76"/>
  <c r="G35" i="76"/>
  <c r="H35" i="76" s="1"/>
  <c r="H36" i="76" s="1"/>
  <c r="D11" i="86" s="1"/>
  <c r="I34" i="76"/>
  <c r="G103" i="76"/>
  <c r="H103" i="76" s="1"/>
  <c r="M7" i="86" l="1"/>
  <c r="M38" i="86"/>
  <c r="M39" i="86"/>
  <c r="H37" i="76"/>
  <c r="D43" i="86" s="1"/>
  <c r="M37" i="86"/>
  <c r="I103" i="76"/>
  <c r="G104" i="76"/>
  <c r="H104" i="76" s="1"/>
  <c r="I35" i="76"/>
  <c r="I37" i="76" s="1"/>
  <c r="D46" i="86" s="1"/>
  <c r="I36" i="76" l="1"/>
  <c r="D14" i="86" s="1"/>
  <c r="H105" i="76"/>
  <c r="D12" i="86" s="1"/>
  <c r="H106" i="76"/>
  <c r="D44" i="86" s="1"/>
  <c r="M40" i="86" s="1"/>
  <c r="I104" i="76"/>
  <c r="I106" i="76" s="1"/>
  <c r="D47" i="86" s="1"/>
  <c r="M41" i="86" l="1"/>
  <c r="M42" i="86"/>
  <c r="M43" i="86"/>
  <c r="M11" i="86"/>
  <c r="M10" i="86"/>
  <c r="I105" i="76"/>
  <c r="D15" i="86" s="1"/>
  <c r="M14" i="86" s="1"/>
  <c r="M46" i="86" l="1"/>
  <c r="G11" i="86"/>
  <c r="M47" i="86"/>
  <c r="M15" i="86"/>
  <c r="M45" i="86"/>
  <c r="M44" i="86"/>
  <c r="J19" i="97" l="1"/>
  <c r="J14" i="97"/>
  <c r="J11" i="97" l="1"/>
  <c r="J21" i="97"/>
  <c r="F21" i="97" s="1"/>
  <c r="L21" i="97" s="1"/>
  <c r="P21" i="97" s="1"/>
  <c r="J7" i="97"/>
  <c r="G23" i="97"/>
  <c r="J13" i="97"/>
  <c r="F13" i="97" s="1"/>
  <c r="L13" i="97" s="1"/>
  <c r="P13" i="97" s="1"/>
  <c r="J18" i="97"/>
  <c r="J15" i="97"/>
  <c r="F15" i="97" s="1"/>
  <c r="L15" i="97" s="1"/>
  <c r="P15" i="97" s="1"/>
  <c r="J22" i="97"/>
  <c r="F22" i="97" s="1"/>
  <c r="L22" i="97" s="1"/>
  <c r="P22" i="97" s="1"/>
  <c r="H23" i="97"/>
  <c r="J16" i="97"/>
  <c r="F16" i="97" s="1"/>
  <c r="L16" i="97" s="1"/>
  <c r="P16" i="97" s="1"/>
  <c r="J9" i="97"/>
  <c r="F9" i="97" s="1"/>
  <c r="J17" i="97"/>
  <c r="J8" i="97"/>
  <c r="J10" i="97"/>
  <c r="I23" i="97"/>
  <c r="J20" i="97"/>
  <c r="F20" i="97" s="1"/>
  <c r="L20" i="97" s="1"/>
  <c r="P20" i="97" s="1"/>
  <c r="J12" i="97"/>
  <c r="M16" i="97"/>
  <c r="Q16" i="97" s="1"/>
  <c r="K16" i="97"/>
  <c r="O16" i="97" s="1"/>
  <c r="F19" i="97"/>
  <c r="L19" i="97" s="1"/>
  <c r="P19" i="97" s="1"/>
  <c r="F14" i="97"/>
  <c r="L14" i="97" s="1"/>
  <c r="P14" i="97" s="1"/>
  <c r="F18" i="97"/>
  <c r="L18" i="97" s="1"/>
  <c r="P18" i="97" s="1"/>
  <c r="F17" i="97" l="1"/>
  <c r="L17" i="97" s="1"/>
  <c r="P17" i="97" s="1"/>
  <c r="F11" i="97"/>
  <c r="M49" i="97"/>
  <c r="Q49" i="97" s="1"/>
  <c r="K49" i="97"/>
  <c r="O49" i="97" s="1"/>
  <c r="E101" i="97"/>
  <c r="J46" i="97"/>
  <c r="F46" i="97" s="1"/>
  <c r="G62" i="97"/>
  <c r="J89" i="97"/>
  <c r="F89" i="97" s="1"/>
  <c r="L89" i="97" s="1"/>
  <c r="P89" i="97" s="1"/>
  <c r="J50" i="97"/>
  <c r="I101" i="97"/>
  <c r="I62" i="97"/>
  <c r="M51" i="97"/>
  <c r="Q51" i="97" s="1"/>
  <c r="K51" i="97"/>
  <c r="O51" i="97" s="1"/>
  <c r="M47" i="97"/>
  <c r="Q47" i="97" s="1"/>
  <c r="K47" i="97"/>
  <c r="O47" i="97" s="1"/>
  <c r="J51" i="97"/>
  <c r="F51" i="97" s="1"/>
  <c r="L51" i="97" s="1"/>
  <c r="P51" i="97" s="1"/>
  <c r="J48" i="97"/>
  <c r="F48" i="97" s="1"/>
  <c r="L48" i="97" s="1"/>
  <c r="P48" i="97" s="1"/>
  <c r="J87" i="97"/>
  <c r="F87" i="97" s="1"/>
  <c r="L87" i="97" s="1"/>
  <c r="P87" i="97" s="1"/>
  <c r="H62" i="97"/>
  <c r="K85" i="97"/>
  <c r="O85" i="97" s="1"/>
  <c r="J23" i="97"/>
  <c r="K48" i="97"/>
  <c r="O48" i="97" s="1"/>
  <c r="M48" i="97"/>
  <c r="Q48" i="97" s="1"/>
  <c r="K50" i="97"/>
  <c r="O50" i="97" s="1"/>
  <c r="M50" i="97"/>
  <c r="Q50" i="97" s="1"/>
  <c r="F50" i="97"/>
  <c r="L50" i="97" s="1"/>
  <c r="P50" i="97" s="1"/>
  <c r="J88" i="97"/>
  <c r="F88" i="97" s="1"/>
  <c r="L88" i="97" s="1"/>
  <c r="P88" i="97" s="1"/>
  <c r="J49" i="97"/>
  <c r="F49" i="97" s="1"/>
  <c r="L49" i="97" s="1"/>
  <c r="P49" i="97" s="1"/>
  <c r="J86" i="97"/>
  <c r="F86" i="97" s="1"/>
  <c r="L86" i="97" s="1"/>
  <c r="P86" i="97" s="1"/>
  <c r="J47" i="97"/>
  <c r="F47" i="97" s="1"/>
  <c r="L47" i="97" s="1"/>
  <c r="P47" i="97" s="1"/>
  <c r="E62" i="97"/>
  <c r="M46" i="97"/>
  <c r="K46" i="97"/>
  <c r="K89" i="97"/>
  <c r="O89" i="97" s="1"/>
  <c r="M89" i="97"/>
  <c r="Q89" i="97" s="1"/>
  <c r="M18" i="97"/>
  <c r="Q18" i="97" s="1"/>
  <c r="K18" i="97"/>
  <c r="O18" i="97" s="1"/>
  <c r="K20" i="97"/>
  <c r="O20" i="97" s="1"/>
  <c r="M20" i="97"/>
  <c r="Q20" i="97" s="1"/>
  <c r="K17" i="97"/>
  <c r="O17" i="97" s="1"/>
  <c r="M17" i="97"/>
  <c r="Q17" i="97" s="1"/>
  <c r="M14" i="97"/>
  <c r="Q14" i="97" s="1"/>
  <c r="K14" i="97"/>
  <c r="O14" i="97" s="1"/>
  <c r="K13" i="97"/>
  <c r="O13" i="97" s="1"/>
  <c r="M13" i="97"/>
  <c r="Q13" i="97" s="1"/>
  <c r="M15" i="97"/>
  <c r="Q15" i="97" s="1"/>
  <c r="K15" i="97"/>
  <c r="O15" i="97" s="1"/>
  <c r="M22" i="97"/>
  <c r="Q22" i="97" s="1"/>
  <c r="K22" i="97"/>
  <c r="O22" i="97" s="1"/>
  <c r="K21" i="97"/>
  <c r="O21" i="97" s="1"/>
  <c r="M21" i="97"/>
  <c r="Q21" i="97" s="1"/>
  <c r="K19" i="97"/>
  <c r="O19" i="97" s="1"/>
  <c r="M19" i="97"/>
  <c r="Q19" i="97" s="1"/>
  <c r="L9" i="97"/>
  <c r="P9" i="97" s="1"/>
  <c r="Q9" i="97"/>
  <c r="K9" i="97"/>
  <c r="O9" i="97" s="1"/>
  <c r="M11" i="97"/>
  <c r="Q11" i="97" s="1"/>
  <c r="K11" i="97"/>
  <c r="O11" i="97" s="1"/>
  <c r="L11" i="97"/>
  <c r="P11" i="97" s="1"/>
  <c r="F12" i="97"/>
  <c r="F8" i="97"/>
  <c r="F10" i="97"/>
  <c r="K7" i="97"/>
  <c r="F7" i="97"/>
  <c r="M7" i="97"/>
  <c r="K88" i="97" l="1"/>
  <c r="O88" i="97" s="1"/>
  <c r="L46" i="97"/>
  <c r="F62" i="97"/>
  <c r="O46" i="97"/>
  <c r="O62" i="97" s="1"/>
  <c r="C6" i="95" s="1"/>
  <c r="K62" i="97"/>
  <c r="K90" i="97"/>
  <c r="O90" i="97" s="1"/>
  <c r="J90" i="97"/>
  <c r="F90" i="97" s="1"/>
  <c r="L90" i="97" s="1"/>
  <c r="P90" i="97" s="1"/>
  <c r="M62" i="97"/>
  <c r="Q46" i="97"/>
  <c r="Q62" i="97" s="1"/>
  <c r="E6" i="95" s="1"/>
  <c r="K87" i="97"/>
  <c r="O87" i="97" s="1"/>
  <c r="J85" i="97"/>
  <c r="G101" i="97"/>
  <c r="H101" i="97"/>
  <c r="M90" i="97"/>
  <c r="Q90" i="97" s="1"/>
  <c r="M85" i="97"/>
  <c r="K86" i="97"/>
  <c r="J62" i="97"/>
  <c r="M87" i="97"/>
  <c r="Q87" i="97" s="1"/>
  <c r="M88" i="97"/>
  <c r="Q88" i="97" s="1"/>
  <c r="M86" i="97"/>
  <c r="Q86" i="97" s="1"/>
  <c r="Q8" i="97"/>
  <c r="K8" i="97"/>
  <c r="O8" i="97" s="1"/>
  <c r="E23" i="97"/>
  <c r="L8" i="97"/>
  <c r="P8" i="97" s="1"/>
  <c r="M12" i="97"/>
  <c r="Q12" i="97" s="1"/>
  <c r="L12" i="97"/>
  <c r="P12" i="97" s="1"/>
  <c r="K12" i="97"/>
  <c r="O12" i="97" s="1"/>
  <c r="M10" i="97"/>
  <c r="Q10" i="97" s="1"/>
  <c r="L10" i="97"/>
  <c r="P10" i="97" s="1"/>
  <c r="K10" i="97"/>
  <c r="O10" i="97" s="1"/>
  <c r="Q7" i="97"/>
  <c r="L7" i="97"/>
  <c r="F23" i="97"/>
  <c r="O7" i="97"/>
  <c r="L23" i="97" l="1"/>
  <c r="O23" i="97"/>
  <c r="C5" i="95" s="1"/>
  <c r="Q23" i="97"/>
  <c r="E5" i="95" s="1"/>
  <c r="K101" i="97"/>
  <c r="O86" i="97"/>
  <c r="O101" i="97" s="1"/>
  <c r="C7" i="95" s="1"/>
  <c r="Q85" i="97"/>
  <c r="Q101" i="97" s="1"/>
  <c r="E7" i="95" s="1"/>
  <c r="M101" i="97"/>
  <c r="J101" i="97"/>
  <c r="F85" i="97"/>
  <c r="L62" i="97"/>
  <c r="P46" i="97"/>
  <c r="P62" i="97" s="1"/>
  <c r="D6" i="95" s="1"/>
  <c r="M23" i="97"/>
  <c r="K23" i="97"/>
  <c r="P7" i="97"/>
  <c r="P23" i="97" s="1"/>
  <c r="D5" i="95" s="1"/>
  <c r="C8" i="95" l="1"/>
  <c r="E8" i="95"/>
  <c r="F101" i="97"/>
  <c r="L85" i="97"/>
  <c r="L101" i="97" l="1"/>
  <c r="P85" i="97"/>
  <c r="P101" i="97" s="1"/>
  <c r="D7" i="95" s="1"/>
  <c r="D8" i="95" s="1"/>
  <c r="M6" i="95" l="1"/>
  <c r="M7" i="9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tc={BE5567D6-6363-4037-A556-275754B0CF63}</author>
  </authors>
  <commentList>
    <comment ref="E56" authorId="0" shapeId="0" xr:uid="{00000000-0006-0000-1300-000001000000}">
      <text>
        <t>[Threaded comment]
Your version of Excel allows you to read this threaded comment; however, any edits to it will get removed if the file is opened in a newer version of Excel. Learn more: https://go.microsoft.com/fwlink/?linkid=870924
Comment:
    Acquired AEP TX in 2019</t>
      </text>
    </comment>
  </commentList>
</comments>
</file>

<file path=xl/sharedStrings.xml><?xml version="1.0" encoding="utf-8"?>
<sst xmlns="http://schemas.openxmlformats.org/spreadsheetml/2006/main" count="3183" uniqueCount="767">
  <si>
    <t>Constant Growth DCF</t>
  </si>
  <si>
    <t>X</t>
  </si>
  <si>
    <t>Y</t>
  </si>
  <si>
    <t>30-Day Average</t>
  </si>
  <si>
    <t>90-Day Average</t>
  </si>
  <si>
    <t>CAPM</t>
  </si>
  <si>
    <t>180-Day Average</t>
  </si>
  <si>
    <t>Constant Growth Average</t>
  </si>
  <si>
    <t>ECAPM</t>
  </si>
  <si>
    <t xml:space="preserve">CAPM </t>
  </si>
  <si>
    <t>Current 30-day Average Treasury Bond Yield</t>
  </si>
  <si>
    <t>Near-Term Blue Chip Forecast Yield</t>
  </si>
  <si>
    <t>Long-Term Blue Chip Forecast Yield</t>
  </si>
  <si>
    <t>Expected Earnings</t>
  </si>
  <si>
    <t>Value Line Beta</t>
  </si>
  <si>
    <t>Bloomberg Beta</t>
  </si>
  <si>
    <t>Lower End ROE Recommendation</t>
  </si>
  <si>
    <t xml:space="preserve">ECAPM </t>
  </si>
  <si>
    <t>Higher End ROE Recommendation</t>
  </si>
  <si>
    <t>Expected Earnings Analysis</t>
  </si>
  <si>
    <t xml:space="preserve">Mean </t>
  </si>
  <si>
    <t>Notes:</t>
  </si>
  <si>
    <t xml:space="preserve">[1] The analytical results included in the table reflect the results of the Constant Growth DCF analysis excluding the results for individual companies that did not meet the minimum threshold of 7 percent. </t>
  </si>
  <si>
    <t>PROXY GROUP SCREENING DATA AND RESULTS - FINAL PROXY GROUP</t>
  </si>
  <si>
    <t>[1]</t>
  </si>
  <si>
    <t>[2]</t>
  </si>
  <si>
    <t>[3]</t>
  </si>
  <si>
    <t>[4]</t>
  </si>
  <si>
    <t>[5]</t>
  </si>
  <si>
    <t>[6]</t>
  </si>
  <si>
    <t>Company</t>
  </si>
  <si>
    <t>Ticker</t>
  </si>
  <si>
    <t>Dividends</t>
  </si>
  <si>
    <t>S&amp;P or Moody's Investment Grade Credit Rating</t>
  </si>
  <si>
    <t>Positive Growth Rates from at least two sources (Value Line, Yahoo! First Call, and Zacks)</t>
  </si>
  <si>
    <t>% Regulated Operating Income &gt; 70%</t>
  </si>
  <si>
    <t>% Regulated Natural Gas Operating Income &gt; 60%</t>
  </si>
  <si>
    <t>Announced Merger</t>
  </si>
  <si>
    <t>Atmos Energy Corporation</t>
  </si>
  <si>
    <t>ATO</t>
  </si>
  <si>
    <t>Yes</t>
  </si>
  <si>
    <t>A</t>
  </si>
  <si>
    <t>No</t>
  </si>
  <si>
    <t>Northwest Natural Gas Company</t>
  </si>
  <si>
    <t>NWN</t>
  </si>
  <si>
    <t>A+</t>
  </si>
  <si>
    <t>ONE Gas Inc.</t>
  </si>
  <si>
    <t>OGS</t>
  </si>
  <si>
    <t>South Jersey Industries, Inc.</t>
  </si>
  <si>
    <t>SJI</t>
  </si>
  <si>
    <t>BBB</t>
  </si>
  <si>
    <t>Southwest Gas Corporation</t>
  </si>
  <si>
    <t>SWX</t>
  </si>
  <si>
    <t>BBB+</t>
  </si>
  <si>
    <t>Spire, Inc.</t>
  </si>
  <si>
    <t>SR</t>
  </si>
  <si>
    <t>A-</t>
  </si>
  <si>
    <t>[1] Source: Bloomberg Professional</t>
  </si>
  <si>
    <t>[2] Source: Bloomberg Professional</t>
  </si>
  <si>
    <t>[3] Source: Yahoo! Finance, Value Line Investment Survey, and Zacks</t>
  </si>
  <si>
    <t>[4] Source: Form 10-K's for 2019, 2018, and 2017</t>
  </si>
  <si>
    <t>[5] Source: Form 10-K's for 2019, 2018, and 2017</t>
  </si>
  <si>
    <t>[6] Source: SNL Financial News Releases</t>
  </si>
  <si>
    <t>All Proxy Group</t>
  </si>
  <si>
    <t>With Exclusions</t>
  </si>
  <si>
    <t>[12]</t>
  </si>
  <si>
    <t>[13]</t>
  </si>
  <si>
    <t>[14]</t>
  </si>
  <si>
    <t>Annualized Dividend</t>
  </si>
  <si>
    <t>Stock
Price</t>
  </si>
  <si>
    <t>Dividend Yield</t>
  </si>
  <si>
    <t>Expected Dividend Yield</t>
  </si>
  <si>
    <t>Value Line Earnings Growth</t>
  </si>
  <si>
    <t>Yahoo! Finance Earnings Growth</t>
  </si>
  <si>
    <t>Zacks Earnings Growth</t>
  </si>
  <si>
    <t>Average Growth Rate</t>
  </si>
  <si>
    <t>Low ROE</t>
  </si>
  <si>
    <t>Mean ROE</t>
  </si>
  <si>
    <t>High ROE</t>
  </si>
  <si>
    <t>New Jersey Resources Corporation</t>
  </si>
  <si>
    <t>NJR</t>
  </si>
  <si>
    <t>[3] Equals [1] / [2]</t>
  </si>
  <si>
    <t>[4] Equals [3] x (1 + 0.50 x [8])</t>
  </si>
  <si>
    <t>[5] Source: Value Line</t>
  </si>
  <si>
    <t>[6] Source: Yahoo! Finance</t>
  </si>
  <si>
    <t>[7] Source: Zacks</t>
  </si>
  <si>
    <t>[8] Equals Average ([5], [6], [7])</t>
  </si>
  <si>
    <t>[9] Equals [3] x (1 + 0.50 x Minimum ([5], [6], [7]) + Minimum ([5], [6], [7])</t>
  </si>
  <si>
    <t>[10] Equals [4] + [8]</t>
  </si>
  <si>
    <t>[11] Equals [3] x (1 + 0.50 x Maximum ([5], [6], [7]) + Maximum ([5], [6], [7])</t>
  </si>
  <si>
    <t>[12] - [14] Excludes companies with ROEs less than the a 7.00% return.</t>
  </si>
  <si>
    <t/>
  </si>
  <si>
    <t>CAPITAL ASSET PRICING MODEL -- CURRENT RISK-FREE RATE &amp; VL BETA</t>
  </si>
  <si>
    <t>Current 30-day average of 30-year U.S. Treasury bond yield</t>
  </si>
  <si>
    <t>Beta</t>
  </si>
  <si>
    <t xml:space="preserve">Market Return </t>
  </si>
  <si>
    <t xml:space="preserve">Market Risk Premium </t>
  </si>
  <si>
    <t xml:space="preserve">CAPM ROE </t>
  </si>
  <si>
    <t xml:space="preserve">ECAPM ROE </t>
  </si>
  <si>
    <t>Mean</t>
  </si>
  <si>
    <t>Mean Incl. NJR</t>
  </si>
  <si>
    <t>[4] Equals [3] - [1]</t>
  </si>
  <si>
    <t>[5] Equals [1] + [2] x [4]</t>
  </si>
  <si>
    <t>[6] Equals [1] + 0.25 x ([4]) + 0.75 x ([2] x [4])</t>
  </si>
  <si>
    <t>CAPITAL ASSET PRICING MODEL -- NEAR-TERM PROJECTED RISK-FREE RATE &amp; VL BETA</t>
  </si>
  <si>
    <t>CAPITAL ASSET PRICING MODEL -- LONG-TERM PROJECTED RISK-FREE RATE &amp; VL BETA</t>
  </si>
  <si>
    <t>Projected 30-year U.S. Treasury bond yield (2022 - 2026)</t>
  </si>
  <si>
    <t>[1] Source: Blue Chip Financial Forecasts, Vol. 39, No. 6, June 1, 2020, at 14</t>
  </si>
  <si>
    <t>CAPITAL ASSET PRICING MODEL -- CURRENT RISK-FREE RATE &amp; BLOOMBERG BETA</t>
  </si>
  <si>
    <t>CAPITAL ASSET PRICING MODEL -- NEAR-TERM PROJECTED RISK-FREE RATE &amp; BLOOMBERG BETA</t>
  </si>
  <si>
    <t>CAPITAL ASSET PRICING MODEL -- LONG-TERM PROJECTED RISK-FREE RATE &amp; BLOOMBERG BETA</t>
  </si>
  <si>
    <t>MARKET RISK PREMIUM DERIVED FROM S&amp;P EARNINGS AND ESTIMATE REPORT</t>
  </si>
  <si>
    <t>[7] S&amp;P's estimate of the S&amp;P 500 Dividend Yield</t>
  </si>
  <si>
    <t>[8] S&amp;P's estimate of the S&amp;P 500 Growth Rate</t>
  </si>
  <si>
    <t>[9] S&amp;P 500 Estimated Required Market Return</t>
  </si>
  <si>
    <t>[9] Equals ([7] x (1 + (0.5 x [8]))) + [8]</t>
  </si>
  <si>
    <t>EXPECTED EARNINGS ANALYSIS</t>
  </si>
  <si>
    <t>[7]</t>
  </si>
  <si>
    <t>[8]</t>
  </si>
  <si>
    <t>[9]</t>
  </si>
  <si>
    <t>[10]</t>
  </si>
  <si>
    <t>Value Line ROE
2023-2025</t>
  </si>
  <si>
    <t>Value Line
Total Capital
2019</t>
  </si>
  <si>
    <t>Value Line
Common Equity Ratio 
2019</t>
  </si>
  <si>
    <t>Total Equity 
2019</t>
  </si>
  <si>
    <t>Value Line
Total Capital
2023-2025</t>
  </si>
  <si>
    <t>Value Line
Common Equity Ratio
2023-2025</t>
  </si>
  <si>
    <t>Total Equity 
2023-2025</t>
  </si>
  <si>
    <t>Compound Annual Growth Rate</t>
  </si>
  <si>
    <t>Adjustment Factor</t>
  </si>
  <si>
    <t>Adjusted Return on Common Equity</t>
  </si>
  <si>
    <t>One Gas Inc.</t>
  </si>
  <si>
    <t>[4] Equals [2] x [3]</t>
  </si>
  <si>
    <t>[7] Equals [5] x [6]</t>
  </si>
  <si>
    <t>[8] Equals ([7] / [4]) ^ (1/5) - 1</t>
  </si>
  <si>
    <t>[9] Equals 2 x (1 + [8]) / (2 + [8])</t>
  </si>
  <si>
    <t>[10] Equals [1] x [9]</t>
  </si>
  <si>
    <t>SIZE PREMIUM CALCULATION</t>
  </si>
  <si>
    <t>Proxy Group Market Capitalization and Market-to-Book Ratio</t>
  </si>
  <si>
    <t>Market</t>
  </si>
  <si>
    <t>Capitalization</t>
  </si>
  <si>
    <t>Market-to-</t>
  </si>
  <si>
    <t>($ billions)</t>
  </si>
  <si>
    <t>Book Ratio</t>
  </si>
  <si>
    <t>Average</t>
  </si>
  <si>
    <t>Projected Common Equity Ratio [3]</t>
  </si>
  <si>
    <t>Implied Common Equity ($ millions) [4]</t>
  </si>
  <si>
    <t>Implied Market Capitalization ($ millions) [5]</t>
  </si>
  <si>
    <t>As a percent of Proxy Group Median Market Capitalization</t>
  </si>
  <si>
    <t>Duff &amp; Phelps Cost of Capital Navigator -- Size Premium</t>
  </si>
  <si>
    <t>of Largest</t>
  </si>
  <si>
    <t>Size</t>
  </si>
  <si>
    <t>Breakdown of Deciles 1-10</t>
  </si>
  <si>
    <t>($ millions)</t>
  </si>
  <si>
    <t>Premium</t>
  </si>
  <si>
    <t>1-Largest</t>
  </si>
  <si>
    <t>10-Smallest</t>
  </si>
  <si>
    <t>Size Premium [8]</t>
  </si>
  <si>
    <t>[4] Equals net utility plant in service x projected common equity ratio</t>
  </si>
  <si>
    <t>[6] Duff &amp; Phelps Cost of Capital Navigator - Size Premium: Annual Data as of 12/31/2019</t>
  </si>
  <si>
    <t>[7] Duff &amp; Phelps Cost of Capital Navigator - Size Premium: Annual Data as of 12/31/2019</t>
  </si>
  <si>
    <t>RISK ASSESSMENT</t>
  </si>
  <si>
    <t>Jurisdiction/Service</t>
  </si>
  <si>
    <t>Test Year</t>
  </si>
  <si>
    <t>Rate Base</t>
  </si>
  <si>
    <t>Revenue Decoupling</t>
  </si>
  <si>
    <t>Capital Cost Recovery Mechanism</t>
  </si>
  <si>
    <t>Kansas - Gas</t>
  </si>
  <si>
    <t>Historical</t>
  </si>
  <si>
    <t>Year End</t>
  </si>
  <si>
    <t>Partial</t>
  </si>
  <si>
    <t>Kentucky - Gas</t>
  </si>
  <si>
    <t>Fully Forecast</t>
  </si>
  <si>
    <t>Louisiana - Gas</t>
  </si>
  <si>
    <t>Mississippi - Gas</t>
  </si>
  <si>
    <t>Partially Forecast</t>
  </si>
  <si>
    <t>Tennessee - Gas</t>
  </si>
  <si>
    <t>Texas - Gas</t>
  </si>
  <si>
    <t>Oregon - Gas</t>
  </si>
  <si>
    <t>Washington - Gas</t>
  </si>
  <si>
    <t>ONE Gas, Inc.</t>
  </si>
  <si>
    <t>Oklahoma - Gas</t>
  </si>
  <si>
    <t>New Jersey - Gas</t>
  </si>
  <si>
    <t>Full</t>
  </si>
  <si>
    <t>Arizona - Gas</t>
  </si>
  <si>
    <t>California - Gas</t>
  </si>
  <si>
    <t>Nevada - Gas</t>
  </si>
  <si>
    <t>Alabama - Gas</t>
  </si>
  <si>
    <t>Missouri East - Gas</t>
  </si>
  <si>
    <t>Missouri West - Gas</t>
  </si>
  <si>
    <t>Proxy Group Operating Company Count</t>
  </si>
  <si>
    <t xml:space="preserve"> </t>
  </si>
  <si>
    <t>Forecast</t>
  </si>
  <si>
    <t>RDM</t>
  </si>
  <si>
    <t>CCRM</t>
  </si>
  <si>
    <t>Notes</t>
  </si>
  <si>
    <t>[3] - [4] Source:  "Adjustment Clauses:  A State-by-state Overview," Regulatory Research Associates, November 12, 2019. Operating subsidiaries not covered in this report were excluded from this exhibit.</t>
  </si>
  <si>
    <t>FLOTATION COST ADJUSTMENT</t>
  </si>
  <si>
    <t>Date [i]</t>
  </si>
  <si>
    <t>Shares Issued
(000)</t>
  </si>
  <si>
    <t>Offering Price</t>
  </si>
  <si>
    <t>Under-
writing Discount [ii]</t>
  </si>
  <si>
    <t>Offering Expense ($000)</t>
  </si>
  <si>
    <t>Net Proceeds Per Share</t>
  </si>
  <si>
    <t>Total Flotation Costs
($000)</t>
  </si>
  <si>
    <t>Gross Equity Issue Before Costs
($000)</t>
  </si>
  <si>
    <t>Net Proceeds ($000)</t>
  </si>
  <si>
    <t>Flotation Cost Percentage</t>
  </si>
  <si>
    <t>[i] Offering Completion Date</t>
  </si>
  <si>
    <t>[ii] Underwriting discount was calculated as the market price minus the offering price when not explicitly given in the prospectus.</t>
  </si>
  <si>
    <t>to determine the cost of equity.  Using the formulas shown previously in my testimony, the Constant Growth DCF calculation is modified as follows to accommodate an adjustment for flotation costs:</t>
  </si>
  <si>
    <t>[11]</t>
  </si>
  <si>
    <t>Stock Price</t>
  </si>
  <si>
    <t>Expected Dividend Yield Adjusted for Flotation Costs</t>
  </si>
  <si>
    <t>Average Earnings Growth</t>
  </si>
  <si>
    <t>ROE</t>
  </si>
  <si>
    <t>ROE Adjusted for Flotation Costs</t>
  </si>
  <si>
    <t>[4] Equals [3] x (1 + 0.5 x [9])</t>
  </si>
  <si>
    <t>[5] Equals [4] / (1 − Flotation Cost)</t>
  </si>
  <si>
    <t>[6] Source: Value Line</t>
  </si>
  <si>
    <t>[7] Source: Yahoo! Finance</t>
  </si>
  <si>
    <t>[8] Source: Zacks</t>
  </si>
  <si>
    <t>[9] Equals Average ([6], [7], [8])</t>
  </si>
  <si>
    <t>[10] Equals [4] + [9]</t>
  </si>
  <si>
    <t>[11] Equals [5] + [9]</t>
  </si>
  <si>
    <t>CAPITAL STRUCTURE ANALYSIS</t>
  </si>
  <si>
    <t>COMMON EQUITY RATIO [1]</t>
  </si>
  <si>
    <t>LONG-TERM DEBT RATIO [1]</t>
  </si>
  <si>
    <t>PREFERRED EQUITY RATIO [1]</t>
  </si>
  <si>
    <t>Proxy Group Company</t>
  </si>
  <si>
    <t>MRY</t>
  </si>
  <si>
    <t>Spire Inc.</t>
  </si>
  <si>
    <t>Proxy Group Excluding NJR</t>
  </si>
  <si>
    <t>MEAN</t>
  </si>
  <si>
    <t>LOW</t>
  </si>
  <si>
    <t>HIGH</t>
  </si>
  <si>
    <t>Proxy Group Including NJR</t>
  </si>
  <si>
    <t>COMMON EQUITY RATIO - UTILITY OPERATING COMPANIES</t>
  </si>
  <si>
    <t>LONG-TERM DEBT RATIO - UTILITY OPERATING COMPANIES</t>
  </si>
  <si>
    <t>PREFERRED EQUITY RATIO - UTILITY OPERATING COMPANIES</t>
  </si>
  <si>
    <t>Company Name</t>
  </si>
  <si>
    <t>New Jersey Natural Gas Company</t>
  </si>
  <si>
    <t>Kansas Gas Service Company, Inc.</t>
  </si>
  <si>
    <t>Oklahoma Natural Gas Company</t>
  </si>
  <si>
    <t>Texas Gas Service Company, Inc.</t>
  </si>
  <si>
    <t>South Jersey Gas Company</t>
  </si>
  <si>
    <t>Spire Alabama Inc.</t>
  </si>
  <si>
    <t>Spire Gulf Inc.</t>
  </si>
  <si>
    <t>Spire Mississippi Inc.</t>
  </si>
  <si>
    <t>Spire Missouri Inc.</t>
  </si>
  <si>
    <t>[1] Ratios are weighted by actual common capital, preferred equity, and long-term debt of Operating Subsidiaries.</t>
  </si>
  <si>
    <t>[2] Natural Gas operating subsidiaries where data was unable to be obtained for 2018 and 2019 were removed from the analysis.</t>
  </si>
  <si>
    <t>Actual and Alternative Calculation of Northwest Natural’s Projected Earnings Growth Rate from Value Line</t>
  </si>
  <si>
    <t xml:space="preserve">Actual Earnings Per Share </t>
  </si>
  <si>
    <t>Projected Earnings Per Share 
(2023-2025)</t>
  </si>
  <si>
    <t xml:space="preserve">Projected Earnings Growth Rate </t>
  </si>
  <si>
    <t>Mean (2017-2019)</t>
  </si>
  <si>
    <t>Mean (2018-2019)</t>
  </si>
  <si>
    <t>[3] Equals ([2] / [1]) ^ (1/6) - 1</t>
  </si>
  <si>
    <t>ECAPM (Incl. NJR)</t>
  </si>
  <si>
    <t>Constant Growth DCF (Incl. NJR)</t>
  </si>
  <si>
    <t>CAPM (Incl. NJR)</t>
  </si>
  <si>
    <t>Expected Earnings (Incl. NJR)</t>
  </si>
  <si>
    <t>Risk Premium -- Natural Gas Utilities (US)</t>
  </si>
  <si>
    <t>Average Authorized Gas ROE</t>
  </si>
  <si>
    <t>U.S. Govt. 30-year Treasury</t>
  </si>
  <si>
    <t>Risk Premium</t>
  </si>
  <si>
    <t>1992.1</t>
  </si>
  <si>
    <t>1992.2</t>
  </si>
  <si>
    <t>1992.3</t>
  </si>
  <si>
    <t>1992.4</t>
  </si>
  <si>
    <t>1993.1</t>
  </si>
  <si>
    <t>1993.2</t>
  </si>
  <si>
    <t>1993.3</t>
  </si>
  <si>
    <t>1993.4</t>
  </si>
  <si>
    <t>1994.1</t>
  </si>
  <si>
    <t>1994.2</t>
  </si>
  <si>
    <t>1994.3</t>
  </si>
  <si>
    <t>1994.4</t>
  </si>
  <si>
    <t>1995.2</t>
  </si>
  <si>
    <t>1995.3</t>
  </si>
  <si>
    <t>1995.4</t>
  </si>
  <si>
    <t>1996.1</t>
  </si>
  <si>
    <t>1996.2</t>
  </si>
  <si>
    <t>1996.3</t>
  </si>
  <si>
    <t>1996.4</t>
  </si>
  <si>
    <t>SUMMARY OUTPUT</t>
  </si>
  <si>
    <t>1997.1</t>
  </si>
  <si>
    <t>1997.2</t>
  </si>
  <si>
    <t>Regression Statistics</t>
  </si>
  <si>
    <t>1997.3</t>
  </si>
  <si>
    <t>Multiple R</t>
  </si>
  <si>
    <t>1997.4</t>
  </si>
  <si>
    <t>R Square</t>
  </si>
  <si>
    <t>1998.2</t>
  </si>
  <si>
    <t>Adjusted R Square</t>
  </si>
  <si>
    <t>1998.3</t>
  </si>
  <si>
    <t>Standard Error</t>
  </si>
  <si>
    <t>1998.4</t>
  </si>
  <si>
    <t>Observations</t>
  </si>
  <si>
    <t>1999.1</t>
  </si>
  <si>
    <t>1999.2</t>
  </si>
  <si>
    <t>ANOVA</t>
  </si>
  <si>
    <t>1999.4</t>
  </si>
  <si>
    <t>df</t>
  </si>
  <si>
    <t>SS</t>
  </si>
  <si>
    <t>MS</t>
  </si>
  <si>
    <t>F</t>
  </si>
  <si>
    <t>Significance F</t>
  </si>
  <si>
    <t>2000.1</t>
  </si>
  <si>
    <t>Regression</t>
  </si>
  <si>
    <t>2000.2</t>
  </si>
  <si>
    <t>Residual</t>
  </si>
  <si>
    <t>2000.3</t>
  </si>
  <si>
    <t>Total</t>
  </si>
  <si>
    <t>2000.4</t>
  </si>
  <si>
    <t>2001.1</t>
  </si>
  <si>
    <t>Coefficients</t>
  </si>
  <si>
    <t>t Stat</t>
  </si>
  <si>
    <t>P-value</t>
  </si>
  <si>
    <t>Lower 95%</t>
  </si>
  <si>
    <t>Upper 95%</t>
  </si>
  <si>
    <t>Lower 95.0%</t>
  </si>
  <si>
    <t>Upper 95.0%</t>
  </si>
  <si>
    <t>2001.2</t>
  </si>
  <si>
    <t>Intercept</t>
  </si>
  <si>
    <t>2001.4</t>
  </si>
  <si>
    <t>X Variable 1</t>
  </si>
  <si>
    <t>2002.1</t>
  </si>
  <si>
    <t>2002.2</t>
  </si>
  <si>
    <t>2002.3</t>
  </si>
  <si>
    <t>2002.4</t>
  </si>
  <si>
    <t>2003.1</t>
  </si>
  <si>
    <t>U.S. Govt.</t>
  </si>
  <si>
    <t>2003.2</t>
  </si>
  <si>
    <t>30-year</t>
  </si>
  <si>
    <t>Risk</t>
  </si>
  <si>
    <t>2003.3</t>
  </si>
  <si>
    <t>Treasury</t>
  </si>
  <si>
    <t>2003.4</t>
  </si>
  <si>
    <t>2004.1</t>
  </si>
  <si>
    <t>Current 30-day average of 30-year U.S. Treasury bond yield [4]</t>
  </si>
  <si>
    <t>2004.2</t>
  </si>
  <si>
    <t>2004.3</t>
  </si>
  <si>
    <t>Blue Chip Long-Term Projected Forecast (2022-2026) [6]</t>
  </si>
  <si>
    <t>2004.4</t>
  </si>
  <si>
    <t>AVERAGE</t>
  </si>
  <si>
    <t>2005.1</t>
  </si>
  <si>
    <t>2005.2</t>
  </si>
  <si>
    <t>2005.3</t>
  </si>
  <si>
    <t>2005.4</t>
  </si>
  <si>
    <t>[2] Source: Bloomberg Professional, quarterly bond yields are the average of each trading day in the quarter</t>
  </si>
  <si>
    <t>2006.1</t>
  </si>
  <si>
    <t>[3] Equals Column [1] − Column [2]</t>
  </si>
  <si>
    <t>2006.2</t>
  </si>
  <si>
    <t>2006.3</t>
  </si>
  <si>
    <t>2006.4</t>
  </si>
  <si>
    <t>[6] Source: Blue Chip Financial Forecasts, Vol. 39, No. 6, June 1, 2020, at 14</t>
  </si>
  <si>
    <t>2007.1</t>
  </si>
  <si>
    <t xml:space="preserve">[7] See notes [4], [5] &amp; [6] </t>
  </si>
  <si>
    <t>2007.2</t>
  </si>
  <si>
    <t>2007.3</t>
  </si>
  <si>
    <t>[9] Equals Column [7] + Column [8]</t>
  </si>
  <si>
    <t>2007.4</t>
  </si>
  <si>
    <t>2008.1</t>
  </si>
  <si>
    <t>2008.2</t>
  </si>
  <si>
    <t>2008.3</t>
  </si>
  <si>
    <t>2008.4</t>
  </si>
  <si>
    <t>2009.1</t>
  </si>
  <si>
    <t>2009.2</t>
  </si>
  <si>
    <t>2009.3</t>
  </si>
  <si>
    <t>2009.4</t>
  </si>
  <si>
    <t>2010.1</t>
  </si>
  <si>
    <t>2010.2</t>
  </si>
  <si>
    <t>2010.3</t>
  </si>
  <si>
    <t>2010.4</t>
  </si>
  <si>
    <t>2011.1</t>
  </si>
  <si>
    <t>2011.2</t>
  </si>
  <si>
    <t>2011.3</t>
  </si>
  <si>
    <t>2011.4</t>
  </si>
  <si>
    <t>2012.1</t>
  </si>
  <si>
    <t>2012.2</t>
  </si>
  <si>
    <t>2012.3</t>
  </si>
  <si>
    <t>2012.4</t>
  </si>
  <si>
    <t>2013.1</t>
  </si>
  <si>
    <t>2013.2</t>
  </si>
  <si>
    <t>2013.3</t>
  </si>
  <si>
    <t>2013.4</t>
  </si>
  <si>
    <t>2014.1</t>
  </si>
  <si>
    <t>2014.2</t>
  </si>
  <si>
    <t>2014.3</t>
  </si>
  <si>
    <t>2014.4</t>
  </si>
  <si>
    <t>2015.1</t>
  </si>
  <si>
    <t>2015.2</t>
  </si>
  <si>
    <t>2015.3</t>
  </si>
  <si>
    <t>2015.4</t>
  </si>
  <si>
    <t>2016.1</t>
  </si>
  <si>
    <t>2016.2</t>
  </si>
  <si>
    <t>2016.3</t>
  </si>
  <si>
    <t>2016.4</t>
  </si>
  <si>
    <t>2017.1</t>
  </si>
  <si>
    <t>2017.2</t>
  </si>
  <si>
    <t>2017.3</t>
  </si>
  <si>
    <t>2017.4</t>
  </si>
  <si>
    <t>2018.1</t>
  </si>
  <si>
    <t>2018.2</t>
  </si>
  <si>
    <t>2018.3</t>
  </si>
  <si>
    <t>2018.4</t>
  </si>
  <si>
    <t>2019.1</t>
  </si>
  <si>
    <t>2019.2</t>
  </si>
  <si>
    <t>2019.3</t>
  </si>
  <si>
    <t>2019.4</t>
  </si>
  <si>
    <t>2020.1</t>
  </si>
  <si>
    <t>2020.2</t>
  </si>
  <si>
    <t>2020.3</t>
  </si>
  <si>
    <t>MEDIAN</t>
  </si>
  <si>
    <t>Bond Yield Plus Risk Premium</t>
  </si>
  <si>
    <t>Risk Premium Analysis</t>
  </si>
  <si>
    <t>Mean Low</t>
  </si>
  <si>
    <t>Mean High</t>
  </si>
  <si>
    <t>mean of CAPM and ECAPM results</t>
  </si>
  <si>
    <t>[12] Equals Mean ([11]) − Mean ([10])</t>
  </si>
  <si>
    <t>Flotation Cost Adjustment [12]</t>
  </si>
  <si>
    <t>Flotation Cost Adjustment Incl. NJR [13]</t>
  </si>
  <si>
    <t>[13] Equals Mean ([11]) Incl. NJR − Mean ([10]) Incl. NJR</t>
  </si>
  <si>
    <t>[5] Equals [4] x proxy group mean market-to-book ratio</t>
  </si>
  <si>
    <t>Vectren South [5]</t>
  </si>
  <si>
    <t>[5] Data provided by Vectren South</t>
  </si>
  <si>
    <t>Indiana</t>
  </si>
  <si>
    <t>CenterPoint Energy</t>
  </si>
  <si>
    <t>Vectren Corporation</t>
  </si>
  <si>
    <t>Vectren South - Natural Gas</t>
  </si>
  <si>
    <t>2021 Net Utility Plant in Service ($ millions) [3]</t>
  </si>
  <si>
    <t>Vectren South Natural Gas - Implied Market Capitalization</t>
  </si>
  <si>
    <t>Proxy Group Median Market Capitalization (excluding NJR)</t>
  </si>
  <si>
    <t>[3] Vectren South common equity share expected as of December 31, 2021.</t>
  </si>
  <si>
    <t>2021-2025 CAPITAL EXPENDITURES AS A PERCENT OF 2019 NET PLANT</t>
  </si>
  <si>
    <t>($ Millions)</t>
  </si>
  <si>
    <t>2021-25</t>
  </si>
  <si>
    <t>Cap. Ex. /</t>
  </si>
  <si>
    <t>Net Plant</t>
  </si>
  <si>
    <t>Capital Spending per Share</t>
  </si>
  <si>
    <t>Common Shares Outstanding</t>
  </si>
  <si>
    <t>Capital Expenditures</t>
  </si>
  <si>
    <t>Vectren South - Gas</t>
  </si>
  <si>
    <t>Vectren South-Gas</t>
  </si>
  <si>
    <t>Capital Expenditures [8]</t>
  </si>
  <si>
    <t>Net Plant [9]</t>
  </si>
  <si>
    <t>Vectren South-Gas CapEx Total (2021 - 2025)</t>
  </si>
  <si>
    <t>Vectren South-Gas CapEx Annual Average</t>
  </si>
  <si>
    <t>Proxy Group Median Excl. NJR</t>
  </si>
  <si>
    <t>Ratio of Vectren South-Gas to the Proxy Group Median Excl. NJR</t>
  </si>
  <si>
    <t xml:space="preserve">[7] Equals (Column [2] + [3] + [4] + [5] + [6]) /  Column [1] </t>
  </si>
  <si>
    <t>[8] Data provided by Vectren South</t>
  </si>
  <si>
    <t>[9] Vectren South net utility plant as of December 31, 2019</t>
  </si>
  <si>
    <t>Projected CAPEX / 2019 Net Plant</t>
  </si>
  <si>
    <t>2021-2025</t>
  </si>
  <si>
    <t>For Chart</t>
  </si>
  <si>
    <t>X- Axis</t>
  </si>
  <si>
    <t>Median</t>
  </si>
  <si>
    <t>Proxy Group Median Exl. NJR</t>
  </si>
  <si>
    <t>Vectren South-Gas/Proxy Group</t>
  </si>
  <si>
    <t>Source: Bulkley Exhibit 8, page 1, col. [7]</t>
  </si>
  <si>
    <t>Ameren Corporation</t>
  </si>
  <si>
    <t>AEE</t>
  </si>
  <si>
    <t>Avista Corporation</t>
  </si>
  <si>
    <t>AVA</t>
  </si>
  <si>
    <t>CMS Energy Corporation</t>
  </si>
  <si>
    <t>CMS</t>
  </si>
  <si>
    <t>Dominion Resources, Inc.</t>
  </si>
  <si>
    <t>D</t>
  </si>
  <si>
    <t>DTE Energy Company</t>
  </si>
  <si>
    <t>DTE</t>
  </si>
  <si>
    <t>NorthWestern Corporation</t>
  </si>
  <si>
    <t>NWE</t>
  </si>
  <si>
    <t>Sempra Energy</t>
  </si>
  <si>
    <t>SRE</t>
  </si>
  <si>
    <t>Southern Company</t>
  </si>
  <si>
    <t>SO</t>
  </si>
  <si>
    <t>Wisconsin Energy Corporation</t>
  </si>
  <si>
    <t>WEC</t>
  </si>
  <si>
    <t>Xcel Energy Inc.</t>
  </si>
  <si>
    <t>XEL</t>
  </si>
  <si>
    <t>90-DAY CONSTANT GROWTH DCF -- VECTREN SOUTH GAS PROXY GROUP</t>
  </si>
  <si>
    <t>180-DAY CONSTANT GROWTH DCF -- VECTREN SOUTH GAS PROXY GROUP</t>
  </si>
  <si>
    <t>30-DAY CONSTANT GROWTH DCF -- VECTREN SOUTH GAS PROXY GROUP</t>
  </si>
  <si>
    <t>180-DAY CONSTANT GROWTH DCF -- VECTREN SOUTH ALTERNATIVE PROXY GROUP</t>
  </si>
  <si>
    <t>30-DAY CONSTANT GROWTH DCF -- VECTREN SOUTH ALTERNATIVE PROXY GROUP</t>
  </si>
  <si>
    <t>90-DAY CONSTANT GROWTH DCF -- VECTREN SOUTH ALTERNATIVE PROXY GROUP</t>
  </si>
  <si>
    <t xml:space="preserve">COMPARISON OF VECTREN SOUTH AND PROXY GROUP COMPANIES  </t>
  </si>
  <si>
    <t>Alaska - Electric</t>
  </si>
  <si>
    <t>Idaho - Electric</t>
  </si>
  <si>
    <t>Idaho - Gas</t>
  </si>
  <si>
    <t>Washington - Electric</t>
  </si>
  <si>
    <t>Michigan - Electric</t>
  </si>
  <si>
    <t>Michigan - Gas</t>
  </si>
  <si>
    <t>California - Electric</t>
  </si>
  <si>
    <t>Illinois - Gas</t>
  </si>
  <si>
    <t>Illinois - Electric</t>
  </si>
  <si>
    <t xml:space="preserve">Proxy Group </t>
  </si>
  <si>
    <t>Missouri - Gas</t>
  </si>
  <si>
    <t>Missouri - Electric</t>
  </si>
  <si>
    <t>[6] Data provided by Vectren South</t>
  </si>
  <si>
    <t>[5] Operations classified as full revenue decoupling since the company operates under a straight fixed-variable rate design.</t>
  </si>
  <si>
    <t>Vectren South [6]</t>
  </si>
  <si>
    <t>North Carolina - Electric</t>
  </si>
  <si>
    <t>North Carolina - Gas</t>
  </si>
  <si>
    <t>Ohio - Gas [5]</t>
  </si>
  <si>
    <t>South Carolina - Electric</t>
  </si>
  <si>
    <t>South Carolina - Gas</t>
  </si>
  <si>
    <t>Utah - Gas</t>
  </si>
  <si>
    <t>Virginia - Electric</t>
  </si>
  <si>
    <t>West Virginia - Gas</t>
  </si>
  <si>
    <t>Wyoming - Gas</t>
  </si>
  <si>
    <t>Montana - Electric</t>
  </si>
  <si>
    <t>Montana - Gas</t>
  </si>
  <si>
    <t>Nebraska - Gas</t>
  </si>
  <si>
    <t>South Dakota - Electric</t>
  </si>
  <si>
    <t>South Dakota - Gas</t>
  </si>
  <si>
    <t>Alabama - Electric</t>
  </si>
  <si>
    <t>Georgia - Electric</t>
  </si>
  <si>
    <t>Georgia - Gas [5]</t>
  </si>
  <si>
    <t>Mississippi - Electric</t>
  </si>
  <si>
    <t>Virginia - Gas</t>
  </si>
  <si>
    <t>Colorado - Electric</t>
  </si>
  <si>
    <t>Colorado - Gas</t>
  </si>
  <si>
    <t>Minnesota - Electric</t>
  </si>
  <si>
    <t>Minnesota - Gas</t>
  </si>
  <si>
    <t>New Mexico - Electric</t>
  </si>
  <si>
    <t>North Dakota - Electric</t>
  </si>
  <si>
    <t>Texas - Electric</t>
  </si>
  <si>
    <t>Wisconsin - Electric</t>
  </si>
  <si>
    <t>Wisconsin - Gas</t>
  </si>
  <si>
    <t>North Dakota - Gas [6]</t>
  </si>
  <si>
    <t>Oncor Electric Delivery Company LLC</t>
  </si>
  <si>
    <t>San Diego Gas &amp; Electric Company</t>
  </si>
  <si>
    <t>Southern California Gas Company</t>
  </si>
  <si>
    <t>Public Service Company of Colorado</t>
  </si>
  <si>
    <t>Northern States Power Company - MN</t>
  </si>
  <si>
    <t>Northern States Power Company - WI</t>
  </si>
  <si>
    <t>Southwestern Public Service Company</t>
  </si>
  <si>
    <t>Northwest Natural Holding Company</t>
  </si>
  <si>
    <t>Elizabethtown Gas Company</t>
  </si>
  <si>
    <t>Ameren Illinois Company</t>
  </si>
  <si>
    <t>Union Electric Company</t>
  </si>
  <si>
    <t>Consumers Energy Company</t>
  </si>
  <si>
    <t>Hope Gas, Inc.</t>
  </si>
  <si>
    <t>Public Service Company of North Carolina, Incorporated</t>
  </si>
  <si>
    <t>Questar Gas Company</t>
  </si>
  <si>
    <t>SCANA Corporation</t>
  </si>
  <si>
    <t>The East Ohio Gas Company</t>
  </si>
  <si>
    <t>Virginia Electric and Power Company</t>
  </si>
  <si>
    <t>Citizens Gas Fuel Company</t>
  </si>
  <si>
    <t>DTE Electric Company</t>
  </si>
  <si>
    <t>DTE Gas Company</t>
  </si>
  <si>
    <t>Alabama Power Company</t>
  </si>
  <si>
    <t>Atlanta Gas Light Company</t>
  </si>
  <si>
    <t>Chattanooga Gas Company</t>
  </si>
  <si>
    <t>Georgia Power Company</t>
  </si>
  <si>
    <t>Mississippi Power Company</t>
  </si>
  <si>
    <t>Northern Illinois Gas Company</t>
  </si>
  <si>
    <t>Virginia Natural Gas, Inc.</t>
  </si>
  <si>
    <t>Michigan Gas Utilities Corporation</t>
  </si>
  <si>
    <t>Minnesota Energy Resources Corporation</t>
  </si>
  <si>
    <t>North Shore Gas Company</t>
  </si>
  <si>
    <t>Peoples Gas Light and Coke Company</t>
  </si>
  <si>
    <t>Upper Michigan Energy Resources Corporation</t>
  </si>
  <si>
    <t>Wisconsin Electric Power Company</t>
  </si>
  <si>
    <t>Wisconsin Gas LLC</t>
  </si>
  <si>
    <t>Wisconsin Public Service Corporation</t>
  </si>
  <si>
    <t>Average Incl. NJR</t>
  </si>
  <si>
    <t>Median Incl. NJR</t>
  </si>
  <si>
    <t>% Regulated Electric Operating Income &gt; 50%</t>
  </si>
  <si>
    <t>% Regulated Gas Operating Income &gt; 10%</t>
  </si>
  <si>
    <t>Company [7]</t>
  </si>
  <si>
    <t>[7] New Jersey Resource Corporation (NJR) derived 69.31 percent of its total operating income from regulated operations over the 2017-2019 period, and thus did not meet the screening criterion of 70.00 percent. However, the Gas Proxy Group schedules herein include results both including and excluding NJR.</t>
  </si>
  <si>
    <r>
      <t xml:space="preserve">SUMMARY OF ROE RESULTS </t>
    </r>
    <r>
      <rPr>
        <vertAlign val="superscript"/>
        <sz val="11"/>
        <rFont val="Arial"/>
        <family val="2"/>
      </rPr>
      <t>1</t>
    </r>
  </si>
  <si>
    <r>
      <t xml:space="preserve">SUMMARY OF ROE  RESULTS </t>
    </r>
    <r>
      <rPr>
        <vertAlign val="superscript"/>
        <sz val="11"/>
        <rFont val="Arial"/>
        <family val="2"/>
      </rPr>
      <t>1</t>
    </r>
  </si>
  <si>
    <t>ALTERNATE PROXY GROUP</t>
  </si>
  <si>
    <t>NATURAL GAS UTILITY PROXY GROUP</t>
  </si>
  <si>
    <t>NATURAL GAS  UTILITY PROXY GROUP INCLUDING NJR</t>
  </si>
  <si>
    <t>[2] Source: Bloomberg Professional, equals 30-day average as of September 30, 2020.</t>
  </si>
  <si>
    <t>[2] Source: Bloomberg Professional, equals 90-day average as of September 30, 2020.</t>
  </si>
  <si>
    <t>[2] Source: Bloomberg Professional, equals 180-day average as of September 30, 2020.</t>
  </si>
  <si>
    <t>[8] Source: S&amp;P Dow Jones Indices, S&amp;P 500 Earnings and Estimate Report, September 30, 2020</t>
  </si>
  <si>
    <t>[7] Source: S&amp;P Dow Jones Indices, S&amp;P 500 Earnings and Estimate Report, September 30, 2020</t>
  </si>
  <si>
    <t>[1] Source: Bloomberg Professional, dated September 30, 2020</t>
  </si>
  <si>
    <t>[1] Source: Value Line, August 28, 2020</t>
  </si>
  <si>
    <t>[2] Source: Value Line, August 28, 2020</t>
  </si>
  <si>
    <t>[3] Source: Value Line, August 28, 2020</t>
  </si>
  <si>
    <t>[5] Source: Value Line, August 28, 2020</t>
  </si>
  <si>
    <t>[6] Source: Value Line, August 28, 2020</t>
  </si>
  <si>
    <t>[1] Source: Bloomberg Professional as of September 30, 2020</t>
  </si>
  <si>
    <t>[2] Source: Bloomberg Professional, equals 30-day average as of September 30, 2020</t>
  </si>
  <si>
    <t>[1] - [6] Source: Value Line, dated August 28, 2020</t>
  </si>
  <si>
    <t>[1] Source: Value Line, dated August 28, 2020</t>
  </si>
  <si>
    <t>[2] Source: Value Line, dated August 28, 2020</t>
  </si>
  <si>
    <t>[2] Source: Value Line; dated July 24, 2020; August 14, 2020; August 28, 2020; and September 11, 2020</t>
  </si>
  <si>
    <t>[2] Source: Bloomberg Professional, dated September 30, 2020</t>
  </si>
  <si>
    <t>[1] Source: Value Line; dated July 24, 2020; August 14, 2020; August 28, 2020; and September 11, 2020</t>
  </si>
  <si>
    <t>[3] Source: Value Line; dated July 24, 2020; August 14, 2020; August 28, 2020; and September 11, 2020</t>
  </si>
  <si>
    <t>[5] Source: Value Line; dated July 24, 2020; August 14, 2020; August 28, 2020; and September 11, 2020</t>
  </si>
  <si>
    <t>[6] Source: Value Line; dated July 24, 2020; August 14, 2020; August 28, 2020; and September 11, 2020</t>
  </si>
  <si>
    <t xml:space="preserve">Near-term projected 30-year U.S. Treasury bond yield
(Q1 2021 - Q1 2022) </t>
  </si>
  <si>
    <t>[1] Source: Blue Chip Financial Forecasts, Vol. 39, No. 10, October 1, 2020, at 2</t>
  </si>
  <si>
    <t>Blue Chip Near-Term Projected Forecast (Q1 2021 - Q1 2022) [5]</t>
  </si>
  <si>
    <t>[1] Source: Regulatory Research Associates, rate cases through September 30, 2020</t>
  </si>
  <si>
    <t>[4] Source: Bloomberg Professional, 30-day average as of September 30, 2020</t>
  </si>
  <si>
    <t>[5] Source: Blue Chip Financial Forecasts, Vol. 39, No. 10, October 1, 2020, at 2</t>
  </si>
  <si>
    <t>[1] Source: SNL Financial; equals 30-day average as of September 30, 2020</t>
  </si>
  <si>
    <t>[2] Source: SNL Financial; equals 30-day average as of September 30, 2020</t>
  </si>
  <si>
    <t>[1] Source: S&amp;P Global - Market Intelligence Rate Case History (Past Rate Cases), accessed 9/30/20</t>
  </si>
  <si>
    <t>[2] Source: S&amp;P Global - Market Intelligence Rate Case History (Past Rate Cases), accessed 9/30/20</t>
  </si>
  <si>
    <t>S&amp;P Dow Jones Indices</t>
  </si>
  <si>
    <t>S&amp;P 500 EARNINGS AND ESTIMATE REPORT</t>
  </si>
  <si>
    <t>S&amp;P Senior Index Analyst</t>
  </si>
  <si>
    <t xml:space="preserve">   howard.silverblatt@spglobal.com</t>
  </si>
  <si>
    <t>S&amp;P 500 Index and Sector tax rates</t>
  </si>
  <si>
    <t>S&amp;P 500 TAX RATE</t>
  </si>
  <si>
    <t>SECTOR</t>
  </si>
  <si>
    <t>Q1 2020</t>
  </si>
  <si>
    <t>Q4 2019</t>
  </si>
  <si>
    <t>Q1 2019</t>
  </si>
  <si>
    <t>Q1 2017</t>
  </si>
  <si>
    <t>QUATERLY</t>
  </si>
  <si>
    <t>ANNUAL</t>
  </si>
  <si>
    <t xml:space="preserve">S&amp;P 500 </t>
  </si>
  <si>
    <t>Communication Services*</t>
  </si>
  <si>
    <t xml:space="preserve">Consumer Discretionary </t>
  </si>
  <si>
    <t xml:space="preserve">Consumer Staples </t>
  </si>
  <si>
    <t xml:space="preserve">Energy </t>
  </si>
  <si>
    <t xml:space="preserve">Financials </t>
  </si>
  <si>
    <t xml:space="preserve">Health Care </t>
  </si>
  <si>
    <t xml:space="preserve">Industrials </t>
  </si>
  <si>
    <t xml:space="preserve">Information Technology </t>
  </si>
  <si>
    <t xml:space="preserve">Materials </t>
  </si>
  <si>
    <t xml:space="preserve">Real Estate </t>
  </si>
  <si>
    <t xml:space="preserve">Utilities </t>
  </si>
  <si>
    <t>Q2 2020</t>
  </si>
  <si>
    <t xml:space="preserve">Issues with diluted share counts for Q2 2020 over Q2 2019 EPS </t>
  </si>
  <si>
    <t xml:space="preserve">   -&gt; Therefore adding at least a 4% tailwind to their current EPS</t>
  </si>
  <si>
    <t xml:space="preserve">Issues   </t>
  </si>
  <si>
    <t>% of issues</t>
  </si>
  <si>
    <t>Q2,'20 lower shares than Q2,'19</t>
  </si>
  <si>
    <t xml:space="preserve">    4% lower shares</t>
  </si>
  <si>
    <t>Q2,'20 higher sharers than Q2,'19</t>
  </si>
  <si>
    <t xml:space="preserve">    4% higher shares</t>
  </si>
  <si>
    <t>OPERATING EARNINGS CONTRIBUTION</t>
  </si>
  <si>
    <t>estimate</t>
  </si>
  <si>
    <t xml:space="preserve">Materials  </t>
  </si>
  <si>
    <t>Consumer Discretionary</t>
  </si>
  <si>
    <t>Consumer Staples</t>
  </si>
  <si>
    <t>Health Care</t>
  </si>
  <si>
    <t xml:space="preserve">Information Technology  </t>
  </si>
  <si>
    <t xml:space="preserve">Communication Services  </t>
  </si>
  <si>
    <t xml:space="preserve">Utilities  </t>
  </si>
  <si>
    <t>Real Estate</t>
  </si>
  <si>
    <t>S&amp;P 500</t>
  </si>
  <si>
    <t>S&amp;P 500 5YR</t>
  </si>
  <si>
    <t>MIDCAP</t>
  </si>
  <si>
    <t>MIDCAP 5YR</t>
  </si>
  <si>
    <t>SMALLCAP</t>
  </si>
  <si>
    <t>SMALLCAP 5YR</t>
  </si>
  <si>
    <t>2021 EST</t>
  </si>
  <si>
    <t>PROJ ANNUAL</t>
  </si>
  <si>
    <t>PEG</t>
  </si>
  <si>
    <t>OPER P/E</t>
  </si>
  <si>
    <t>GROWTH %</t>
  </si>
  <si>
    <t>Index</t>
  </si>
  <si>
    <t>Communication Services</t>
  </si>
  <si>
    <t>Energy</t>
  </si>
  <si>
    <t>Financials</t>
  </si>
  <si>
    <t>Industrials</t>
  </si>
  <si>
    <t>Information Technology</t>
  </si>
  <si>
    <t>Materials</t>
  </si>
  <si>
    <t>Utilities</t>
  </si>
  <si>
    <t xml:space="preserve">S&amp;P 500 operating margins: </t>
  </si>
  <si>
    <t>QTR</t>
  </si>
  <si>
    <t>2020</t>
  </si>
  <si>
    <t>2019</t>
  </si>
  <si>
    <t>2018</t>
  </si>
  <si>
    <t>2017</t>
  </si>
  <si>
    <t>2016</t>
  </si>
  <si>
    <t>2015</t>
  </si>
  <si>
    <t>2014</t>
  </si>
  <si>
    <t>2013</t>
  </si>
  <si>
    <t>2012</t>
  </si>
  <si>
    <t>2011</t>
  </si>
  <si>
    <t>2010</t>
  </si>
  <si>
    <t>2009</t>
  </si>
  <si>
    <t>2008*</t>
  </si>
  <si>
    <t>2007</t>
  </si>
  <si>
    <t xml:space="preserve">Q4 </t>
  </si>
  <si>
    <t>Q3</t>
  </si>
  <si>
    <t>Q2 (Q2,'20 est)</t>
  </si>
  <si>
    <t>Q1</t>
  </si>
  <si>
    <t>OBSERVATION</t>
  </si>
  <si>
    <t>Q3 2020</t>
  </si>
  <si>
    <t>Q4 2020</t>
  </si>
  <si>
    <t>2020E</t>
  </si>
  <si>
    <t>2021E</t>
  </si>
  <si>
    <t xml:space="preserve"> PRICE</t>
  </si>
  <si>
    <t>2020E P/E</t>
  </si>
  <si>
    <t>2021E P/E</t>
  </si>
  <si>
    <t>Current</t>
  </si>
  <si>
    <t>Change QTR</t>
  </si>
  <si>
    <t>Change YTD</t>
  </si>
  <si>
    <t>Change Fr 6/2019</t>
  </si>
  <si>
    <t>16 issues (off-fiscals) have reported their Q3 2020 numbers, with 14 beating, 1 meeting and 1 missing; 12 of 15 beat on sales</t>
  </si>
  <si>
    <t xml:space="preserve">Of the 502 issues (505 in the index) with full operating comparative data </t>
  </si>
  <si>
    <t>413 beat, 77 missed, and 12 met their estimates; 313 of 501 (62.5%) beat on sales</t>
  </si>
  <si>
    <t xml:space="preserve">    ------------- ISSUES --------------------</t>
  </si>
  <si>
    <t xml:space="preserve">  ----------- PERCENTAGE --------------------</t>
  </si>
  <si>
    <t>REPORTED</t>
  </si>
  <si>
    <t>BEAT</t>
  </si>
  <si>
    <t>MISSED</t>
  </si>
  <si>
    <t>MET</t>
  </si>
  <si>
    <t>Date</t>
  </si>
  <si>
    <t>S&amp;P 500 close of:</t>
  </si>
  <si>
    <t>Dividend yield (last 12 months: Sep,'20)</t>
  </si>
  <si>
    <t>Dividend yield (current indicated rate)</t>
  </si>
  <si>
    <t xml:space="preserve">QUARTER </t>
  </si>
  <si>
    <t>OPERATING</t>
  </si>
  <si>
    <t>AS REPORTED</t>
  </si>
  <si>
    <t xml:space="preserve">12 MONTH EARNINGS PER SHARE </t>
  </si>
  <si>
    <t>END</t>
  </si>
  <si>
    <t>EARNINGS</t>
  </si>
  <si>
    <t>PRICE</t>
  </si>
  <si>
    <t>PER SHR</t>
  </si>
  <si>
    <t>P/E</t>
  </si>
  <si>
    <t>(ests are</t>
  </si>
  <si>
    <t>bottom up)</t>
  </si>
  <si>
    <t>bottom up</t>
  </si>
  <si>
    <t>ESTIMATES</t>
  </si>
  <si>
    <t xml:space="preserve">12/31/2021 </t>
  </si>
  <si>
    <t>9/30/2021</t>
  </si>
  <si>
    <t xml:space="preserve">6/30/2021 </t>
  </si>
  <si>
    <t>3/31/2021</t>
  </si>
  <si>
    <t>12/31/2020</t>
  </si>
  <si>
    <t>9/30/2020</t>
  </si>
  <si>
    <t>6/30/2020 (98.4%)</t>
  </si>
  <si>
    <t>(P/E on Jun,'20 price)</t>
  </si>
  <si>
    <t>ACTUALS</t>
  </si>
  <si>
    <t>3/31/2020</t>
  </si>
  <si>
    <t>12/31/2019</t>
  </si>
  <si>
    <t xml:space="preserve">9/30/2019  </t>
  </si>
  <si>
    <t>6/30/2019</t>
  </si>
  <si>
    <t xml:space="preserve">3/31/2019 </t>
  </si>
  <si>
    <t xml:space="preserve">12/31/2018 </t>
  </si>
  <si>
    <t>9/30/2018</t>
  </si>
  <si>
    <t xml:space="preserve">6/30/2018 </t>
  </si>
  <si>
    <t>3/31/2018</t>
  </si>
  <si>
    <t>Operating earnings:</t>
  </si>
  <si>
    <t>Income from product (goods and services), excludes corporate (M&amp;A, financing, layoffs ), and unusual items</t>
  </si>
  <si>
    <t>As Reported earnings:</t>
  </si>
  <si>
    <t>Income from continuing operations, also known GAAP (Generally Accepted Accounting Principles) and As Reported</t>
  </si>
  <si>
    <t>Bottom up estimate:</t>
  </si>
  <si>
    <t>Capital IQ consensus estimate for specific issue, building from the bottom up to the index level estimate</t>
  </si>
  <si>
    <t>Actual earnings are bottom up</t>
  </si>
  <si>
    <t>Please note the disclaimer, which refers to the entire file's content:</t>
  </si>
  <si>
    <t xml:space="preserve">These materials have been prepared solely for informational purposes based upon information generally available to the public from sources believed to be reliable.  S&amp;P Dow Jones Indices, its affiliates, and its third-party data providers and licensors (collectively “S&amp;P Dow Jones Indices Parties”) do not guarantee the accuracy, completeness, timeliness or availability of the Content (index data, ratings, credit-related analyses and data, model, software or other application or output therefore).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Past performance of the Index is not an indication of future results. The Index returns shown do not represent the results of actual trading of investible assets/securities.  </t>
  </si>
  <si>
    <t>© 2020 S&amp;P Global Market Intelligence (and its affiliates, as applicable) (individually and collectively, “S&amp;P”).  All rights reserved.  For intended recipient only.  No further distribution or reproduction permitted without S&amp;P’s prior written permission.  A reference to or any observation concerning a particular investment, security or credit rating in the S&amp;P information is not a recommendation to buy, sell, or hold such investment or security or make any other investment decisions.  S&amp;P and its third party licensors:  (1) do not guarantee the accuracy, completeness, timeliness or availability of any information and are not responsible for any errors or omissions or for the results obtained from the use of such content; and (2) give no express or implied warranties of any kind.  In no event shall S&amp;P or its third party licensors be liable for any damages, including, without limitation, direct and indirect damages in connection with any use of the S&amp;P information.</t>
  </si>
  <si>
    <t>[3] Source: Schedule-4, page 13</t>
  </si>
  <si>
    <t>Cause No. 45447</t>
  </si>
  <si>
    <t>Petitioner's Exhibit No. 12</t>
  </si>
  <si>
    <t>Vectren South</t>
  </si>
  <si>
    <t>Attachment AEB-2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</si>
</sst>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0">
    <numFmt numFmtId="5" formatCode="&quot;$&quot;#,##0_);\(&quot;$&quot;#,##0\)"/>
    <numFmt numFmtId="7" formatCode="&quot;$&quot;#,##0.00_);\(&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quot;#,##0.00"/>
    <numFmt numFmtId="165" formatCode="&quot;[&quot;#&quot;]&quot;"/>
    <numFmt numFmtId="166" formatCode="_(* #,##0_);_(* \(#,##0\);_(* &quot;-&quot;??_);_(@_)"/>
    <numFmt numFmtId="167" formatCode="_(&quot;$&quot;* #,##0.00000_);_(&quot;$&quot;* \(#,##0.00000\);_(&quot;$&quot;* &quot;-&quot;?????_);_(@_)"/>
    <numFmt numFmtId="168" formatCode="0.00_);\(0.00\)"/>
    <numFmt numFmtId="169" formatCode="&quot;$&quot;* #,##0_);&quot;$&quot;* \(#,##0\)"/>
    <numFmt numFmtId="170" formatCode="_(* #,##0.00000_);_(* \(#,##0.00000\);_(* &quot;-&quot;?????_);_(@_)"/>
    <numFmt numFmtId="171" formatCode="0.00000%"/>
    <numFmt numFmtId="172" formatCode="0.0000"/>
    <numFmt numFmtId="173" formatCode="0.0"/>
    <numFmt numFmtId="174" formatCode="General_)"/>
    <numFmt numFmtId="175" formatCode="0.000"/>
    <numFmt numFmtId="176" formatCode="_(* #,##0.0000_);_(* \(#,##0.0000\);_(* &quot;-&quot;??_);_(@_)"/>
    <numFmt numFmtId="177" formatCode="_(&quot;$&quot;* #,##0_);_(&quot;$&quot;* \(#,##0\);_(&quot;$&quot;* &quot;-&quot;??_);_(@_)"/>
    <numFmt numFmtId="178" formatCode="&quot;$&quot;#,##0.0_);\(&quot;$&quot;#,##0.0\)"/>
    <numFmt numFmtId="179" formatCode="0.000%"/>
    <numFmt numFmtId="180" formatCode="0.0000%"/>
    <numFmt numFmtId="181" formatCode="_(* #,##0.00_);_(* \(#,##0.00\);_(* &quot;-&quot;???_);_(@_)"/>
    <numFmt numFmtId="182" formatCode="&quot;$&quot;#,##0.0"/>
    <numFmt numFmtId="183" formatCode="0.0000000"/>
    <numFmt numFmtId="184" formatCode="[$-409]mmm\-yy;@"/>
    <numFmt numFmtId="185" formatCode="0.00000000000000%"/>
    <numFmt numFmtId="186" formatCode="0.0%"/>
    <numFmt numFmtId="187" formatCode="[$-409]dd\-mmm\-yy;@"/>
  </numFmts>
  <fonts count="128">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10"/>
      <name val="Arial"/>
      <family val="2"/>
    </font>
    <font>
      <sz val="10"/>
      <color theme="1"/>
      <name val="Arial"/>
      <family val="2"/>
    </font>
    <font>
      <b/>
      <sz val="14"/>
      <name val="Arial"/>
      <family val="2"/>
    </font>
    <font>
      <b/>
      <sz val="12"/>
      <name val="Arial"/>
      <family val="2"/>
    </font>
    <font>
      <b/>
      <sz val="10"/>
      <name val="Arial"/>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0000FF"/>
      <name val="Arial"/>
      <family val="2"/>
    </font>
    <font>
      <sz val="10"/>
      <color indexed="9"/>
      <name val="Arial"/>
      <family val="2"/>
    </font>
    <font>
      <sz val="10"/>
      <color rgb="FFFF6600"/>
      <name val="Arial"/>
      <family val="2"/>
    </font>
    <font>
      <sz val="10"/>
      <color indexed="20"/>
      <name val="Arial"/>
      <family val="2"/>
    </font>
    <font>
      <b/>
      <sz val="10"/>
      <color indexed="52"/>
      <name val="Arial"/>
      <family val="2"/>
    </font>
    <font>
      <b/>
      <sz val="10"/>
      <color indexed="9"/>
      <name val="Arial"/>
      <family val="2"/>
    </font>
    <font>
      <b/>
      <u val="singleAccounting"/>
      <sz val="8"/>
      <color indexed="8"/>
      <name val="Arial"/>
      <family val="2"/>
    </font>
    <font>
      <sz val="11"/>
      <color indexed="8"/>
      <name val="Calibri"/>
      <family val="2"/>
    </font>
    <font>
      <sz val="12"/>
      <color indexed="8"/>
      <name val="Arial"/>
      <family val="2"/>
    </font>
    <font>
      <sz val="11"/>
      <color theme="1"/>
      <name val="Calibri"/>
      <family val="2"/>
    </font>
    <font>
      <sz val="12"/>
      <name val="Arial"/>
      <family val="2"/>
    </font>
    <font>
      <sz val="10"/>
      <color rgb="FF000000"/>
      <name val="Times New Roman"/>
      <family val="1"/>
    </font>
    <font>
      <b/>
      <sz val="9"/>
      <name val="Arial"/>
      <family val="2"/>
    </font>
    <font>
      <sz val="10"/>
      <color theme="1"/>
      <name val="Ariel"/>
      <family val="2"/>
    </font>
    <font>
      <sz val="12"/>
      <name val="Tms Rmn"/>
    </font>
    <font>
      <sz val="24"/>
      <name val="Arial"/>
      <family val="2"/>
    </font>
    <font>
      <sz val="10"/>
      <name val="Helv"/>
    </font>
    <font>
      <i/>
      <sz val="10"/>
      <color indexed="23"/>
      <name val="Arial"/>
      <family val="2"/>
    </font>
    <font>
      <sz val="10"/>
      <color indexed="17"/>
      <name val="Arial"/>
      <family val="2"/>
    </font>
    <font>
      <sz val="10"/>
      <color rgb="FF660066"/>
      <name val="Arial"/>
      <family val="2"/>
    </font>
    <font>
      <b/>
      <sz val="11"/>
      <name val="Arial"/>
      <family val="2"/>
    </font>
    <font>
      <b/>
      <sz val="15"/>
      <color indexed="56"/>
      <name val="Arial"/>
      <family val="2"/>
    </font>
    <font>
      <b/>
      <sz val="13"/>
      <color indexed="56"/>
      <name val="Arial"/>
      <family val="2"/>
    </font>
    <font>
      <b/>
      <sz val="11"/>
      <color indexed="56"/>
      <name val="Arial"/>
      <family val="2"/>
    </font>
    <font>
      <u/>
      <sz val="8.5"/>
      <color theme="10"/>
      <name val="Arial"/>
      <family val="2"/>
    </font>
    <font>
      <u/>
      <sz val="11"/>
      <color theme="10"/>
      <name val="Calibri"/>
      <family val="2"/>
    </font>
    <font>
      <u/>
      <sz val="10"/>
      <color theme="10"/>
      <name val="Arial"/>
      <family val="2"/>
    </font>
    <font>
      <sz val="10"/>
      <color indexed="62"/>
      <name val="Arial"/>
      <family val="2"/>
    </font>
    <font>
      <b/>
      <sz val="12"/>
      <name val="Tms Rmn"/>
    </font>
    <font>
      <sz val="8"/>
      <name val="Arial"/>
      <family val="2"/>
    </font>
    <font>
      <sz val="10"/>
      <color indexed="52"/>
      <name val="Arial"/>
      <family val="2"/>
    </font>
    <font>
      <sz val="10"/>
      <color indexed="60"/>
      <name val="Arial"/>
      <family val="2"/>
    </font>
    <font>
      <sz val="10"/>
      <name val="Calibri"/>
      <family val="2"/>
      <scheme val="minor"/>
    </font>
    <font>
      <sz val="11"/>
      <color theme="1"/>
      <name val="Arial"/>
      <family val="2"/>
    </font>
    <font>
      <sz val="12"/>
      <name val="Arial MT"/>
    </font>
    <font>
      <b/>
      <sz val="10"/>
      <color indexed="63"/>
      <name val="Arial"/>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sz val="9.75"/>
      <name val="Arial"/>
      <family val="2"/>
    </font>
    <font>
      <sz val="10"/>
      <name val="MS Sans Serif"/>
      <family val="2"/>
    </font>
    <font>
      <b/>
      <sz val="10"/>
      <name val="MS Sans Serif"/>
      <family val="2"/>
    </font>
    <font>
      <sz val="10"/>
      <color indexed="12"/>
      <name val="MS Sans Serif"/>
      <family val="2"/>
    </font>
    <font>
      <b/>
      <sz val="14"/>
      <color indexed="9"/>
      <name val="Arial"/>
      <family val="2"/>
    </font>
    <font>
      <b/>
      <sz val="12"/>
      <color indexed="9"/>
      <name val="Arial"/>
      <family val="2"/>
    </font>
    <font>
      <b/>
      <i/>
      <sz val="8"/>
      <color indexed="9"/>
      <name val="Arial"/>
      <family val="2"/>
    </font>
    <font>
      <b/>
      <sz val="8"/>
      <name val="Arial"/>
      <family val="2"/>
    </font>
    <font>
      <b/>
      <sz val="10"/>
      <color indexed="12"/>
      <name val="MS Sans Serif"/>
      <family val="2"/>
    </font>
    <font>
      <u/>
      <sz val="10"/>
      <name val="Arial"/>
      <family val="2"/>
    </font>
    <font>
      <sz val="8"/>
      <color indexed="8"/>
      <name val="Arial"/>
      <family val="2"/>
    </font>
    <font>
      <sz val="12"/>
      <color indexed="13"/>
      <name val="Tms Rmn"/>
    </font>
    <font>
      <b/>
      <sz val="18"/>
      <color indexed="56"/>
      <name val="Cambria"/>
      <family val="2"/>
    </font>
    <font>
      <b/>
      <sz val="14"/>
      <color indexed="56"/>
      <name val="Arial"/>
      <family val="2"/>
    </font>
    <font>
      <b/>
      <sz val="10"/>
      <color indexed="8"/>
      <name val="Arial"/>
      <family val="2"/>
    </font>
    <font>
      <sz val="12"/>
      <color indexed="8"/>
      <name val="Arial MT"/>
    </font>
    <font>
      <sz val="10"/>
      <color indexed="10"/>
      <name val="Arial"/>
      <family val="2"/>
    </font>
    <font>
      <b/>
      <sz val="10"/>
      <color theme="1"/>
      <name val="Arial"/>
      <family val="2"/>
    </font>
    <font>
      <sz val="10"/>
      <name val="Arial"/>
      <family val="2"/>
    </font>
    <font>
      <sz val="11"/>
      <name val="Arial"/>
      <family val="2"/>
    </font>
    <font>
      <sz val="10"/>
      <name val="Times New Roman"/>
      <family val="1"/>
    </font>
    <font>
      <vertAlign val="superscript"/>
      <sz val="11"/>
      <name val="Arial"/>
      <family val="2"/>
    </font>
    <font>
      <b/>
      <i/>
      <sz val="11"/>
      <name val="Arial"/>
      <family val="2"/>
    </font>
    <font>
      <sz val="11"/>
      <color rgb="FF000000"/>
      <name val="Arial"/>
      <family val="2"/>
    </font>
    <font>
      <u/>
      <sz val="10"/>
      <color theme="1"/>
      <name val="Arial"/>
      <family val="2"/>
    </font>
    <font>
      <sz val="10"/>
      <color rgb="FFFF0000"/>
      <name val="Arial"/>
      <family val="2"/>
    </font>
    <font>
      <sz val="10"/>
      <color rgb="FF000000"/>
      <name val="Arial"/>
      <family val="2"/>
    </font>
    <font>
      <i/>
      <sz val="10"/>
      <name val="Arial"/>
      <family val="2"/>
    </font>
    <font>
      <sz val="11"/>
      <color rgb="FF0070C0"/>
      <name val="Arial"/>
      <family val="2"/>
    </font>
    <font>
      <u/>
      <sz val="11"/>
      <name val="Arial"/>
      <family val="2"/>
    </font>
    <font>
      <sz val="10"/>
      <color theme="0"/>
      <name val="Arial"/>
      <family val="2"/>
    </font>
    <font>
      <sz val="11"/>
      <name val="Calibri"/>
      <family val="2"/>
      <scheme val="minor"/>
    </font>
    <font>
      <sz val="10"/>
      <name val="Arial Unicode MS"/>
      <family val="2"/>
    </font>
    <font>
      <b/>
      <sz val="12"/>
      <color theme="1"/>
      <name val="Arial"/>
      <family val="2"/>
    </font>
    <font>
      <sz val="12"/>
      <color theme="1"/>
      <name val="Arial"/>
      <family val="2"/>
    </font>
    <font>
      <sz val="14"/>
      <color theme="1"/>
      <name val="Arial"/>
      <family val="2"/>
    </font>
    <font>
      <b/>
      <i/>
      <sz val="10"/>
      <name val="Arial"/>
      <family val="2"/>
    </font>
    <font>
      <sz val="8"/>
      <color theme="1"/>
      <name val="Times New Roman"/>
      <family val="1"/>
    </font>
  </fonts>
  <fills count="6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60"/>
        <bgColor indexed="64"/>
      </patternFill>
    </fill>
    <fill>
      <patternFill patternType="solid">
        <fgColor indexed="9"/>
        <bgColor indexed="64"/>
      </patternFill>
    </fill>
    <fill>
      <patternFill patternType="solid">
        <fgColor indexed="13"/>
      </patternFill>
    </fill>
    <fill>
      <patternFill patternType="solid">
        <fgColor indexed="22"/>
        <bgColor indexed="64"/>
      </patternFill>
    </fill>
    <fill>
      <patternFill patternType="solid">
        <fgColor indexed="43"/>
      </patternFill>
    </fill>
    <fill>
      <patternFill patternType="solid">
        <fgColor indexed="26"/>
      </patternFill>
    </fill>
    <fill>
      <patternFill patternType="mediumGray">
        <fgColor indexed="22"/>
      </patternFill>
    </fill>
    <fill>
      <patternFill patternType="solid">
        <fgColor indexed="63"/>
        <bgColor indexed="64"/>
      </patternFill>
    </fill>
    <fill>
      <patternFill patternType="solid">
        <fgColor indexed="8"/>
        <bgColor indexed="64"/>
      </patternFill>
    </fill>
    <fill>
      <patternFill patternType="solid">
        <fgColor indexed="62"/>
        <bgColor indexed="64"/>
      </patternFill>
    </fill>
    <fill>
      <patternFill patternType="solid">
        <fgColor indexed="12"/>
      </patternFill>
    </fill>
    <fill>
      <patternFill patternType="solid">
        <fgColor theme="0" tint="-4.9989318521683403E-2"/>
        <bgColor indexed="64"/>
      </patternFill>
    </fill>
    <fill>
      <patternFill patternType="solid">
        <fgColor theme="0"/>
        <bgColor indexed="64"/>
      </patternFill>
    </fill>
    <fill>
      <patternFill patternType="solid">
        <fgColor theme="1" tint="0.499984740745262"/>
        <bgColor indexed="64"/>
      </patternFill>
    </fill>
  </fills>
  <borders count="60">
    <border>
      <left/>
      <right/>
      <top/>
      <bottom/>
      <diagonal/>
    </border>
    <border>
      <left/>
      <right/>
      <top/>
      <bottom style="medium">
        <color auto="1"/>
      </bottom>
      <diagonal/>
    </border>
    <border>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right/>
      <top style="medium">
        <color indexed="8"/>
      </top>
      <bottom style="double">
        <color indexed="8"/>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style="double">
        <color indexed="12"/>
      </left>
      <right style="double">
        <color indexed="12"/>
      </right>
      <top style="double">
        <color indexed="12"/>
      </top>
      <bottom style="dotted">
        <color indexed="12"/>
      </bottom>
      <diagonal/>
    </border>
    <border>
      <left style="thick">
        <color indexed="12"/>
      </left>
      <right style="thick">
        <color indexed="12"/>
      </right>
      <top style="thick">
        <color indexed="12"/>
      </top>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
      <left/>
      <right/>
      <top/>
      <bottom style="medium">
        <color indexed="8"/>
      </bottom>
      <diagonal/>
    </border>
    <border>
      <left/>
      <right/>
      <top style="thin">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bottom style="double">
        <color indexed="64"/>
      </bottom>
      <diagonal/>
    </border>
  </borders>
  <cellStyleXfs count="9452">
    <xf numFmtId="0" fontId="0" fillId="0" borderId="0"/>
    <xf numFmtId="9" fontId="27" fillId="0" borderId="0" applyFont="0" applyFill="0" applyBorder="0" applyAlignment="0" applyProtection="0"/>
    <xf numFmtId="9" fontId="26" fillId="0" borderId="0" applyFont="0" applyFill="0" applyBorder="0" applyAlignment="0" applyProtection="0"/>
    <xf numFmtId="0" fontId="25" fillId="0" borderId="0"/>
    <xf numFmtId="0" fontId="30" fillId="0" borderId="0"/>
    <xf numFmtId="9" fontId="25"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9" fontId="24" fillId="0" borderId="0" applyFont="0" applyFill="0" applyBorder="0" applyAlignment="0" applyProtection="0"/>
    <xf numFmtId="43" fontId="23" fillId="0" borderId="0" applyFont="0" applyFill="0" applyBorder="0" applyAlignment="0" applyProtection="0"/>
    <xf numFmtId="9" fontId="23" fillId="0" borderId="0" applyFont="0" applyFill="0" applyBorder="0" applyAlignment="0" applyProtection="0"/>
    <xf numFmtId="0" fontId="34" fillId="0" borderId="0"/>
    <xf numFmtId="9" fontId="29" fillId="0" borderId="0" applyFont="0" applyFill="0" applyBorder="0" applyAlignment="0" applyProtection="0"/>
    <xf numFmtId="9" fontId="29" fillId="0" borderId="0" applyFont="0" applyFill="0" applyBorder="0" applyAlignment="0" applyProtection="0"/>
    <xf numFmtId="0" fontId="22" fillId="0" borderId="0"/>
    <xf numFmtId="9" fontId="22" fillId="0" borderId="0" applyFont="0" applyFill="0" applyBorder="0" applyAlignment="0" applyProtection="0"/>
    <xf numFmtId="0" fontId="22" fillId="0" borderId="0"/>
    <xf numFmtId="0" fontId="29" fillId="0" borderId="0"/>
    <xf numFmtId="0" fontId="29" fillId="0" borderId="0"/>
    <xf numFmtId="0" fontId="30" fillId="0" borderId="0"/>
    <xf numFmtId="0" fontId="29" fillId="0" borderId="0"/>
    <xf numFmtId="0" fontId="30" fillId="0" borderId="0"/>
    <xf numFmtId="0" fontId="30" fillId="0" borderId="0"/>
    <xf numFmtId="42" fontId="29" fillId="0" borderId="0" applyFill="0" applyBorder="0" applyProtection="0">
      <alignment horizontal="left"/>
    </xf>
    <xf numFmtId="42" fontId="50" fillId="0" borderId="0" applyFill="0" applyBorder="0" applyAlignment="0" applyProtection="0"/>
    <xf numFmtId="44" fontId="30" fillId="0" borderId="0">
      <alignment horizontal="left"/>
    </xf>
    <xf numFmtId="167" fontId="29" fillId="0" borderId="12" applyBorder="0">
      <alignment horizontal="center"/>
    </xf>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1" fillId="10" borderId="0" applyNumberFormat="0" applyBorder="0" applyAlignment="0" applyProtection="0"/>
    <xf numFmtId="0" fontId="28" fillId="33"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1" fillId="14" borderId="0" applyNumberFormat="0" applyBorder="0" applyAlignment="0" applyProtection="0"/>
    <xf numFmtId="0" fontId="28" fillId="34"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8" fillId="35"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1" fillId="22" borderId="0" applyNumberFormat="0" applyBorder="0" applyAlignment="0" applyProtection="0"/>
    <xf numFmtId="0" fontId="28" fillId="3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8" fillId="37"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8" fillId="38"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1" fillId="11" borderId="0" applyNumberFormat="0" applyBorder="0" applyAlignment="0" applyProtection="0"/>
    <xf numFmtId="0" fontId="28" fillId="39"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1" fillId="15" borderId="0" applyNumberFormat="0" applyBorder="0" applyAlignment="0" applyProtection="0"/>
    <xf numFmtId="0" fontId="28" fillId="40"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8" fillId="41"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1" fillId="23" borderId="0" applyNumberFormat="0" applyBorder="0" applyAlignment="0" applyProtection="0"/>
    <xf numFmtId="0" fontId="28" fillId="36"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8" fillId="39"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1" fillId="31" borderId="0" applyNumberFormat="0" applyBorder="0" applyAlignment="0" applyProtection="0"/>
    <xf numFmtId="0" fontId="28" fillId="42" borderId="0" applyNumberFormat="0" applyBorder="0" applyAlignment="0" applyProtection="0"/>
    <xf numFmtId="0" fontId="49" fillId="12" borderId="0" applyNumberFormat="0" applyBorder="0" applyAlignment="0" applyProtection="0"/>
    <xf numFmtId="0" fontId="49" fillId="12" borderId="0" applyNumberFormat="0" applyBorder="0" applyAlignment="0" applyProtection="0"/>
    <xf numFmtId="0" fontId="49" fillId="12" borderId="0" applyNumberFormat="0" applyBorder="0" applyAlignment="0" applyProtection="0"/>
    <xf numFmtId="0" fontId="49" fillId="12" borderId="0" applyNumberFormat="0" applyBorder="0" applyAlignment="0" applyProtection="0"/>
    <xf numFmtId="0" fontId="51" fillId="43" borderId="0" applyNumberFormat="0" applyBorder="0" applyAlignment="0" applyProtection="0"/>
    <xf numFmtId="0" fontId="49" fillId="16" borderId="0" applyNumberFormat="0" applyBorder="0" applyAlignment="0" applyProtection="0"/>
    <xf numFmtId="0" fontId="49" fillId="16" borderId="0" applyNumberFormat="0" applyBorder="0" applyAlignment="0" applyProtection="0"/>
    <xf numFmtId="0" fontId="49" fillId="16" borderId="0" applyNumberFormat="0" applyBorder="0" applyAlignment="0" applyProtection="0"/>
    <xf numFmtId="0" fontId="49" fillId="16" borderId="0" applyNumberFormat="0" applyBorder="0" applyAlignment="0" applyProtection="0"/>
    <xf numFmtId="0" fontId="51" fillId="40" borderId="0" applyNumberFormat="0" applyBorder="0" applyAlignment="0" applyProtection="0"/>
    <xf numFmtId="0" fontId="49" fillId="20" borderId="0" applyNumberFormat="0" applyBorder="0" applyAlignment="0" applyProtection="0"/>
    <xf numFmtId="0" fontId="49" fillId="20" borderId="0" applyNumberFormat="0" applyBorder="0" applyAlignment="0" applyProtection="0"/>
    <xf numFmtId="0" fontId="49" fillId="20" borderId="0" applyNumberFormat="0" applyBorder="0" applyAlignment="0" applyProtection="0"/>
    <xf numFmtId="0" fontId="49" fillId="20" borderId="0" applyNumberFormat="0" applyBorder="0" applyAlignment="0" applyProtection="0"/>
    <xf numFmtId="0" fontId="51" fillId="41"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51" fillId="44" borderId="0" applyNumberFormat="0" applyBorder="0" applyAlignment="0" applyProtection="0"/>
    <xf numFmtId="0" fontId="49" fillId="28" borderId="0" applyNumberFormat="0" applyBorder="0" applyAlignment="0" applyProtection="0"/>
    <xf numFmtId="0" fontId="49" fillId="28" borderId="0" applyNumberFormat="0" applyBorder="0" applyAlignment="0" applyProtection="0"/>
    <xf numFmtId="0" fontId="49" fillId="28" borderId="0" applyNumberFormat="0" applyBorder="0" applyAlignment="0" applyProtection="0"/>
    <xf numFmtId="0" fontId="49" fillId="28" borderId="0" applyNumberFormat="0" applyBorder="0" applyAlignment="0" applyProtection="0"/>
    <xf numFmtId="0" fontId="51" fillId="45" borderId="0" applyNumberFormat="0" applyBorder="0" applyAlignment="0" applyProtection="0"/>
    <xf numFmtId="0" fontId="49" fillId="32" borderId="0" applyNumberFormat="0" applyBorder="0" applyAlignment="0" applyProtection="0"/>
    <xf numFmtId="0" fontId="49" fillId="32" borderId="0" applyNumberFormat="0" applyBorder="0" applyAlignment="0" applyProtection="0"/>
    <xf numFmtId="0" fontId="49" fillId="32" borderId="0" applyNumberFormat="0" applyBorder="0" applyAlignment="0" applyProtection="0"/>
    <xf numFmtId="0" fontId="49" fillId="32" borderId="0" applyNumberFormat="0" applyBorder="0" applyAlignment="0" applyProtection="0"/>
    <xf numFmtId="0" fontId="51" fillId="46" borderId="0" applyNumberFormat="0" applyBorder="0" applyAlignment="0" applyProtection="0"/>
    <xf numFmtId="0" fontId="49" fillId="9" borderId="0" applyNumberFormat="0" applyBorder="0" applyAlignment="0" applyProtection="0"/>
    <xf numFmtId="0" fontId="49" fillId="9" borderId="0" applyNumberFormat="0" applyBorder="0" applyAlignment="0" applyProtection="0"/>
    <xf numFmtId="0" fontId="49" fillId="9" borderId="0" applyNumberFormat="0" applyBorder="0" applyAlignment="0" applyProtection="0"/>
    <xf numFmtId="0" fontId="49" fillId="9" borderId="0" applyNumberFormat="0" applyBorder="0" applyAlignment="0" applyProtection="0"/>
    <xf numFmtId="0" fontId="51" fillId="47"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51" fillId="48" borderId="0" applyNumberFormat="0" applyBorder="0" applyAlignment="0" applyProtection="0"/>
    <xf numFmtId="0" fontId="49" fillId="17" borderId="0" applyNumberFormat="0" applyBorder="0" applyAlignment="0" applyProtection="0"/>
    <xf numFmtId="0" fontId="49" fillId="17" borderId="0" applyNumberFormat="0" applyBorder="0" applyAlignment="0" applyProtection="0"/>
    <xf numFmtId="0" fontId="49" fillId="17" borderId="0" applyNumberFormat="0" applyBorder="0" applyAlignment="0" applyProtection="0"/>
    <xf numFmtId="0" fontId="49" fillId="17" borderId="0" applyNumberFormat="0" applyBorder="0" applyAlignment="0" applyProtection="0"/>
    <xf numFmtId="0" fontId="51" fillId="49" borderId="0" applyNumberFormat="0" applyBorder="0" applyAlignment="0" applyProtection="0"/>
    <xf numFmtId="0" fontId="49" fillId="21" borderId="0" applyNumberFormat="0" applyBorder="0" applyAlignment="0" applyProtection="0"/>
    <xf numFmtId="0" fontId="49" fillId="21" borderId="0" applyNumberFormat="0" applyBorder="0" applyAlignment="0" applyProtection="0"/>
    <xf numFmtId="0" fontId="49" fillId="21" borderId="0" applyNumberFormat="0" applyBorder="0" applyAlignment="0" applyProtection="0"/>
    <xf numFmtId="0" fontId="49" fillId="21" borderId="0" applyNumberFormat="0" applyBorder="0" applyAlignment="0" applyProtection="0"/>
    <xf numFmtId="0" fontId="51" fillId="44" borderId="0" applyNumberFormat="0" applyBorder="0" applyAlignment="0" applyProtection="0"/>
    <xf numFmtId="0" fontId="49" fillId="25" borderId="0" applyNumberFormat="0" applyBorder="0" applyAlignment="0" applyProtection="0"/>
    <xf numFmtId="0" fontId="49" fillId="25" borderId="0" applyNumberFormat="0" applyBorder="0" applyAlignment="0" applyProtection="0"/>
    <xf numFmtId="0" fontId="49" fillId="25" borderId="0" applyNumberFormat="0" applyBorder="0" applyAlignment="0" applyProtection="0"/>
    <xf numFmtId="0" fontId="49" fillId="25" borderId="0" applyNumberFormat="0" applyBorder="0" applyAlignment="0" applyProtection="0"/>
    <xf numFmtId="0" fontId="51" fillId="45" borderId="0" applyNumberFormat="0" applyBorder="0" applyAlignment="0" applyProtection="0"/>
    <xf numFmtId="0" fontId="49" fillId="29" borderId="0" applyNumberFormat="0" applyBorder="0" applyAlignment="0" applyProtection="0"/>
    <xf numFmtId="0" fontId="49" fillId="29" borderId="0" applyNumberFormat="0" applyBorder="0" applyAlignment="0" applyProtection="0"/>
    <xf numFmtId="0" fontId="49" fillId="29" borderId="0" applyNumberFormat="0" applyBorder="0" applyAlignment="0" applyProtection="0"/>
    <xf numFmtId="0" fontId="49" fillId="29" borderId="0" applyNumberFormat="0" applyBorder="0" applyAlignment="0" applyProtection="0"/>
    <xf numFmtId="0" fontId="51" fillId="50" borderId="0" applyNumberFormat="0" applyBorder="0" applyAlignment="0" applyProtection="0"/>
    <xf numFmtId="43" fontId="30" fillId="0" borderId="0">
      <alignment horizontal="left"/>
    </xf>
    <xf numFmtId="168" fontId="30" fillId="0" borderId="0">
      <alignment horizontal="left"/>
    </xf>
    <xf numFmtId="37" fontId="29" fillId="0" borderId="0" applyNumberFormat="0" applyBorder="0" applyAlignment="0"/>
    <xf numFmtId="38" fontId="52" fillId="0" borderId="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53" fillId="34" borderId="0" applyNumberFormat="0" applyBorder="0" applyAlignment="0" applyProtection="0"/>
    <xf numFmtId="0" fontId="43" fillId="6" borderId="6" applyNumberFormat="0" applyAlignment="0" applyProtection="0"/>
    <xf numFmtId="0" fontId="43" fillId="6" borderId="6" applyNumberFormat="0" applyAlignment="0" applyProtection="0"/>
    <xf numFmtId="0" fontId="43" fillId="6" borderId="6" applyNumberFormat="0" applyAlignment="0" applyProtection="0"/>
    <xf numFmtId="0" fontId="43" fillId="6" borderId="6" applyNumberFormat="0" applyAlignment="0" applyProtection="0"/>
    <xf numFmtId="0" fontId="54" fillId="51" borderId="13" applyNumberFormat="0" applyAlignment="0" applyProtection="0"/>
    <xf numFmtId="0" fontId="54" fillId="51" borderId="13" applyNumberFormat="0" applyAlignment="0" applyProtection="0"/>
    <xf numFmtId="0" fontId="45" fillId="7" borderId="9" applyNumberFormat="0" applyAlignment="0" applyProtection="0"/>
    <xf numFmtId="0" fontId="45" fillId="7" borderId="9" applyNumberFormat="0" applyAlignment="0" applyProtection="0"/>
    <xf numFmtId="0" fontId="45" fillId="7" borderId="9" applyNumberFormat="0" applyAlignment="0" applyProtection="0"/>
    <xf numFmtId="0" fontId="45" fillId="7" borderId="9" applyNumberFormat="0" applyAlignment="0" applyProtection="0"/>
    <xf numFmtId="0" fontId="55" fillId="52" borderId="14" applyNumberFormat="0" applyAlignment="0" applyProtection="0"/>
    <xf numFmtId="37" fontId="30" fillId="0" borderId="0">
      <alignment horizontal="center"/>
    </xf>
    <xf numFmtId="37" fontId="29" fillId="0" borderId="0" applyNumberFormat="0" applyFill="0" applyBorder="0" applyProtection="0">
      <alignment horizontal="centerContinuous"/>
    </xf>
    <xf numFmtId="37" fontId="30" fillId="0" borderId="15">
      <alignment horizontal="center"/>
    </xf>
    <xf numFmtId="37" fontId="30" fillId="0" borderId="15">
      <alignment horizontal="center"/>
    </xf>
    <xf numFmtId="0" fontId="56" fillId="53" borderId="0" applyAlignment="0"/>
    <xf numFmtId="41"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57"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8"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29"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2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0" fontId="29" fillId="0" borderId="0" applyNumberFormat="0" applyFill="0" applyBorder="0" applyAlignment="0" applyProtection="0"/>
    <xf numFmtId="43" fontId="2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9"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21"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30" fillId="0" borderId="0" applyFont="0" applyFill="0" applyBorder="0" applyAlignment="0" applyProtection="0"/>
    <xf numFmtId="43" fontId="59" fillId="0" borderId="0" applyFont="0" applyFill="0" applyBorder="0" applyAlignment="0" applyProtection="0"/>
    <xf numFmtId="43" fontId="29" fillId="0" borderId="0" applyFont="0" applyFill="0" applyBorder="0" applyAlignment="0" applyProtection="0"/>
    <xf numFmtId="43" fontId="59" fillId="0" borderId="0" applyFont="0" applyFill="0" applyBorder="0" applyAlignment="0" applyProtection="0"/>
    <xf numFmtId="43" fontId="5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60"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61" fillId="0" borderId="0" applyFont="0" applyFill="0" applyBorder="0" applyAlignment="0" applyProtection="0"/>
    <xf numFmtId="43" fontId="21" fillId="0" borderId="0" applyFont="0" applyFill="0" applyBorder="0" applyAlignment="0" applyProtection="0"/>
    <xf numFmtId="43" fontId="61" fillId="0" borderId="0" applyFont="0" applyFill="0" applyBorder="0" applyAlignment="0" applyProtection="0"/>
    <xf numFmtId="3" fontId="29" fillId="0" borderId="0" applyFont="0" applyFill="0" applyBorder="0" applyAlignment="0" applyProtection="0"/>
    <xf numFmtId="37" fontId="29" fillId="0" borderId="0" applyFill="0" applyBorder="0" applyAlignment="0" applyProtection="0"/>
    <xf numFmtId="0" fontId="29" fillId="0" borderId="0" applyNumberFormat="0" applyFill="0" applyBorder="0" applyAlignment="0" applyProtection="0"/>
    <xf numFmtId="4" fontId="62" fillId="0" borderId="1" applyFill="0" applyProtection="0">
      <alignment horizontal="center" vertical="center" wrapText="1"/>
    </xf>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58"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4" fontId="21" fillId="0" borderId="0" applyFont="0" applyFill="0" applyBorder="0" applyAlignment="0" applyProtection="0"/>
    <xf numFmtId="44" fontId="60" fillId="0" borderId="0" applyFont="0" applyFill="0" applyBorder="0" applyAlignment="0" applyProtection="0"/>
    <xf numFmtId="44" fontId="63"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30" fillId="0" borderId="0" applyFont="0" applyFill="0" applyBorder="0" applyAlignment="0" applyProtection="0"/>
    <xf numFmtId="44" fontId="21"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57" fillId="0" borderId="0" applyFont="0" applyFill="0" applyBorder="0" applyAlignment="0" applyProtection="0"/>
    <xf numFmtId="44" fontId="29" fillId="0" borderId="0" applyFont="0" applyFill="0" applyBorder="0" applyAlignment="0" applyProtection="0"/>
    <xf numFmtId="44" fontId="57" fillId="0" borderId="0" applyFont="0" applyFill="0" applyBorder="0" applyAlignment="0" applyProtection="0"/>
    <xf numFmtId="44" fontId="30"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57"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57"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57" fillId="0" borderId="0" applyFont="0" applyFill="0" applyBorder="0" applyAlignment="0" applyProtection="0"/>
    <xf numFmtId="44" fontId="29" fillId="0" borderId="0" applyFont="0" applyFill="0" applyBorder="0" applyAlignment="0" applyProtection="0"/>
    <xf numFmtId="44" fontId="29" fillId="0" borderId="0" applyFont="0" applyFill="0" applyBorder="0" applyAlignment="0" applyProtection="0"/>
    <xf numFmtId="41" fontId="29" fillId="0" borderId="0" applyFill="0" applyBorder="0" applyAlignment="0" applyProtection="0"/>
    <xf numFmtId="42" fontId="29" fillId="0" borderId="2"/>
    <xf numFmtId="42" fontId="29" fillId="0" borderId="2"/>
    <xf numFmtId="43" fontId="29" fillId="0" borderId="0" applyBorder="0">
      <alignment horizontal="left"/>
    </xf>
    <xf numFmtId="5" fontId="29" fillId="0" borderId="0" applyFill="0" applyBorder="0" applyAlignment="0" applyProtection="0"/>
    <xf numFmtId="0" fontId="64" fillId="0" borderId="0"/>
    <xf numFmtId="0" fontId="64" fillId="0" borderId="0"/>
    <xf numFmtId="0" fontId="64" fillId="0" borderId="16"/>
    <xf numFmtId="0" fontId="29" fillId="0" borderId="0" applyFont="0" applyFill="0" applyBorder="0" applyAlignment="0" applyProtection="0"/>
    <xf numFmtId="169" fontId="29" fillId="0" borderId="0"/>
    <xf numFmtId="7" fontId="65" fillId="0" borderId="17"/>
    <xf numFmtId="7" fontId="65" fillId="0" borderId="17"/>
    <xf numFmtId="7" fontId="65" fillId="0" borderId="17"/>
    <xf numFmtId="7" fontId="65" fillId="0" borderId="17"/>
    <xf numFmtId="4" fontId="66" fillId="0" borderId="0" applyFont="0" applyBorder="0">
      <alignment horizontal="justify"/>
    </xf>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67" fillId="0" borderId="0" applyNumberFormat="0" applyFill="0" applyBorder="0" applyAlignment="0" applyProtection="0"/>
    <xf numFmtId="2" fontId="29" fillId="0" borderId="0" applyFont="0" applyFill="0" applyBorder="0" applyAlignment="0" applyProtection="0"/>
    <xf numFmtId="38" fontId="50" fillId="0" borderId="0"/>
    <xf numFmtId="170" fontId="29" fillId="0" borderId="0">
      <alignment horizont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68" fillId="35" borderId="0" applyNumberFormat="0" applyBorder="0" applyAlignment="0" applyProtection="0"/>
    <xf numFmtId="38" fontId="69" fillId="0" borderId="0"/>
    <xf numFmtId="49" fontId="70" fillId="0" borderId="0" applyNumberFormat="0" applyFill="0" applyBorder="0" applyProtection="0">
      <alignment horizontal="centerContinuous"/>
    </xf>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71" fillId="0" borderId="18"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36" fillId="0" borderId="4" applyNumberFormat="0" applyFill="0" applyAlignment="0" applyProtection="0"/>
    <xf numFmtId="0" fontId="72" fillId="0" borderId="19" applyNumberFormat="0" applyFill="0" applyAlignment="0" applyProtection="0"/>
    <xf numFmtId="0" fontId="37" fillId="0" borderId="5" applyNumberFormat="0" applyFill="0" applyAlignment="0" applyProtection="0"/>
    <xf numFmtId="0" fontId="37" fillId="0" borderId="5" applyNumberFormat="0" applyFill="0" applyAlignment="0" applyProtection="0"/>
    <xf numFmtId="0" fontId="37" fillId="0" borderId="5" applyNumberFormat="0" applyFill="0" applyAlignment="0" applyProtection="0"/>
    <xf numFmtId="0" fontId="37" fillId="0" borderId="5" applyNumberFormat="0" applyFill="0" applyAlignment="0" applyProtection="0"/>
    <xf numFmtId="0" fontId="73" fillId="0" borderId="20" applyNumberFormat="0" applyFill="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73" fillId="0" borderId="0" applyNumberFormat="0" applyFill="0" applyBorder="0" applyAlignment="0" applyProtection="0"/>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29" fillId="0" borderId="0" applyNumberFormat="0" applyFill="0" applyBorder="0" applyProtection="0">
      <alignment horizontal="justify" vertical="top" wrapText="1"/>
    </xf>
    <xf numFmtId="0" fontId="74"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76" fillId="0" borderId="0" applyNumberFormat="0" applyFill="0" applyBorder="0" applyAlignment="0" applyProtection="0">
      <alignment vertical="top"/>
      <protection locked="0"/>
    </xf>
    <xf numFmtId="0" fontId="58" fillId="54" borderId="0"/>
    <xf numFmtId="0" fontId="58" fillId="54" borderId="0"/>
    <xf numFmtId="0" fontId="41" fillId="5" borderId="6" applyNumberFormat="0" applyAlignment="0" applyProtection="0"/>
    <xf numFmtId="0" fontId="41" fillId="5" borderId="6" applyNumberFormat="0" applyAlignment="0" applyProtection="0"/>
    <xf numFmtId="0" fontId="41" fillId="5" borderId="6" applyNumberFormat="0" applyAlignment="0" applyProtection="0"/>
    <xf numFmtId="0" fontId="41" fillId="5" borderId="6" applyNumberFormat="0" applyAlignment="0" applyProtection="0"/>
    <xf numFmtId="0" fontId="77" fillId="38" borderId="13" applyNumberFormat="0" applyAlignment="0" applyProtection="0"/>
    <xf numFmtId="0" fontId="77" fillId="38" borderId="13" applyNumberFormat="0" applyAlignment="0" applyProtection="0"/>
    <xf numFmtId="0" fontId="78" fillId="55" borderId="16"/>
    <xf numFmtId="37" fontId="79" fillId="0" borderId="0" applyBorder="0" applyAlignment="0" applyProtection="0"/>
    <xf numFmtId="0" fontId="79" fillId="56" borderId="0"/>
    <xf numFmtId="41" fontId="50" fillId="0" borderId="0" applyFill="0" applyBorder="0" applyAlignment="0" applyProtection="0"/>
    <xf numFmtId="0" fontId="44" fillId="0" borderId="8" applyNumberFormat="0" applyFill="0" applyAlignment="0" applyProtection="0"/>
    <xf numFmtId="0" fontId="44" fillId="0" borderId="8" applyNumberFormat="0" applyFill="0" applyAlignment="0" applyProtection="0"/>
    <xf numFmtId="0" fontId="44" fillId="0" borderId="8" applyNumberFormat="0" applyFill="0" applyAlignment="0" applyProtection="0"/>
    <xf numFmtId="0" fontId="44" fillId="0" borderId="8" applyNumberFormat="0" applyFill="0" applyAlignment="0" applyProtection="0"/>
    <xf numFmtId="0" fontId="80" fillId="0" borderId="21" applyNumberFormat="0" applyFill="0" applyAlignment="0" applyProtection="0"/>
    <xf numFmtId="0" fontId="40" fillId="4" borderId="0" applyNumberFormat="0" applyBorder="0" applyAlignment="0" applyProtection="0"/>
    <xf numFmtId="0" fontId="40" fillId="4" borderId="0" applyNumberFormat="0" applyBorder="0" applyAlignment="0" applyProtection="0"/>
    <xf numFmtId="0" fontId="40" fillId="4" borderId="0" applyNumberFormat="0" applyBorder="0" applyAlignment="0" applyProtection="0"/>
    <xf numFmtId="0" fontId="40" fillId="4" borderId="0" applyNumberFormat="0" applyBorder="0" applyAlignment="0" applyProtection="0"/>
    <xf numFmtId="0" fontId="81" fillId="57" borderId="0" applyNumberFormat="0" applyBorder="0" applyAlignment="0" applyProtection="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9" fillId="0" borderId="0"/>
    <xf numFmtId="0" fontId="30" fillId="0" borderId="0"/>
    <xf numFmtId="0" fontId="21" fillId="0" borderId="0"/>
    <xf numFmtId="0" fontId="30" fillId="0" borderId="0"/>
    <xf numFmtId="0" fontId="30" fillId="0" borderId="0"/>
    <xf numFmtId="0" fontId="21" fillId="0" borderId="0"/>
    <xf numFmtId="0" fontId="30" fillId="0" borderId="0"/>
    <xf numFmtId="0" fontId="29"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21" fillId="0" borderId="0"/>
    <xf numFmtId="0" fontId="29" fillId="0" borderId="0"/>
    <xf numFmtId="0" fontId="21" fillId="0" borderId="0"/>
    <xf numFmtId="0" fontId="21" fillId="0" borderId="0"/>
    <xf numFmtId="0" fontId="30" fillId="0" borderId="0"/>
    <xf numFmtId="0" fontId="21" fillId="0" borderId="0"/>
    <xf numFmtId="0" fontId="30" fillId="0" borderId="0"/>
    <xf numFmtId="0" fontId="21" fillId="0" borderId="0"/>
    <xf numFmtId="0" fontId="21" fillId="0" borderId="0"/>
    <xf numFmtId="0" fontId="30" fillId="0" borderId="0"/>
    <xf numFmtId="0" fontId="30" fillId="0" borderId="0"/>
    <xf numFmtId="0" fontId="21" fillId="0" borderId="0"/>
    <xf numFmtId="0" fontId="30" fillId="0" borderId="0"/>
    <xf numFmtId="0" fontId="21" fillId="0" borderId="0"/>
    <xf numFmtId="0" fontId="21" fillId="0" borderId="0"/>
    <xf numFmtId="0" fontId="30" fillId="0" borderId="0"/>
    <xf numFmtId="0" fontId="30"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21" fillId="0" borderId="0"/>
    <xf numFmtId="0" fontId="21" fillId="0" borderId="0"/>
    <xf numFmtId="0" fontId="30" fillId="0" borderId="0"/>
    <xf numFmtId="0" fontId="29" fillId="0" borderId="0"/>
    <xf numFmtId="0" fontId="30" fillId="0" borderId="0"/>
    <xf numFmtId="0" fontId="30"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29"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30" fillId="0" borderId="0"/>
    <xf numFmtId="0" fontId="21" fillId="0" borderId="0"/>
    <xf numFmtId="0" fontId="21" fillId="0" borderId="0"/>
    <xf numFmtId="0" fontId="30" fillId="0" borderId="0"/>
    <xf numFmtId="0" fontId="29" fillId="0" borderId="0"/>
    <xf numFmtId="0" fontId="29" fillId="0" borderId="0"/>
    <xf numFmtId="0" fontId="21" fillId="0" borderId="0"/>
    <xf numFmtId="0" fontId="21" fillId="0" borderId="0"/>
    <xf numFmtId="0" fontId="30" fillId="0" borderId="0"/>
    <xf numFmtId="0" fontId="29" fillId="0" borderId="0"/>
    <xf numFmtId="0" fontId="29" fillId="0" borderId="0"/>
    <xf numFmtId="0" fontId="21"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29" fillId="0" borderId="0"/>
    <xf numFmtId="0" fontId="29" fillId="0" borderId="0"/>
    <xf numFmtId="0" fontId="29" fillId="0" borderId="0"/>
    <xf numFmtId="0" fontId="29" fillId="0" borderId="0"/>
    <xf numFmtId="0" fontId="21" fillId="0" borderId="0"/>
    <xf numFmtId="0" fontId="21" fillId="0" borderId="0"/>
    <xf numFmtId="0" fontId="29" fillId="0" borderId="0"/>
    <xf numFmtId="0" fontId="21" fillId="0" borderId="0"/>
    <xf numFmtId="0" fontId="21" fillId="0" borderId="0"/>
    <xf numFmtId="0" fontId="21" fillId="0" borderId="0"/>
    <xf numFmtId="0" fontId="29" fillId="0" borderId="0"/>
    <xf numFmtId="0" fontId="29" fillId="0" borderId="0"/>
    <xf numFmtId="0" fontId="29"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9" fillId="0" borderId="0"/>
    <xf numFmtId="0" fontId="29" fillId="0" borderId="0"/>
    <xf numFmtId="0" fontId="21" fillId="0" borderId="0"/>
    <xf numFmtId="0" fontId="29" fillId="0" borderId="0"/>
    <xf numFmtId="0" fontId="29" fillId="0" borderId="0"/>
    <xf numFmtId="0" fontId="21" fillId="0" borderId="0"/>
    <xf numFmtId="0" fontId="29" fillId="0" borderId="0"/>
    <xf numFmtId="0" fontId="29" fillId="0" borderId="0"/>
    <xf numFmtId="0" fontId="21" fillId="0" borderId="0"/>
    <xf numFmtId="0" fontId="29" fillId="0" borderId="0"/>
    <xf numFmtId="0" fontId="21" fillId="0" borderId="0"/>
    <xf numFmtId="0" fontId="59"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59" fillId="0" borderId="0"/>
    <xf numFmtId="0" fontId="59" fillId="0" borderId="0"/>
    <xf numFmtId="0" fontId="59" fillId="0" borderId="0"/>
    <xf numFmtId="0" fontId="59" fillId="0" borderId="0"/>
    <xf numFmtId="0" fontId="21" fillId="0" borderId="0"/>
    <xf numFmtId="0" fontId="21" fillId="0" borderId="0"/>
    <xf numFmtId="0" fontId="21" fillId="0" borderId="0"/>
    <xf numFmtId="0" fontId="21" fillId="0" borderId="0"/>
    <xf numFmtId="0" fontId="21" fillId="0" borderId="0"/>
    <xf numFmtId="0" fontId="21" fillId="0" borderId="0"/>
    <xf numFmtId="0" fontId="59" fillId="0" borderId="0"/>
    <xf numFmtId="0" fontId="2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30"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9" fillId="0" borderId="0"/>
    <xf numFmtId="0" fontId="30" fillId="0" borderId="0"/>
    <xf numFmtId="0" fontId="2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9" fillId="0" borderId="0"/>
    <xf numFmtId="0" fontId="29" fillId="0" borderId="0"/>
    <xf numFmtId="0" fontId="59" fillId="0" borderId="0"/>
    <xf numFmtId="0" fontId="59" fillId="0" borderId="0"/>
    <xf numFmtId="0" fontId="59"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9" fillId="0" borderId="0"/>
    <xf numFmtId="0" fontId="21" fillId="0" borderId="0"/>
    <xf numFmtId="0" fontId="21" fillId="0" borderId="0"/>
    <xf numFmtId="0" fontId="82"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9" fillId="0" borderId="0"/>
    <xf numFmtId="0" fontId="29" fillId="0" borderId="0"/>
    <xf numFmtId="0" fontId="21" fillId="0" borderId="0"/>
    <xf numFmtId="0" fontId="30"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9" fillId="0" borderId="0"/>
    <xf numFmtId="0" fontId="29"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1" fillId="0" borderId="0"/>
    <xf numFmtId="0" fontId="21" fillId="0" borderId="0"/>
    <xf numFmtId="0" fontId="29" fillId="0" borderId="0"/>
    <xf numFmtId="0" fontId="29"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1" fillId="0" borderId="0"/>
    <xf numFmtId="0" fontId="21" fillId="0" borderId="0"/>
    <xf numFmtId="0" fontId="29" fillId="0" borderId="0"/>
    <xf numFmtId="0" fontId="29"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1" fillId="0" borderId="0"/>
    <xf numFmtId="0" fontId="21" fillId="0" borderId="0"/>
    <xf numFmtId="0" fontId="21" fillId="0" borderId="0"/>
    <xf numFmtId="0" fontId="29" fillId="0" borderId="0"/>
    <xf numFmtId="0" fontId="30" fillId="0" borderId="0"/>
    <xf numFmtId="0" fontId="30" fillId="0" borderId="0"/>
    <xf numFmtId="0" fontId="30" fillId="0" borderId="0"/>
    <xf numFmtId="0" fontId="60" fillId="0" borderId="0"/>
    <xf numFmtId="0" fontId="29" fillId="0" borderId="0"/>
    <xf numFmtId="0" fontId="29" fillId="0" borderId="0"/>
    <xf numFmtId="0" fontId="61" fillId="0" borderId="0"/>
    <xf numFmtId="0" fontId="21" fillId="0" borderId="0"/>
    <xf numFmtId="0" fontId="21" fillId="0" borderId="0"/>
    <xf numFmtId="0" fontId="21" fillId="0" borderId="0"/>
    <xf numFmtId="0" fontId="63" fillId="0" borderId="0"/>
    <xf numFmtId="0" fontId="29" fillId="0" borderId="0"/>
    <xf numFmtId="0" fontId="21" fillId="0" borderId="0"/>
    <xf numFmtId="0" fontId="21" fillId="0" borderId="0"/>
    <xf numFmtId="0" fontId="21" fillId="0" borderId="0"/>
    <xf numFmtId="0" fontId="29" fillId="0" borderId="0"/>
    <xf numFmtId="0" fontId="21" fillId="0" borderId="0"/>
    <xf numFmtId="0" fontId="29" fillId="0" borderId="0"/>
    <xf numFmtId="0" fontId="21" fillId="0" borderId="0"/>
    <xf numFmtId="0" fontId="21" fillId="0" borderId="0"/>
    <xf numFmtId="0" fontId="29"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9" fillId="0" borderId="0"/>
    <xf numFmtId="0" fontId="29" fillId="0" borderId="0"/>
    <xf numFmtId="0" fontId="29" fillId="0" borderId="0"/>
    <xf numFmtId="0" fontId="30"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59" fillId="0" borderId="0"/>
    <xf numFmtId="0" fontId="30" fillId="0" borderId="0"/>
    <xf numFmtId="0" fontId="29" fillId="0" borderId="0" applyNumberFormat="0" applyFill="0" applyBorder="0" applyAlignment="0" applyProtection="0"/>
    <xf numFmtId="0" fontId="21" fillId="0" borderId="0"/>
    <xf numFmtId="0" fontId="21" fillId="0" borderId="0"/>
    <xf numFmtId="0" fontId="83" fillId="0" borderId="0"/>
    <xf numFmtId="0" fontId="21" fillId="0" borderId="0"/>
    <xf numFmtId="0" fontId="21" fillId="0" borderId="0"/>
    <xf numFmtId="0" fontId="30" fillId="0" borderId="0"/>
    <xf numFmtId="0" fontId="29" fillId="0" borderId="0"/>
    <xf numFmtId="0" fontId="29" fillId="0" borderId="0"/>
    <xf numFmtId="0" fontId="29" fillId="0" borderId="0"/>
    <xf numFmtId="0" fontId="30" fillId="0" borderId="0"/>
    <xf numFmtId="0" fontId="30" fillId="0" borderId="0"/>
    <xf numFmtId="0" fontId="21" fillId="0" borderId="0"/>
    <xf numFmtId="0" fontId="21" fillId="0" borderId="0"/>
    <xf numFmtId="0" fontId="21" fillId="0" borderId="0"/>
    <xf numFmtId="171" fontId="29" fillId="0" borderId="0"/>
    <xf numFmtId="0" fontId="21" fillId="0" borderId="0"/>
    <xf numFmtId="0" fontId="21" fillId="0" borderId="0"/>
    <xf numFmtId="0" fontId="21" fillId="0" borderId="0"/>
    <xf numFmtId="0" fontId="30" fillId="0" borderId="0"/>
    <xf numFmtId="0" fontId="29"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9" fillId="0" borderId="0"/>
    <xf numFmtId="0" fontId="59" fillId="0" borderId="0"/>
    <xf numFmtId="0" fontId="30" fillId="0" borderId="0"/>
    <xf numFmtId="0" fontId="30" fillId="0" borderId="0"/>
    <xf numFmtId="0" fontId="30" fillId="0" borderId="0"/>
    <xf numFmtId="0" fontId="29" fillId="0" borderId="0"/>
    <xf numFmtId="0" fontId="30" fillId="0" borderId="0"/>
    <xf numFmtId="0" fontId="5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9" fillId="0" borderId="0"/>
    <xf numFmtId="0" fontId="21"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30" fillId="0" borderId="0"/>
    <xf numFmtId="0" fontId="59" fillId="0" borderId="0"/>
    <xf numFmtId="0" fontId="30" fillId="0" borderId="0"/>
    <xf numFmtId="0" fontId="29" fillId="0" borderId="0"/>
    <xf numFmtId="0" fontId="29" fillId="0" borderId="0"/>
    <xf numFmtId="0" fontId="59" fillId="0" borderId="0"/>
    <xf numFmtId="0" fontId="59" fillId="0" borderId="0"/>
    <xf numFmtId="0" fontId="59" fillId="0" borderId="0"/>
    <xf numFmtId="0" fontId="59" fillId="0" borderId="0"/>
    <xf numFmtId="0" fontId="59" fillId="0" borderId="0"/>
    <xf numFmtId="0" fontId="29" fillId="0" borderId="0"/>
    <xf numFmtId="0" fontId="29" fillId="0" borderId="0"/>
    <xf numFmtId="0" fontId="29" fillId="0" borderId="0"/>
    <xf numFmtId="0" fontId="29" fillId="0" borderId="0"/>
    <xf numFmtId="0" fontId="59" fillId="0" borderId="0"/>
    <xf numFmtId="0" fontId="29" fillId="0" borderId="0"/>
    <xf numFmtId="0" fontId="2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9" fillId="0" borderId="0" applyNumberFormat="0" applyFill="0" applyBorder="0" applyAlignment="0" applyProtection="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30" fillId="0" borderId="0"/>
    <xf numFmtId="0" fontId="30"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29" fillId="0" borderId="0"/>
    <xf numFmtId="0" fontId="29" fillId="0" borderId="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applyNumberFormat="0" applyFill="0" applyBorder="0" applyAlignment="0" applyProtection="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29" fillId="0" borderId="0" applyNumberFormat="0" applyFill="0" applyBorder="0" applyAlignment="0" applyProtection="0"/>
    <xf numFmtId="0" fontId="58" fillId="0" borderId="0"/>
    <xf numFmtId="0" fontId="29"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29" fillId="0" borderId="0"/>
    <xf numFmtId="0" fontId="29" fillId="0" borderId="0"/>
    <xf numFmtId="0" fontId="30"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29" fillId="0" borderId="0"/>
    <xf numFmtId="0" fontId="84" fillId="0" borderId="0"/>
    <xf numFmtId="0" fontId="84" fillId="0" borderId="0"/>
    <xf numFmtId="0" fontId="30" fillId="0" borderId="0"/>
    <xf numFmtId="0" fontId="84" fillId="0" borderId="0"/>
    <xf numFmtId="0" fontId="84" fillId="0" borderId="0"/>
    <xf numFmtId="0" fontId="84" fillId="0" borderId="0"/>
    <xf numFmtId="0" fontId="84"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xf numFmtId="0" fontId="29" fillId="0" borderId="0"/>
    <xf numFmtId="0" fontId="29" fillId="0" borderId="0"/>
    <xf numFmtId="0" fontId="29"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29" fillId="0" borderId="0"/>
    <xf numFmtId="0" fontId="29" fillId="0" borderId="0"/>
    <xf numFmtId="0" fontId="30" fillId="0" borderId="0"/>
    <xf numFmtId="0" fontId="29"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30" fillId="0" borderId="0"/>
    <xf numFmtId="0" fontId="30" fillId="0" borderId="0"/>
    <xf numFmtId="0" fontId="29" fillId="0" borderId="0"/>
    <xf numFmtId="0" fontId="29" fillId="0" borderId="0"/>
    <xf numFmtId="0" fontId="29" fillId="0" borderId="0"/>
    <xf numFmtId="0" fontId="29" fillId="0" borderId="0"/>
    <xf numFmtId="0" fontId="30" fillId="0" borderId="0"/>
    <xf numFmtId="0" fontId="30" fillId="0" borderId="0"/>
    <xf numFmtId="0" fontId="30" fillId="0" borderId="0"/>
    <xf numFmtId="0" fontId="29" fillId="0" borderId="0" applyNumberFormat="0" applyFill="0" applyBorder="0" applyAlignment="0" applyProtection="0"/>
    <xf numFmtId="0" fontId="29" fillId="0" borderId="0"/>
    <xf numFmtId="0" fontId="29" fillId="0" borderId="0"/>
    <xf numFmtId="0" fontId="29" fillId="0" borderId="0"/>
    <xf numFmtId="0" fontId="29" fillId="0" borderId="0" applyNumberFormat="0" applyFill="0" applyBorder="0" applyAlignment="0" applyProtection="0"/>
    <xf numFmtId="0" fontId="29" fillId="0" borderId="0"/>
    <xf numFmtId="0" fontId="21"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21" fillId="0" borderId="0"/>
    <xf numFmtId="0" fontId="21" fillId="0" borderId="0"/>
    <xf numFmtId="0" fontId="21" fillId="0" borderId="0"/>
    <xf numFmtId="0" fontId="29"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9"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1" fillId="0" borderId="0"/>
    <xf numFmtId="0" fontId="29"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9"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29" fillId="0" borderId="0"/>
    <xf numFmtId="0" fontId="21" fillId="0" borderId="0"/>
    <xf numFmtId="0" fontId="21" fillId="0" borderId="0"/>
    <xf numFmtId="0" fontId="29" fillId="0" borderId="0"/>
    <xf numFmtId="0" fontId="29" fillId="0" borderId="0"/>
    <xf numFmtId="0" fontId="21" fillId="0" borderId="0"/>
    <xf numFmtId="0" fontId="29" fillId="0" borderId="0"/>
    <xf numFmtId="0" fontId="29" fillId="0" borderId="0"/>
    <xf numFmtId="0" fontId="21" fillId="0" borderId="0"/>
    <xf numFmtId="0" fontId="29" fillId="0" borderId="0"/>
    <xf numFmtId="0" fontId="29"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9" fillId="0" borderId="0"/>
    <xf numFmtId="0" fontId="29" fillId="0" borderId="0"/>
    <xf numFmtId="0" fontId="59" fillId="0" borderId="0"/>
    <xf numFmtId="0" fontId="59" fillId="0" borderId="0"/>
    <xf numFmtId="0" fontId="59" fillId="0" borderId="0"/>
    <xf numFmtId="0" fontId="59" fillId="0" borderId="0"/>
    <xf numFmtId="0" fontId="59" fillId="0" borderId="0"/>
    <xf numFmtId="0" fontId="29" fillId="0" borderId="0"/>
    <xf numFmtId="0" fontId="29" fillId="0" borderId="0"/>
    <xf numFmtId="0" fontId="29" fillId="0" borderId="0"/>
    <xf numFmtId="0" fontId="59" fillId="0" borderId="0"/>
    <xf numFmtId="0" fontId="5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29" fillId="0" borderId="0" applyNumberFormat="0" applyFill="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9" fillId="0" borderId="0"/>
    <xf numFmtId="0" fontId="29" fillId="0" borderId="0"/>
    <xf numFmtId="0" fontId="30" fillId="0" borderId="0"/>
    <xf numFmtId="0" fontId="30" fillId="0" borderId="0"/>
    <xf numFmtId="0" fontId="30" fillId="0" borderId="0"/>
    <xf numFmtId="0" fontId="29"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1" fillId="0" borderId="0"/>
    <xf numFmtId="0" fontId="21" fillId="0" borderId="0"/>
    <xf numFmtId="0" fontId="30" fillId="0" borderId="0"/>
    <xf numFmtId="0" fontId="29" fillId="0" borderId="0"/>
    <xf numFmtId="0" fontId="29" fillId="0" borderId="0"/>
    <xf numFmtId="0" fontId="59" fillId="0" borderId="0"/>
    <xf numFmtId="0" fontId="29" fillId="0" borderId="0"/>
    <xf numFmtId="0" fontId="29" fillId="0" borderId="0"/>
    <xf numFmtId="0" fontId="29" fillId="0" borderId="0"/>
    <xf numFmtId="0" fontId="29" fillId="0" borderId="0"/>
    <xf numFmtId="0" fontId="29" fillId="0" borderId="0"/>
    <xf numFmtId="0" fontId="29" fillId="0" borderId="0" applyNumberFormat="0" applyFill="0" applyBorder="0" applyAlignment="0" applyProtection="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37" fontId="29" fillId="0" borderId="0" applyFill="0" applyBorder="0" applyAlignment="0" applyProtection="0"/>
    <xf numFmtId="37" fontId="29" fillId="0" borderId="0" applyFill="0" applyBorder="0" applyProtection="0"/>
    <xf numFmtId="37" fontId="29" fillId="0" borderId="0" applyBorder="0" applyAlignment="0" applyProtection="0"/>
    <xf numFmtId="0" fontId="57"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1" fillId="8" borderId="10" applyNumberFormat="0" applyFont="0" applyAlignment="0" applyProtection="0"/>
    <xf numFmtId="0" fontId="29" fillId="58" borderId="22" applyNumberFormat="0" applyFont="0" applyAlignment="0" applyProtection="0"/>
    <xf numFmtId="0" fontId="42" fillId="6" borderId="7" applyNumberFormat="0" applyAlignment="0" applyProtection="0"/>
    <xf numFmtId="0" fontId="42" fillId="6" borderId="7" applyNumberFormat="0" applyAlignment="0" applyProtection="0"/>
    <xf numFmtId="0" fontId="42" fillId="6" borderId="7" applyNumberFormat="0" applyAlignment="0" applyProtection="0"/>
    <xf numFmtId="0" fontId="42" fillId="6" borderId="7" applyNumberFormat="0" applyAlignment="0" applyProtection="0"/>
    <xf numFmtId="0" fontId="85" fillId="51" borderId="23" applyNumberFormat="0" applyAlignment="0" applyProtection="0"/>
    <xf numFmtId="0" fontId="85" fillId="51" borderId="23" applyNumberFormat="0" applyAlignment="0" applyProtection="0"/>
    <xf numFmtId="40" fontId="86" fillId="54" borderId="0">
      <alignment horizontal="right"/>
    </xf>
    <xf numFmtId="0" fontId="87" fillId="54" borderId="0">
      <alignment horizontal="right"/>
    </xf>
    <xf numFmtId="0" fontId="88" fillId="54" borderId="24"/>
    <xf numFmtId="0" fontId="88" fillId="0" borderId="0" applyBorder="0">
      <alignment horizontal="centerContinuous"/>
    </xf>
    <xf numFmtId="0" fontId="89" fillId="0" borderId="0" applyBorder="0">
      <alignment horizontal="centerContinuous"/>
    </xf>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59" fillId="0" borderId="0" applyFont="0" applyFill="0" applyBorder="0" applyAlignment="0" applyProtection="0"/>
    <xf numFmtId="9" fontId="5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9" fillId="0" borderId="0" applyFont="0" applyFill="0" applyBorder="0" applyAlignment="0" applyProtection="0"/>
    <xf numFmtId="9" fontId="59" fillId="0" borderId="0" applyFont="0" applyFill="0" applyBorder="0" applyAlignment="0" applyProtection="0"/>
    <xf numFmtId="9" fontId="30" fillId="0" borderId="0" applyFont="0" applyFill="0" applyBorder="0" applyAlignment="0" applyProtection="0"/>
    <xf numFmtId="9" fontId="59" fillId="0" borderId="0" applyFont="0" applyFill="0" applyBorder="0" applyAlignment="0" applyProtection="0"/>
    <xf numFmtId="9" fontId="5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8"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30" fillId="0" borderId="0" applyFont="0" applyFill="0" applyBorder="0" applyAlignment="0" applyProtection="0"/>
    <xf numFmtId="9" fontId="9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3" fontId="62" fillId="0" borderId="1" applyFill="0" applyProtection="0">
      <alignment horizontal="center" vertical="center" wrapText="1"/>
    </xf>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57"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83" fillId="0" borderId="0" applyFont="0" applyFill="0" applyBorder="0" applyAlignment="0" applyProtection="0"/>
    <xf numFmtId="9" fontId="29"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9" fillId="0" borderId="0" applyFont="0" applyFill="0" applyBorder="0" applyAlignment="0" applyProtection="0"/>
    <xf numFmtId="9" fontId="57" fillId="0" borderId="0" applyFont="0" applyFill="0" applyBorder="0" applyAlignment="0" applyProtection="0"/>
    <xf numFmtId="9" fontId="59"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60" fillId="0" borderId="0" applyFont="0" applyFill="0" applyBorder="0" applyAlignment="0" applyProtection="0"/>
    <xf numFmtId="9" fontId="61" fillId="0" borderId="0" applyFont="0" applyFill="0" applyBorder="0" applyAlignment="0" applyProtection="0"/>
    <xf numFmtId="9" fontId="21" fillId="0" borderId="0" applyFont="0" applyFill="0" applyBorder="0" applyAlignment="0" applyProtection="0"/>
    <xf numFmtId="9" fontId="6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5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82"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59" fillId="0" borderId="0" applyFont="0" applyFill="0" applyBorder="0" applyAlignment="0" applyProtection="0"/>
    <xf numFmtId="37" fontId="79" fillId="0" borderId="0" applyNumberFormat="0" applyBorder="0" applyAlignment="0"/>
    <xf numFmtId="0" fontId="91" fillId="0" borderId="0" applyNumberFormat="0" applyFont="0" applyFill="0" applyBorder="0" applyAlignment="0" applyProtection="0">
      <alignment horizontal="left"/>
    </xf>
    <xf numFmtId="15" fontId="91" fillId="0" borderId="0" applyFont="0" applyFill="0" applyBorder="0" applyAlignment="0" applyProtection="0"/>
    <xf numFmtId="4" fontId="91" fillId="0" borderId="0" applyFont="0" applyFill="0" applyBorder="0" applyAlignment="0" applyProtection="0"/>
    <xf numFmtId="0" fontId="92" fillId="0" borderId="1">
      <alignment horizontal="center"/>
    </xf>
    <xf numFmtId="3" fontId="91" fillId="0" borderId="0" applyFont="0" applyFill="0" applyBorder="0" applyAlignment="0" applyProtection="0"/>
    <xf numFmtId="0" fontId="91" fillId="59" borderId="0" applyNumberFormat="0" applyFont="0" applyBorder="0" applyAlignment="0" applyProtection="0"/>
    <xf numFmtId="0" fontId="93" fillId="0" borderId="25"/>
    <xf numFmtId="0" fontId="64" fillId="0" borderId="0"/>
    <xf numFmtId="0" fontId="64" fillId="0" borderId="0"/>
    <xf numFmtId="49" fontId="29" fillId="0" borderId="0">
      <alignment horizontal="left" wrapText="1"/>
    </xf>
    <xf numFmtId="0" fontId="94" fillId="60" borderId="0" applyNumberFormat="0" applyBorder="0" applyAlignment="0" applyProtection="0"/>
    <xf numFmtId="0" fontId="94" fillId="60" borderId="0" applyNumberFormat="0" applyBorder="0" applyAlignment="0" applyProtection="0"/>
    <xf numFmtId="0" fontId="94" fillId="60" borderId="0" applyNumberFormat="0" applyBorder="0" applyAlignment="0" applyProtection="0"/>
    <xf numFmtId="0" fontId="94" fillId="60" borderId="0" applyNumberFormat="0" applyBorder="0" applyAlignment="0" applyProtection="0"/>
    <xf numFmtId="0" fontId="94" fillId="60" borderId="0" applyNumberFormat="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95" fillId="60" borderId="0" applyNumberFormat="0" applyBorder="0" applyAlignment="0" applyProtection="0"/>
    <xf numFmtId="0" fontId="95" fillId="60" borderId="0" applyNumberFormat="0" applyBorder="0" applyAlignment="0" applyProtection="0"/>
    <xf numFmtId="0" fontId="95" fillId="60" borderId="0" applyNumberFormat="0" applyBorder="0" applyAlignment="0" applyProtection="0"/>
    <xf numFmtId="0" fontId="95" fillId="60" borderId="0" applyNumberFormat="0" applyBorder="0" applyAlignment="0" applyProtection="0"/>
    <xf numFmtId="0" fontId="95" fillId="60" borderId="0" applyNumberFormat="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xf numFmtId="0" fontId="55" fillId="61" borderId="0" applyNumberFormat="0" applyBorder="0" applyAlignment="0" applyProtection="0">
      <alignment wrapText="1"/>
    </xf>
    <xf numFmtId="0" fontId="55" fillId="61" borderId="0" applyNumberFormat="0" applyBorder="0" applyAlignment="0" applyProtection="0"/>
    <xf numFmtId="0" fontId="55" fillId="61" borderId="0" applyNumberFormat="0" applyBorder="0" applyProtection="0">
      <alignment horizontal="center"/>
    </xf>
    <xf numFmtId="0" fontId="55" fillId="61" borderId="0" applyNumberFormat="0" applyBorder="0" applyProtection="0">
      <alignment horizontal="center"/>
    </xf>
    <xf numFmtId="0" fontId="55" fillId="61" borderId="0" applyNumberFormat="0" applyBorder="0" applyProtection="0">
      <alignment horizontal="center"/>
    </xf>
    <xf numFmtId="0" fontId="55" fillId="61" borderId="0" applyNumberFormat="0" applyBorder="0" applyProtection="0">
      <alignment horizontal="center"/>
    </xf>
    <xf numFmtId="0" fontId="55" fillId="61" borderId="0" applyNumberFormat="0" applyBorder="0" applyProtection="0">
      <alignment horizontal="center"/>
    </xf>
    <xf numFmtId="0" fontId="96" fillId="61" borderId="0" applyNumberFormat="0" applyBorder="0" applyAlignment="0" applyProtection="0"/>
    <xf numFmtId="0" fontId="96" fillId="61" borderId="0" applyNumberFormat="0" applyBorder="0" applyAlignment="0" applyProtection="0"/>
    <xf numFmtId="0" fontId="96" fillId="61" borderId="0" applyNumberFormat="0" applyBorder="0" applyAlignment="0" applyProtection="0"/>
    <xf numFmtId="0" fontId="96" fillId="61" borderId="0" applyNumberFormat="0" applyBorder="0" applyAlignment="0" applyProtection="0"/>
    <xf numFmtId="0" fontId="96" fillId="61" borderId="0" applyNumberFormat="0" applyBorder="0" applyAlignment="0" applyProtection="0"/>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righ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29" fillId="0" borderId="0" applyNumberFormat="0" applyFont="0" applyFill="0" applyBorder="0" applyProtection="0">
      <alignment horizontal="left"/>
    </xf>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0" fontId="29" fillId="62" borderId="0" applyNumberFormat="0" applyFont="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17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2"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173" fontId="29" fillId="0" borderId="0" applyFont="0" applyFill="0" applyBorder="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29" fillId="0" borderId="1" applyNumberFormat="0" applyFont="0" applyFill="0" applyAlignment="0" applyProtection="0"/>
    <xf numFmtId="0" fontId="98" fillId="0" borderId="26"/>
    <xf numFmtId="0" fontId="64" fillId="0" borderId="16"/>
    <xf numFmtId="0" fontId="64" fillId="0" borderId="16"/>
    <xf numFmtId="37" fontId="99" fillId="0" borderId="0">
      <alignment horizontal="left"/>
    </xf>
    <xf numFmtId="37" fontId="29" fillId="0" borderId="0">
      <alignment horizontal="left" indent="1"/>
    </xf>
    <xf numFmtId="37" fontId="29" fillId="0" borderId="0">
      <alignment horizontal="left" indent="2"/>
    </xf>
    <xf numFmtId="37" fontId="29" fillId="0" borderId="0">
      <alignment horizontal="left" indent="3"/>
    </xf>
    <xf numFmtId="37" fontId="99" fillId="0" borderId="0">
      <alignment horizontal="left"/>
    </xf>
    <xf numFmtId="37" fontId="99" fillId="0" borderId="0">
      <alignment horizontal="left" indent="1"/>
    </xf>
    <xf numFmtId="49" fontId="30" fillId="0" borderId="0">
      <alignment horizontal="left" vertical="center" wrapText="1" indent="1"/>
    </xf>
    <xf numFmtId="0" fontId="100" fillId="0" borderId="0" applyAlignment="0"/>
    <xf numFmtId="0" fontId="29" fillId="0" borderId="0"/>
    <xf numFmtId="0" fontId="101" fillId="63" borderId="0"/>
    <xf numFmtId="0" fontId="101" fillId="63" borderId="0"/>
    <xf numFmtId="0" fontId="102"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3" fillId="0" borderId="0">
      <alignment horizontal="left" vertical="center"/>
    </xf>
    <xf numFmtId="0" fontId="48" fillId="0" borderId="11" applyNumberFormat="0" applyFill="0" applyAlignment="0" applyProtection="0"/>
    <xf numFmtId="0" fontId="48" fillId="0" borderId="11" applyNumberFormat="0" applyFill="0" applyAlignment="0" applyProtection="0"/>
    <xf numFmtId="0" fontId="48" fillId="0" borderId="11" applyNumberFormat="0" applyFill="0" applyAlignment="0" applyProtection="0"/>
    <xf numFmtId="0" fontId="48" fillId="0" borderId="11" applyNumberFormat="0" applyFill="0" applyAlignment="0" applyProtection="0"/>
    <xf numFmtId="0" fontId="104" fillId="0" borderId="27" applyNumberFormat="0" applyFill="0" applyAlignment="0" applyProtection="0"/>
    <xf numFmtId="0" fontId="104" fillId="0" borderId="27" applyNumberFormat="0" applyFill="0" applyAlignment="0" applyProtection="0"/>
    <xf numFmtId="0" fontId="78" fillId="0" borderId="28"/>
    <xf numFmtId="0" fontId="78" fillId="0" borderId="28"/>
    <xf numFmtId="0" fontId="78" fillId="0" borderId="16"/>
    <xf numFmtId="0" fontId="78" fillId="0" borderId="16"/>
    <xf numFmtId="174" fontId="105" fillId="0" borderId="0"/>
    <xf numFmtId="39" fontId="65" fillId="0" borderId="29"/>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106" fillId="0" borderId="0" applyNumberFormat="0" applyFill="0" applyBorder="0" applyAlignment="0" applyProtection="0"/>
    <xf numFmtId="0" fontId="20" fillId="0" borderId="0"/>
    <xf numFmtId="9" fontId="20" fillId="0" borderId="0" applyFont="0" applyFill="0" applyBorder="0" applyAlignment="0" applyProtection="0"/>
    <xf numFmtId="0" fontId="19" fillId="0" borderId="0"/>
    <xf numFmtId="9" fontId="18"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0" fontId="16" fillId="0" borderId="0"/>
    <xf numFmtId="9" fontId="16"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4" fillId="0" borderId="0" applyFont="0" applyFill="0" applyBorder="0" applyAlignment="0" applyProtection="0"/>
    <xf numFmtId="0" fontId="108" fillId="0" borderId="0"/>
    <xf numFmtId="0" fontId="30" fillId="0" borderId="0"/>
    <xf numFmtId="0" fontId="13" fillId="0" borderId="0"/>
    <xf numFmtId="9" fontId="13" fillId="0" borderId="0" applyFont="0" applyFill="0" applyBorder="0" applyAlignment="0" applyProtection="0"/>
    <xf numFmtId="0" fontId="30" fillId="0" borderId="0"/>
    <xf numFmtId="0" fontId="13" fillId="0" borderId="0"/>
    <xf numFmtId="9" fontId="13" fillId="0" borderId="0" applyFont="0" applyFill="0" applyBorder="0" applyAlignment="0" applyProtection="0"/>
    <xf numFmtId="44" fontId="13" fillId="0" borderId="0" applyFont="0" applyFill="0" applyBorder="0" applyAlignment="0" applyProtection="0"/>
    <xf numFmtId="43" fontId="13" fillId="0" borderId="0" applyFont="0" applyFill="0" applyBorder="0" applyAlignment="0" applyProtection="0"/>
    <xf numFmtId="0" fontId="29" fillId="0" borderId="0"/>
    <xf numFmtId="0" fontId="30" fillId="0" borderId="0"/>
    <xf numFmtId="0" fontId="30" fillId="0" borderId="0"/>
    <xf numFmtId="9" fontId="13" fillId="0" borderId="0" applyFont="0" applyFill="0" applyBorder="0" applyAlignment="0" applyProtection="0"/>
    <xf numFmtId="9" fontId="13" fillId="0" borderId="0" applyFont="0" applyFill="0" applyBorder="0" applyAlignment="0" applyProtection="0"/>
    <xf numFmtId="0" fontId="13" fillId="0" borderId="0"/>
    <xf numFmtId="0" fontId="110" fillId="0" borderId="0"/>
    <xf numFmtId="9" fontId="13" fillId="0" borderId="0" applyFont="0" applyFill="0" applyBorder="0" applyAlignment="0" applyProtection="0"/>
    <xf numFmtId="43" fontId="13" fillId="0" borderId="0" applyFont="0" applyFill="0" applyBorder="0" applyAlignment="0" applyProtection="0"/>
    <xf numFmtId="9" fontId="13" fillId="0" borderId="0" applyFont="0" applyFill="0" applyBorder="0" applyAlignment="0" applyProtection="0"/>
    <xf numFmtId="0" fontId="30" fillId="0" borderId="0"/>
    <xf numFmtId="0" fontId="30" fillId="0" borderId="0"/>
    <xf numFmtId="9" fontId="13" fillId="0" borderId="0" applyFont="0" applyFill="0" applyBorder="0" applyAlignment="0" applyProtection="0"/>
    <xf numFmtId="0" fontId="30" fillId="0" borderId="0"/>
    <xf numFmtId="9" fontId="12"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9" fontId="63" fillId="0" borderId="0" applyFont="0" applyFill="0" applyBorder="0" applyAlignment="0" applyProtection="0"/>
    <xf numFmtId="9" fontId="11" fillId="0" borderId="0" applyFont="0" applyFill="0" applyBorder="0" applyAlignment="0" applyProtection="0"/>
    <xf numFmtId="0" fontId="11" fillId="0" borderId="0"/>
    <xf numFmtId="9" fontId="11" fillId="0" borderId="0" applyFont="0" applyFill="0" applyBorder="0" applyAlignment="0" applyProtection="0"/>
    <xf numFmtId="9" fontId="10" fillId="0" borderId="0" applyFont="0" applyFill="0" applyBorder="0" applyAlignment="0" applyProtection="0"/>
    <xf numFmtId="0" fontId="9" fillId="0" borderId="0"/>
    <xf numFmtId="9" fontId="9" fillId="0" borderId="0" applyFont="0" applyFill="0" applyBorder="0" applyAlignment="0" applyProtection="0"/>
    <xf numFmtId="0" fontId="8" fillId="0" borderId="0"/>
    <xf numFmtId="0" fontId="8" fillId="0" borderId="0"/>
    <xf numFmtId="0" fontId="30" fillId="0" borderId="0"/>
    <xf numFmtId="9" fontId="8" fillId="0" borderId="0" applyFont="0" applyFill="0" applyBorder="0" applyAlignment="0" applyProtection="0"/>
    <xf numFmtId="44" fontId="8" fillId="0" borderId="0" applyFont="0" applyFill="0" applyBorder="0" applyAlignment="0" applyProtection="0"/>
    <xf numFmtId="43" fontId="8" fillId="0" borderId="0" applyFont="0" applyFill="0" applyBorder="0" applyAlignment="0" applyProtection="0"/>
    <xf numFmtId="9" fontId="7" fillId="0" borderId="0" applyFont="0" applyFill="0" applyBorder="0" applyAlignment="0" applyProtection="0"/>
    <xf numFmtId="0" fontId="7" fillId="0" borderId="0"/>
    <xf numFmtId="9" fontId="7"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44" fontId="6" fillId="0" borderId="0" applyFont="0" applyFill="0" applyBorder="0" applyAlignment="0" applyProtection="0"/>
    <xf numFmtId="43" fontId="6" fillId="0" borderId="0" applyFont="0" applyFill="0" applyBorder="0" applyAlignment="0" applyProtection="0"/>
    <xf numFmtId="0" fontId="5" fillId="0" borderId="0"/>
    <xf numFmtId="44" fontId="5" fillId="0" borderId="0" applyFont="0" applyFill="0" applyBorder="0" applyAlignment="0" applyProtection="0"/>
    <xf numFmtId="9"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5" fillId="0" borderId="0"/>
    <xf numFmtId="0" fontId="4" fillId="0" borderId="0"/>
    <xf numFmtId="9" fontId="4" fillId="0" borderId="0" applyFont="0" applyFill="0" applyBorder="0" applyAlignment="0" applyProtection="0"/>
    <xf numFmtId="0" fontId="4" fillId="0" borderId="0"/>
    <xf numFmtId="0" fontId="3" fillId="0" borderId="0"/>
    <xf numFmtId="9" fontId="3"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0" fontId="30" fillId="0" borderId="0"/>
    <xf numFmtId="184" fontId="29" fillId="0" borderId="0" applyNumberFormat="0" applyFill="0" applyBorder="0" applyAlignment="0" applyProtection="0"/>
    <xf numFmtId="184" fontId="29" fillId="0" borderId="0"/>
    <xf numFmtId="187" fontId="29" fillId="0" borderId="0" applyNumberFormat="0" applyFill="0" applyBorder="0" applyAlignment="0" applyProtection="0"/>
    <xf numFmtId="184" fontId="29" fillId="0" borderId="0"/>
  </cellStyleXfs>
  <cellXfs count="786">
    <xf numFmtId="0" fontId="0" fillId="0" borderId="0" xfId="0"/>
    <xf numFmtId="0" fontId="28" fillId="0" borderId="0" xfId="0" applyFont="1"/>
    <xf numFmtId="0" fontId="0" fillId="0" borderId="0" xfId="0" applyFont="1"/>
    <xf numFmtId="0" fontId="29" fillId="0" borderId="0" xfId="0" applyFont="1"/>
    <xf numFmtId="0" fontId="29" fillId="0" borderId="0" xfId="0" applyFont="1" applyFill="1"/>
    <xf numFmtId="0" fontId="29" fillId="0" borderId="0" xfId="0" applyFont="1" applyFill="1" applyBorder="1" applyAlignment="1">
      <alignment horizontal="center"/>
    </xf>
    <xf numFmtId="0" fontId="29" fillId="0" borderId="0" xfId="0" applyFont="1" applyFill="1" applyBorder="1"/>
    <xf numFmtId="0" fontId="29" fillId="0" borderId="0" xfId="0" applyFont="1" applyFill="1" applyBorder="1" applyAlignment="1">
      <alignment horizontal="left"/>
    </xf>
    <xf numFmtId="0" fontId="0" fillId="0" borderId="0" xfId="0" applyFill="1"/>
    <xf numFmtId="0" fontId="29" fillId="0" borderId="0" xfId="0" quotePrefix="1" applyFont="1" applyFill="1"/>
    <xf numFmtId="164" fontId="29" fillId="0" borderId="0" xfId="0" applyNumberFormat="1" applyFont="1" applyFill="1" applyBorder="1" applyAlignment="1">
      <alignment horizontal="center"/>
    </xf>
    <xf numFmtId="10" fontId="29" fillId="0" borderId="0" xfId="0" applyNumberFormat="1" applyFont="1" applyFill="1" applyBorder="1" applyAlignment="1">
      <alignment horizontal="center"/>
    </xf>
    <xf numFmtId="10" fontId="0" fillId="0" borderId="0" xfId="0" applyNumberFormat="1"/>
    <xf numFmtId="10" fontId="28" fillId="0" borderId="0" xfId="0" applyNumberFormat="1" applyFont="1" applyFill="1" applyAlignment="1">
      <alignment horizontal="center"/>
    </xf>
    <xf numFmtId="0" fontId="28" fillId="0" borderId="0" xfId="0" applyFont="1" applyFill="1"/>
    <xf numFmtId="0" fontId="0" fillId="0" borderId="0" xfId="0" applyFill="1" applyBorder="1" applyAlignment="1">
      <alignment horizontal="center"/>
    </xf>
    <xf numFmtId="0" fontId="28" fillId="0" borderId="15" xfId="0" applyFont="1" applyBorder="1"/>
    <xf numFmtId="165" fontId="29" fillId="0" borderId="0" xfId="0" applyNumberFormat="1" applyFont="1" applyFill="1" applyAlignment="1">
      <alignment horizontal="center"/>
    </xf>
    <xf numFmtId="0" fontId="29" fillId="0" borderId="0" xfId="0" applyFont="1" applyBorder="1"/>
    <xf numFmtId="0" fontId="29" fillId="0" borderId="15" xfId="0" applyFont="1" applyBorder="1"/>
    <xf numFmtId="10" fontId="29" fillId="0" borderId="0" xfId="9379" applyNumberFormat="1" applyFont="1" applyFill="1" applyBorder="1" applyAlignment="1">
      <alignment horizontal="center"/>
    </xf>
    <xf numFmtId="0" fontId="29" fillId="0" borderId="31" xfId="0" applyFont="1" applyFill="1" applyBorder="1"/>
    <xf numFmtId="164" fontId="0" fillId="0" borderId="0" xfId="0" applyNumberFormat="1"/>
    <xf numFmtId="0" fontId="29" fillId="0" borderId="15" xfId="0" applyFont="1" applyFill="1" applyBorder="1"/>
    <xf numFmtId="10" fontId="29" fillId="0" borderId="0" xfId="1" applyNumberFormat="1" applyFont="1" applyFill="1" applyBorder="1" applyAlignment="1">
      <alignment horizontal="center"/>
    </xf>
    <xf numFmtId="0" fontId="0" fillId="0" borderId="0" xfId="0" applyBorder="1"/>
    <xf numFmtId="0" fontId="29" fillId="0" borderId="0" xfId="9388" applyFont="1"/>
    <xf numFmtId="0" fontId="29" fillId="0" borderId="0" xfId="9388" applyFont="1" applyBorder="1"/>
    <xf numFmtId="0" fontId="29" fillId="0" borderId="0" xfId="9388" applyFont="1" applyFill="1" applyBorder="1" applyAlignment="1">
      <alignment horizontal="center"/>
    </xf>
    <xf numFmtId="0" fontId="29" fillId="0" borderId="0" xfId="9388" applyFont="1" applyAlignment="1">
      <alignment horizontal="center"/>
    </xf>
    <xf numFmtId="0" fontId="29" fillId="0" borderId="31" xfId="9388" applyFont="1" applyBorder="1" applyAlignment="1">
      <alignment horizontal="center"/>
    </xf>
    <xf numFmtId="0" fontId="29" fillId="0" borderId="43" xfId="9388" applyFont="1" applyBorder="1" applyAlignment="1">
      <alignment horizontal="center"/>
    </xf>
    <xf numFmtId="0" fontId="29" fillId="0" borderId="43" xfId="9388" applyFont="1" applyBorder="1"/>
    <xf numFmtId="0" fontId="29" fillId="0" borderId="0" xfId="9388" applyFont="1" applyFill="1" applyBorder="1"/>
    <xf numFmtId="10" fontId="0" fillId="0" borderId="0" xfId="1" applyNumberFormat="1" applyFont="1"/>
    <xf numFmtId="0" fontId="30" fillId="0" borderId="43" xfId="9388" applyBorder="1" applyAlignment="1">
      <alignment horizontal="center"/>
    </xf>
    <xf numFmtId="0" fontId="30" fillId="0" borderId="43" xfId="9388" applyBorder="1" applyAlignment="1">
      <alignment horizontal="center" wrapText="1"/>
    </xf>
    <xf numFmtId="0" fontId="29" fillId="0" borderId="31" xfId="0" applyFont="1" applyFill="1" applyBorder="1" applyAlignment="1">
      <alignment horizontal="center"/>
    </xf>
    <xf numFmtId="0" fontId="29" fillId="0" borderId="31" xfId="9388" applyFont="1" applyFill="1" applyBorder="1" applyAlignment="1">
      <alignment horizontal="center"/>
    </xf>
    <xf numFmtId="14" fontId="29" fillId="0" borderId="0" xfId="9388" applyNumberFormat="1" applyFont="1" applyAlignment="1">
      <alignment horizontal="center"/>
    </xf>
    <xf numFmtId="10" fontId="29" fillId="0" borderId="0" xfId="7610" applyNumberFormat="1" applyFont="1" applyBorder="1" applyAlignment="1">
      <alignment horizontal="center"/>
    </xf>
    <xf numFmtId="10" fontId="29" fillId="0" borderId="0" xfId="13" applyNumberFormat="1" applyAlignment="1">
      <alignment horizontal="center"/>
    </xf>
    <xf numFmtId="0" fontId="29" fillId="0" borderId="0" xfId="3162"/>
    <xf numFmtId="10" fontId="29" fillId="0" borderId="15" xfId="7610" applyNumberFormat="1" applyFont="1" applyBorder="1" applyAlignment="1">
      <alignment horizontal="center"/>
    </xf>
    <xf numFmtId="0" fontId="30" fillId="0" borderId="0" xfId="7147" applyAlignment="1">
      <alignment horizontal="center"/>
    </xf>
    <xf numFmtId="0" fontId="109" fillId="65" borderId="0" xfId="9396" applyFont="1" applyFill="1" applyAlignment="1">
      <alignment horizontal="center" vertical="center" wrapText="1"/>
    </xf>
    <xf numFmtId="0" fontId="109" fillId="65" borderId="0" xfId="9396" applyFont="1" applyFill="1" applyAlignment="1">
      <alignment horizontal="right" vertical="center"/>
    </xf>
    <xf numFmtId="173" fontId="109" fillId="65" borderId="0" xfId="9396" applyNumberFormat="1" applyFont="1" applyFill="1" applyAlignment="1">
      <alignment horizontal="center" vertical="center" wrapText="1"/>
    </xf>
    <xf numFmtId="10" fontId="109" fillId="65" borderId="0" xfId="9396" applyNumberFormat="1" applyFont="1" applyFill="1" applyAlignment="1">
      <alignment horizontal="right" vertical="center"/>
    </xf>
    <xf numFmtId="0" fontId="30" fillId="0" borderId="0" xfId="9388"/>
    <xf numFmtId="0" fontId="30" fillId="0" borderId="0" xfId="9388" applyAlignment="1">
      <alignment horizontal="center"/>
    </xf>
    <xf numFmtId="0" fontId="29" fillId="0" borderId="43" xfId="9388" applyFont="1" applyBorder="1" applyAlignment="1">
      <alignment horizontal="center" wrapText="1"/>
    </xf>
    <xf numFmtId="0" fontId="107" fillId="0" borderId="0" xfId="9388" applyFont="1"/>
    <xf numFmtId="10" fontId="107" fillId="0" borderId="0" xfId="9388" applyNumberFormat="1" applyFont="1" applyAlignment="1">
      <alignment horizontal="center"/>
    </xf>
    <xf numFmtId="0" fontId="30" fillId="0" borderId="15" xfId="9388" applyBorder="1"/>
    <xf numFmtId="4" fontId="29" fillId="0" borderId="15" xfId="9388" applyNumberFormat="1" applyFont="1" applyBorder="1" applyAlignment="1">
      <alignment horizontal="center"/>
    </xf>
    <xf numFmtId="10" fontId="29" fillId="0" borderId="15" xfId="9393" applyNumberFormat="1" applyFont="1" applyBorder="1" applyAlignment="1">
      <alignment horizontal="center"/>
    </xf>
    <xf numFmtId="10" fontId="30" fillId="0" borderId="0" xfId="9388" applyNumberFormat="1" applyBorder="1" applyAlignment="1">
      <alignment horizontal="center"/>
    </xf>
    <xf numFmtId="4" fontId="29" fillId="0" borderId="0" xfId="9388" applyNumberFormat="1" applyFont="1" applyBorder="1" applyAlignment="1">
      <alignment horizontal="center"/>
    </xf>
    <xf numFmtId="10" fontId="30" fillId="0" borderId="0" xfId="7610" applyNumberFormat="1" applyFont="1" applyBorder="1" applyAlignment="1">
      <alignment horizontal="center"/>
    </xf>
    <xf numFmtId="10" fontId="29" fillId="0" borderId="0" xfId="9393" applyNumberFormat="1" applyFont="1" applyBorder="1" applyAlignment="1">
      <alignment horizontal="center"/>
    </xf>
    <xf numFmtId="0" fontId="29" fillId="0" borderId="15" xfId="9388" applyFont="1" applyBorder="1"/>
    <xf numFmtId="10" fontId="30" fillId="0" borderId="15" xfId="9388" applyNumberFormat="1" applyBorder="1" applyAlignment="1">
      <alignment horizontal="center"/>
    </xf>
    <xf numFmtId="10" fontId="30" fillId="0" borderId="15" xfId="7610" applyNumberFormat="1" applyFont="1" applyBorder="1" applyAlignment="1">
      <alignment horizontal="center"/>
    </xf>
    <xf numFmtId="0" fontId="30" fillId="0" borderId="0" xfId="9388" applyBorder="1" applyAlignment="1">
      <alignment horizontal="left"/>
    </xf>
    <xf numFmtId="10" fontId="30" fillId="0" borderId="0" xfId="1" applyNumberFormat="1" applyFont="1" applyBorder="1" applyAlignment="1">
      <alignment horizontal="center" wrapText="1"/>
    </xf>
    <xf numFmtId="10" fontId="30" fillId="0" borderId="0" xfId="9388" applyNumberFormat="1" applyBorder="1" applyAlignment="1">
      <alignment horizontal="center" wrapText="1"/>
    </xf>
    <xf numFmtId="10" fontId="29" fillId="0" borderId="0" xfId="9388" applyNumberFormat="1" applyFont="1" applyBorder="1" applyAlignment="1">
      <alignment horizontal="center" wrapText="1"/>
    </xf>
    <xf numFmtId="0" fontId="30" fillId="0" borderId="15" xfId="9388" applyBorder="1" applyAlignment="1">
      <alignment horizontal="left"/>
    </xf>
    <xf numFmtId="10" fontId="30" fillId="0" borderId="15" xfId="9388" applyNumberFormat="1" applyBorder="1" applyAlignment="1">
      <alignment horizontal="center" wrapText="1"/>
    </xf>
    <xf numFmtId="10" fontId="29" fillId="0" borderId="15" xfId="9388" applyNumberFormat="1" applyFont="1" applyBorder="1" applyAlignment="1">
      <alignment horizontal="center" wrapText="1"/>
    </xf>
    <xf numFmtId="0" fontId="30" fillId="0" borderId="0" xfId="9401" applyFont="1"/>
    <xf numFmtId="0" fontId="33" fillId="0" borderId="0" xfId="9402" applyFont="1" applyAlignment="1">
      <alignment horizontal="center" vertical="center" wrapText="1"/>
    </xf>
    <xf numFmtId="0" fontId="30" fillId="0" borderId="0" xfId="9401" applyFont="1" applyAlignment="1">
      <alignment horizontal="centerContinuous"/>
    </xf>
    <xf numFmtId="0" fontId="30" fillId="0" borderId="0" xfId="9401" applyFont="1" applyAlignment="1">
      <alignment horizontal="center" wrapText="1"/>
    </xf>
    <xf numFmtId="0" fontId="30" fillId="0" borderId="43" xfId="9401" applyFont="1" applyBorder="1"/>
    <xf numFmtId="0" fontId="30" fillId="0" borderId="43" xfId="9401" applyFont="1" applyBorder="1" applyAlignment="1">
      <alignment horizontal="center" wrapText="1"/>
    </xf>
    <xf numFmtId="9" fontId="30" fillId="0" borderId="0" xfId="9403" applyFont="1"/>
    <xf numFmtId="0" fontId="30" fillId="0" borderId="0" xfId="9401" applyFont="1" applyAlignment="1">
      <alignment horizontal="center" vertical="center"/>
    </xf>
    <xf numFmtId="4" fontId="29" fillId="0" borderId="0" xfId="9404" applyNumberFormat="1" applyFont="1" applyAlignment="1">
      <alignment horizontal="center"/>
    </xf>
    <xf numFmtId="3" fontId="29" fillId="0" borderId="0" xfId="9404" applyNumberFormat="1" applyFont="1" applyAlignment="1">
      <alignment horizontal="center"/>
    </xf>
    <xf numFmtId="175" fontId="30" fillId="0" borderId="0" xfId="9401" applyNumberFormat="1" applyFont="1" applyAlignment="1">
      <alignment horizontal="center"/>
    </xf>
    <xf numFmtId="10" fontId="30" fillId="0" borderId="0" xfId="9401" applyNumberFormat="1" applyFont="1" applyAlignment="1">
      <alignment horizontal="center"/>
    </xf>
    <xf numFmtId="176" fontId="30" fillId="0" borderId="0" xfId="9404" applyNumberFormat="1" applyFont="1"/>
    <xf numFmtId="10" fontId="30" fillId="0" borderId="0" xfId="9403" applyNumberFormat="1" applyFont="1"/>
    <xf numFmtId="0" fontId="30" fillId="0" borderId="0" xfId="9401" applyFont="1" applyAlignment="1">
      <alignment horizontal="left"/>
    </xf>
    <xf numFmtId="43" fontId="30" fillId="0" borderId="0" xfId="9401" applyNumberFormat="1" applyFont="1"/>
    <xf numFmtId="0" fontId="0" fillId="0" borderId="0" xfId="9401" applyFont="1" applyAlignment="1">
      <alignment horizontal="left"/>
    </xf>
    <xf numFmtId="0" fontId="30" fillId="0" borderId="0" xfId="9401" applyFont="1" applyBorder="1"/>
    <xf numFmtId="0" fontId="30" fillId="0" borderId="0" xfId="9401" applyFont="1" applyBorder="1" applyAlignment="1">
      <alignment horizontal="center"/>
    </xf>
    <xf numFmtId="0" fontId="29" fillId="0" borderId="0" xfId="9398" applyFont="1" applyBorder="1" applyAlignment="1">
      <alignment horizontal="left" vertical="center"/>
    </xf>
    <xf numFmtId="0" fontId="33" fillId="0" borderId="0" xfId="9401" applyFont="1" applyBorder="1" applyAlignment="1">
      <alignment horizontal="center"/>
    </xf>
    <xf numFmtId="10" fontId="29" fillId="0" borderId="0" xfId="9405" applyNumberFormat="1" applyFont="1" applyBorder="1" applyAlignment="1">
      <alignment horizontal="center"/>
    </xf>
    <xf numFmtId="0" fontId="33" fillId="0" borderId="0" xfId="9402" applyFont="1" applyBorder="1"/>
    <xf numFmtId="0" fontId="0" fillId="0" borderId="0" xfId="9401" applyFont="1" applyBorder="1" applyAlignment="1">
      <alignment horizontal="left"/>
    </xf>
    <xf numFmtId="3" fontId="30" fillId="0" borderId="0" xfId="9401" applyNumberFormat="1" applyFont="1" applyBorder="1"/>
    <xf numFmtId="166" fontId="30" fillId="0" borderId="0" xfId="9404" applyNumberFormat="1" applyFont="1" applyBorder="1"/>
    <xf numFmtId="166" fontId="30" fillId="0" borderId="0" xfId="9401" applyNumberFormat="1" applyFont="1" applyBorder="1"/>
    <xf numFmtId="0" fontId="29" fillId="0" borderId="15" xfId="9388" applyFont="1" applyBorder="1" applyAlignment="1">
      <alignment horizontal="center"/>
    </xf>
    <xf numFmtId="0" fontId="0" fillId="0" borderId="0" xfId="9388" applyFont="1"/>
    <xf numFmtId="10" fontId="29" fillId="0" borderId="0" xfId="1" applyNumberFormat="1" applyFont="1" applyBorder="1" applyAlignment="1">
      <alignment horizontal="center"/>
    </xf>
    <xf numFmtId="0" fontId="30" fillId="0" borderId="0" xfId="9388" applyBorder="1" applyAlignment="1">
      <alignment horizontal="center"/>
    </xf>
    <xf numFmtId="0" fontId="30" fillId="0" borderId="15" xfId="9388" applyBorder="1" applyAlignment="1">
      <alignment horizontal="center"/>
    </xf>
    <xf numFmtId="4" fontId="30" fillId="0" borderId="0" xfId="9388" applyNumberFormat="1"/>
    <xf numFmtId="10" fontId="29" fillId="0" borderId="31" xfId="1" applyNumberFormat="1" applyFont="1" applyBorder="1" applyAlignment="1">
      <alignment horizontal="center"/>
    </xf>
    <xf numFmtId="0" fontId="0" fillId="0" borderId="43" xfId="9388" applyFont="1" applyBorder="1" applyAlignment="1">
      <alignment horizontal="center" wrapText="1"/>
    </xf>
    <xf numFmtId="10" fontId="109" fillId="65" borderId="0" xfId="9396" applyNumberFormat="1" applyFont="1" applyFill="1" applyAlignment="1">
      <alignment horizontal="center" vertical="center" wrapText="1"/>
    </xf>
    <xf numFmtId="43" fontId="109" fillId="65" borderId="0" xfId="377" applyFont="1" applyFill="1" applyBorder="1" applyAlignment="1">
      <alignment horizontal="right" vertical="center" wrapText="1"/>
    </xf>
    <xf numFmtId="10" fontId="109" fillId="0" borderId="0" xfId="9396" applyNumberFormat="1" applyFont="1" applyAlignment="1">
      <alignment horizontal="center" vertical="center" wrapText="1"/>
    </xf>
    <xf numFmtId="10" fontId="29" fillId="0" borderId="0" xfId="7610" applyNumberFormat="1" applyAlignment="1">
      <alignment horizontal="center"/>
    </xf>
    <xf numFmtId="10" fontId="30" fillId="0" borderId="0" xfId="0" applyNumberFormat="1" applyFont="1" applyAlignment="1">
      <alignment horizontal="center"/>
    </xf>
    <xf numFmtId="0" fontId="0" fillId="0" borderId="0" xfId="9388" applyFont="1" applyFill="1"/>
    <xf numFmtId="10" fontId="29" fillId="0" borderId="15" xfId="7610" applyNumberFormat="1" applyBorder="1" applyAlignment="1">
      <alignment horizontal="center"/>
    </xf>
    <xf numFmtId="10" fontId="29" fillId="0" borderId="0" xfId="7610" applyNumberFormat="1" applyBorder="1" applyAlignment="1">
      <alignment horizontal="center"/>
    </xf>
    <xf numFmtId="0" fontId="30" fillId="0" borderId="0" xfId="9403" applyNumberFormat="1" applyFont="1"/>
    <xf numFmtId="0" fontId="30" fillId="0" borderId="0" xfId="9401" applyNumberFormat="1" applyFont="1"/>
    <xf numFmtId="10" fontId="29" fillId="0" borderId="0" xfId="0" applyNumberFormat="1" applyFont="1" applyAlignment="1">
      <alignment horizontal="center"/>
    </xf>
    <xf numFmtId="0" fontId="28" fillId="0" borderId="0" xfId="9398" applyFont="1"/>
    <xf numFmtId="0" fontId="30" fillId="0" borderId="0" xfId="9398"/>
    <xf numFmtId="10" fontId="28" fillId="0" borderId="0" xfId="9398" applyNumberFormat="1" applyFont="1"/>
    <xf numFmtId="10" fontId="28" fillId="0" borderId="0" xfId="9393" applyNumberFormat="1" applyFont="1" applyBorder="1" applyAlignment="1">
      <alignment horizontal="centerContinuous"/>
    </xf>
    <xf numFmtId="0" fontId="30" fillId="0" borderId="0" xfId="9398" applyBorder="1" applyAlignment="1">
      <alignment horizontal="centerContinuous"/>
    </xf>
    <xf numFmtId="10" fontId="29" fillId="0" borderId="15" xfId="1" applyNumberFormat="1" applyFont="1" applyBorder="1" applyAlignment="1">
      <alignment horizontal="center"/>
    </xf>
    <xf numFmtId="0" fontId="30" fillId="0" borderId="0" xfId="9388" applyFill="1" applyAlignment="1">
      <alignment horizontal="center"/>
    </xf>
    <xf numFmtId="0" fontId="29" fillId="0" borderId="43" xfId="0" applyFont="1" applyBorder="1" applyAlignment="1">
      <alignment horizontal="left"/>
    </xf>
    <xf numFmtId="0" fontId="29" fillId="0" borderId="43" xfId="0" applyFont="1" applyBorder="1" applyAlignment="1">
      <alignment horizontal="center"/>
    </xf>
    <xf numFmtId="0" fontId="29" fillId="0" borderId="43" xfId="0" applyFont="1" applyBorder="1" applyAlignment="1">
      <alignment horizontal="center" wrapText="1"/>
    </xf>
    <xf numFmtId="0" fontId="0" fillId="0" borderId="0" xfId="21" applyFont="1"/>
    <xf numFmtId="14" fontId="30" fillId="0" borderId="0" xfId="0" applyNumberFormat="1" applyFont="1" applyAlignment="1">
      <alignment horizontal="center"/>
    </xf>
    <xf numFmtId="37" fontId="29" fillId="0" borderId="0" xfId="21" applyNumberFormat="1" applyFont="1"/>
    <xf numFmtId="44" fontId="29" fillId="0" borderId="0" xfId="9412" applyFont="1" applyFill="1" applyBorder="1" applyAlignment="1"/>
    <xf numFmtId="177" fontId="29" fillId="0" borderId="0" xfId="9412" applyNumberFormat="1" applyFont="1" applyFill="1" applyBorder="1" applyAlignment="1"/>
    <xf numFmtId="44" fontId="29" fillId="0" borderId="0" xfId="9412" applyFont="1" applyFill="1" applyBorder="1" applyAlignment="1">
      <alignment horizontal="right"/>
    </xf>
    <xf numFmtId="177" fontId="29" fillId="0" borderId="0" xfId="9412" applyNumberFormat="1" applyFont="1" applyFill="1" applyBorder="1" applyAlignment="1">
      <alignment horizontal="right"/>
    </xf>
    <xf numFmtId="0" fontId="29" fillId="0" borderId="30" xfId="0" applyFont="1" applyBorder="1"/>
    <xf numFmtId="177" fontId="29" fillId="0" borderId="30" xfId="9412" applyNumberFormat="1" applyFont="1" applyFill="1" applyBorder="1"/>
    <xf numFmtId="177" fontId="29" fillId="0" borderId="30" xfId="9412" applyNumberFormat="1" applyFont="1" applyFill="1" applyBorder="1" applyAlignment="1"/>
    <xf numFmtId="10" fontId="30" fillId="0" borderId="30" xfId="0" applyNumberFormat="1" applyFont="1" applyBorder="1" applyAlignment="1">
      <alignment horizontal="right"/>
    </xf>
    <xf numFmtId="166" fontId="29" fillId="0" borderId="0" xfId="9411" applyNumberFormat="1" applyFont="1" applyFill="1"/>
    <xf numFmtId="7" fontId="29" fillId="0" borderId="0" xfId="0" applyNumberFormat="1" applyFont="1"/>
    <xf numFmtId="178" fontId="29" fillId="0" borderId="0" xfId="0" applyNumberFormat="1" applyFont="1" applyAlignment="1">
      <alignment horizontal="right"/>
    </xf>
    <xf numFmtId="0" fontId="29" fillId="0" borderId="15" xfId="9415" applyFont="1" applyBorder="1" applyAlignment="1">
      <alignment horizontal="left"/>
    </xf>
    <xf numFmtId="0" fontId="29" fillId="0" borderId="0" xfId="9415" applyFont="1" applyAlignment="1">
      <alignment horizontal="left" indent="1"/>
    </xf>
    <xf numFmtId="179" fontId="29" fillId="0" borderId="0" xfId="0" applyNumberFormat="1" applyFont="1"/>
    <xf numFmtId="164" fontId="29" fillId="0" borderId="0" xfId="0" applyNumberFormat="1" applyFont="1" applyAlignment="1">
      <alignment horizontal="center"/>
    </xf>
    <xf numFmtId="0" fontId="29" fillId="0" borderId="31" xfId="0" applyFont="1" applyBorder="1" applyAlignment="1">
      <alignment horizontal="left"/>
    </xf>
    <xf numFmtId="0" fontId="29" fillId="0" borderId="31" xfId="0" applyFont="1" applyBorder="1"/>
    <xf numFmtId="0" fontId="29" fillId="0" borderId="31" xfId="0" applyFont="1" applyBorder="1" applyAlignment="1">
      <alignment horizontal="right"/>
    </xf>
    <xf numFmtId="10" fontId="29" fillId="0" borderId="31" xfId="0" applyNumberFormat="1" applyFont="1" applyBorder="1" applyAlignment="1">
      <alignment horizontal="center"/>
    </xf>
    <xf numFmtId="0" fontId="30" fillId="0" borderId="0" xfId="9406"/>
    <xf numFmtId="0" fontId="30" fillId="0" borderId="0" xfId="9407"/>
    <xf numFmtId="0" fontId="29" fillId="0" borderId="0" xfId="18"/>
    <xf numFmtId="0" fontId="29" fillId="0" borderId="0" xfId="18" applyAlignment="1">
      <alignment horizontal="center"/>
    </xf>
    <xf numFmtId="0" fontId="33" fillId="0" borderId="43" xfId="18" applyFont="1" applyBorder="1" applyAlignment="1">
      <alignment horizontal="left"/>
    </xf>
    <xf numFmtId="0" fontId="30" fillId="0" borderId="0" xfId="9407" applyAlignment="1">
      <alignment horizontal="center"/>
    </xf>
    <xf numFmtId="0" fontId="33" fillId="0" borderId="0" xfId="18" applyFont="1" applyAlignment="1">
      <alignment horizontal="left"/>
    </xf>
    <xf numFmtId="0" fontId="107" fillId="0" borderId="0" xfId="9407" applyFont="1" applyAlignment="1">
      <alignment horizontal="center" wrapText="1"/>
    </xf>
    <xf numFmtId="0" fontId="0" fillId="0" borderId="0" xfId="18" applyFont="1" applyAlignment="1">
      <alignment horizontal="left"/>
    </xf>
    <xf numFmtId="0" fontId="29" fillId="0" borderId="0" xfId="18" applyAlignment="1">
      <alignment horizontal="left"/>
    </xf>
    <xf numFmtId="0" fontId="0" fillId="0" borderId="0" xfId="9397" applyFont="1" applyAlignment="1">
      <alignment horizontal="center"/>
    </xf>
    <xf numFmtId="0" fontId="30" fillId="0" borderId="0" xfId="9407" applyAlignment="1">
      <alignment horizontal="left"/>
    </xf>
    <xf numFmtId="10" fontId="30" fillId="0" borderId="0" xfId="9417" applyNumberFormat="1" applyFont="1" applyAlignment="1">
      <alignment horizontal="center"/>
    </xf>
    <xf numFmtId="0" fontId="29" fillId="0" borderId="0" xfId="20" applyAlignment="1">
      <alignment vertical="center"/>
    </xf>
    <xf numFmtId="0" fontId="30" fillId="0" borderId="0" xfId="9391" applyAlignment="1">
      <alignment vertical="center"/>
    </xf>
    <xf numFmtId="0" fontId="0" fillId="0" borderId="0" xfId="9391" applyFont="1" applyAlignment="1">
      <alignment vertical="center"/>
    </xf>
    <xf numFmtId="10" fontId="0" fillId="0" borderId="0" xfId="9417" applyNumberFormat="1" applyFont="1" applyAlignment="1">
      <alignment horizontal="center"/>
    </xf>
    <xf numFmtId="0" fontId="0" fillId="0" borderId="0" xfId="9407" applyFont="1" applyAlignment="1">
      <alignment horizontal="center"/>
    </xf>
    <xf numFmtId="0" fontId="29" fillId="0" borderId="15" xfId="9409" applyFont="1" applyBorder="1"/>
    <xf numFmtId="0" fontId="0" fillId="0" borderId="0" xfId="18" applyFont="1"/>
    <xf numFmtId="0" fontId="30" fillId="0" borderId="0" xfId="9407" applyFill="1" applyAlignment="1">
      <alignment horizontal="left" wrapText="1"/>
    </xf>
    <xf numFmtId="0" fontId="30" fillId="0" borderId="0" xfId="9407" applyFill="1" applyAlignment="1">
      <alignment horizontal="center" wrapText="1"/>
    </xf>
    <xf numFmtId="0" fontId="30" fillId="0" borderId="0" xfId="9407" applyFill="1"/>
    <xf numFmtId="0" fontId="30" fillId="0" borderId="0" xfId="9407" applyFill="1" applyAlignment="1">
      <alignment horizontal="center"/>
    </xf>
    <xf numFmtId="0" fontId="30" fillId="0" borderId="0" xfId="9407" applyFill="1" applyAlignment="1">
      <alignment horizontal="left"/>
    </xf>
    <xf numFmtId="0" fontId="28" fillId="0" borderId="0" xfId="9398" applyFont="1" applyAlignment="1"/>
    <xf numFmtId="0" fontId="0" fillId="0" borderId="43" xfId="9401" applyFont="1" applyBorder="1" applyAlignment="1">
      <alignment horizontal="center" wrapText="1"/>
    </xf>
    <xf numFmtId="3" fontId="29" fillId="0" borderId="15" xfId="9404" applyNumberFormat="1" applyFont="1" applyBorder="1" applyAlignment="1">
      <alignment horizontal="center"/>
    </xf>
    <xf numFmtId="10" fontId="30" fillId="0" borderId="0" xfId="9400" applyNumberFormat="1" applyFont="1" applyBorder="1" applyAlignment="1">
      <alignment horizontal="center"/>
    </xf>
    <xf numFmtId="10" fontId="30" fillId="0" borderId="15" xfId="9400" applyNumberFormat="1" applyFont="1" applyBorder="1" applyAlignment="1">
      <alignment horizontal="center"/>
    </xf>
    <xf numFmtId="0" fontId="0" fillId="0" borderId="30" xfId="9407" applyFont="1" applyBorder="1"/>
    <xf numFmtId="0" fontId="30" fillId="0" borderId="0" xfId="9391" applyAlignment="1">
      <alignment horizontal="centerContinuous"/>
    </xf>
    <xf numFmtId="0" fontId="30" fillId="0" borderId="0" xfId="9391"/>
    <xf numFmtId="0" fontId="30" fillId="0" borderId="15" xfId="9391" applyBorder="1" applyAlignment="1">
      <alignment horizontal="centerContinuous"/>
    </xf>
    <xf numFmtId="0" fontId="30" fillId="0" borderId="15" xfId="9391" applyBorder="1" applyAlignment="1">
      <alignment horizontal="center"/>
    </xf>
    <xf numFmtId="2" fontId="30" fillId="0" borderId="0" xfId="9391" applyNumberFormat="1" applyAlignment="1">
      <alignment horizontal="center"/>
    </xf>
    <xf numFmtId="0" fontId="30" fillId="0" borderId="0" xfId="9422" applyAlignment="1">
      <alignment horizontal="center"/>
    </xf>
    <xf numFmtId="2" fontId="30" fillId="0" borderId="0" xfId="9391" applyNumberFormat="1"/>
    <xf numFmtId="0" fontId="30" fillId="0" borderId="15" xfId="9391" applyBorder="1"/>
    <xf numFmtId="2" fontId="30" fillId="0" borderId="15" xfId="9391" applyNumberFormat="1" applyBorder="1" applyAlignment="1">
      <alignment horizontal="center"/>
    </xf>
    <xf numFmtId="0" fontId="30" fillId="0" borderId="0" xfId="9391" applyAlignment="1">
      <alignment horizontal="left" indent="2"/>
    </xf>
    <xf numFmtId="177" fontId="30" fillId="0" borderId="0" xfId="9432" applyNumberFormat="1" applyFont="1"/>
    <xf numFmtId="10" fontId="30" fillId="0" borderId="0" xfId="9391" applyNumberFormat="1"/>
    <xf numFmtId="0" fontId="30" fillId="0" borderId="15" xfId="9391" applyBorder="1" applyAlignment="1">
      <alignment horizontal="left"/>
    </xf>
    <xf numFmtId="10" fontId="30" fillId="0" borderId="15" xfId="9391" applyNumberFormat="1" applyBorder="1"/>
    <xf numFmtId="0" fontId="33" fillId="0" borderId="0" xfId="18" applyFont="1" applyFill="1" applyAlignment="1">
      <alignment horizontal="left"/>
    </xf>
    <xf numFmtId="0" fontId="33" fillId="0" borderId="0" xfId="18" applyFont="1" applyFill="1" applyAlignment="1">
      <alignment horizontal="center"/>
    </xf>
    <xf numFmtId="0" fontId="33" fillId="0" borderId="0" xfId="18" applyFont="1" applyFill="1" applyAlignment="1">
      <alignment horizontal="center" wrapText="1"/>
    </xf>
    <xf numFmtId="0" fontId="107" fillId="0" borderId="0" xfId="9407" applyFont="1" applyFill="1" applyAlignment="1">
      <alignment horizontal="center" wrapText="1"/>
    </xf>
    <xf numFmtId="0" fontId="0" fillId="0" borderId="0" xfId="18" applyFont="1" applyFill="1" applyAlignment="1">
      <alignment horizontal="left"/>
    </xf>
    <xf numFmtId="0" fontId="0" fillId="0" borderId="0" xfId="18" applyFont="1" applyFill="1" applyAlignment="1">
      <alignment horizontal="center"/>
    </xf>
    <xf numFmtId="0" fontId="29" fillId="0" borderId="0" xfId="18" applyFill="1" applyAlignment="1">
      <alignment horizontal="left" wrapText="1"/>
    </xf>
    <xf numFmtId="0" fontId="0" fillId="0" borderId="0" xfId="9398" applyFont="1" applyFill="1" applyAlignment="1">
      <alignment horizontal="center"/>
    </xf>
    <xf numFmtId="0" fontId="0" fillId="0" borderId="0" xfId="9397" applyFont="1" applyFill="1" applyAlignment="1">
      <alignment horizontal="center"/>
    </xf>
    <xf numFmtId="0" fontId="30" fillId="0" borderId="0" xfId="9397" applyFill="1" applyAlignment="1">
      <alignment horizontal="center"/>
    </xf>
    <xf numFmtId="0" fontId="30" fillId="0" borderId="0" xfId="9391" applyFill="1"/>
    <xf numFmtId="0" fontId="30" fillId="0" borderId="48" xfId="3579" applyFont="1" applyBorder="1" applyAlignment="1">
      <alignment horizontal="center"/>
    </xf>
    <xf numFmtId="0" fontId="30" fillId="0" borderId="0" xfId="3579" applyFont="1" applyAlignment="1">
      <alignment horizontal="center"/>
    </xf>
    <xf numFmtId="0" fontId="109" fillId="0" borderId="0" xfId="9396" applyFont="1"/>
    <xf numFmtId="0" fontId="109" fillId="0" borderId="0" xfId="9396" applyFont="1" applyAlignment="1">
      <alignment horizontal="center" vertical="center" wrapText="1"/>
    </xf>
    <xf numFmtId="0" fontId="109" fillId="0" borderId="0" xfId="9396" applyFont="1" applyAlignment="1">
      <alignment wrapText="1"/>
    </xf>
    <xf numFmtId="0" fontId="70" fillId="0" borderId="0" xfId="9396" applyFont="1" applyAlignment="1">
      <alignment horizontal="center" vertical="center" wrapText="1"/>
    </xf>
    <xf numFmtId="0" fontId="70" fillId="65" borderId="0" xfId="9396" applyFont="1" applyFill="1" applyAlignment="1">
      <alignment horizontal="left" vertical="center"/>
    </xf>
    <xf numFmtId="0" fontId="70" fillId="0" borderId="15" xfId="9396" applyFont="1" applyBorder="1" applyAlignment="1">
      <alignment horizontal="left" wrapText="1"/>
    </xf>
    <xf numFmtId="0" fontId="109" fillId="65" borderId="0" xfId="9396" applyFont="1" applyFill="1" applyAlignment="1">
      <alignment horizontal="left" vertical="center"/>
    </xf>
    <xf numFmtId="0" fontId="109" fillId="0" borderId="0" xfId="9396" applyFont="1" applyAlignment="1">
      <alignment horizontal="right" vertical="center" wrapText="1"/>
    </xf>
    <xf numFmtId="0" fontId="109" fillId="0" borderId="0" xfId="9396" applyFont="1" applyAlignment="1">
      <alignment horizontal="right" vertical="center"/>
    </xf>
    <xf numFmtId="0" fontId="113" fillId="0" borderId="41" xfId="9396" applyFont="1" applyBorder="1" applyAlignment="1">
      <alignment horizontal="center" vertical="center" wrapText="1"/>
    </xf>
    <xf numFmtId="10" fontId="109" fillId="0" borderId="37" xfId="9396" applyNumberFormat="1" applyFont="1" applyBorder="1" applyAlignment="1">
      <alignment horizontal="center" vertical="center" wrapText="1"/>
    </xf>
    <xf numFmtId="10" fontId="109" fillId="0" borderId="36" xfId="9396" applyNumberFormat="1" applyFont="1" applyBorder="1" applyAlignment="1">
      <alignment horizontal="center" vertical="center" wrapText="1"/>
    </xf>
    <xf numFmtId="0" fontId="109" fillId="0" borderId="35" xfId="9396" applyFont="1" applyBorder="1" applyAlignment="1">
      <alignment horizontal="center" vertical="center" wrapText="1"/>
    </xf>
    <xf numFmtId="10" fontId="109" fillId="0" borderId="40" xfId="9396" applyNumberFormat="1" applyFont="1" applyBorder="1" applyAlignment="1">
      <alignment horizontal="center" vertical="center" wrapText="1"/>
    </xf>
    <xf numFmtId="10" fontId="109" fillId="0" borderId="39" xfId="9396" applyNumberFormat="1" applyFont="1" applyBorder="1" applyAlignment="1">
      <alignment horizontal="center" vertical="center" wrapText="1"/>
    </xf>
    <xf numFmtId="0" fontId="109" fillId="0" borderId="38" xfId="9396" applyFont="1" applyBorder="1" applyAlignment="1">
      <alignment horizontal="center" vertical="center" wrapText="1"/>
    </xf>
    <xf numFmtId="180" fontId="109" fillId="0" borderId="0" xfId="9396" applyNumberFormat="1" applyFont="1" applyAlignment="1">
      <alignment horizontal="center" vertical="center" wrapText="1"/>
    </xf>
    <xf numFmtId="9" fontId="109" fillId="0" borderId="0" xfId="9396" applyNumberFormat="1" applyFont="1" applyAlignment="1">
      <alignment horizontal="center" vertical="center" wrapText="1"/>
    </xf>
    <xf numFmtId="0" fontId="109" fillId="0" borderId="37" xfId="9396" applyFont="1" applyBorder="1" applyAlignment="1">
      <alignment horizontal="center" vertical="center" wrapText="1"/>
    </xf>
    <xf numFmtId="0" fontId="109" fillId="0" borderId="36" xfId="9396" applyFont="1" applyBorder="1" applyAlignment="1">
      <alignment horizontal="center" vertical="center" wrapText="1"/>
    </xf>
    <xf numFmtId="0" fontId="70" fillId="0" borderId="35" xfId="9396" applyFont="1" applyBorder="1" applyAlignment="1">
      <alignment horizontal="center" vertical="center" wrapText="1"/>
    </xf>
    <xf numFmtId="0" fontId="30" fillId="0" borderId="15" xfId="7147" applyBorder="1" applyAlignment="1">
      <alignment horizontal="center"/>
    </xf>
    <xf numFmtId="181" fontId="30" fillId="0" borderId="0" xfId="9391" applyNumberFormat="1"/>
    <xf numFmtId="0" fontId="30" fillId="0" borderId="0" xfId="0" applyFont="1"/>
    <xf numFmtId="0" fontId="109" fillId="65" borderId="35" xfId="9396" applyFont="1" applyFill="1" applyBorder="1" applyAlignment="1">
      <alignment horizontal="center" vertical="center" wrapText="1"/>
    </xf>
    <xf numFmtId="10" fontId="109" fillId="65" borderId="36" xfId="9396" applyNumberFormat="1" applyFont="1" applyFill="1" applyBorder="1" applyAlignment="1">
      <alignment horizontal="center" vertical="center" wrapText="1"/>
    </xf>
    <xf numFmtId="10" fontId="109" fillId="65" borderId="37" xfId="9396" applyNumberFormat="1" applyFont="1" applyFill="1" applyBorder="1" applyAlignment="1">
      <alignment horizontal="center" vertical="center" wrapText="1"/>
    </xf>
    <xf numFmtId="2" fontId="0" fillId="0" borderId="0" xfId="0" applyNumberFormat="1" applyFont="1"/>
    <xf numFmtId="10" fontId="29" fillId="0" borderId="0" xfId="1" applyNumberFormat="1" applyFont="1" applyFill="1" applyBorder="1"/>
    <xf numFmtId="0" fontId="29" fillId="0" borderId="31" xfId="0" applyFont="1" applyFill="1" applyBorder="1" applyAlignment="1">
      <alignment horizontal="left"/>
    </xf>
    <xf numFmtId="10" fontId="29" fillId="0" borderId="31" xfId="7610" applyNumberFormat="1" applyFont="1" applyBorder="1" applyAlignment="1">
      <alignment horizontal="center"/>
    </xf>
    <xf numFmtId="0" fontId="29" fillId="0" borderId="48" xfId="0" applyFont="1" applyFill="1" applyBorder="1" applyAlignment="1">
      <alignment horizontal="left"/>
    </xf>
    <xf numFmtId="0" fontId="29" fillId="0" borderId="48" xfId="0" applyFont="1" applyBorder="1"/>
    <xf numFmtId="0" fontId="29" fillId="0" borderId="48" xfId="0" applyFont="1" applyFill="1" applyBorder="1"/>
    <xf numFmtId="10" fontId="29" fillId="0" borderId="48" xfId="7610" applyNumberFormat="1" applyFont="1" applyBorder="1" applyAlignment="1">
      <alignment horizontal="center"/>
    </xf>
    <xf numFmtId="0" fontId="30" fillId="0" borderId="31" xfId="9388" applyBorder="1"/>
    <xf numFmtId="10" fontId="30" fillId="0" borderId="31" xfId="9388" applyNumberFormat="1" applyBorder="1" applyAlignment="1">
      <alignment horizontal="center"/>
    </xf>
    <xf numFmtId="0" fontId="29" fillId="0" borderId="43" xfId="0" applyFont="1" applyFill="1" applyBorder="1" applyAlignment="1">
      <alignment horizontal="left"/>
    </xf>
    <xf numFmtId="0" fontId="29" fillId="0" borderId="43" xfId="0" applyFont="1" applyFill="1" applyBorder="1" applyAlignment="1">
      <alignment horizontal="center" wrapText="1"/>
    </xf>
    <xf numFmtId="0" fontId="30" fillId="0" borderId="48" xfId="9388" applyBorder="1" applyAlignment="1">
      <alignment horizontal="left"/>
    </xf>
    <xf numFmtId="0" fontId="30" fillId="0" borderId="48" xfId="9388" applyBorder="1" applyAlignment="1">
      <alignment horizontal="center"/>
    </xf>
    <xf numFmtId="4" fontId="29" fillId="0" borderId="48" xfId="9388" applyNumberFormat="1" applyFont="1" applyBorder="1" applyAlignment="1">
      <alignment horizontal="center"/>
    </xf>
    <xf numFmtId="10" fontId="30" fillId="0" borderId="48" xfId="9388" applyNumberFormat="1" applyBorder="1" applyAlignment="1">
      <alignment horizontal="center" wrapText="1"/>
    </xf>
    <xf numFmtId="10" fontId="29" fillId="0" borderId="48" xfId="1" applyNumberFormat="1" applyFont="1" applyBorder="1" applyAlignment="1">
      <alignment horizontal="center" wrapText="1"/>
    </xf>
    <xf numFmtId="10" fontId="29" fillId="0" borderId="48" xfId="7610" applyNumberFormat="1" applyFill="1" applyBorder="1" applyAlignment="1">
      <alignment horizontal="center"/>
    </xf>
    <xf numFmtId="10" fontId="30" fillId="0" borderId="48" xfId="7610" applyNumberFormat="1" applyFont="1" applyBorder="1" applyAlignment="1">
      <alignment horizontal="center"/>
    </xf>
    <xf numFmtId="10" fontId="29" fillId="0" borderId="48" xfId="9388" applyNumberFormat="1" applyFont="1" applyBorder="1" applyAlignment="1">
      <alignment horizontal="center" wrapText="1"/>
    </xf>
    <xf numFmtId="10" fontId="28" fillId="0" borderId="50" xfId="7610" applyNumberFormat="1" applyFont="1" applyBorder="1" applyAlignment="1">
      <alignment horizontal="centerContinuous"/>
    </xf>
    <xf numFmtId="9" fontId="30" fillId="0" borderId="51" xfId="7610" applyFont="1" applyBorder="1" applyAlignment="1">
      <alignment horizontal="centerContinuous"/>
    </xf>
    <xf numFmtId="9" fontId="30" fillId="0" borderId="49" xfId="7610" applyFont="1" applyBorder="1" applyAlignment="1">
      <alignment horizontal="centerContinuous"/>
    </xf>
    <xf numFmtId="10" fontId="28" fillId="0" borderId="50" xfId="9398" applyNumberFormat="1" applyFont="1" applyBorder="1" applyAlignment="1">
      <alignment horizontal="centerContinuous"/>
    </xf>
    <xf numFmtId="0" fontId="30" fillId="0" borderId="51" xfId="9398" applyBorder="1" applyAlignment="1">
      <alignment horizontal="centerContinuous"/>
    </xf>
    <xf numFmtId="0" fontId="30" fillId="0" borderId="49" xfId="9398" applyBorder="1" applyAlignment="1">
      <alignment horizontal="centerContinuous"/>
    </xf>
    <xf numFmtId="10" fontId="28" fillId="0" borderId="50" xfId="9393" applyNumberFormat="1" applyFont="1" applyBorder="1" applyAlignment="1">
      <alignment horizontal="centerContinuous"/>
    </xf>
    <xf numFmtId="0" fontId="29" fillId="0" borderId="15" xfId="3162" applyBorder="1"/>
    <xf numFmtId="10" fontId="29" fillId="0" borderId="15" xfId="13" applyNumberFormat="1" applyBorder="1" applyAlignment="1">
      <alignment horizontal="center"/>
    </xf>
    <xf numFmtId="4" fontId="29" fillId="0" borderId="15" xfId="9404" applyNumberFormat="1" applyFont="1" applyBorder="1" applyAlignment="1">
      <alignment horizontal="center"/>
    </xf>
    <xf numFmtId="175" fontId="30" fillId="0" borderId="15" xfId="9401" applyNumberFormat="1" applyFont="1" applyBorder="1" applyAlignment="1">
      <alignment horizontal="center"/>
    </xf>
    <xf numFmtId="10" fontId="30" fillId="0" borderId="15" xfId="9401" applyNumberFormat="1" applyFont="1" applyBorder="1" applyAlignment="1">
      <alignment horizontal="center"/>
    </xf>
    <xf numFmtId="0" fontId="115" fillId="0" borderId="0" xfId="9391" applyFont="1"/>
    <xf numFmtId="0" fontId="30" fillId="0" borderId="0" xfId="9392" applyFont="1" applyAlignment="1">
      <alignment horizontal="center"/>
    </xf>
    <xf numFmtId="0" fontId="30" fillId="0" borderId="52" xfId="9391" applyBorder="1"/>
    <xf numFmtId="0" fontId="30" fillId="0" borderId="52" xfId="9391" applyBorder="1" applyAlignment="1">
      <alignment horizontal="center"/>
    </xf>
    <xf numFmtId="0" fontId="29" fillId="0" borderId="0" xfId="9392" applyFont="1"/>
    <xf numFmtId="0" fontId="29" fillId="0" borderId="0" xfId="9392" applyFont="1" applyAlignment="1">
      <alignment horizontal="center"/>
    </xf>
    <xf numFmtId="0" fontId="30" fillId="0" borderId="15" xfId="9392" applyFont="1" applyBorder="1" applyAlignment="1">
      <alignment horizontal="left"/>
    </xf>
    <xf numFmtId="0" fontId="29" fillId="0" borderId="15" xfId="9392" applyFont="1" applyBorder="1" applyAlignment="1">
      <alignment horizontal="center"/>
    </xf>
    <xf numFmtId="4" fontId="30" fillId="0" borderId="0" xfId="9391" applyNumberFormat="1" applyAlignment="1">
      <alignment horizontal="center"/>
    </xf>
    <xf numFmtId="44" fontId="30" fillId="0" borderId="0" xfId="9391" applyNumberFormat="1"/>
    <xf numFmtId="0" fontId="30" fillId="0" borderId="0" xfId="9392" applyFont="1" applyAlignment="1">
      <alignment horizontal="left" indent="1"/>
    </xf>
    <xf numFmtId="0" fontId="30" fillId="0" borderId="52" xfId="9392" applyFont="1" applyBorder="1" applyAlignment="1">
      <alignment horizontal="right"/>
    </xf>
    <xf numFmtId="0" fontId="30" fillId="0" borderId="52" xfId="9392" applyFont="1" applyBorder="1"/>
    <xf numFmtId="0" fontId="30" fillId="0" borderId="0" xfId="9392" applyFont="1" applyAlignment="1">
      <alignment horizontal="right"/>
    </xf>
    <xf numFmtId="0" fontId="30" fillId="0" borderId="0" xfId="9392" applyFont="1"/>
    <xf numFmtId="0" fontId="30" fillId="0" borderId="15" xfId="9392" applyFont="1" applyBorder="1" applyAlignment="1">
      <alignment horizontal="right"/>
    </xf>
    <xf numFmtId="43" fontId="30" fillId="0" borderId="0" xfId="9411" applyFont="1"/>
    <xf numFmtId="43" fontId="30" fillId="0" borderId="15" xfId="9411" applyFont="1" applyBorder="1"/>
    <xf numFmtId="0" fontId="30" fillId="0" borderId="15" xfId="9392" applyFont="1" applyBorder="1"/>
    <xf numFmtId="0" fontId="115" fillId="0" borderId="0" xfId="9392" applyFont="1"/>
    <xf numFmtId="0" fontId="30" fillId="0" borderId="0" xfId="0" applyFont="1" applyAlignment="1">
      <alignment horizontal="center" wrapText="1"/>
    </xf>
    <xf numFmtId="0" fontId="30" fillId="0" borderId="15" xfId="0" applyFont="1" applyBorder="1"/>
    <xf numFmtId="0" fontId="30" fillId="0" borderId="15" xfId="0" applyFont="1" applyBorder="1" applyAlignment="1">
      <alignment horizontal="center"/>
    </xf>
    <xf numFmtId="10" fontId="29" fillId="0" borderId="48" xfId="9400" applyNumberFormat="1" applyFont="1" applyBorder="1" applyAlignment="1">
      <alignment horizontal="center"/>
    </xf>
    <xf numFmtId="10" fontId="29" fillId="0" borderId="0" xfId="9400" applyNumberFormat="1" applyFont="1" applyBorder="1" applyAlignment="1">
      <alignment horizontal="center"/>
    </xf>
    <xf numFmtId="0" fontId="30" fillId="0" borderId="0" xfId="9391" applyAlignment="1">
      <alignment horizontal="center"/>
    </xf>
    <xf numFmtId="0" fontId="0" fillId="0" borderId="52" xfId="9388" applyFont="1" applyBorder="1" applyAlignment="1">
      <alignment horizontal="center" wrapText="1"/>
    </xf>
    <xf numFmtId="173" fontId="29" fillId="0" borderId="0" xfId="9388" applyNumberFormat="1" applyFont="1"/>
    <xf numFmtId="0" fontId="29" fillId="0" borderId="0" xfId="0" applyFont="1" applyBorder="1" applyAlignment="1">
      <alignment horizontal="left"/>
    </xf>
    <xf numFmtId="0" fontId="29" fillId="0" borderId="0" xfId="0" applyFont="1" applyBorder="1" applyAlignment="1">
      <alignment horizontal="right"/>
    </xf>
    <xf numFmtId="10" fontId="29" fillId="0" borderId="0" xfId="0" applyNumberFormat="1" applyFont="1" applyBorder="1" applyAlignment="1">
      <alignment horizontal="center"/>
    </xf>
    <xf numFmtId="10" fontId="30" fillId="0" borderId="0" xfId="0" applyNumberFormat="1" applyFont="1" applyBorder="1" applyAlignment="1">
      <alignment horizontal="center"/>
    </xf>
    <xf numFmtId="0" fontId="30" fillId="0" borderId="0" xfId="9407" applyAlignment="1">
      <alignment horizontal="center"/>
    </xf>
    <xf numFmtId="0" fontId="30" fillId="0" borderId="0" xfId="9388" applyBorder="1"/>
    <xf numFmtId="0" fontId="109" fillId="0" borderId="0" xfId="9396" applyFont="1" applyAlignment="1">
      <alignment horizontal="center" wrapText="1"/>
    </xf>
    <xf numFmtId="0" fontId="29" fillId="0" borderId="0" xfId="9388" applyFont="1" applyBorder="1" applyAlignment="1">
      <alignment horizontal="center"/>
    </xf>
    <xf numFmtId="0" fontId="29" fillId="0" borderId="0" xfId="0" applyFont="1" applyAlignment="1">
      <alignment horizontal="center"/>
    </xf>
    <xf numFmtId="0" fontId="30" fillId="0" borderId="0" xfId="9401" applyFont="1" applyAlignment="1">
      <alignment horizontal="center"/>
    </xf>
    <xf numFmtId="0" fontId="30" fillId="0" borderId="0" xfId="9391" applyAlignment="1">
      <alignment horizontal="left"/>
    </xf>
    <xf numFmtId="0" fontId="33" fillId="0" borderId="43" xfId="18" applyFont="1" applyBorder="1" applyAlignment="1">
      <alignment horizontal="center" wrapText="1"/>
    </xf>
    <xf numFmtId="0" fontId="30" fillId="0" borderId="0" xfId="0" applyFont="1" applyAlignment="1">
      <alignment horizontal="center"/>
    </xf>
    <xf numFmtId="0" fontId="0" fillId="0" borderId="0" xfId="9392" applyFont="1" applyAlignment="1">
      <alignment horizontal="left" indent="1"/>
    </xf>
    <xf numFmtId="0" fontId="29" fillId="0" borderId="30" xfId="9407" applyFont="1" applyBorder="1" applyAlignment="1">
      <alignment horizontal="center"/>
    </xf>
    <xf numFmtId="0" fontId="29" fillId="0" borderId="30" xfId="9407" applyFont="1" applyBorder="1"/>
    <xf numFmtId="2" fontId="29" fillId="0" borderId="30" xfId="9407" applyNumberFormat="1" applyFont="1" applyBorder="1" applyAlignment="1">
      <alignment horizontal="center"/>
    </xf>
    <xf numFmtId="0" fontId="29" fillId="0" borderId="0" xfId="9398" applyFont="1" applyAlignment="1">
      <alignment horizontal="center"/>
    </xf>
    <xf numFmtId="10" fontId="29" fillId="0" borderId="0" xfId="9444" applyNumberFormat="1" applyFont="1" applyBorder="1" applyAlignment="1">
      <alignment horizontal="center"/>
    </xf>
    <xf numFmtId="10" fontId="30" fillId="0" borderId="0" xfId="9439" applyNumberFormat="1" applyFont="1" applyAlignment="1">
      <alignment horizontal="center"/>
    </xf>
    <xf numFmtId="10" fontId="30" fillId="0" borderId="48" xfId="9439" applyNumberFormat="1" applyFont="1" applyBorder="1" applyAlignment="1">
      <alignment horizontal="center"/>
    </xf>
    <xf numFmtId="0" fontId="30" fillId="0" borderId="31" xfId="3579" applyFont="1" applyBorder="1" applyAlignment="1">
      <alignment horizontal="center"/>
    </xf>
    <xf numFmtId="10" fontId="30" fillId="0" borderId="31" xfId="9439" applyNumberFormat="1" applyFont="1" applyBorder="1" applyAlignment="1">
      <alignment horizontal="center"/>
    </xf>
    <xf numFmtId="10" fontId="29" fillId="0" borderId="0" xfId="9400" applyNumberFormat="1" applyFont="1" applyFill="1" applyBorder="1" applyAlignment="1">
      <alignment horizontal="center"/>
    </xf>
    <xf numFmtId="0" fontId="116" fillId="0" borderId="15" xfId="0" applyFont="1" applyBorder="1" applyAlignment="1">
      <alignment horizontal="center"/>
    </xf>
    <xf numFmtId="1" fontId="116" fillId="0" borderId="0" xfId="0" applyNumberFormat="1" applyFont="1" applyAlignment="1">
      <alignment horizontal="left" wrapText="1"/>
    </xf>
    <xf numFmtId="0" fontId="116" fillId="0" borderId="0" xfId="7147" applyFont="1" applyAlignment="1">
      <alignment horizontal="center"/>
    </xf>
    <xf numFmtId="10" fontId="29" fillId="0" borderId="48" xfId="9400" applyNumberFormat="1" applyFont="1" applyFill="1" applyBorder="1" applyAlignment="1">
      <alignment horizontal="center"/>
    </xf>
    <xf numFmtId="10" fontId="29" fillId="0" borderId="0" xfId="9444" applyNumberFormat="1" applyFont="1" applyFill="1" applyBorder="1" applyAlignment="1">
      <alignment horizontal="center"/>
    </xf>
    <xf numFmtId="0" fontId="116" fillId="0" borderId="0" xfId="3579" applyFont="1" applyAlignment="1">
      <alignment horizontal="center"/>
    </xf>
    <xf numFmtId="1" fontId="116" fillId="0" borderId="0" xfId="0" applyNumberFormat="1" applyFont="1" applyAlignment="1">
      <alignment horizontal="left"/>
    </xf>
    <xf numFmtId="0" fontId="30" fillId="0" borderId="0" xfId="0" applyFont="1" applyAlignment="1">
      <alignment horizontal="left"/>
    </xf>
    <xf numFmtId="0" fontId="0" fillId="0" borderId="0" xfId="0" applyAlignment="1">
      <alignment horizontal="center"/>
    </xf>
    <xf numFmtId="2" fontId="29" fillId="0" borderId="0" xfId="7610" applyNumberFormat="1" applyFont="1" applyFill="1" applyBorder="1" applyAlignment="1">
      <alignment horizontal="center"/>
    </xf>
    <xf numFmtId="2" fontId="29" fillId="0" borderId="15" xfId="7610" applyNumberFormat="1" applyFont="1" applyFill="1" applyBorder="1" applyAlignment="1">
      <alignment horizontal="center"/>
    </xf>
    <xf numFmtId="43" fontId="0" fillId="0" borderId="0" xfId="9411" applyFont="1" applyAlignment="1">
      <alignment horizontal="right"/>
    </xf>
    <xf numFmtId="43" fontId="0" fillId="0" borderId="0" xfId="9445" applyNumberFormat="1" applyFont="1"/>
    <xf numFmtId="43" fontId="0" fillId="0" borderId="0" xfId="9411" applyFont="1"/>
    <xf numFmtId="0" fontId="0" fillId="0" borderId="15" xfId="0" applyBorder="1"/>
    <xf numFmtId="0" fontId="0" fillId="0" borderId="0" xfId="0" applyAlignment="1">
      <alignment vertical="center"/>
    </xf>
    <xf numFmtId="0" fontId="0" fillId="0" borderId="31" xfId="0" applyBorder="1"/>
    <xf numFmtId="0" fontId="0" fillId="0" borderId="31" xfId="0" applyBorder="1" applyAlignment="1">
      <alignment vertical="center"/>
    </xf>
    <xf numFmtId="0" fontId="29" fillId="0" borderId="0" xfId="3579" applyAlignment="1">
      <alignment horizontal="centerContinuous"/>
    </xf>
    <xf numFmtId="0" fontId="29" fillId="0" borderId="0" xfId="3579"/>
    <xf numFmtId="0" fontId="29" fillId="0" borderId="0" xfId="3579" applyAlignment="1">
      <alignment horizontal="center"/>
    </xf>
    <xf numFmtId="0" fontId="29" fillId="0" borderId="43" xfId="3579" applyBorder="1" applyAlignment="1">
      <alignment horizontal="center" wrapText="1"/>
    </xf>
    <xf numFmtId="10" fontId="29" fillId="0" borderId="0" xfId="13" applyNumberFormat="1" applyFont="1" applyAlignment="1">
      <alignment horizontal="center"/>
    </xf>
    <xf numFmtId="166" fontId="29" fillId="0" borderId="0" xfId="377" applyNumberFormat="1" applyFont="1"/>
    <xf numFmtId="166" fontId="29" fillId="0" borderId="0" xfId="3579" applyNumberFormat="1"/>
    <xf numFmtId="0" fontId="117" fillId="0" borderId="43" xfId="3162" applyFont="1" applyBorder="1" applyAlignment="1">
      <alignment horizontal="centerContinuous"/>
    </xf>
    <xf numFmtId="0" fontId="29" fillId="0" borderId="31" xfId="3162" applyBorder="1"/>
    <xf numFmtId="0" fontId="117" fillId="0" borderId="43" xfId="3162" applyFont="1" applyBorder="1" applyAlignment="1">
      <alignment horizontal="center"/>
    </xf>
    <xf numFmtId="0" fontId="29" fillId="0" borderId="0" xfId="3162" applyAlignment="1">
      <alignment horizontal="center"/>
    </xf>
    <xf numFmtId="0" fontId="29" fillId="0" borderId="52" xfId="3579" applyBorder="1"/>
    <xf numFmtId="0" fontId="29" fillId="0" borderId="52" xfId="3579" applyBorder="1" applyAlignment="1">
      <alignment horizontal="center"/>
    </xf>
    <xf numFmtId="0" fontId="29" fillId="0" borderId="15" xfId="3579" applyBorder="1"/>
    <xf numFmtId="0" fontId="29" fillId="0" borderId="15" xfId="3579" applyBorder="1" applyAlignment="1">
      <alignment horizontal="center"/>
    </xf>
    <xf numFmtId="10" fontId="29" fillId="0" borderId="0" xfId="13" applyNumberFormat="1" applyFont="1" applyBorder="1" applyAlignment="1">
      <alignment horizontal="center"/>
    </xf>
    <xf numFmtId="10" fontId="29" fillId="0" borderId="15" xfId="13" applyNumberFormat="1" applyFont="1" applyBorder="1" applyAlignment="1">
      <alignment horizontal="center"/>
    </xf>
    <xf numFmtId="0" fontId="29" fillId="0" borderId="30" xfId="3579" applyBorder="1"/>
    <xf numFmtId="10" fontId="29" fillId="0" borderId="30" xfId="13" applyNumberFormat="1" applyFont="1" applyBorder="1" applyAlignment="1">
      <alignment horizontal="center"/>
    </xf>
    <xf numFmtId="0" fontId="29" fillId="0" borderId="15" xfId="5308" applyBorder="1" applyAlignment="1">
      <alignment horizontal="left"/>
    </xf>
    <xf numFmtId="0" fontId="29" fillId="0" borderId="0" xfId="5308" applyAlignment="1">
      <alignment horizontal="left"/>
    </xf>
    <xf numFmtId="0" fontId="29" fillId="0" borderId="0" xfId="3579" applyAlignment="1">
      <alignment horizontal="left"/>
    </xf>
    <xf numFmtId="0" fontId="29" fillId="0" borderId="48" xfId="3579" applyBorder="1" applyAlignment="1">
      <alignment horizontal="center"/>
    </xf>
    <xf numFmtId="10" fontId="30" fillId="0" borderId="48" xfId="3579" applyNumberFormat="1" applyFont="1" applyBorder="1" applyAlignment="1">
      <alignment horizontal="center"/>
    </xf>
    <xf numFmtId="10" fontId="30" fillId="0" borderId="31" xfId="3579" applyNumberFormat="1" applyFont="1" applyBorder="1" applyAlignment="1">
      <alignment horizontal="center"/>
    </xf>
    <xf numFmtId="0" fontId="109" fillId="0" borderId="0" xfId="9396" applyFont="1" applyAlignment="1">
      <alignment horizontal="center" wrapText="1"/>
    </xf>
    <xf numFmtId="1" fontId="0" fillId="0" borderId="43" xfId="9445" applyNumberFormat="1" applyFont="1" applyBorder="1" applyAlignment="1">
      <alignment horizontal="center" vertical="center" wrapText="1"/>
    </xf>
    <xf numFmtId="0" fontId="29" fillId="0" borderId="0" xfId="0" applyFont="1" applyAlignment="1">
      <alignment horizontal="center" wrapText="1"/>
    </xf>
    <xf numFmtId="0" fontId="0" fillId="0" borderId="0" xfId="0" applyAlignment="1">
      <alignment horizontal="center" wrapText="1"/>
    </xf>
    <xf numFmtId="0" fontId="0" fillId="0" borderId="31" xfId="0" applyBorder="1" applyAlignment="1">
      <alignment horizontal="center" wrapText="1"/>
    </xf>
    <xf numFmtId="0" fontId="0" fillId="0" borderId="15" xfId="0" applyBorder="1" applyAlignment="1">
      <alignment horizontal="center" wrapText="1"/>
    </xf>
    <xf numFmtId="10" fontId="0" fillId="0" borderId="31" xfId="9445" applyNumberFormat="1" applyFont="1" applyBorder="1" applyAlignment="1">
      <alignment horizontal="center"/>
    </xf>
    <xf numFmtId="0" fontId="109" fillId="0" borderId="0" xfId="9396" applyFont="1" applyAlignment="1">
      <alignment horizontal="center" vertical="center"/>
    </xf>
    <xf numFmtId="173" fontId="118" fillId="65" borderId="0" xfId="9396" applyNumberFormat="1" applyFont="1" applyFill="1" applyAlignment="1">
      <alignment horizontal="center" vertical="center" wrapText="1"/>
    </xf>
    <xf numFmtId="0" fontId="118" fillId="0" borderId="0" xfId="9396" applyFont="1" applyAlignment="1">
      <alignment horizontal="center" vertical="center" wrapText="1"/>
    </xf>
    <xf numFmtId="10" fontId="109" fillId="0" borderId="0" xfId="9396" applyNumberFormat="1" applyFont="1" applyFill="1" applyAlignment="1">
      <alignment horizontal="center" vertical="center" wrapText="1"/>
    </xf>
    <xf numFmtId="0" fontId="70" fillId="0" borderId="53" xfId="9396" applyFont="1" applyBorder="1" applyAlignment="1">
      <alignment horizontal="center" vertical="center" wrapText="1"/>
    </xf>
    <xf numFmtId="0" fontId="109" fillId="0" borderId="54" xfId="9396" applyFont="1" applyBorder="1" applyAlignment="1">
      <alignment horizontal="center" vertical="center" wrapText="1"/>
    </xf>
    <xf numFmtId="0" fontId="109" fillId="0" borderId="55" xfId="9396" applyFont="1" applyBorder="1" applyAlignment="1">
      <alignment horizontal="center" vertical="center" wrapText="1"/>
    </xf>
    <xf numFmtId="0" fontId="113" fillId="0" borderId="35" xfId="0" applyFont="1" applyBorder="1" applyAlignment="1">
      <alignment horizontal="center" vertical="center" wrapText="1"/>
    </xf>
    <xf numFmtId="0" fontId="113" fillId="0" borderId="36" xfId="0" applyFont="1" applyBorder="1" applyAlignment="1">
      <alignment horizontal="center" vertical="center" wrapText="1"/>
    </xf>
    <xf numFmtId="0" fontId="113" fillId="0" borderId="37" xfId="0" applyFont="1" applyBorder="1" applyAlignment="1">
      <alignment horizontal="center" vertical="center" wrapText="1"/>
    </xf>
    <xf numFmtId="0" fontId="113" fillId="0" borderId="35" xfId="0" applyFont="1" applyFill="1" applyBorder="1" applyAlignment="1">
      <alignment horizontal="center" vertical="center" wrapText="1"/>
    </xf>
    <xf numFmtId="10" fontId="113" fillId="0" borderId="36" xfId="0" applyNumberFormat="1" applyFont="1" applyFill="1" applyBorder="1" applyAlignment="1">
      <alignment horizontal="center" vertical="center" wrapText="1"/>
    </xf>
    <xf numFmtId="10" fontId="113" fillId="0" borderId="37" xfId="0" applyNumberFormat="1" applyFont="1" applyFill="1" applyBorder="1" applyAlignment="1">
      <alignment horizontal="center" vertical="center" wrapText="1"/>
    </xf>
    <xf numFmtId="0" fontId="118" fillId="0" borderId="0" xfId="9396" applyFont="1" applyFill="1" applyAlignment="1">
      <alignment horizontal="center" vertical="center" wrapText="1"/>
    </xf>
    <xf numFmtId="0" fontId="109" fillId="0" borderId="0" xfId="9396" applyFont="1" applyFill="1" applyAlignment="1">
      <alignment horizontal="center" vertical="center" wrapText="1"/>
    </xf>
    <xf numFmtId="0" fontId="119" fillId="65" borderId="0" xfId="9396" applyFont="1" applyFill="1" applyAlignment="1">
      <alignment horizontal="center" vertical="center" wrapText="1"/>
    </xf>
    <xf numFmtId="10" fontId="118" fillId="0" borderId="0" xfId="9396" applyNumberFormat="1" applyFont="1" applyFill="1" applyAlignment="1">
      <alignment horizontal="center" vertical="center" wrapText="1"/>
    </xf>
    <xf numFmtId="0" fontId="30" fillId="0" borderId="1" xfId="9401" applyFont="1" applyBorder="1"/>
    <xf numFmtId="0" fontId="29" fillId="0" borderId="1" xfId="9398" applyFont="1" applyBorder="1" applyAlignment="1">
      <alignment horizontal="left" vertical="center"/>
    </xf>
    <xf numFmtId="0" fontId="30" fillId="0" borderId="1" xfId="9401" applyFont="1" applyBorder="1" applyAlignment="1">
      <alignment horizontal="center"/>
    </xf>
    <xf numFmtId="0" fontId="33" fillId="0" borderId="1" xfId="9401" applyFont="1" applyBorder="1" applyAlignment="1">
      <alignment horizontal="center"/>
    </xf>
    <xf numFmtId="10" fontId="29" fillId="0" borderId="1" xfId="9405" applyNumberFormat="1" applyFont="1" applyBorder="1" applyAlignment="1">
      <alignment horizontal="center"/>
    </xf>
    <xf numFmtId="0" fontId="0" fillId="0" borderId="0" xfId="9391" applyFont="1"/>
    <xf numFmtId="0" fontId="0" fillId="0" borderId="0" xfId="9392" applyFont="1"/>
    <xf numFmtId="0" fontId="29" fillId="0" borderId="0" xfId="0" applyFont="1" applyAlignment="1">
      <alignment horizontal="center"/>
    </xf>
    <xf numFmtId="0" fontId="0" fillId="0" borderId="0" xfId="0" applyAlignment="1">
      <alignment horizontal="center"/>
    </xf>
    <xf numFmtId="10" fontId="30" fillId="0" borderId="0" xfId="9393" applyNumberFormat="1" applyFont="1" applyFill="1" applyAlignment="1">
      <alignment horizontal="right"/>
    </xf>
    <xf numFmtId="0" fontId="29" fillId="0" borderId="0" xfId="0" applyFont="1" applyAlignment="1">
      <alignment horizontal="centerContinuous"/>
    </xf>
    <xf numFmtId="0" fontId="117" fillId="0" borderId="0" xfId="0" applyFont="1"/>
    <xf numFmtId="0" fontId="117" fillId="0" borderId="52" xfId="0" applyFont="1" applyBorder="1"/>
    <xf numFmtId="0" fontId="29" fillId="0" borderId="52" xfId="0" applyFont="1" applyBorder="1"/>
    <xf numFmtId="0" fontId="29" fillId="0" borderId="52" xfId="0" applyFont="1" applyBorder="1" applyAlignment="1">
      <alignment horizontal="center"/>
    </xf>
    <xf numFmtId="0" fontId="29" fillId="0" borderId="15" xfId="0" applyFont="1" applyBorder="1" applyAlignment="1">
      <alignment horizontal="center"/>
    </xf>
    <xf numFmtId="164" fontId="29" fillId="0" borderId="0" xfId="19" applyNumberFormat="1" applyFont="1" applyAlignment="1">
      <alignment horizontal="center"/>
    </xf>
    <xf numFmtId="2" fontId="29" fillId="0" borderId="15" xfId="9411" applyNumberFormat="1" applyFont="1" applyFill="1" applyBorder="1" applyAlignment="1">
      <alignment horizontal="center"/>
    </xf>
    <xf numFmtId="182" fontId="29" fillId="0" borderId="0" xfId="0" applyNumberFormat="1" applyFont="1" applyAlignment="1">
      <alignment horizontal="center"/>
    </xf>
    <xf numFmtId="10" fontId="29" fillId="0" borderId="0" xfId="9446" applyNumberFormat="1" applyFont="1" applyFill="1" applyAlignment="1">
      <alignment horizontal="center"/>
    </xf>
    <xf numFmtId="182" fontId="29" fillId="0" borderId="0" xfId="19" applyNumberFormat="1" applyFont="1" applyAlignment="1">
      <alignment horizontal="center"/>
    </xf>
    <xf numFmtId="0" fontId="0" fillId="0" borderId="0" xfId="0" applyAlignment="1">
      <alignment horizontal="center" vertical="center"/>
    </xf>
    <xf numFmtId="10" fontId="29" fillId="0" borderId="0" xfId="9446" applyNumberFormat="1" applyFont="1" applyFill="1" applyBorder="1" applyAlignment="1">
      <alignment horizontal="center"/>
    </xf>
    <xf numFmtId="2" fontId="29" fillId="0" borderId="0" xfId="0" applyNumberFormat="1" applyFont="1" applyAlignment="1">
      <alignment horizontal="center"/>
    </xf>
    <xf numFmtId="9" fontId="29" fillId="0" borderId="0" xfId="9446" applyFont="1" applyFill="1"/>
    <xf numFmtId="10" fontId="29" fillId="0" borderId="0" xfId="9446" applyNumberFormat="1" applyFont="1" applyFill="1"/>
    <xf numFmtId="182" fontId="0" fillId="0" borderId="0" xfId="9412" applyNumberFormat="1" applyFont="1" applyFill="1"/>
    <xf numFmtId="164" fontId="29" fillId="0" borderId="0" xfId="0" applyNumberFormat="1" applyFont="1"/>
    <xf numFmtId="182" fontId="29" fillId="0" borderId="0" xfId="0" applyNumberFormat="1" applyFont="1"/>
    <xf numFmtId="43" fontId="29" fillId="0" borderId="0" xfId="9411" applyFont="1" applyFill="1"/>
    <xf numFmtId="0" fontId="0" fillId="0" borderId="0" xfId="0" applyAlignment="1">
      <alignment horizontal="centerContinuous"/>
    </xf>
    <xf numFmtId="0" fontId="107" fillId="0" borderId="0" xfId="0" applyFont="1" applyAlignment="1">
      <alignment horizontal="centerContinuous"/>
    </xf>
    <xf numFmtId="0" fontId="120" fillId="0" borderId="0" xfId="0" applyFont="1"/>
    <xf numFmtId="0" fontId="0" fillId="0" borderId="52" xfId="0" applyBorder="1" applyAlignment="1">
      <alignment horizontal="center"/>
    </xf>
    <xf numFmtId="0" fontId="0" fillId="0" borderId="52" xfId="0" applyBorder="1"/>
    <xf numFmtId="0" fontId="120" fillId="0" borderId="0" xfId="0" applyFont="1" applyAlignment="1">
      <alignment horizontal="center"/>
    </xf>
    <xf numFmtId="0" fontId="0" fillId="0" borderId="48" xfId="0" applyBorder="1"/>
    <xf numFmtId="10" fontId="29" fillId="0" borderId="48" xfId="9446" applyNumberFormat="1" applyFont="1" applyFill="1" applyBorder="1" applyAlignment="1">
      <alignment horizontal="center"/>
    </xf>
    <xf numFmtId="2" fontId="29" fillId="0" borderId="31" xfId="0" applyNumberFormat="1" applyFont="1" applyBorder="1" applyAlignment="1">
      <alignment horizontal="center"/>
    </xf>
    <xf numFmtId="0" fontId="109" fillId="0" borderId="0" xfId="9396" applyFont="1" applyAlignment="1">
      <alignment horizontal="center" wrapText="1"/>
    </xf>
    <xf numFmtId="0" fontId="29" fillId="0" borderId="0" xfId="9388" applyFont="1" applyBorder="1" applyAlignment="1">
      <alignment horizontal="center"/>
    </xf>
    <xf numFmtId="0" fontId="29" fillId="0" borderId="0" xfId="9388" applyFont="1" applyBorder="1" applyAlignment="1">
      <alignment horizontal="center"/>
    </xf>
    <xf numFmtId="0" fontId="29" fillId="0" borderId="0" xfId="0" applyFont="1" applyAlignment="1">
      <alignment horizontal="center"/>
    </xf>
    <xf numFmtId="0" fontId="30" fillId="0" borderId="0" xfId="9401" applyFont="1" applyAlignment="1">
      <alignment horizontal="center"/>
    </xf>
    <xf numFmtId="0" fontId="33" fillId="0" borderId="43" xfId="18" applyFont="1" applyBorder="1" applyAlignment="1">
      <alignment horizontal="center" wrapText="1"/>
    </xf>
    <xf numFmtId="0" fontId="30" fillId="0" borderId="0" xfId="0" applyFont="1" applyFill="1" applyAlignment="1">
      <alignment horizontal="center"/>
    </xf>
    <xf numFmtId="0" fontId="29" fillId="0" borderId="59" xfId="0" applyFont="1" applyBorder="1"/>
    <xf numFmtId="0" fontId="29" fillId="0" borderId="59" xfId="0" applyFont="1" applyBorder="1" applyAlignment="1">
      <alignment horizontal="center"/>
    </xf>
    <xf numFmtId="164" fontId="29" fillId="0" borderId="59" xfId="0" applyNumberFormat="1" applyFont="1" applyBorder="1" applyAlignment="1">
      <alignment horizontal="center"/>
    </xf>
    <xf numFmtId="10" fontId="29" fillId="0" borderId="59" xfId="0" applyNumberFormat="1" applyFont="1" applyBorder="1" applyAlignment="1">
      <alignment horizontal="center"/>
    </xf>
    <xf numFmtId="0" fontId="0" fillId="0" borderId="0" xfId="0" applyFont="1" applyBorder="1"/>
    <xf numFmtId="0" fontId="29" fillId="0" borderId="0" xfId="0" applyFont="1" applyAlignment="1">
      <alignment horizontal="left"/>
    </xf>
    <xf numFmtId="0" fontId="0" fillId="0" borderId="31" xfId="9388" applyFont="1" applyBorder="1"/>
    <xf numFmtId="10" fontId="29" fillId="0" borderId="0" xfId="7610" applyNumberFormat="1" applyFont="1" applyFill="1" applyBorder="1" applyAlignment="1">
      <alignment horizontal="center"/>
    </xf>
    <xf numFmtId="10" fontId="29" fillId="0" borderId="15" xfId="7610" applyNumberFormat="1" applyFont="1" applyFill="1" applyBorder="1" applyAlignment="1">
      <alignment horizontal="center"/>
    </xf>
    <xf numFmtId="0" fontId="29" fillId="0" borderId="15" xfId="0" applyFont="1" applyBorder="1" applyAlignment="1">
      <alignment horizontal="left"/>
    </xf>
    <xf numFmtId="0" fontId="29" fillId="0" borderId="0" xfId="3162" applyBorder="1"/>
    <xf numFmtId="0" fontId="30" fillId="0" borderId="0" xfId="7147" applyBorder="1" applyAlignment="1">
      <alignment horizontal="center"/>
    </xf>
    <xf numFmtId="0" fontId="70" fillId="0" borderId="0" xfId="9396" applyFont="1" applyFill="1" applyAlignment="1">
      <alignment horizontal="left" vertical="center"/>
    </xf>
    <xf numFmtId="10" fontId="109" fillId="0" borderId="36" xfId="9396" applyNumberFormat="1" applyFont="1" applyFill="1" applyBorder="1" applyAlignment="1">
      <alignment horizontal="center" vertical="center" wrapText="1"/>
    </xf>
    <xf numFmtId="10" fontId="109" fillId="0" borderId="37" xfId="9396" applyNumberFormat="1" applyFont="1" applyFill="1" applyBorder="1" applyAlignment="1">
      <alignment horizontal="center" vertical="center" wrapText="1"/>
    </xf>
    <xf numFmtId="181" fontId="30" fillId="0" borderId="0" xfId="9391" applyNumberFormat="1" applyFill="1"/>
    <xf numFmtId="10" fontId="29" fillId="0" borderId="0" xfId="9391" applyNumberFormat="1" applyFont="1" applyFill="1"/>
    <xf numFmtId="10" fontId="30" fillId="0" borderId="0" xfId="9391" applyNumberFormat="1" applyFill="1"/>
    <xf numFmtId="0" fontId="0" fillId="0" borderId="0" xfId="9407" applyFont="1" applyFill="1"/>
    <xf numFmtId="0" fontId="0" fillId="0" borderId="0" xfId="9398" applyFont="1" applyAlignment="1">
      <alignment horizontal="center"/>
    </xf>
    <xf numFmtId="0" fontId="29" fillId="0" borderId="0" xfId="9397" applyFont="1" applyAlignment="1">
      <alignment horizontal="left"/>
    </xf>
    <xf numFmtId="0" fontId="0" fillId="0" borderId="0" xfId="9398" applyFont="1" applyBorder="1" applyAlignment="1">
      <alignment horizontal="center"/>
    </xf>
    <xf numFmtId="0" fontId="30" fillId="0" borderId="0" xfId="9407" applyBorder="1"/>
    <xf numFmtId="0" fontId="30" fillId="0" borderId="0" xfId="9407" applyBorder="1" applyAlignment="1">
      <alignment horizontal="left"/>
    </xf>
    <xf numFmtId="0" fontId="30" fillId="0" borderId="0" xfId="9407" applyFill="1" applyBorder="1"/>
    <xf numFmtId="0" fontId="29" fillId="0" borderId="0" xfId="18" applyFont="1" applyAlignment="1">
      <alignment horizontal="left"/>
    </xf>
    <xf numFmtId="0" fontId="29" fillId="0" borderId="0" xfId="18" applyFont="1" applyFill="1" applyAlignment="1">
      <alignment horizontal="left"/>
    </xf>
    <xf numFmtId="0" fontId="29" fillId="0" borderId="0" xfId="18" applyFont="1" applyFill="1" applyAlignment="1">
      <alignment horizontal="center"/>
    </xf>
    <xf numFmtId="0" fontId="29" fillId="0" borderId="0" xfId="18" applyFont="1" applyFill="1" applyAlignment="1">
      <alignment horizontal="left" wrapText="1"/>
    </xf>
    <xf numFmtId="0" fontId="29" fillId="0" borderId="0" xfId="9398" applyFont="1" applyFill="1" applyAlignment="1">
      <alignment horizontal="center"/>
    </xf>
    <xf numFmtId="0" fontId="29" fillId="0" borderId="0" xfId="9407" applyFont="1" applyFill="1" applyAlignment="1">
      <alignment horizontal="left" wrapText="1"/>
    </xf>
    <xf numFmtId="0" fontId="29" fillId="0" borderId="0" xfId="9407" applyFont="1" applyFill="1" applyAlignment="1">
      <alignment horizontal="center" wrapText="1"/>
    </xf>
    <xf numFmtId="0" fontId="29" fillId="0" borderId="0" xfId="9407" applyFont="1"/>
    <xf numFmtId="0" fontId="29" fillId="0" borderId="0" xfId="9407" applyFont="1" applyFill="1"/>
    <xf numFmtId="0" fontId="29" fillId="0" borderId="0" xfId="9407" applyFont="1" applyFill="1" applyAlignment="1">
      <alignment horizontal="center"/>
    </xf>
    <xf numFmtId="0" fontId="29" fillId="0" borderId="0" xfId="9397" applyFont="1" applyFill="1" applyAlignment="1">
      <alignment horizontal="center"/>
    </xf>
    <xf numFmtId="0" fontId="29" fillId="0" borderId="0" xfId="9407" applyFont="1" applyFill="1" applyAlignment="1">
      <alignment horizontal="left"/>
    </xf>
    <xf numFmtId="0" fontId="29" fillId="0" borderId="0" xfId="9407" applyFont="1" applyAlignment="1">
      <alignment horizontal="center"/>
    </xf>
    <xf numFmtId="0" fontId="30" fillId="0" borderId="0" xfId="0" applyFont="1" applyFill="1" applyAlignment="1">
      <alignment horizontal="center" wrapText="1"/>
    </xf>
    <xf numFmtId="0" fontId="107" fillId="0" borderId="0" xfId="9443" applyFont="1" applyFill="1" applyAlignment="1">
      <alignment horizontal="center" wrapText="1"/>
    </xf>
    <xf numFmtId="0" fontId="116" fillId="0" borderId="15" xfId="0" applyFont="1" applyFill="1" applyBorder="1"/>
    <xf numFmtId="0" fontId="116" fillId="0" borderId="15" xfId="0" applyFont="1" applyFill="1" applyBorder="1" applyAlignment="1">
      <alignment horizontal="center"/>
    </xf>
    <xf numFmtId="0" fontId="29" fillId="0" borderId="15" xfId="6640" applyFill="1" applyBorder="1" applyAlignment="1">
      <alignment horizontal="center" wrapText="1"/>
    </xf>
    <xf numFmtId="0" fontId="30" fillId="0" borderId="15" xfId="0" applyFont="1" applyFill="1" applyBorder="1" applyAlignment="1">
      <alignment horizontal="center"/>
    </xf>
    <xf numFmtId="0" fontId="30" fillId="0" borderId="15" xfId="0" applyFont="1" applyFill="1" applyBorder="1"/>
    <xf numFmtId="1" fontId="116" fillId="0" borderId="0" xfId="0" applyNumberFormat="1" applyFont="1" applyFill="1" applyAlignment="1">
      <alignment horizontal="left" wrapText="1"/>
    </xf>
    <xf numFmtId="0" fontId="116" fillId="0" borderId="0" xfId="7147" applyFont="1" applyFill="1" applyAlignment="1">
      <alignment horizontal="center"/>
    </xf>
    <xf numFmtId="0" fontId="30" fillId="0" borderId="0" xfId="0" applyFont="1" applyFill="1"/>
    <xf numFmtId="0" fontId="30" fillId="0" borderId="0" xfId="0" applyFont="1" applyFill="1" applyAlignment="1">
      <alignment horizontal="left" wrapText="1"/>
    </xf>
    <xf numFmtId="0" fontId="30" fillId="0" borderId="0" xfId="7147" applyFill="1" applyAlignment="1">
      <alignment horizontal="center"/>
    </xf>
    <xf numFmtId="0" fontId="30" fillId="0" borderId="0" xfId="9443" applyFont="1" applyFill="1"/>
    <xf numFmtId="10" fontId="30" fillId="0" borderId="0" xfId="0" applyNumberFormat="1" applyFont="1" applyFill="1" applyAlignment="1">
      <alignment horizontal="center"/>
    </xf>
    <xf numFmtId="0" fontId="116" fillId="0" borderId="0" xfId="0" applyFont="1" applyFill="1" applyAlignment="1">
      <alignment horizontal="left" wrapText="1"/>
    </xf>
    <xf numFmtId="0" fontId="116" fillId="0" borderId="0" xfId="9439" applyFont="1" applyFill="1" applyAlignment="1">
      <alignment horizontal="left" wrapText="1"/>
    </xf>
    <xf numFmtId="10" fontId="30" fillId="0" borderId="0" xfId="9439" applyNumberFormat="1" applyFont="1" applyFill="1" applyAlignment="1">
      <alignment horizontal="center"/>
    </xf>
    <xf numFmtId="0" fontId="30" fillId="0" borderId="48" xfId="3579" applyFont="1" applyFill="1" applyBorder="1"/>
    <xf numFmtId="0" fontId="30" fillId="0" borderId="48" xfId="3579" applyFont="1" applyFill="1" applyBorder="1" applyAlignment="1">
      <alignment horizontal="center"/>
    </xf>
    <xf numFmtId="10" fontId="30" fillId="0" borderId="48" xfId="9439" applyNumberFormat="1" applyFont="1" applyFill="1" applyBorder="1" applyAlignment="1">
      <alignment horizontal="center"/>
    </xf>
    <xf numFmtId="0" fontId="30" fillId="0" borderId="0" xfId="3579" applyFont="1" applyFill="1"/>
    <xf numFmtId="0" fontId="30" fillId="0" borderId="0" xfId="3579" applyFont="1" applyFill="1" applyAlignment="1">
      <alignment horizontal="center"/>
    </xf>
    <xf numFmtId="0" fontId="30" fillId="0" borderId="31" xfId="3579" applyFont="1" applyFill="1" applyBorder="1"/>
    <xf numFmtId="0" fontId="30" fillId="0" borderId="31" xfId="3579" applyFont="1" applyFill="1" applyBorder="1" applyAlignment="1">
      <alignment horizontal="center"/>
    </xf>
    <xf numFmtId="10" fontId="30" fillId="0" borderId="31" xfId="9439" applyNumberFormat="1" applyFont="1" applyFill="1" applyBorder="1" applyAlignment="1">
      <alignment horizontal="center"/>
    </xf>
    <xf numFmtId="0" fontId="116" fillId="0" borderId="0" xfId="3579" applyFont="1" applyFill="1"/>
    <xf numFmtId="0" fontId="116" fillId="0" borderId="0" xfId="3579" applyFont="1" applyFill="1" applyAlignment="1">
      <alignment horizontal="center"/>
    </xf>
    <xf numFmtId="0" fontId="107" fillId="0" borderId="0" xfId="0" applyFont="1" applyFill="1" applyAlignment="1">
      <alignment horizontal="center" wrapText="1"/>
    </xf>
    <xf numFmtId="0" fontId="114" fillId="0" borderId="0" xfId="0" applyFont="1" applyFill="1"/>
    <xf numFmtId="0" fontId="30" fillId="0" borderId="0" xfId="9443" applyFont="1" applyFill="1" applyAlignment="1">
      <alignment horizontal="center" wrapText="1"/>
    </xf>
    <xf numFmtId="0" fontId="30" fillId="0" borderId="0" xfId="0" applyFont="1" applyAlignment="1">
      <alignment horizontal="left" wrapText="1"/>
    </xf>
    <xf numFmtId="1" fontId="30" fillId="0" borderId="0" xfId="0" applyNumberFormat="1" applyFont="1" applyAlignment="1">
      <alignment horizontal="left"/>
    </xf>
    <xf numFmtId="10" fontId="30" fillId="0" borderId="0" xfId="1" applyNumberFormat="1" applyFont="1" applyBorder="1" applyAlignment="1">
      <alignment horizontal="center"/>
    </xf>
    <xf numFmtId="10" fontId="29" fillId="0" borderId="0" xfId="1" applyNumberFormat="1" applyFont="1" applyBorder="1"/>
    <xf numFmtId="10" fontId="30" fillId="0" borderId="0" xfId="0" applyNumberFormat="1" applyFont="1"/>
    <xf numFmtId="0" fontId="29" fillId="0" borderId="48" xfId="3579" applyBorder="1"/>
    <xf numFmtId="10" fontId="29" fillId="0" borderId="48" xfId="1" applyNumberFormat="1" applyFont="1" applyBorder="1"/>
    <xf numFmtId="1" fontId="0" fillId="0" borderId="0" xfId="0" applyNumberFormat="1" applyAlignment="1">
      <alignment horizontal="left"/>
    </xf>
    <xf numFmtId="1" fontId="121" fillId="0" borderId="0" xfId="0" applyNumberFormat="1" applyFont="1" applyAlignment="1">
      <alignment horizontal="left"/>
    </xf>
    <xf numFmtId="0" fontId="29" fillId="0" borderId="0" xfId="0" applyFont="1" applyAlignment="1">
      <alignment horizontal="center"/>
    </xf>
    <xf numFmtId="0" fontId="33" fillId="0" borderId="0" xfId="9388" applyFont="1"/>
    <xf numFmtId="0" fontId="29" fillId="0" borderId="0" xfId="3579" applyFill="1" applyAlignment="1">
      <alignment horizontal="centerContinuous"/>
    </xf>
    <xf numFmtId="0" fontId="29" fillId="0" borderId="0" xfId="3579" applyFill="1"/>
    <xf numFmtId="0" fontId="29" fillId="0" borderId="43" xfId="3579" applyFill="1" applyBorder="1"/>
    <xf numFmtId="0" fontId="29" fillId="0" borderId="0" xfId="3579" quotePrefix="1" applyFill="1" applyAlignment="1">
      <alignment horizontal="center"/>
    </xf>
    <xf numFmtId="0" fontId="29" fillId="0" borderId="0" xfId="3579" applyFill="1" applyAlignment="1">
      <alignment horizontal="center"/>
    </xf>
    <xf numFmtId="0" fontId="29" fillId="0" borderId="48" xfId="3579" applyFill="1" applyBorder="1" applyAlignment="1">
      <alignment horizontal="center"/>
    </xf>
    <xf numFmtId="0" fontId="29" fillId="0" borderId="31" xfId="3579" applyFill="1" applyBorder="1" applyAlignment="1">
      <alignment horizontal="center"/>
    </xf>
    <xf numFmtId="0" fontId="29" fillId="0" borderId="0" xfId="0" applyFont="1" applyAlignment="1">
      <alignment horizontal="left" vertical="center"/>
    </xf>
    <xf numFmtId="0" fontId="30" fillId="0" borderId="0" xfId="9391" applyAlignment="1">
      <alignment horizontal="left"/>
    </xf>
    <xf numFmtId="0" fontId="30" fillId="0" borderId="0" xfId="0" applyFont="1" applyFill="1" applyAlignment="1">
      <alignment horizontal="center"/>
    </xf>
    <xf numFmtId="10" fontId="30" fillId="0" borderId="0" xfId="7610" applyNumberFormat="1" applyFont="1" applyFill="1" applyBorder="1" applyAlignment="1">
      <alignment horizontal="center"/>
    </xf>
    <xf numFmtId="0" fontId="30" fillId="0" borderId="31" xfId="9391" applyBorder="1" applyAlignment="1">
      <alignment horizontal="left"/>
    </xf>
    <xf numFmtId="0" fontId="30" fillId="0" borderId="31" xfId="9391" applyBorder="1"/>
    <xf numFmtId="4" fontId="30" fillId="0" borderId="31" xfId="9391" applyNumberFormat="1" applyBorder="1" applyAlignment="1">
      <alignment horizontal="center"/>
    </xf>
    <xf numFmtId="10" fontId="30" fillId="0" borderId="0" xfId="1" applyNumberFormat="1" applyFont="1"/>
    <xf numFmtId="0" fontId="0" fillId="0" borderId="0" xfId="9392" applyFont="1" applyFill="1" applyAlignment="1">
      <alignment horizontal="left" indent="1"/>
    </xf>
    <xf numFmtId="0" fontId="107" fillId="0" borderId="0" xfId="9443" applyFont="1" applyFill="1" applyAlignment="1">
      <alignment horizontal="center"/>
    </xf>
    <xf numFmtId="0" fontId="107" fillId="0" borderId="0" xfId="9443" applyFont="1" applyAlignment="1">
      <alignment horizontal="center"/>
    </xf>
    <xf numFmtId="0" fontId="116" fillId="0" borderId="15" xfId="0" applyFont="1" applyBorder="1" applyAlignment="1"/>
    <xf numFmtId="0" fontId="29" fillId="0" borderId="15" xfId="6640" applyBorder="1" applyAlignment="1">
      <alignment horizontal="center"/>
    </xf>
    <xf numFmtId="0" fontId="30" fillId="0" borderId="15" xfId="0" applyFont="1" applyBorder="1" applyAlignment="1"/>
    <xf numFmtId="0" fontId="30" fillId="0" borderId="0" xfId="0" applyFont="1" applyAlignment="1"/>
    <xf numFmtId="0" fontId="30" fillId="0" borderId="0" xfId="9443" applyFont="1" applyAlignment="1"/>
    <xf numFmtId="0" fontId="29" fillId="0" borderId="0" xfId="0" applyFont="1" applyAlignment="1"/>
    <xf numFmtId="0" fontId="29" fillId="0" borderId="0" xfId="9398" applyFont="1" applyAlignment="1"/>
    <xf numFmtId="0" fontId="116" fillId="0" borderId="0" xfId="0" applyFont="1" applyAlignment="1">
      <alignment horizontal="left"/>
    </xf>
    <xf numFmtId="0" fontId="116" fillId="0" borderId="0" xfId="9439" applyFont="1" applyAlignment="1">
      <alignment horizontal="left"/>
    </xf>
    <xf numFmtId="0" fontId="30" fillId="0" borderId="0" xfId="9439" applyFont="1" applyAlignment="1">
      <alignment horizontal="left"/>
    </xf>
    <xf numFmtId="0" fontId="30" fillId="0" borderId="48" xfId="3579" applyFont="1" applyBorder="1" applyAlignment="1"/>
    <xf numFmtId="0" fontId="30" fillId="0" borderId="0" xfId="3579" applyFont="1" applyAlignment="1"/>
    <xf numFmtId="0" fontId="30" fillId="0" borderId="31" xfId="3579" applyFont="1" applyBorder="1" applyAlignment="1"/>
    <xf numFmtId="0" fontId="116" fillId="0" borderId="0" xfId="3579" applyFont="1" applyAlignment="1"/>
    <xf numFmtId="0" fontId="107" fillId="0" borderId="0" xfId="0" applyFont="1" applyAlignment="1">
      <alignment horizontal="center"/>
    </xf>
    <xf numFmtId="0" fontId="114" fillId="0" borderId="0" xfId="0" applyFont="1" applyAlignment="1"/>
    <xf numFmtId="10" fontId="29" fillId="0" borderId="0" xfId="1" applyNumberFormat="1" applyFont="1" applyFill="1" applyAlignment="1">
      <alignment horizontal="center"/>
    </xf>
    <xf numFmtId="0" fontId="29" fillId="0" borderId="0" xfId="9388" applyFont="1" applyFill="1"/>
    <xf numFmtId="0" fontId="30" fillId="0" borderId="43" xfId="9388" applyFill="1" applyBorder="1" applyAlignment="1">
      <alignment horizontal="center" wrapText="1"/>
    </xf>
    <xf numFmtId="0" fontId="29" fillId="0" borderId="59" xfId="0" applyFont="1" applyFill="1" applyBorder="1" applyAlignment="1">
      <alignment horizontal="center"/>
    </xf>
    <xf numFmtId="0" fontId="29" fillId="0" borderId="0" xfId="0" applyFont="1" applyFill="1" applyAlignment="1">
      <alignment horizontal="center"/>
    </xf>
    <xf numFmtId="0" fontId="29" fillId="0" borderId="43" xfId="9388" applyFont="1" applyFill="1" applyBorder="1"/>
    <xf numFmtId="0" fontId="29" fillId="0" borderId="43" xfId="9388" applyFont="1" applyFill="1" applyBorder="1" applyAlignment="1">
      <alignment horizontal="center"/>
    </xf>
    <xf numFmtId="0" fontId="30" fillId="0" borderId="43" xfId="9388" applyFill="1" applyBorder="1" applyAlignment="1">
      <alignment horizontal="center"/>
    </xf>
    <xf numFmtId="0" fontId="0" fillId="0" borderId="43" xfId="9388" applyFont="1" applyFill="1" applyBorder="1" applyAlignment="1">
      <alignment horizontal="center" wrapText="1"/>
    </xf>
    <xf numFmtId="0" fontId="29" fillId="0" borderId="59" xfId="0" applyFont="1" applyFill="1" applyBorder="1"/>
    <xf numFmtId="10" fontId="29" fillId="0" borderId="59" xfId="1" applyNumberFormat="1" applyFont="1" applyFill="1" applyBorder="1" applyAlignment="1">
      <alignment horizontal="center"/>
    </xf>
    <xf numFmtId="10" fontId="29" fillId="66" borderId="0" xfId="1" applyNumberFormat="1" applyFont="1" applyFill="1" applyAlignment="1">
      <alignment horizontal="center"/>
    </xf>
    <xf numFmtId="172" fontId="29" fillId="0" borderId="0" xfId="9388" applyNumberFormat="1" applyFont="1"/>
    <xf numFmtId="183" fontId="30" fillId="0" borderId="0" xfId="9407" applyNumberFormat="1"/>
    <xf numFmtId="0" fontId="107" fillId="0" borderId="0" xfId="0" applyFont="1" applyAlignment="1">
      <alignment horizontal="center" wrapText="1"/>
    </xf>
    <xf numFmtId="0" fontId="29" fillId="0" borderId="0" xfId="9388" applyFont="1" applyBorder="1" applyAlignment="1">
      <alignment horizontal="center"/>
    </xf>
    <xf numFmtId="0" fontId="29" fillId="0" borderId="0" xfId="0" applyFont="1" applyAlignment="1">
      <alignment horizontal="center"/>
    </xf>
    <xf numFmtId="0" fontId="29" fillId="0" borderId="0" xfId="18" applyFont="1" applyFill="1"/>
    <xf numFmtId="0" fontId="0" fillId="0" borderId="0" xfId="7147" applyFont="1" applyAlignment="1">
      <alignment horizontal="center"/>
    </xf>
    <xf numFmtId="0" fontId="0" fillId="0" borderId="0" xfId="9401" applyFont="1" applyFill="1" applyBorder="1" applyAlignment="1">
      <alignment horizontal="left"/>
    </xf>
    <xf numFmtId="0" fontId="0" fillId="0" borderId="0" xfId="9401" applyFont="1" applyFill="1" applyAlignment="1">
      <alignment horizontal="left"/>
    </xf>
    <xf numFmtId="0" fontId="0" fillId="0" borderId="0" xfId="9398" applyFont="1" applyFill="1" applyBorder="1" applyAlignment="1">
      <alignment horizontal="center"/>
    </xf>
    <xf numFmtId="172" fontId="0" fillId="0" borderId="0" xfId="0" applyNumberFormat="1"/>
    <xf numFmtId="0" fontId="0" fillId="0" borderId="31" xfId="3579" applyFont="1" applyBorder="1" applyAlignment="1"/>
    <xf numFmtId="10" fontId="0" fillId="0" borderId="0" xfId="9445" applyNumberFormat="1" applyFont="1" applyFill="1" applyAlignment="1">
      <alignment horizontal="center"/>
    </xf>
    <xf numFmtId="1" fontId="33" fillId="0" borderId="0" xfId="9448" applyNumberFormat="1" applyFont="1"/>
    <xf numFmtId="2" fontId="33" fillId="0" borderId="0" xfId="9448" applyNumberFormat="1" applyFont="1"/>
    <xf numFmtId="184" fontId="33" fillId="0" borderId="0" xfId="9448" applyFont="1"/>
    <xf numFmtId="172" fontId="29" fillId="0" borderId="0" xfId="9449" applyNumberFormat="1"/>
    <xf numFmtId="184" fontId="122" fillId="0" borderId="0" xfId="9448" applyFont="1"/>
    <xf numFmtId="184" fontId="29" fillId="0" borderId="0" xfId="9448" applyBorder="1"/>
    <xf numFmtId="164" fontId="29" fillId="0" borderId="0" xfId="9448" applyNumberFormat="1" applyBorder="1" applyAlignment="1">
      <alignment horizontal="right"/>
    </xf>
    <xf numFmtId="14" fontId="33" fillId="0" borderId="0" xfId="9448" applyNumberFormat="1" applyFont="1" applyAlignment="1">
      <alignment horizontal="left"/>
    </xf>
    <xf numFmtId="10" fontId="33" fillId="0" borderId="0" xfId="9448" applyNumberFormat="1" applyFont="1" applyBorder="1" applyAlignment="1">
      <alignment horizontal="left"/>
    </xf>
    <xf numFmtId="184" fontId="33" fillId="0" borderId="0" xfId="9448" applyFont="1" applyAlignment="1">
      <alignment horizontal="left"/>
    </xf>
    <xf numFmtId="184" fontId="33" fillId="0" borderId="0" xfId="9448" applyFont="1" applyBorder="1"/>
    <xf numFmtId="164" fontId="33" fillId="0" borderId="0" xfId="9448" applyNumberFormat="1" applyFont="1" applyBorder="1" applyAlignment="1">
      <alignment horizontal="right"/>
    </xf>
    <xf numFmtId="0" fontId="123" fillId="0" borderId="0" xfId="0" applyFont="1" applyAlignment="1">
      <alignment horizontal="left"/>
    </xf>
    <xf numFmtId="10" fontId="124" fillId="0" borderId="0" xfId="0" applyNumberFormat="1" applyFont="1" applyAlignment="1">
      <alignment horizontal="center"/>
    </xf>
    <xf numFmtId="0" fontId="124" fillId="0" borderId="0" xfId="0" applyFont="1" applyAlignment="1">
      <alignment horizontal="center"/>
    </xf>
    <xf numFmtId="0" fontId="124" fillId="0" borderId="0" xfId="0" applyFont="1"/>
    <xf numFmtId="0" fontId="125" fillId="0" borderId="0" xfId="0" applyFont="1"/>
    <xf numFmtId="0" fontId="123" fillId="0" borderId="0" xfId="0" applyFont="1" applyAlignment="1">
      <alignment horizontal="center"/>
    </xf>
    <xf numFmtId="10" fontId="123" fillId="0" borderId="0" xfId="0" applyNumberFormat="1" applyFont="1" applyAlignment="1">
      <alignment horizontal="center"/>
    </xf>
    <xf numFmtId="17" fontId="123" fillId="0" borderId="0" xfId="0" applyNumberFormat="1" applyFont="1" applyAlignment="1">
      <alignment horizontal="left"/>
    </xf>
    <xf numFmtId="10" fontId="58" fillId="0" borderId="0" xfId="0" applyNumberFormat="1" applyFont="1" applyAlignment="1">
      <alignment horizontal="center"/>
    </xf>
    <xf numFmtId="1" fontId="123" fillId="0" borderId="0" xfId="0" applyNumberFormat="1" applyFont="1" applyAlignment="1">
      <alignment horizontal="left"/>
    </xf>
    <xf numFmtId="1" fontId="123" fillId="0" borderId="0" xfId="0" applyNumberFormat="1" applyFont="1" applyAlignment="1">
      <alignment horizontal="center"/>
    </xf>
    <xf numFmtId="10" fontId="124" fillId="0" borderId="0" xfId="0" applyNumberFormat="1" applyFont="1" applyAlignment="1">
      <alignment horizontal="right"/>
    </xf>
    <xf numFmtId="0" fontId="124" fillId="0" borderId="0" xfId="0" applyFont="1" applyAlignment="1">
      <alignment horizontal="left"/>
    </xf>
    <xf numFmtId="185" fontId="125" fillId="0" borderId="0" xfId="0" applyNumberFormat="1" applyFont="1"/>
    <xf numFmtId="0" fontId="107" fillId="0" borderId="0" xfId="0" applyFont="1"/>
    <xf numFmtId="1" fontId="29" fillId="0" borderId="0" xfId="0" applyNumberFormat="1" applyFont="1"/>
    <xf numFmtId="2" fontId="33" fillId="0" borderId="0" xfId="9448" applyNumberFormat="1" applyFont="1" applyAlignment="1">
      <alignment horizontal="right"/>
    </xf>
    <xf numFmtId="10" fontId="33" fillId="0" borderId="0" xfId="9448" applyNumberFormat="1" applyFont="1" applyAlignment="1">
      <alignment horizontal="right"/>
    </xf>
    <xf numFmtId="1" fontId="33" fillId="0" borderId="0" xfId="9448" applyNumberFormat="1" applyFont="1" applyAlignment="1">
      <alignment horizontal="right"/>
    </xf>
    <xf numFmtId="1" fontId="107" fillId="0" borderId="0" xfId="0" applyNumberFormat="1" applyFont="1" applyAlignment="1">
      <alignment horizontal="center"/>
    </xf>
    <xf numFmtId="10" fontId="33" fillId="0" borderId="0" xfId="9448" applyNumberFormat="1" applyFont="1"/>
    <xf numFmtId="10" fontId="107" fillId="0" borderId="0" xfId="0" applyNumberFormat="1" applyFont="1" applyAlignment="1">
      <alignment horizontal="center"/>
    </xf>
    <xf numFmtId="164" fontId="32" fillId="0" borderId="0" xfId="9448" applyNumberFormat="1" applyFont="1" applyBorder="1" applyAlignment="1">
      <alignment horizontal="right"/>
    </xf>
    <xf numFmtId="184" fontId="32" fillId="0" borderId="0" xfId="9448" applyFont="1"/>
    <xf numFmtId="1" fontId="29" fillId="0" borderId="0" xfId="9448" applyNumberFormat="1"/>
    <xf numFmtId="186" fontId="29" fillId="0" borderId="0" xfId="9448" applyNumberFormat="1" applyAlignment="1">
      <alignment horizontal="right"/>
    </xf>
    <xf numFmtId="2" fontId="32" fillId="0" borderId="0" xfId="9448" applyNumberFormat="1" applyFont="1"/>
    <xf numFmtId="1" fontId="0" fillId="0" borderId="0" xfId="0" applyNumberFormat="1" applyAlignment="1">
      <alignment horizontal="center"/>
    </xf>
    <xf numFmtId="186" fontId="0" fillId="0" borderId="0" xfId="0" applyNumberFormat="1" applyAlignment="1">
      <alignment horizontal="center"/>
    </xf>
    <xf numFmtId="1" fontId="33" fillId="0" borderId="0" xfId="9450" applyNumberFormat="1" applyFont="1" applyBorder="1" applyAlignment="1">
      <alignment horizontal="right"/>
    </xf>
    <xf numFmtId="1" fontId="31" fillId="0" borderId="0" xfId="9450" applyNumberFormat="1" applyFont="1" applyBorder="1" applyAlignment="1">
      <alignment horizontal="right"/>
    </xf>
    <xf numFmtId="1" fontId="29" fillId="0" borderId="0" xfId="9450" applyNumberFormat="1" applyBorder="1" applyAlignment="1">
      <alignment horizontal="left"/>
    </xf>
    <xf numFmtId="187" fontId="33" fillId="0" borderId="0" xfId="9450" applyNumberFormat="1" applyFont="1" applyFill="1" applyBorder="1" applyAlignment="1">
      <alignment horizontal="left"/>
    </xf>
    <xf numFmtId="17" fontId="33" fillId="0" borderId="0" xfId="9450" applyNumberFormat="1" applyFont="1" applyBorder="1" applyAlignment="1">
      <alignment horizontal="right"/>
    </xf>
    <xf numFmtId="187" fontId="33" fillId="0" borderId="0" xfId="9450" applyNumberFormat="1" applyFont="1" applyBorder="1"/>
    <xf numFmtId="10" fontId="29" fillId="0" borderId="0" xfId="9450" applyNumberFormat="1" applyBorder="1"/>
    <xf numFmtId="184" fontId="33" fillId="0" borderId="0" xfId="9448" applyFont="1" applyAlignment="1">
      <alignment horizontal="right"/>
    </xf>
    <xf numFmtId="184" fontId="29" fillId="0" borderId="0" xfId="9448"/>
    <xf numFmtId="2" fontId="33" fillId="0" borderId="0" xfId="9448" applyNumberFormat="1" applyFont="1" applyAlignment="1">
      <alignment horizontal="left"/>
    </xf>
    <xf numFmtId="2" fontId="29" fillId="0" borderId="0" xfId="9448" applyNumberFormat="1" applyAlignment="1">
      <alignment horizontal="right"/>
    </xf>
    <xf numFmtId="2" fontId="0" fillId="0" borderId="0" xfId="0" applyNumberFormat="1"/>
    <xf numFmtId="2" fontId="29" fillId="0" borderId="0" xfId="0" applyNumberFormat="1" applyFont="1" applyAlignment="1">
      <alignment horizontal="right"/>
    </xf>
    <xf numFmtId="2" fontId="29" fillId="0" borderId="0" xfId="9448" applyNumberFormat="1" applyBorder="1" applyAlignment="1">
      <alignment horizontal="right"/>
    </xf>
    <xf numFmtId="14" fontId="29" fillId="0" borderId="0" xfId="9448" applyNumberFormat="1" applyBorder="1" applyAlignment="1">
      <alignment horizontal="left"/>
    </xf>
    <xf numFmtId="14" fontId="0" fillId="0" borderId="0" xfId="0" applyNumberFormat="1" applyAlignment="1">
      <alignment horizontal="left"/>
    </xf>
    <xf numFmtId="49" fontId="33" fillId="0" borderId="0" xfId="9448" applyNumberFormat="1" applyFont="1" applyAlignment="1">
      <alignment horizontal="left"/>
    </xf>
    <xf numFmtId="49" fontId="29" fillId="0" borderId="0" xfId="9448" applyNumberFormat="1" applyAlignment="1">
      <alignment horizontal="right"/>
    </xf>
    <xf numFmtId="10" fontId="29" fillId="0" borderId="0" xfId="9448" applyNumberFormat="1"/>
    <xf numFmtId="9" fontId="33" fillId="0" borderId="0" xfId="0" applyNumberFormat="1" applyFont="1"/>
    <xf numFmtId="49" fontId="33" fillId="0" borderId="0" xfId="9448" applyNumberFormat="1" applyFont="1" applyAlignment="1">
      <alignment horizontal="right"/>
    </xf>
    <xf numFmtId="44" fontId="33" fillId="0" borderId="0" xfId="1807" applyFont="1" applyFill="1" applyAlignment="1">
      <alignment horizontal="right"/>
    </xf>
    <xf numFmtId="10" fontId="33" fillId="0" borderId="0" xfId="7610" applyNumberFormat="1" applyFont="1" applyFill="1" applyAlignment="1">
      <alignment horizontal="right"/>
    </xf>
    <xf numFmtId="2" fontId="33" fillId="0" borderId="0" xfId="7610" applyNumberFormat="1" applyFont="1" applyFill="1" applyAlignment="1">
      <alignment horizontal="right"/>
    </xf>
    <xf numFmtId="44" fontId="33" fillId="0" borderId="0" xfId="1807" applyFont="1" applyFill="1" applyAlignment="1">
      <alignment horizontal="left"/>
    </xf>
    <xf numFmtId="14" fontId="33" fillId="0" borderId="0" xfId="1807" applyNumberFormat="1" applyFont="1" applyFill="1" applyAlignment="1">
      <alignment horizontal="right"/>
    </xf>
    <xf numFmtId="164" fontId="0" fillId="0" borderId="0" xfId="1807" applyNumberFormat="1" applyFont="1" applyFill="1" applyAlignment="1">
      <alignment horizontal="right"/>
    </xf>
    <xf numFmtId="2" fontId="29" fillId="0" borderId="0" xfId="9448" applyNumberFormat="1" applyBorder="1"/>
    <xf numFmtId="14" fontId="33" fillId="0" borderId="0" xfId="1807" applyNumberFormat="1" applyFont="1" applyFill="1" applyAlignment="1">
      <alignment horizontal="left"/>
    </xf>
    <xf numFmtId="4" fontId="0" fillId="0" borderId="0" xfId="0" applyNumberFormat="1"/>
    <xf numFmtId="10" fontId="0" fillId="0" borderId="0" xfId="1807" applyNumberFormat="1" applyFont="1" applyFill="1" applyAlignment="1">
      <alignment horizontal="right"/>
    </xf>
    <xf numFmtId="10" fontId="29" fillId="0" borderId="0" xfId="1807" applyNumberFormat="1" applyFont="1" applyFill="1" applyAlignment="1">
      <alignment horizontal="right"/>
    </xf>
    <xf numFmtId="14" fontId="31" fillId="0" borderId="0" xfId="9448" applyNumberFormat="1" applyFont="1" applyAlignment="1">
      <alignment horizontal="left"/>
    </xf>
    <xf numFmtId="10" fontId="32" fillId="0" borderId="0" xfId="1807" applyNumberFormat="1" applyFont="1" applyFill="1" applyAlignment="1">
      <alignment horizontal="right"/>
    </xf>
    <xf numFmtId="0" fontId="32" fillId="0" borderId="0" xfId="0" applyFont="1"/>
    <xf numFmtId="14" fontId="32" fillId="0" borderId="0" xfId="1807" applyNumberFormat="1" applyFont="1" applyFill="1" applyAlignment="1">
      <alignment horizontal="left"/>
    </xf>
    <xf numFmtId="10" fontId="33" fillId="0" borderId="0" xfId="9448" applyNumberFormat="1" applyFont="1" applyAlignment="1">
      <alignment horizontal="left"/>
    </xf>
    <xf numFmtId="0" fontId="33" fillId="0" borderId="0" xfId="1807" applyNumberFormat="1" applyFont="1" applyFill="1" applyAlignment="1">
      <alignment horizontal="left"/>
    </xf>
    <xf numFmtId="2" fontId="29" fillId="0" borderId="0" xfId="7610" applyNumberFormat="1" applyFont="1" applyFill="1" applyAlignment="1">
      <alignment horizontal="right"/>
    </xf>
    <xf numFmtId="10" fontId="0" fillId="0" borderId="0" xfId="7610" applyNumberFormat="1" applyFont="1" applyFill="1" applyAlignment="1">
      <alignment horizontal="right"/>
    </xf>
    <xf numFmtId="0" fontId="33" fillId="0" borderId="0" xfId="0" applyFont="1" applyAlignment="1">
      <alignment horizontal="left"/>
    </xf>
    <xf numFmtId="0" fontId="33" fillId="0" borderId="0" xfId="0" applyFont="1"/>
    <xf numFmtId="10" fontId="29" fillId="0" borderId="0" xfId="0" applyNumberFormat="1" applyFont="1"/>
    <xf numFmtId="2" fontId="33" fillId="0" borderId="0" xfId="0" applyNumberFormat="1" applyFont="1" applyAlignment="1">
      <alignment horizontal="right"/>
    </xf>
    <xf numFmtId="3" fontId="30" fillId="0" borderId="0" xfId="11" applyNumberFormat="1" applyFont="1"/>
    <xf numFmtId="10" fontId="30" fillId="0" borderId="0" xfId="11" applyNumberFormat="1" applyFont="1"/>
    <xf numFmtId="2" fontId="29" fillId="0" borderId="0" xfId="0" applyNumberFormat="1" applyFont="1"/>
    <xf numFmtId="3" fontId="29" fillId="0" borderId="0" xfId="11" applyNumberFormat="1" applyFont="1"/>
    <xf numFmtId="4" fontId="33" fillId="0" borderId="0" xfId="0" applyNumberFormat="1" applyFont="1" applyAlignment="1">
      <alignment horizontal="left"/>
    </xf>
    <xf numFmtId="4" fontId="30" fillId="0" borderId="0" xfId="11" applyNumberFormat="1" applyFont="1"/>
    <xf numFmtId="4" fontId="29" fillId="0" borderId="0" xfId="11" applyNumberFormat="1" applyFont="1"/>
    <xf numFmtId="2" fontId="33" fillId="0" borderId="0" xfId="0" applyNumberFormat="1" applyFont="1" applyAlignment="1">
      <alignment horizontal="left"/>
    </xf>
    <xf numFmtId="2" fontId="30" fillId="0" borderId="0" xfId="11" applyNumberFormat="1" applyFont="1"/>
    <xf numFmtId="2" fontId="29" fillId="0" borderId="0" xfId="11" applyNumberFormat="1" applyFont="1"/>
    <xf numFmtId="164" fontId="30" fillId="0" borderId="0" xfId="11" applyNumberFormat="1" applyFont="1"/>
    <xf numFmtId="184" fontId="29" fillId="0" borderId="0" xfId="9448" applyAlignment="1">
      <alignment horizontal="left"/>
    </xf>
    <xf numFmtId="14" fontId="29" fillId="0" borderId="0" xfId="9448" applyNumberFormat="1"/>
    <xf numFmtId="4" fontId="33" fillId="0" borderId="0" xfId="0" applyNumberFormat="1" applyFont="1"/>
    <xf numFmtId="184" fontId="0" fillId="0" borderId="0" xfId="9448" applyFont="1" applyAlignment="1">
      <alignment horizontal="left"/>
    </xf>
    <xf numFmtId="2" fontId="0" fillId="0" borderId="0" xfId="9448" applyNumberFormat="1" applyFont="1"/>
    <xf numFmtId="2" fontId="29" fillId="0" borderId="0" xfId="9448" applyNumberFormat="1"/>
    <xf numFmtId="49" fontId="29" fillId="0" borderId="0" xfId="9448" applyNumberFormat="1" applyAlignment="1"/>
    <xf numFmtId="2" fontId="31" fillId="0" borderId="0" xfId="0" applyNumberFormat="1" applyFont="1"/>
    <xf numFmtId="4" fontId="29" fillId="0" borderId="0" xfId="9448" applyNumberFormat="1" applyBorder="1" applyAlignment="1">
      <alignment horizontal="right"/>
    </xf>
    <xf numFmtId="4" fontId="29" fillId="0" borderId="0" xfId="9448" applyNumberFormat="1"/>
    <xf numFmtId="2" fontId="33" fillId="0" borderId="0" xfId="9448" applyNumberFormat="1" applyFont="1" applyAlignment="1">
      <alignment horizontal="center"/>
    </xf>
    <xf numFmtId="164" fontId="126" fillId="0" borderId="0" xfId="9448" applyNumberFormat="1" applyFont="1"/>
    <xf numFmtId="179" fontId="0" fillId="0" borderId="0" xfId="0" applyNumberFormat="1"/>
    <xf numFmtId="43" fontId="0" fillId="0" borderId="0" xfId="377" applyFont="1" applyBorder="1" applyAlignment="1">
      <alignment horizontal="right"/>
    </xf>
    <xf numFmtId="49" fontId="29" fillId="0" borderId="0" xfId="9448" applyNumberFormat="1" applyAlignment="1">
      <alignment horizontal="left"/>
    </xf>
    <xf numFmtId="164" fontId="0" fillId="0" borderId="0" xfId="0" applyNumberFormat="1" applyAlignment="1">
      <alignment horizontal="right"/>
    </xf>
    <xf numFmtId="2" fontId="0" fillId="0" borderId="0" xfId="9448" applyNumberFormat="1" applyFont="1" applyAlignment="1">
      <alignment horizontal="right"/>
    </xf>
    <xf numFmtId="14" fontId="29" fillId="0" borderId="0" xfId="9448" applyNumberFormat="1" applyAlignment="1">
      <alignment horizontal="left"/>
    </xf>
    <xf numFmtId="2" fontId="29" fillId="0" borderId="0" xfId="9451" applyNumberFormat="1"/>
    <xf numFmtId="164" fontId="29" fillId="0" borderId="0" xfId="9451" applyNumberFormat="1"/>
    <xf numFmtId="164" fontId="29" fillId="0" borderId="0" xfId="9448" applyNumberFormat="1" applyAlignment="1">
      <alignment horizontal="right"/>
    </xf>
    <xf numFmtId="164" fontId="29" fillId="0" borderId="0" xfId="0" applyNumberFormat="1" applyFont="1" applyAlignment="1">
      <alignment horizontal="right"/>
    </xf>
    <xf numFmtId="164" fontId="0" fillId="0" borderId="0" xfId="377" applyNumberFormat="1" applyFont="1" applyBorder="1" applyAlignment="1">
      <alignment horizontal="right"/>
    </xf>
    <xf numFmtId="164" fontId="0" fillId="0" borderId="0" xfId="9448" applyNumberFormat="1" applyFont="1"/>
    <xf numFmtId="164" fontId="126" fillId="0" borderId="0" xfId="9448" applyNumberFormat="1" applyFont="1" applyBorder="1"/>
    <xf numFmtId="2" fontId="29" fillId="0" borderId="0" xfId="377" applyNumberFormat="1" applyFont="1" applyBorder="1" applyAlignment="1">
      <alignment horizontal="right"/>
    </xf>
    <xf numFmtId="164" fontId="29" fillId="0" borderId="0" xfId="9448" applyNumberFormat="1"/>
    <xf numFmtId="164" fontId="29" fillId="0" borderId="0" xfId="377" applyNumberFormat="1" applyFont="1" applyBorder="1" applyAlignment="1">
      <alignment horizontal="right"/>
    </xf>
    <xf numFmtId="164" fontId="0" fillId="0" borderId="0" xfId="9448" applyNumberFormat="1" applyFont="1" applyAlignment="1">
      <alignment horizontal="right"/>
    </xf>
    <xf numFmtId="2" fontId="0" fillId="0" borderId="0" xfId="377" applyNumberFormat="1" applyFont="1" applyBorder="1"/>
    <xf numFmtId="164" fontId="126" fillId="0" borderId="0" xfId="377" applyNumberFormat="1" applyFont="1" applyBorder="1" applyAlignment="1">
      <alignment horizontal="right"/>
    </xf>
    <xf numFmtId="2" fontId="29" fillId="0" borderId="0" xfId="9449" applyNumberFormat="1"/>
    <xf numFmtId="4" fontId="0" fillId="0" borderId="0" xfId="377" applyNumberFormat="1" applyFont="1" applyBorder="1" applyAlignment="1">
      <alignment horizontal="right"/>
    </xf>
    <xf numFmtId="2" fontId="29" fillId="0" borderId="0" xfId="377" applyNumberFormat="1" applyBorder="1" applyAlignment="1">
      <alignment horizontal="right"/>
    </xf>
    <xf numFmtId="164" fontId="29" fillId="0" borderId="0" xfId="377" applyNumberFormat="1" applyBorder="1" applyAlignment="1">
      <alignment horizontal="right"/>
    </xf>
    <xf numFmtId="2" fontId="0" fillId="0" borderId="0" xfId="377" applyNumberFormat="1" applyFont="1" applyBorder="1" applyAlignment="1">
      <alignment horizontal="right"/>
    </xf>
    <xf numFmtId="10" fontId="0" fillId="0" borderId="0" xfId="377" applyNumberFormat="1" applyFont="1" applyBorder="1" applyAlignment="1">
      <alignment horizontal="right"/>
    </xf>
    <xf numFmtId="0" fontId="33" fillId="0" borderId="0" xfId="0" applyFont="1" applyAlignment="1">
      <alignment horizontal="left" vertical="top" wrapText="1"/>
    </xf>
    <xf numFmtId="0" fontId="28" fillId="0" borderId="0" xfId="9398" applyFont="1" applyFill="1"/>
    <xf numFmtId="0" fontId="30" fillId="0" borderId="0" xfId="9388" applyFill="1"/>
    <xf numFmtId="0" fontId="0" fillId="0" borderId="0" xfId="0" applyFont="1" applyFill="1"/>
    <xf numFmtId="0" fontId="29" fillId="0" borderId="43" xfId="9388" applyFont="1" applyFill="1" applyBorder="1" applyAlignment="1">
      <alignment horizontal="center" wrapText="1"/>
    </xf>
    <xf numFmtId="0" fontId="30" fillId="0" borderId="0" xfId="9388" applyFill="1" applyBorder="1" applyAlignment="1">
      <alignment horizontal="left"/>
    </xf>
    <xf numFmtId="0" fontId="30" fillId="0" borderId="0" xfId="9388" applyFill="1" applyBorder="1" applyAlignment="1">
      <alignment horizontal="center"/>
    </xf>
    <xf numFmtId="10" fontId="30" fillId="0" borderId="0" xfId="1" applyNumberFormat="1" applyFont="1" applyFill="1" applyBorder="1" applyAlignment="1">
      <alignment horizontal="center" wrapText="1"/>
    </xf>
    <xf numFmtId="10" fontId="30" fillId="0" borderId="0" xfId="9388" applyNumberFormat="1" applyFill="1" applyBorder="1" applyAlignment="1">
      <alignment horizontal="center"/>
    </xf>
    <xf numFmtId="10" fontId="29" fillId="0" borderId="0" xfId="9388" applyNumberFormat="1" applyFont="1" applyFill="1" applyBorder="1" applyAlignment="1">
      <alignment horizontal="center" wrapText="1"/>
    </xf>
    <xf numFmtId="0" fontId="30" fillId="0" borderId="15" xfId="9388" applyFill="1" applyBorder="1" applyAlignment="1">
      <alignment horizontal="left"/>
    </xf>
    <xf numFmtId="0" fontId="30" fillId="0" borderId="15" xfId="9388" applyFill="1" applyBorder="1" applyAlignment="1">
      <alignment horizontal="center"/>
    </xf>
    <xf numFmtId="10" fontId="30" fillId="0" borderId="15" xfId="1" applyNumberFormat="1" applyFont="1" applyFill="1" applyBorder="1" applyAlignment="1">
      <alignment horizontal="center" wrapText="1"/>
    </xf>
    <xf numFmtId="10" fontId="30" fillId="0" borderId="15" xfId="9388" applyNumberFormat="1" applyFill="1" applyBorder="1" applyAlignment="1">
      <alignment horizontal="center"/>
    </xf>
    <xf numFmtId="10" fontId="30" fillId="0" borderId="15" xfId="7610" applyNumberFormat="1" applyFont="1" applyFill="1" applyBorder="1" applyAlignment="1">
      <alignment horizontal="center"/>
    </xf>
    <xf numFmtId="10" fontId="29" fillId="0" borderId="15" xfId="9388" applyNumberFormat="1" applyFont="1" applyFill="1" applyBorder="1" applyAlignment="1">
      <alignment horizontal="center" wrapText="1"/>
    </xf>
    <xf numFmtId="10" fontId="29" fillId="0" borderId="15" xfId="1" applyNumberFormat="1" applyFont="1" applyFill="1" applyBorder="1" applyAlignment="1">
      <alignment horizontal="center"/>
    </xf>
    <xf numFmtId="0" fontId="30" fillId="0" borderId="0" xfId="9388" applyFill="1" applyBorder="1"/>
    <xf numFmtId="0" fontId="30" fillId="0" borderId="31" xfId="9388" applyFill="1" applyBorder="1"/>
    <xf numFmtId="10" fontId="30" fillId="0" borderId="31" xfId="9388" applyNumberFormat="1" applyFill="1" applyBorder="1" applyAlignment="1">
      <alignment horizontal="center"/>
    </xf>
    <xf numFmtId="0" fontId="107" fillId="0" borderId="0" xfId="9388" applyFont="1" applyFill="1"/>
    <xf numFmtId="10" fontId="107" fillId="0" borderId="0" xfId="9388" applyNumberFormat="1" applyFont="1" applyFill="1" applyAlignment="1">
      <alignment horizontal="center"/>
    </xf>
    <xf numFmtId="0" fontId="30" fillId="0" borderId="15" xfId="9388" applyFill="1" applyBorder="1"/>
    <xf numFmtId="0" fontId="30" fillId="0" borderId="48" xfId="9388" applyFill="1" applyBorder="1" applyAlignment="1">
      <alignment horizontal="left"/>
    </xf>
    <xf numFmtId="0" fontId="30" fillId="0" borderId="48" xfId="9388" applyFill="1" applyBorder="1" applyAlignment="1">
      <alignment horizontal="center"/>
    </xf>
    <xf numFmtId="10" fontId="29" fillId="0" borderId="48" xfId="7610" applyNumberFormat="1" applyFont="1" applyFill="1" applyBorder="1" applyAlignment="1">
      <alignment horizontal="center"/>
    </xf>
    <xf numFmtId="10" fontId="29" fillId="0" borderId="48" xfId="9388" applyNumberFormat="1" applyFont="1" applyFill="1" applyBorder="1" applyAlignment="1">
      <alignment horizontal="center" wrapText="1"/>
    </xf>
    <xf numFmtId="44" fontId="30" fillId="0" borderId="0" xfId="9391" applyNumberFormat="1" applyFill="1"/>
    <xf numFmtId="10" fontId="30" fillId="0" borderId="0" xfId="1" applyNumberFormat="1" applyFont="1" applyFill="1"/>
    <xf numFmtId="0" fontId="30" fillId="0" borderId="0" xfId="21"/>
    <xf numFmtId="0" fontId="112" fillId="64" borderId="46" xfId="9396" applyFont="1" applyFill="1" applyBorder="1" applyAlignment="1">
      <alignment horizontal="center" vertical="center" wrapText="1"/>
    </xf>
    <xf numFmtId="0" fontId="112" fillId="64" borderId="51" xfId="9396" applyFont="1" applyFill="1" applyBorder="1" applyAlignment="1">
      <alignment horizontal="center" vertical="center" wrapText="1"/>
    </xf>
    <xf numFmtId="0" fontId="112" fillId="64" borderId="47" xfId="9396" applyFont="1" applyFill="1" applyBorder="1" applyAlignment="1">
      <alignment horizontal="center" vertical="center" wrapText="1"/>
    </xf>
    <xf numFmtId="0" fontId="83" fillId="0" borderId="0" xfId="0" applyFont="1" applyFill="1" applyAlignment="1">
      <alignment horizontal="left" vertical="center" wrapText="1"/>
    </xf>
    <xf numFmtId="10" fontId="113" fillId="0" borderId="42" xfId="9396" applyNumberFormat="1" applyFont="1" applyBorder="1" applyAlignment="1">
      <alignment horizontal="center" vertical="center" wrapText="1"/>
    </xf>
    <xf numFmtId="10" fontId="113" fillId="0" borderId="30" xfId="9396" applyNumberFormat="1" applyFont="1" applyBorder="1" applyAlignment="1">
      <alignment horizontal="center" vertical="center" wrapText="1"/>
    </xf>
    <xf numFmtId="10" fontId="113" fillId="0" borderId="58" xfId="9396" applyNumberFormat="1" applyFont="1" applyBorder="1" applyAlignment="1">
      <alignment horizontal="center" vertical="center" wrapText="1"/>
    </xf>
    <xf numFmtId="0" fontId="109" fillId="0" borderId="0" xfId="9396" applyFont="1" applyAlignment="1">
      <alignment horizontal="center" wrapText="1"/>
    </xf>
    <xf numFmtId="0" fontId="112" fillId="64" borderId="56" xfId="9396" applyFont="1" applyFill="1" applyBorder="1" applyAlignment="1">
      <alignment horizontal="center" vertical="center" wrapText="1"/>
    </xf>
    <xf numFmtId="0" fontId="112" fillId="64" borderId="43" xfId="9396" applyFont="1" applyFill="1" applyBorder="1" applyAlignment="1">
      <alignment horizontal="center" vertical="center" wrapText="1"/>
    </xf>
    <xf numFmtId="0" fontId="112" fillId="64" borderId="57" xfId="9396" applyFont="1" applyFill="1" applyBorder="1" applyAlignment="1">
      <alignment horizontal="center" vertical="center" wrapText="1"/>
    </xf>
    <xf numFmtId="0" fontId="83" fillId="0" borderId="0" xfId="0" applyFont="1" applyFill="1" applyAlignment="1">
      <alignment horizontal="left" vertical="top" wrapText="1"/>
    </xf>
    <xf numFmtId="0" fontId="83" fillId="0" borderId="0" xfId="0" applyFont="1" applyAlignment="1">
      <alignment horizontal="left" vertical="top" wrapText="1"/>
    </xf>
    <xf numFmtId="0" fontId="112" fillId="64" borderId="32" xfId="9396" applyFont="1" applyFill="1" applyBorder="1" applyAlignment="1">
      <alignment horizontal="center" vertical="center" wrapText="1"/>
    </xf>
    <xf numFmtId="0" fontId="112" fillId="64" borderId="33" xfId="9396" applyFont="1" applyFill="1" applyBorder="1" applyAlignment="1">
      <alignment horizontal="center" vertical="center" wrapText="1"/>
    </xf>
    <xf numFmtId="0" fontId="112" fillId="64" borderId="34" xfId="9396" applyFont="1" applyFill="1" applyBorder="1" applyAlignment="1">
      <alignment horizontal="center" vertical="center" wrapText="1"/>
    </xf>
    <xf numFmtId="0" fontId="112" fillId="64" borderId="44" xfId="9396" applyFont="1" applyFill="1" applyBorder="1" applyAlignment="1">
      <alignment horizontal="center" vertical="center" wrapText="1"/>
    </xf>
    <xf numFmtId="0" fontId="112" fillId="64" borderId="15" xfId="9396" applyFont="1" applyFill="1" applyBorder="1" applyAlignment="1">
      <alignment horizontal="center" vertical="center" wrapText="1"/>
    </xf>
    <xf numFmtId="0" fontId="112" fillId="64" borderId="45" xfId="9396" applyFont="1" applyFill="1" applyBorder="1" applyAlignment="1">
      <alignment horizontal="center" vertical="center" wrapText="1"/>
    </xf>
    <xf numFmtId="0" fontId="109" fillId="0" borderId="31" xfId="9396" applyFont="1" applyBorder="1" applyAlignment="1">
      <alignment horizontal="center" wrapText="1"/>
    </xf>
    <xf numFmtId="0" fontId="0" fillId="0" borderId="31" xfId="0" applyBorder="1" applyAlignment="1">
      <alignment horizontal="center" wrapText="1"/>
    </xf>
    <xf numFmtId="0" fontId="109" fillId="0" borderId="0" xfId="9396" applyFont="1" applyFill="1" applyAlignment="1">
      <alignment horizontal="center" wrapText="1"/>
    </xf>
    <xf numFmtId="0" fontId="29" fillId="0" borderId="0" xfId="9388" applyFont="1" applyBorder="1" applyAlignment="1">
      <alignment horizontal="center"/>
    </xf>
    <xf numFmtId="0" fontId="29" fillId="0" borderId="0" xfId="9388" applyFont="1" applyAlignment="1">
      <alignment horizontal="left" wrapText="1"/>
    </xf>
    <xf numFmtId="0" fontId="29" fillId="0" borderId="0" xfId="0" applyFont="1" applyAlignment="1">
      <alignment horizontal="center"/>
    </xf>
    <xf numFmtId="0" fontId="0" fillId="0" borderId="0" xfId="0" applyAlignment="1">
      <alignment horizontal="center"/>
    </xf>
    <xf numFmtId="0" fontId="107" fillId="0" borderId="0" xfId="0" applyFont="1" applyAlignment="1">
      <alignment horizontal="center" wrapText="1"/>
    </xf>
    <xf numFmtId="43" fontId="0" fillId="0" borderId="31" xfId="9445" applyNumberFormat="1" applyFont="1" applyBorder="1" applyAlignment="1">
      <alignment horizontal="center"/>
    </xf>
    <xf numFmtId="0" fontId="0" fillId="0" borderId="43" xfId="0" applyBorder="1" applyAlignment="1">
      <alignment horizontal="center" vertical="center" wrapText="1"/>
    </xf>
    <xf numFmtId="0" fontId="0" fillId="0" borderId="0" xfId="9388" applyFont="1" applyFill="1" applyAlignment="1">
      <alignment horizontal="center"/>
    </xf>
    <xf numFmtId="0" fontId="0" fillId="0" borderId="0" xfId="9388" applyFont="1" applyAlignment="1">
      <alignment horizontal="center"/>
    </xf>
    <xf numFmtId="0" fontId="28" fillId="0" borderId="0" xfId="9398" applyFont="1" applyAlignment="1">
      <alignment horizontal="center"/>
    </xf>
    <xf numFmtId="0" fontId="33" fillId="0" borderId="0" xfId="0" applyFont="1" applyAlignment="1">
      <alignment horizontal="left" vertical="top" wrapText="1"/>
    </xf>
    <xf numFmtId="0" fontId="127" fillId="0" borderId="0" xfId="0" applyFont="1" applyAlignment="1">
      <alignment horizontal="left" wrapText="1"/>
    </xf>
    <xf numFmtId="0" fontId="30" fillId="0" borderId="0" xfId="9401" applyFont="1" applyAlignment="1">
      <alignment horizontal="center"/>
    </xf>
    <xf numFmtId="0" fontId="30" fillId="0" borderId="0" xfId="9391" applyAlignment="1">
      <alignment horizontal="left"/>
    </xf>
    <xf numFmtId="0" fontId="29" fillId="0" borderId="0" xfId="0" applyFont="1" applyFill="1" applyAlignment="1">
      <alignment horizontal="center"/>
    </xf>
    <xf numFmtId="0" fontId="117" fillId="0" borderId="0" xfId="0" applyFont="1" applyAlignment="1">
      <alignment horizontal="center"/>
    </xf>
    <xf numFmtId="0" fontId="0" fillId="0" borderId="0" xfId="18" applyFont="1" applyAlignment="1">
      <alignment horizontal="left" wrapText="1"/>
    </xf>
    <xf numFmtId="0" fontId="29" fillId="0" borderId="0" xfId="20" applyAlignment="1">
      <alignment horizontal="left" wrapText="1"/>
    </xf>
    <xf numFmtId="0" fontId="33" fillId="0" borderId="43" xfId="18" applyFont="1" applyBorder="1" applyAlignment="1">
      <alignment horizontal="center" wrapText="1"/>
    </xf>
    <xf numFmtId="0" fontId="107" fillId="0" borderId="43" xfId="9407" applyFont="1" applyBorder="1" applyAlignment="1">
      <alignment horizontal="center" wrapText="1"/>
    </xf>
    <xf numFmtId="0" fontId="33" fillId="0" borderId="0" xfId="18" applyFont="1" applyFill="1" applyAlignment="1">
      <alignment horizontal="center"/>
    </xf>
    <xf numFmtId="0" fontId="107" fillId="0" borderId="0" xfId="9407" applyFont="1" applyAlignment="1">
      <alignment horizontal="center"/>
    </xf>
    <xf numFmtId="0" fontId="29" fillId="0" borderId="31" xfId="18" applyBorder="1" applyAlignment="1">
      <alignment horizontal="center"/>
    </xf>
    <xf numFmtId="0" fontId="30" fillId="0" borderId="31" xfId="9407" applyBorder="1" applyAlignment="1">
      <alignment horizontal="center"/>
    </xf>
    <xf numFmtId="0" fontId="29" fillId="0" borderId="0" xfId="20" applyFont="1" applyFill="1" applyAlignment="1">
      <alignment horizontal="left" wrapText="1"/>
    </xf>
    <xf numFmtId="0" fontId="30" fillId="0" borderId="0" xfId="0" applyFont="1" applyBorder="1" applyAlignment="1">
      <alignment horizontal="center"/>
    </xf>
    <xf numFmtId="0" fontId="30" fillId="0" borderId="0" xfId="0" applyFont="1" applyFill="1" applyBorder="1" applyAlignment="1">
      <alignment horizontal="center"/>
    </xf>
    <xf numFmtId="0" fontId="30" fillId="0" borderId="0" xfId="0" applyFont="1" applyFill="1" applyAlignment="1">
      <alignment horizontal="center"/>
    </xf>
    <xf numFmtId="0" fontId="30" fillId="0" borderId="0" xfId="0" applyFont="1" applyAlignment="1">
      <alignment horizontal="left" wrapText="1"/>
    </xf>
    <xf numFmtId="0" fontId="30" fillId="0" borderId="0" xfId="0" applyFont="1" applyAlignment="1">
      <alignment horizontal="left" vertical="top" wrapText="1"/>
    </xf>
    <xf numFmtId="0" fontId="30" fillId="0" borderId="0" xfId="0" applyFont="1" applyFill="1" applyAlignment="1">
      <alignment horizontal="left" vertical="top" wrapText="1"/>
    </xf>
    <xf numFmtId="0" fontId="30" fillId="0" borderId="0" xfId="0" applyFont="1" applyFill="1" applyAlignment="1">
      <alignment horizontal="left" wrapText="1"/>
    </xf>
  </cellXfs>
  <cellStyles count="9452">
    <cellStyle name="_x000a_bidires=100_x000d_ 2" xfId="9450" xr:uid="{00000000-0005-0000-0000-000000000000}"/>
    <cellStyle name="_x000a_bidires=100_x000d_ 2 2 2" xfId="9448" xr:uid="{00000000-0005-0000-0000-000001000000}"/>
    <cellStyle name="$ Currency" xfId="23" xr:uid="{00000000-0005-0000-0000-000002000000}"/>
    <cellStyle name="$ Linked Amount" xfId="24" xr:uid="{00000000-0005-0000-0000-000003000000}"/>
    <cellStyle name="$Currency x2" xfId="25" xr:uid="{00000000-0005-0000-0000-000004000000}"/>
    <cellStyle name="$Gas Cost x5" xfId="26" xr:uid="{00000000-0005-0000-0000-000005000000}"/>
    <cellStyle name="20% - Accent1 2" xfId="27" xr:uid="{00000000-0005-0000-0000-000006000000}"/>
    <cellStyle name="20% - Accent1 2 2" xfId="28" xr:uid="{00000000-0005-0000-0000-000007000000}"/>
    <cellStyle name="20% - Accent1 2 2 2" xfId="29" xr:uid="{00000000-0005-0000-0000-000008000000}"/>
    <cellStyle name="20% - Accent1 2 2 3" xfId="30" xr:uid="{00000000-0005-0000-0000-000009000000}"/>
    <cellStyle name="20% - Accent1 2 3" xfId="31" xr:uid="{00000000-0005-0000-0000-00000A000000}"/>
    <cellStyle name="20% - Accent1 2 3 2" xfId="32" xr:uid="{00000000-0005-0000-0000-00000B000000}"/>
    <cellStyle name="20% - Accent1 2 4" xfId="33" xr:uid="{00000000-0005-0000-0000-00000C000000}"/>
    <cellStyle name="20% - Accent1 2 5" xfId="34" xr:uid="{00000000-0005-0000-0000-00000D000000}"/>
    <cellStyle name="20% - Accent1 3" xfId="35" xr:uid="{00000000-0005-0000-0000-00000E000000}"/>
    <cellStyle name="20% - Accent1 3 2" xfId="36" xr:uid="{00000000-0005-0000-0000-00000F000000}"/>
    <cellStyle name="20% - Accent1 3 2 2" xfId="37" xr:uid="{00000000-0005-0000-0000-000010000000}"/>
    <cellStyle name="20% - Accent1 3 3" xfId="38" xr:uid="{00000000-0005-0000-0000-000011000000}"/>
    <cellStyle name="20% - Accent1 3 4" xfId="39" xr:uid="{00000000-0005-0000-0000-000012000000}"/>
    <cellStyle name="20% - Accent1 4" xfId="40" xr:uid="{00000000-0005-0000-0000-000013000000}"/>
    <cellStyle name="20% - Accent1 4 2" xfId="41" xr:uid="{00000000-0005-0000-0000-000014000000}"/>
    <cellStyle name="20% - Accent1 4 2 2" xfId="42" xr:uid="{00000000-0005-0000-0000-000015000000}"/>
    <cellStyle name="20% - Accent1 4 3" xfId="43" xr:uid="{00000000-0005-0000-0000-000016000000}"/>
    <cellStyle name="20% - Accent1 5" xfId="44" xr:uid="{00000000-0005-0000-0000-000017000000}"/>
    <cellStyle name="20% - Accent1 5 2" xfId="45" xr:uid="{00000000-0005-0000-0000-000018000000}"/>
    <cellStyle name="20% - Accent1 5 2 2" xfId="46" xr:uid="{00000000-0005-0000-0000-000019000000}"/>
    <cellStyle name="20% - Accent1 5 3" xfId="47" xr:uid="{00000000-0005-0000-0000-00001A000000}"/>
    <cellStyle name="20% - Accent1 6" xfId="48" xr:uid="{00000000-0005-0000-0000-00001B000000}"/>
    <cellStyle name="20% - Accent2 2" xfId="49" xr:uid="{00000000-0005-0000-0000-00001C000000}"/>
    <cellStyle name="20% - Accent2 2 2" xfId="50" xr:uid="{00000000-0005-0000-0000-00001D000000}"/>
    <cellStyle name="20% - Accent2 2 2 2" xfId="51" xr:uid="{00000000-0005-0000-0000-00001E000000}"/>
    <cellStyle name="20% - Accent2 2 2 3" xfId="52" xr:uid="{00000000-0005-0000-0000-00001F000000}"/>
    <cellStyle name="20% - Accent2 2 3" xfId="53" xr:uid="{00000000-0005-0000-0000-000020000000}"/>
    <cellStyle name="20% - Accent2 2 3 2" xfId="54" xr:uid="{00000000-0005-0000-0000-000021000000}"/>
    <cellStyle name="20% - Accent2 2 4" xfId="55" xr:uid="{00000000-0005-0000-0000-000022000000}"/>
    <cellStyle name="20% - Accent2 2 5" xfId="56" xr:uid="{00000000-0005-0000-0000-000023000000}"/>
    <cellStyle name="20% - Accent2 3" xfId="57" xr:uid="{00000000-0005-0000-0000-000024000000}"/>
    <cellStyle name="20% - Accent2 3 2" xfId="58" xr:uid="{00000000-0005-0000-0000-000025000000}"/>
    <cellStyle name="20% - Accent2 3 2 2" xfId="59" xr:uid="{00000000-0005-0000-0000-000026000000}"/>
    <cellStyle name="20% - Accent2 3 3" xfId="60" xr:uid="{00000000-0005-0000-0000-000027000000}"/>
    <cellStyle name="20% - Accent2 3 4" xfId="61" xr:uid="{00000000-0005-0000-0000-000028000000}"/>
    <cellStyle name="20% - Accent2 4" xfId="62" xr:uid="{00000000-0005-0000-0000-000029000000}"/>
    <cellStyle name="20% - Accent2 4 2" xfId="63" xr:uid="{00000000-0005-0000-0000-00002A000000}"/>
    <cellStyle name="20% - Accent2 4 2 2" xfId="64" xr:uid="{00000000-0005-0000-0000-00002B000000}"/>
    <cellStyle name="20% - Accent2 4 3" xfId="65" xr:uid="{00000000-0005-0000-0000-00002C000000}"/>
    <cellStyle name="20% - Accent2 5" xfId="66" xr:uid="{00000000-0005-0000-0000-00002D000000}"/>
    <cellStyle name="20% - Accent2 5 2" xfId="67" xr:uid="{00000000-0005-0000-0000-00002E000000}"/>
    <cellStyle name="20% - Accent2 5 2 2" xfId="68" xr:uid="{00000000-0005-0000-0000-00002F000000}"/>
    <cellStyle name="20% - Accent2 5 3" xfId="69" xr:uid="{00000000-0005-0000-0000-000030000000}"/>
    <cellStyle name="20% - Accent2 6" xfId="70" xr:uid="{00000000-0005-0000-0000-000031000000}"/>
    <cellStyle name="20% - Accent3 2" xfId="71" xr:uid="{00000000-0005-0000-0000-000032000000}"/>
    <cellStyle name="20% - Accent3 2 2" xfId="72" xr:uid="{00000000-0005-0000-0000-000033000000}"/>
    <cellStyle name="20% - Accent3 2 2 2" xfId="73" xr:uid="{00000000-0005-0000-0000-000034000000}"/>
    <cellStyle name="20% - Accent3 2 2 3" xfId="74" xr:uid="{00000000-0005-0000-0000-000035000000}"/>
    <cellStyle name="20% - Accent3 2 3" xfId="75" xr:uid="{00000000-0005-0000-0000-000036000000}"/>
    <cellStyle name="20% - Accent3 2 3 2" xfId="76" xr:uid="{00000000-0005-0000-0000-000037000000}"/>
    <cellStyle name="20% - Accent3 2 4" xfId="77" xr:uid="{00000000-0005-0000-0000-000038000000}"/>
    <cellStyle name="20% - Accent3 2 5" xfId="78" xr:uid="{00000000-0005-0000-0000-000039000000}"/>
    <cellStyle name="20% - Accent3 3" xfId="79" xr:uid="{00000000-0005-0000-0000-00003A000000}"/>
    <cellStyle name="20% - Accent3 3 2" xfId="80" xr:uid="{00000000-0005-0000-0000-00003B000000}"/>
    <cellStyle name="20% - Accent3 3 2 2" xfId="81" xr:uid="{00000000-0005-0000-0000-00003C000000}"/>
    <cellStyle name="20% - Accent3 3 3" xfId="82" xr:uid="{00000000-0005-0000-0000-00003D000000}"/>
    <cellStyle name="20% - Accent3 3 4" xfId="83" xr:uid="{00000000-0005-0000-0000-00003E000000}"/>
    <cellStyle name="20% - Accent3 4" xfId="84" xr:uid="{00000000-0005-0000-0000-00003F000000}"/>
    <cellStyle name="20% - Accent3 4 2" xfId="85" xr:uid="{00000000-0005-0000-0000-000040000000}"/>
    <cellStyle name="20% - Accent3 4 2 2" xfId="86" xr:uid="{00000000-0005-0000-0000-000041000000}"/>
    <cellStyle name="20% - Accent3 4 3" xfId="87" xr:uid="{00000000-0005-0000-0000-000042000000}"/>
    <cellStyle name="20% - Accent3 5" xfId="88" xr:uid="{00000000-0005-0000-0000-000043000000}"/>
    <cellStyle name="20% - Accent3 5 2" xfId="89" xr:uid="{00000000-0005-0000-0000-000044000000}"/>
    <cellStyle name="20% - Accent3 5 2 2" xfId="90" xr:uid="{00000000-0005-0000-0000-000045000000}"/>
    <cellStyle name="20% - Accent3 5 3" xfId="91" xr:uid="{00000000-0005-0000-0000-000046000000}"/>
    <cellStyle name="20% - Accent3 6" xfId="92" xr:uid="{00000000-0005-0000-0000-000047000000}"/>
    <cellStyle name="20% - Accent4 2" xfId="93" xr:uid="{00000000-0005-0000-0000-000048000000}"/>
    <cellStyle name="20% - Accent4 2 2" xfId="94" xr:uid="{00000000-0005-0000-0000-000049000000}"/>
    <cellStyle name="20% - Accent4 2 2 2" xfId="95" xr:uid="{00000000-0005-0000-0000-00004A000000}"/>
    <cellStyle name="20% - Accent4 2 2 3" xfId="96" xr:uid="{00000000-0005-0000-0000-00004B000000}"/>
    <cellStyle name="20% - Accent4 2 3" xfId="97" xr:uid="{00000000-0005-0000-0000-00004C000000}"/>
    <cellStyle name="20% - Accent4 2 3 2" xfId="98" xr:uid="{00000000-0005-0000-0000-00004D000000}"/>
    <cellStyle name="20% - Accent4 2 4" xfId="99" xr:uid="{00000000-0005-0000-0000-00004E000000}"/>
    <cellStyle name="20% - Accent4 2 5" xfId="100" xr:uid="{00000000-0005-0000-0000-00004F000000}"/>
    <cellStyle name="20% - Accent4 3" xfId="101" xr:uid="{00000000-0005-0000-0000-000050000000}"/>
    <cellStyle name="20% - Accent4 3 2" xfId="102" xr:uid="{00000000-0005-0000-0000-000051000000}"/>
    <cellStyle name="20% - Accent4 3 2 2" xfId="103" xr:uid="{00000000-0005-0000-0000-000052000000}"/>
    <cellStyle name="20% - Accent4 3 3" xfId="104" xr:uid="{00000000-0005-0000-0000-000053000000}"/>
    <cellStyle name="20% - Accent4 3 4" xfId="105" xr:uid="{00000000-0005-0000-0000-000054000000}"/>
    <cellStyle name="20% - Accent4 4" xfId="106" xr:uid="{00000000-0005-0000-0000-000055000000}"/>
    <cellStyle name="20% - Accent4 4 2" xfId="107" xr:uid="{00000000-0005-0000-0000-000056000000}"/>
    <cellStyle name="20% - Accent4 4 2 2" xfId="108" xr:uid="{00000000-0005-0000-0000-000057000000}"/>
    <cellStyle name="20% - Accent4 4 3" xfId="109" xr:uid="{00000000-0005-0000-0000-000058000000}"/>
    <cellStyle name="20% - Accent4 5" xfId="110" xr:uid="{00000000-0005-0000-0000-000059000000}"/>
    <cellStyle name="20% - Accent4 5 2" xfId="111" xr:uid="{00000000-0005-0000-0000-00005A000000}"/>
    <cellStyle name="20% - Accent4 5 2 2" xfId="112" xr:uid="{00000000-0005-0000-0000-00005B000000}"/>
    <cellStyle name="20% - Accent4 5 3" xfId="113" xr:uid="{00000000-0005-0000-0000-00005C000000}"/>
    <cellStyle name="20% - Accent4 6" xfId="114" xr:uid="{00000000-0005-0000-0000-00005D000000}"/>
    <cellStyle name="20% - Accent5 2" xfId="115" xr:uid="{00000000-0005-0000-0000-00005E000000}"/>
    <cellStyle name="20% - Accent5 2 2" xfId="116" xr:uid="{00000000-0005-0000-0000-00005F000000}"/>
    <cellStyle name="20% - Accent5 2 2 2" xfId="117" xr:uid="{00000000-0005-0000-0000-000060000000}"/>
    <cellStyle name="20% - Accent5 2 2 3" xfId="118" xr:uid="{00000000-0005-0000-0000-000061000000}"/>
    <cellStyle name="20% - Accent5 2 3" xfId="119" xr:uid="{00000000-0005-0000-0000-000062000000}"/>
    <cellStyle name="20% - Accent5 2 3 2" xfId="120" xr:uid="{00000000-0005-0000-0000-000063000000}"/>
    <cellStyle name="20% - Accent5 2 4" xfId="121" xr:uid="{00000000-0005-0000-0000-000064000000}"/>
    <cellStyle name="20% - Accent5 2 5" xfId="122" xr:uid="{00000000-0005-0000-0000-000065000000}"/>
    <cellStyle name="20% - Accent5 3" xfId="123" xr:uid="{00000000-0005-0000-0000-000066000000}"/>
    <cellStyle name="20% - Accent5 3 2" xfId="124" xr:uid="{00000000-0005-0000-0000-000067000000}"/>
    <cellStyle name="20% - Accent5 3 2 2" xfId="125" xr:uid="{00000000-0005-0000-0000-000068000000}"/>
    <cellStyle name="20% - Accent5 3 3" xfId="126" xr:uid="{00000000-0005-0000-0000-000069000000}"/>
    <cellStyle name="20% - Accent5 3 4" xfId="127" xr:uid="{00000000-0005-0000-0000-00006A000000}"/>
    <cellStyle name="20% - Accent5 4" xfId="128" xr:uid="{00000000-0005-0000-0000-00006B000000}"/>
    <cellStyle name="20% - Accent5 4 2" xfId="129" xr:uid="{00000000-0005-0000-0000-00006C000000}"/>
    <cellStyle name="20% - Accent5 4 2 2" xfId="130" xr:uid="{00000000-0005-0000-0000-00006D000000}"/>
    <cellStyle name="20% - Accent5 4 3" xfId="131" xr:uid="{00000000-0005-0000-0000-00006E000000}"/>
    <cellStyle name="20% - Accent5 5" xfId="132" xr:uid="{00000000-0005-0000-0000-00006F000000}"/>
    <cellStyle name="20% - Accent5 5 2" xfId="133" xr:uid="{00000000-0005-0000-0000-000070000000}"/>
    <cellStyle name="20% - Accent5 5 2 2" xfId="134" xr:uid="{00000000-0005-0000-0000-000071000000}"/>
    <cellStyle name="20% - Accent5 5 3" xfId="135" xr:uid="{00000000-0005-0000-0000-000072000000}"/>
    <cellStyle name="20% - Accent5 6" xfId="136" xr:uid="{00000000-0005-0000-0000-000073000000}"/>
    <cellStyle name="20% - Accent6 2" xfId="137" xr:uid="{00000000-0005-0000-0000-000074000000}"/>
    <cellStyle name="20% - Accent6 2 2" xfId="138" xr:uid="{00000000-0005-0000-0000-000075000000}"/>
    <cellStyle name="20% - Accent6 2 2 2" xfId="139" xr:uid="{00000000-0005-0000-0000-000076000000}"/>
    <cellStyle name="20% - Accent6 2 2 3" xfId="140" xr:uid="{00000000-0005-0000-0000-000077000000}"/>
    <cellStyle name="20% - Accent6 2 3" xfId="141" xr:uid="{00000000-0005-0000-0000-000078000000}"/>
    <cellStyle name="20% - Accent6 2 3 2" xfId="142" xr:uid="{00000000-0005-0000-0000-000079000000}"/>
    <cellStyle name="20% - Accent6 2 4" xfId="143" xr:uid="{00000000-0005-0000-0000-00007A000000}"/>
    <cellStyle name="20% - Accent6 2 5" xfId="144" xr:uid="{00000000-0005-0000-0000-00007B000000}"/>
    <cellStyle name="20% - Accent6 3" xfId="145" xr:uid="{00000000-0005-0000-0000-00007C000000}"/>
    <cellStyle name="20% - Accent6 3 2" xfId="146" xr:uid="{00000000-0005-0000-0000-00007D000000}"/>
    <cellStyle name="20% - Accent6 3 2 2" xfId="147" xr:uid="{00000000-0005-0000-0000-00007E000000}"/>
    <cellStyle name="20% - Accent6 3 3" xfId="148" xr:uid="{00000000-0005-0000-0000-00007F000000}"/>
    <cellStyle name="20% - Accent6 3 4" xfId="149" xr:uid="{00000000-0005-0000-0000-000080000000}"/>
    <cellStyle name="20% - Accent6 4" xfId="150" xr:uid="{00000000-0005-0000-0000-000081000000}"/>
    <cellStyle name="20% - Accent6 4 2" xfId="151" xr:uid="{00000000-0005-0000-0000-000082000000}"/>
    <cellStyle name="20% - Accent6 4 2 2" xfId="152" xr:uid="{00000000-0005-0000-0000-000083000000}"/>
    <cellStyle name="20% - Accent6 4 3" xfId="153" xr:uid="{00000000-0005-0000-0000-000084000000}"/>
    <cellStyle name="20% - Accent6 5" xfId="154" xr:uid="{00000000-0005-0000-0000-000085000000}"/>
    <cellStyle name="20% - Accent6 5 2" xfId="155" xr:uid="{00000000-0005-0000-0000-000086000000}"/>
    <cellStyle name="20% - Accent6 5 2 2" xfId="156" xr:uid="{00000000-0005-0000-0000-000087000000}"/>
    <cellStyle name="20% - Accent6 5 3" xfId="157" xr:uid="{00000000-0005-0000-0000-000088000000}"/>
    <cellStyle name="20% - Accent6 6" xfId="158" xr:uid="{00000000-0005-0000-0000-000089000000}"/>
    <cellStyle name="40% - Accent1 2" xfId="159" xr:uid="{00000000-0005-0000-0000-00008A000000}"/>
    <cellStyle name="40% - Accent1 2 2" xfId="160" xr:uid="{00000000-0005-0000-0000-00008B000000}"/>
    <cellStyle name="40% - Accent1 2 2 2" xfId="161" xr:uid="{00000000-0005-0000-0000-00008C000000}"/>
    <cellStyle name="40% - Accent1 2 2 3" xfId="162" xr:uid="{00000000-0005-0000-0000-00008D000000}"/>
    <cellStyle name="40% - Accent1 2 3" xfId="163" xr:uid="{00000000-0005-0000-0000-00008E000000}"/>
    <cellStyle name="40% - Accent1 2 3 2" xfId="164" xr:uid="{00000000-0005-0000-0000-00008F000000}"/>
    <cellStyle name="40% - Accent1 2 4" xfId="165" xr:uid="{00000000-0005-0000-0000-000090000000}"/>
    <cellStyle name="40% - Accent1 2 5" xfId="166" xr:uid="{00000000-0005-0000-0000-000091000000}"/>
    <cellStyle name="40% - Accent1 3" xfId="167" xr:uid="{00000000-0005-0000-0000-000092000000}"/>
    <cellStyle name="40% - Accent1 3 2" xfId="168" xr:uid="{00000000-0005-0000-0000-000093000000}"/>
    <cellStyle name="40% - Accent1 3 2 2" xfId="169" xr:uid="{00000000-0005-0000-0000-000094000000}"/>
    <cellStyle name="40% - Accent1 3 3" xfId="170" xr:uid="{00000000-0005-0000-0000-000095000000}"/>
    <cellStyle name="40% - Accent1 3 4" xfId="171" xr:uid="{00000000-0005-0000-0000-000096000000}"/>
    <cellStyle name="40% - Accent1 4" xfId="172" xr:uid="{00000000-0005-0000-0000-000097000000}"/>
    <cellStyle name="40% - Accent1 4 2" xfId="173" xr:uid="{00000000-0005-0000-0000-000098000000}"/>
    <cellStyle name="40% - Accent1 4 2 2" xfId="174" xr:uid="{00000000-0005-0000-0000-000099000000}"/>
    <cellStyle name="40% - Accent1 4 3" xfId="175" xr:uid="{00000000-0005-0000-0000-00009A000000}"/>
    <cellStyle name="40% - Accent1 5" xfId="176" xr:uid="{00000000-0005-0000-0000-00009B000000}"/>
    <cellStyle name="40% - Accent1 5 2" xfId="177" xr:uid="{00000000-0005-0000-0000-00009C000000}"/>
    <cellStyle name="40% - Accent1 5 2 2" xfId="178" xr:uid="{00000000-0005-0000-0000-00009D000000}"/>
    <cellStyle name="40% - Accent1 5 3" xfId="179" xr:uid="{00000000-0005-0000-0000-00009E000000}"/>
    <cellStyle name="40% - Accent1 6" xfId="180" xr:uid="{00000000-0005-0000-0000-00009F000000}"/>
    <cellStyle name="40% - Accent2 2" xfId="181" xr:uid="{00000000-0005-0000-0000-0000A0000000}"/>
    <cellStyle name="40% - Accent2 2 2" xfId="182" xr:uid="{00000000-0005-0000-0000-0000A1000000}"/>
    <cellStyle name="40% - Accent2 2 2 2" xfId="183" xr:uid="{00000000-0005-0000-0000-0000A2000000}"/>
    <cellStyle name="40% - Accent2 2 2 3" xfId="184" xr:uid="{00000000-0005-0000-0000-0000A3000000}"/>
    <cellStyle name="40% - Accent2 2 3" xfId="185" xr:uid="{00000000-0005-0000-0000-0000A4000000}"/>
    <cellStyle name="40% - Accent2 2 3 2" xfId="186" xr:uid="{00000000-0005-0000-0000-0000A5000000}"/>
    <cellStyle name="40% - Accent2 2 4" xfId="187" xr:uid="{00000000-0005-0000-0000-0000A6000000}"/>
    <cellStyle name="40% - Accent2 2 5" xfId="188" xr:uid="{00000000-0005-0000-0000-0000A7000000}"/>
    <cellStyle name="40% - Accent2 3" xfId="189" xr:uid="{00000000-0005-0000-0000-0000A8000000}"/>
    <cellStyle name="40% - Accent2 3 2" xfId="190" xr:uid="{00000000-0005-0000-0000-0000A9000000}"/>
    <cellStyle name="40% - Accent2 3 2 2" xfId="191" xr:uid="{00000000-0005-0000-0000-0000AA000000}"/>
    <cellStyle name="40% - Accent2 3 3" xfId="192" xr:uid="{00000000-0005-0000-0000-0000AB000000}"/>
    <cellStyle name="40% - Accent2 3 4" xfId="193" xr:uid="{00000000-0005-0000-0000-0000AC000000}"/>
    <cellStyle name="40% - Accent2 4" xfId="194" xr:uid="{00000000-0005-0000-0000-0000AD000000}"/>
    <cellStyle name="40% - Accent2 4 2" xfId="195" xr:uid="{00000000-0005-0000-0000-0000AE000000}"/>
    <cellStyle name="40% - Accent2 4 2 2" xfId="196" xr:uid="{00000000-0005-0000-0000-0000AF000000}"/>
    <cellStyle name="40% - Accent2 4 3" xfId="197" xr:uid="{00000000-0005-0000-0000-0000B0000000}"/>
    <cellStyle name="40% - Accent2 5" xfId="198" xr:uid="{00000000-0005-0000-0000-0000B1000000}"/>
    <cellStyle name="40% - Accent2 5 2" xfId="199" xr:uid="{00000000-0005-0000-0000-0000B2000000}"/>
    <cellStyle name="40% - Accent2 5 2 2" xfId="200" xr:uid="{00000000-0005-0000-0000-0000B3000000}"/>
    <cellStyle name="40% - Accent2 5 3" xfId="201" xr:uid="{00000000-0005-0000-0000-0000B4000000}"/>
    <cellStyle name="40% - Accent2 6" xfId="202" xr:uid="{00000000-0005-0000-0000-0000B5000000}"/>
    <cellStyle name="40% - Accent3 2" xfId="203" xr:uid="{00000000-0005-0000-0000-0000B6000000}"/>
    <cellStyle name="40% - Accent3 2 2" xfId="204" xr:uid="{00000000-0005-0000-0000-0000B7000000}"/>
    <cellStyle name="40% - Accent3 2 2 2" xfId="205" xr:uid="{00000000-0005-0000-0000-0000B8000000}"/>
    <cellStyle name="40% - Accent3 2 2 3" xfId="206" xr:uid="{00000000-0005-0000-0000-0000B9000000}"/>
    <cellStyle name="40% - Accent3 2 3" xfId="207" xr:uid="{00000000-0005-0000-0000-0000BA000000}"/>
    <cellStyle name="40% - Accent3 2 3 2" xfId="208" xr:uid="{00000000-0005-0000-0000-0000BB000000}"/>
    <cellStyle name="40% - Accent3 2 4" xfId="209" xr:uid="{00000000-0005-0000-0000-0000BC000000}"/>
    <cellStyle name="40% - Accent3 2 5" xfId="210" xr:uid="{00000000-0005-0000-0000-0000BD000000}"/>
    <cellStyle name="40% - Accent3 3" xfId="211" xr:uid="{00000000-0005-0000-0000-0000BE000000}"/>
    <cellStyle name="40% - Accent3 3 2" xfId="212" xr:uid="{00000000-0005-0000-0000-0000BF000000}"/>
    <cellStyle name="40% - Accent3 3 2 2" xfId="213" xr:uid="{00000000-0005-0000-0000-0000C0000000}"/>
    <cellStyle name="40% - Accent3 3 3" xfId="214" xr:uid="{00000000-0005-0000-0000-0000C1000000}"/>
    <cellStyle name="40% - Accent3 3 4" xfId="215" xr:uid="{00000000-0005-0000-0000-0000C2000000}"/>
    <cellStyle name="40% - Accent3 4" xfId="216" xr:uid="{00000000-0005-0000-0000-0000C3000000}"/>
    <cellStyle name="40% - Accent3 4 2" xfId="217" xr:uid="{00000000-0005-0000-0000-0000C4000000}"/>
    <cellStyle name="40% - Accent3 4 2 2" xfId="218" xr:uid="{00000000-0005-0000-0000-0000C5000000}"/>
    <cellStyle name="40% - Accent3 4 3" xfId="219" xr:uid="{00000000-0005-0000-0000-0000C6000000}"/>
    <cellStyle name="40% - Accent3 5" xfId="220" xr:uid="{00000000-0005-0000-0000-0000C7000000}"/>
    <cellStyle name="40% - Accent3 5 2" xfId="221" xr:uid="{00000000-0005-0000-0000-0000C8000000}"/>
    <cellStyle name="40% - Accent3 5 2 2" xfId="222" xr:uid="{00000000-0005-0000-0000-0000C9000000}"/>
    <cellStyle name="40% - Accent3 5 3" xfId="223" xr:uid="{00000000-0005-0000-0000-0000CA000000}"/>
    <cellStyle name="40% - Accent3 6" xfId="224" xr:uid="{00000000-0005-0000-0000-0000CB000000}"/>
    <cellStyle name="40% - Accent4 2" xfId="225" xr:uid="{00000000-0005-0000-0000-0000CC000000}"/>
    <cellStyle name="40% - Accent4 2 2" xfId="226" xr:uid="{00000000-0005-0000-0000-0000CD000000}"/>
    <cellStyle name="40% - Accent4 2 2 2" xfId="227" xr:uid="{00000000-0005-0000-0000-0000CE000000}"/>
    <cellStyle name="40% - Accent4 2 2 3" xfId="228" xr:uid="{00000000-0005-0000-0000-0000CF000000}"/>
    <cellStyle name="40% - Accent4 2 3" xfId="229" xr:uid="{00000000-0005-0000-0000-0000D0000000}"/>
    <cellStyle name="40% - Accent4 2 3 2" xfId="230" xr:uid="{00000000-0005-0000-0000-0000D1000000}"/>
    <cellStyle name="40% - Accent4 2 4" xfId="231" xr:uid="{00000000-0005-0000-0000-0000D2000000}"/>
    <cellStyle name="40% - Accent4 2 5" xfId="232" xr:uid="{00000000-0005-0000-0000-0000D3000000}"/>
    <cellStyle name="40% - Accent4 3" xfId="233" xr:uid="{00000000-0005-0000-0000-0000D4000000}"/>
    <cellStyle name="40% - Accent4 3 2" xfId="234" xr:uid="{00000000-0005-0000-0000-0000D5000000}"/>
    <cellStyle name="40% - Accent4 3 2 2" xfId="235" xr:uid="{00000000-0005-0000-0000-0000D6000000}"/>
    <cellStyle name="40% - Accent4 3 3" xfId="236" xr:uid="{00000000-0005-0000-0000-0000D7000000}"/>
    <cellStyle name="40% - Accent4 3 4" xfId="237" xr:uid="{00000000-0005-0000-0000-0000D8000000}"/>
    <cellStyle name="40% - Accent4 4" xfId="238" xr:uid="{00000000-0005-0000-0000-0000D9000000}"/>
    <cellStyle name="40% - Accent4 4 2" xfId="239" xr:uid="{00000000-0005-0000-0000-0000DA000000}"/>
    <cellStyle name="40% - Accent4 4 2 2" xfId="240" xr:uid="{00000000-0005-0000-0000-0000DB000000}"/>
    <cellStyle name="40% - Accent4 4 3" xfId="241" xr:uid="{00000000-0005-0000-0000-0000DC000000}"/>
    <cellStyle name="40% - Accent4 5" xfId="242" xr:uid="{00000000-0005-0000-0000-0000DD000000}"/>
    <cellStyle name="40% - Accent4 5 2" xfId="243" xr:uid="{00000000-0005-0000-0000-0000DE000000}"/>
    <cellStyle name="40% - Accent4 5 2 2" xfId="244" xr:uid="{00000000-0005-0000-0000-0000DF000000}"/>
    <cellStyle name="40% - Accent4 5 3" xfId="245" xr:uid="{00000000-0005-0000-0000-0000E0000000}"/>
    <cellStyle name="40% - Accent4 6" xfId="246" xr:uid="{00000000-0005-0000-0000-0000E1000000}"/>
    <cellStyle name="40% - Accent5 2" xfId="247" xr:uid="{00000000-0005-0000-0000-0000E2000000}"/>
    <cellStyle name="40% - Accent5 2 2" xfId="248" xr:uid="{00000000-0005-0000-0000-0000E3000000}"/>
    <cellStyle name="40% - Accent5 2 2 2" xfId="249" xr:uid="{00000000-0005-0000-0000-0000E4000000}"/>
    <cellStyle name="40% - Accent5 2 2 3" xfId="250" xr:uid="{00000000-0005-0000-0000-0000E5000000}"/>
    <cellStyle name="40% - Accent5 2 3" xfId="251" xr:uid="{00000000-0005-0000-0000-0000E6000000}"/>
    <cellStyle name="40% - Accent5 2 3 2" xfId="252" xr:uid="{00000000-0005-0000-0000-0000E7000000}"/>
    <cellStyle name="40% - Accent5 2 4" xfId="253" xr:uid="{00000000-0005-0000-0000-0000E8000000}"/>
    <cellStyle name="40% - Accent5 2 5" xfId="254" xr:uid="{00000000-0005-0000-0000-0000E9000000}"/>
    <cellStyle name="40% - Accent5 3" xfId="255" xr:uid="{00000000-0005-0000-0000-0000EA000000}"/>
    <cellStyle name="40% - Accent5 3 2" xfId="256" xr:uid="{00000000-0005-0000-0000-0000EB000000}"/>
    <cellStyle name="40% - Accent5 3 2 2" xfId="257" xr:uid="{00000000-0005-0000-0000-0000EC000000}"/>
    <cellStyle name="40% - Accent5 3 3" xfId="258" xr:uid="{00000000-0005-0000-0000-0000ED000000}"/>
    <cellStyle name="40% - Accent5 3 4" xfId="259" xr:uid="{00000000-0005-0000-0000-0000EE000000}"/>
    <cellStyle name="40% - Accent5 4" xfId="260" xr:uid="{00000000-0005-0000-0000-0000EF000000}"/>
    <cellStyle name="40% - Accent5 4 2" xfId="261" xr:uid="{00000000-0005-0000-0000-0000F0000000}"/>
    <cellStyle name="40% - Accent5 4 2 2" xfId="262" xr:uid="{00000000-0005-0000-0000-0000F1000000}"/>
    <cellStyle name="40% - Accent5 4 3" xfId="263" xr:uid="{00000000-0005-0000-0000-0000F2000000}"/>
    <cellStyle name="40% - Accent5 5" xfId="264" xr:uid="{00000000-0005-0000-0000-0000F3000000}"/>
    <cellStyle name="40% - Accent5 5 2" xfId="265" xr:uid="{00000000-0005-0000-0000-0000F4000000}"/>
    <cellStyle name="40% - Accent5 5 2 2" xfId="266" xr:uid="{00000000-0005-0000-0000-0000F5000000}"/>
    <cellStyle name="40% - Accent5 5 3" xfId="267" xr:uid="{00000000-0005-0000-0000-0000F6000000}"/>
    <cellStyle name="40% - Accent5 6" xfId="268" xr:uid="{00000000-0005-0000-0000-0000F7000000}"/>
    <cellStyle name="40% - Accent6 2" xfId="269" xr:uid="{00000000-0005-0000-0000-0000F8000000}"/>
    <cellStyle name="40% - Accent6 2 2" xfId="270" xr:uid="{00000000-0005-0000-0000-0000F9000000}"/>
    <cellStyle name="40% - Accent6 2 2 2" xfId="271" xr:uid="{00000000-0005-0000-0000-0000FA000000}"/>
    <cellStyle name="40% - Accent6 2 2 3" xfId="272" xr:uid="{00000000-0005-0000-0000-0000FB000000}"/>
    <cellStyle name="40% - Accent6 2 3" xfId="273" xr:uid="{00000000-0005-0000-0000-0000FC000000}"/>
    <cellStyle name="40% - Accent6 2 3 2" xfId="274" xr:uid="{00000000-0005-0000-0000-0000FD000000}"/>
    <cellStyle name="40% - Accent6 2 4" xfId="275" xr:uid="{00000000-0005-0000-0000-0000FE000000}"/>
    <cellStyle name="40% - Accent6 2 5" xfId="276" xr:uid="{00000000-0005-0000-0000-0000FF000000}"/>
    <cellStyle name="40% - Accent6 3" xfId="277" xr:uid="{00000000-0005-0000-0000-000000010000}"/>
    <cellStyle name="40% - Accent6 3 2" xfId="278" xr:uid="{00000000-0005-0000-0000-000001010000}"/>
    <cellStyle name="40% - Accent6 3 2 2" xfId="279" xr:uid="{00000000-0005-0000-0000-000002010000}"/>
    <cellStyle name="40% - Accent6 3 3" xfId="280" xr:uid="{00000000-0005-0000-0000-000003010000}"/>
    <cellStyle name="40% - Accent6 3 4" xfId="281" xr:uid="{00000000-0005-0000-0000-000004010000}"/>
    <cellStyle name="40% - Accent6 4" xfId="282" xr:uid="{00000000-0005-0000-0000-000005010000}"/>
    <cellStyle name="40% - Accent6 4 2" xfId="283" xr:uid="{00000000-0005-0000-0000-000006010000}"/>
    <cellStyle name="40% - Accent6 4 2 2" xfId="284" xr:uid="{00000000-0005-0000-0000-000007010000}"/>
    <cellStyle name="40% - Accent6 4 3" xfId="285" xr:uid="{00000000-0005-0000-0000-000008010000}"/>
    <cellStyle name="40% - Accent6 5" xfId="286" xr:uid="{00000000-0005-0000-0000-000009010000}"/>
    <cellStyle name="40% - Accent6 5 2" xfId="287" xr:uid="{00000000-0005-0000-0000-00000A010000}"/>
    <cellStyle name="40% - Accent6 5 2 2" xfId="288" xr:uid="{00000000-0005-0000-0000-00000B010000}"/>
    <cellStyle name="40% - Accent6 5 3" xfId="289" xr:uid="{00000000-0005-0000-0000-00000C010000}"/>
    <cellStyle name="40% - Accent6 6" xfId="290" xr:uid="{00000000-0005-0000-0000-00000D010000}"/>
    <cellStyle name="60% - Accent1 2" xfId="291" xr:uid="{00000000-0005-0000-0000-00000E010000}"/>
    <cellStyle name="60% - Accent1 3" xfId="292" xr:uid="{00000000-0005-0000-0000-00000F010000}"/>
    <cellStyle name="60% - Accent1 4" xfId="293" xr:uid="{00000000-0005-0000-0000-000010010000}"/>
    <cellStyle name="60% - Accent1 5" xfId="294" xr:uid="{00000000-0005-0000-0000-000011010000}"/>
    <cellStyle name="60% - Accent1 6" xfId="295" xr:uid="{00000000-0005-0000-0000-000012010000}"/>
    <cellStyle name="60% - Accent2 2" xfId="296" xr:uid="{00000000-0005-0000-0000-000013010000}"/>
    <cellStyle name="60% - Accent2 3" xfId="297" xr:uid="{00000000-0005-0000-0000-000014010000}"/>
    <cellStyle name="60% - Accent2 4" xfId="298" xr:uid="{00000000-0005-0000-0000-000015010000}"/>
    <cellStyle name="60% - Accent2 5" xfId="299" xr:uid="{00000000-0005-0000-0000-000016010000}"/>
    <cellStyle name="60% - Accent2 6" xfId="300" xr:uid="{00000000-0005-0000-0000-000017010000}"/>
    <cellStyle name="60% - Accent3 2" xfId="301" xr:uid="{00000000-0005-0000-0000-000018010000}"/>
    <cellStyle name="60% - Accent3 3" xfId="302" xr:uid="{00000000-0005-0000-0000-000019010000}"/>
    <cellStyle name="60% - Accent3 4" xfId="303" xr:uid="{00000000-0005-0000-0000-00001A010000}"/>
    <cellStyle name="60% - Accent3 5" xfId="304" xr:uid="{00000000-0005-0000-0000-00001B010000}"/>
    <cellStyle name="60% - Accent3 6" xfId="305" xr:uid="{00000000-0005-0000-0000-00001C010000}"/>
    <cellStyle name="60% - Accent4 2" xfId="306" xr:uid="{00000000-0005-0000-0000-00001D010000}"/>
    <cellStyle name="60% - Accent4 3" xfId="307" xr:uid="{00000000-0005-0000-0000-00001E010000}"/>
    <cellStyle name="60% - Accent4 4" xfId="308" xr:uid="{00000000-0005-0000-0000-00001F010000}"/>
    <cellStyle name="60% - Accent4 5" xfId="309" xr:uid="{00000000-0005-0000-0000-000020010000}"/>
    <cellStyle name="60% - Accent4 6" xfId="310" xr:uid="{00000000-0005-0000-0000-000021010000}"/>
    <cellStyle name="60% - Accent5 2" xfId="311" xr:uid="{00000000-0005-0000-0000-000022010000}"/>
    <cellStyle name="60% - Accent5 3" xfId="312" xr:uid="{00000000-0005-0000-0000-000023010000}"/>
    <cellStyle name="60% - Accent5 4" xfId="313" xr:uid="{00000000-0005-0000-0000-000024010000}"/>
    <cellStyle name="60% - Accent5 5" xfId="314" xr:uid="{00000000-0005-0000-0000-000025010000}"/>
    <cellStyle name="60% - Accent5 6" xfId="315" xr:uid="{00000000-0005-0000-0000-000026010000}"/>
    <cellStyle name="60% - Accent6 2" xfId="316" xr:uid="{00000000-0005-0000-0000-000027010000}"/>
    <cellStyle name="60% - Accent6 3" xfId="317" xr:uid="{00000000-0005-0000-0000-000028010000}"/>
    <cellStyle name="60% - Accent6 4" xfId="318" xr:uid="{00000000-0005-0000-0000-000029010000}"/>
    <cellStyle name="60% - Accent6 5" xfId="319" xr:uid="{00000000-0005-0000-0000-00002A010000}"/>
    <cellStyle name="60% - Accent6 6" xfId="320" xr:uid="{00000000-0005-0000-0000-00002B010000}"/>
    <cellStyle name="Accent1 2" xfId="321" xr:uid="{00000000-0005-0000-0000-00002C010000}"/>
    <cellStyle name="Accent1 3" xfId="322" xr:uid="{00000000-0005-0000-0000-00002D010000}"/>
    <cellStyle name="Accent1 4" xfId="323" xr:uid="{00000000-0005-0000-0000-00002E010000}"/>
    <cellStyle name="Accent1 5" xfId="324" xr:uid="{00000000-0005-0000-0000-00002F010000}"/>
    <cellStyle name="Accent1 6" xfId="325" xr:uid="{00000000-0005-0000-0000-000030010000}"/>
    <cellStyle name="Accent2 2" xfId="326" xr:uid="{00000000-0005-0000-0000-000031010000}"/>
    <cellStyle name="Accent2 3" xfId="327" xr:uid="{00000000-0005-0000-0000-000032010000}"/>
    <cellStyle name="Accent2 4" xfId="328" xr:uid="{00000000-0005-0000-0000-000033010000}"/>
    <cellStyle name="Accent2 5" xfId="329" xr:uid="{00000000-0005-0000-0000-000034010000}"/>
    <cellStyle name="Accent2 6" xfId="330" xr:uid="{00000000-0005-0000-0000-000035010000}"/>
    <cellStyle name="Accent3 2" xfId="331" xr:uid="{00000000-0005-0000-0000-000036010000}"/>
    <cellStyle name="Accent3 3" xfId="332" xr:uid="{00000000-0005-0000-0000-000037010000}"/>
    <cellStyle name="Accent3 4" xfId="333" xr:uid="{00000000-0005-0000-0000-000038010000}"/>
    <cellStyle name="Accent3 5" xfId="334" xr:uid="{00000000-0005-0000-0000-000039010000}"/>
    <cellStyle name="Accent3 6" xfId="335" xr:uid="{00000000-0005-0000-0000-00003A010000}"/>
    <cellStyle name="Accent4 2" xfId="336" xr:uid="{00000000-0005-0000-0000-00003B010000}"/>
    <cellStyle name="Accent4 3" xfId="337" xr:uid="{00000000-0005-0000-0000-00003C010000}"/>
    <cellStyle name="Accent4 4" xfId="338" xr:uid="{00000000-0005-0000-0000-00003D010000}"/>
    <cellStyle name="Accent4 5" xfId="339" xr:uid="{00000000-0005-0000-0000-00003E010000}"/>
    <cellStyle name="Accent4 6" xfId="340" xr:uid="{00000000-0005-0000-0000-00003F010000}"/>
    <cellStyle name="Accent5 2" xfId="341" xr:uid="{00000000-0005-0000-0000-000040010000}"/>
    <cellStyle name="Accent5 3" xfId="342" xr:uid="{00000000-0005-0000-0000-000041010000}"/>
    <cellStyle name="Accent5 4" xfId="343" xr:uid="{00000000-0005-0000-0000-000042010000}"/>
    <cellStyle name="Accent5 5" xfId="344" xr:uid="{00000000-0005-0000-0000-000043010000}"/>
    <cellStyle name="Accent5 6" xfId="345" xr:uid="{00000000-0005-0000-0000-000044010000}"/>
    <cellStyle name="Accent6 2" xfId="346" xr:uid="{00000000-0005-0000-0000-000045010000}"/>
    <cellStyle name="Accent6 3" xfId="347" xr:uid="{00000000-0005-0000-0000-000046010000}"/>
    <cellStyle name="Accent6 4" xfId="348" xr:uid="{00000000-0005-0000-0000-000047010000}"/>
    <cellStyle name="Accent6 5" xfId="349" xr:uid="{00000000-0005-0000-0000-000048010000}"/>
    <cellStyle name="Accent6 6" xfId="350" xr:uid="{00000000-0005-0000-0000-000049010000}"/>
    <cellStyle name="Account No." xfId="351" xr:uid="{00000000-0005-0000-0000-00004A010000}"/>
    <cellStyle name="Account No. 2" xfId="352" xr:uid="{00000000-0005-0000-0000-00004B010000}"/>
    <cellStyle name="adj detail" xfId="353" xr:uid="{00000000-0005-0000-0000-00004C010000}"/>
    <cellStyle name="Allocated" xfId="354" xr:uid="{00000000-0005-0000-0000-00004D010000}"/>
    <cellStyle name="Bad 2" xfId="355" xr:uid="{00000000-0005-0000-0000-00004E010000}"/>
    <cellStyle name="Bad 3" xfId="356" xr:uid="{00000000-0005-0000-0000-00004F010000}"/>
    <cellStyle name="Bad 4" xfId="357" xr:uid="{00000000-0005-0000-0000-000050010000}"/>
    <cellStyle name="Bad 5" xfId="358" xr:uid="{00000000-0005-0000-0000-000051010000}"/>
    <cellStyle name="Bad 6" xfId="359" xr:uid="{00000000-0005-0000-0000-000052010000}"/>
    <cellStyle name="Calculation 2" xfId="360" xr:uid="{00000000-0005-0000-0000-000053010000}"/>
    <cellStyle name="Calculation 3" xfId="361" xr:uid="{00000000-0005-0000-0000-000054010000}"/>
    <cellStyle name="Calculation 4" xfId="362" xr:uid="{00000000-0005-0000-0000-000055010000}"/>
    <cellStyle name="Calculation 5" xfId="363" xr:uid="{00000000-0005-0000-0000-000056010000}"/>
    <cellStyle name="Calculation 6" xfId="364" xr:uid="{00000000-0005-0000-0000-000057010000}"/>
    <cellStyle name="Calculation 7" xfId="365" xr:uid="{00000000-0005-0000-0000-000058010000}"/>
    <cellStyle name="Check Cell 2" xfId="366" xr:uid="{00000000-0005-0000-0000-000059010000}"/>
    <cellStyle name="Check Cell 3" xfId="367" xr:uid="{00000000-0005-0000-0000-00005A010000}"/>
    <cellStyle name="Check Cell 4" xfId="368" xr:uid="{00000000-0005-0000-0000-00005B010000}"/>
    <cellStyle name="Check Cell 5" xfId="369" xr:uid="{00000000-0005-0000-0000-00005C010000}"/>
    <cellStyle name="Check Cell 6" xfId="370" xr:uid="{00000000-0005-0000-0000-00005D010000}"/>
    <cellStyle name="Col Cent" xfId="371" xr:uid="{00000000-0005-0000-0000-00005E010000}"/>
    <cellStyle name="Col Cent Across" xfId="372" xr:uid="{00000000-0005-0000-0000-00005F010000}"/>
    <cellStyle name="Col Head Cent" xfId="373" xr:uid="{00000000-0005-0000-0000-000060010000}"/>
    <cellStyle name="Col Head Cent 2" xfId="374" xr:uid="{00000000-0005-0000-0000-000061010000}"/>
    <cellStyle name="ColumnHeaderNormal" xfId="375" xr:uid="{00000000-0005-0000-0000-000062010000}"/>
    <cellStyle name="Comma" xfId="9411" builtinId="3"/>
    <cellStyle name="Comma [0] 2" xfId="376" xr:uid="{00000000-0005-0000-0000-000064010000}"/>
    <cellStyle name="Comma 10" xfId="377" xr:uid="{00000000-0005-0000-0000-000065010000}"/>
    <cellStyle name="Comma 11" xfId="378" xr:uid="{00000000-0005-0000-0000-000066010000}"/>
    <cellStyle name="Comma 12" xfId="379" xr:uid="{00000000-0005-0000-0000-000067010000}"/>
    <cellStyle name="Comma 13" xfId="380" xr:uid="{00000000-0005-0000-0000-000068010000}"/>
    <cellStyle name="Comma 14" xfId="381" xr:uid="{00000000-0005-0000-0000-000069010000}"/>
    <cellStyle name="Comma 15" xfId="382" xr:uid="{00000000-0005-0000-0000-00006A010000}"/>
    <cellStyle name="Comma 16" xfId="383" xr:uid="{00000000-0005-0000-0000-00006B010000}"/>
    <cellStyle name="Comma 17" xfId="384" xr:uid="{00000000-0005-0000-0000-00006C010000}"/>
    <cellStyle name="Comma 18" xfId="385" xr:uid="{00000000-0005-0000-0000-00006D010000}"/>
    <cellStyle name="Comma 18 2" xfId="386" xr:uid="{00000000-0005-0000-0000-00006E010000}"/>
    <cellStyle name="Comma 18 3" xfId="387" xr:uid="{00000000-0005-0000-0000-00006F010000}"/>
    <cellStyle name="Comma 19" xfId="388" xr:uid="{00000000-0005-0000-0000-000070010000}"/>
    <cellStyle name="Comma 2" xfId="9" xr:uid="{00000000-0005-0000-0000-000071010000}"/>
    <cellStyle name="Comma 2 10" xfId="389" xr:uid="{00000000-0005-0000-0000-000072010000}"/>
    <cellStyle name="Comma 2 10 2" xfId="390" xr:uid="{00000000-0005-0000-0000-000073010000}"/>
    <cellStyle name="Comma 2 10 2 2" xfId="391" xr:uid="{00000000-0005-0000-0000-000074010000}"/>
    <cellStyle name="Comma 2 10 2 3" xfId="392" xr:uid="{00000000-0005-0000-0000-000075010000}"/>
    <cellStyle name="Comma 2 10 3" xfId="393" xr:uid="{00000000-0005-0000-0000-000076010000}"/>
    <cellStyle name="Comma 2 100" xfId="394" xr:uid="{00000000-0005-0000-0000-000077010000}"/>
    <cellStyle name="Comma 2 101" xfId="395" xr:uid="{00000000-0005-0000-0000-000078010000}"/>
    <cellStyle name="Comma 2 102" xfId="396" xr:uid="{00000000-0005-0000-0000-000079010000}"/>
    <cellStyle name="Comma 2 103" xfId="397" xr:uid="{00000000-0005-0000-0000-00007A010000}"/>
    <cellStyle name="Comma 2 104" xfId="398" xr:uid="{00000000-0005-0000-0000-00007B010000}"/>
    <cellStyle name="Comma 2 105" xfId="399" xr:uid="{00000000-0005-0000-0000-00007C010000}"/>
    <cellStyle name="Comma 2 106" xfId="400" xr:uid="{00000000-0005-0000-0000-00007D010000}"/>
    <cellStyle name="Comma 2 107" xfId="401" xr:uid="{00000000-0005-0000-0000-00007E010000}"/>
    <cellStyle name="Comma 2 108" xfId="402" xr:uid="{00000000-0005-0000-0000-00007F010000}"/>
    <cellStyle name="Comma 2 109" xfId="403" xr:uid="{00000000-0005-0000-0000-000080010000}"/>
    <cellStyle name="Comma 2 11" xfId="404" xr:uid="{00000000-0005-0000-0000-000081010000}"/>
    <cellStyle name="Comma 2 11 2" xfId="405" xr:uid="{00000000-0005-0000-0000-000082010000}"/>
    <cellStyle name="Comma 2 11 2 2" xfId="406" xr:uid="{00000000-0005-0000-0000-000083010000}"/>
    <cellStyle name="Comma 2 11 2 3" xfId="407" xr:uid="{00000000-0005-0000-0000-000084010000}"/>
    <cellStyle name="Comma 2 11 3" xfId="408" xr:uid="{00000000-0005-0000-0000-000085010000}"/>
    <cellStyle name="Comma 2 110" xfId="409" xr:uid="{00000000-0005-0000-0000-000086010000}"/>
    <cellStyle name="Comma 2 111" xfId="410" xr:uid="{00000000-0005-0000-0000-000087010000}"/>
    <cellStyle name="Comma 2 112" xfId="411" xr:uid="{00000000-0005-0000-0000-000088010000}"/>
    <cellStyle name="Comma 2 113" xfId="412" xr:uid="{00000000-0005-0000-0000-000089010000}"/>
    <cellStyle name="Comma 2 114" xfId="413" xr:uid="{00000000-0005-0000-0000-00008A010000}"/>
    <cellStyle name="Comma 2 115" xfId="414" xr:uid="{00000000-0005-0000-0000-00008B010000}"/>
    <cellStyle name="Comma 2 116" xfId="415" xr:uid="{00000000-0005-0000-0000-00008C010000}"/>
    <cellStyle name="Comma 2 117" xfId="416" xr:uid="{00000000-0005-0000-0000-00008D010000}"/>
    <cellStyle name="Comma 2 118" xfId="417" xr:uid="{00000000-0005-0000-0000-00008E010000}"/>
    <cellStyle name="Comma 2 119" xfId="418" xr:uid="{00000000-0005-0000-0000-00008F010000}"/>
    <cellStyle name="Comma 2 12" xfId="419" xr:uid="{00000000-0005-0000-0000-000090010000}"/>
    <cellStyle name="Comma 2 12 2" xfId="420" xr:uid="{00000000-0005-0000-0000-000091010000}"/>
    <cellStyle name="Comma 2 12 2 2" xfId="421" xr:uid="{00000000-0005-0000-0000-000092010000}"/>
    <cellStyle name="Comma 2 12 2 3" xfId="422" xr:uid="{00000000-0005-0000-0000-000093010000}"/>
    <cellStyle name="Comma 2 12 3" xfId="423" xr:uid="{00000000-0005-0000-0000-000094010000}"/>
    <cellStyle name="Comma 2 120" xfId="424" xr:uid="{00000000-0005-0000-0000-000095010000}"/>
    <cellStyle name="Comma 2 121" xfId="425" xr:uid="{00000000-0005-0000-0000-000096010000}"/>
    <cellStyle name="Comma 2 122" xfId="426" xr:uid="{00000000-0005-0000-0000-000097010000}"/>
    <cellStyle name="Comma 2 123" xfId="427" xr:uid="{00000000-0005-0000-0000-000098010000}"/>
    <cellStyle name="Comma 2 124" xfId="428" xr:uid="{00000000-0005-0000-0000-000099010000}"/>
    <cellStyle name="Comma 2 125" xfId="429" xr:uid="{00000000-0005-0000-0000-00009A010000}"/>
    <cellStyle name="Comma 2 126" xfId="430" xr:uid="{00000000-0005-0000-0000-00009B010000}"/>
    <cellStyle name="Comma 2 127" xfId="431" xr:uid="{00000000-0005-0000-0000-00009C010000}"/>
    <cellStyle name="Comma 2 128" xfId="432" xr:uid="{00000000-0005-0000-0000-00009D010000}"/>
    <cellStyle name="Comma 2 129" xfId="433" xr:uid="{00000000-0005-0000-0000-00009E010000}"/>
    <cellStyle name="Comma 2 13" xfId="434" xr:uid="{00000000-0005-0000-0000-00009F010000}"/>
    <cellStyle name="Comma 2 13 2" xfId="435" xr:uid="{00000000-0005-0000-0000-0000A0010000}"/>
    <cellStyle name="Comma 2 13 2 2" xfId="436" xr:uid="{00000000-0005-0000-0000-0000A1010000}"/>
    <cellStyle name="Comma 2 13 2 3" xfId="437" xr:uid="{00000000-0005-0000-0000-0000A2010000}"/>
    <cellStyle name="Comma 2 13 3" xfId="438" xr:uid="{00000000-0005-0000-0000-0000A3010000}"/>
    <cellStyle name="Comma 2 130" xfId="439" xr:uid="{00000000-0005-0000-0000-0000A4010000}"/>
    <cellStyle name="Comma 2 131" xfId="440" xr:uid="{00000000-0005-0000-0000-0000A5010000}"/>
    <cellStyle name="Comma 2 132" xfId="441" xr:uid="{00000000-0005-0000-0000-0000A6010000}"/>
    <cellStyle name="Comma 2 133" xfId="442" xr:uid="{00000000-0005-0000-0000-0000A7010000}"/>
    <cellStyle name="Comma 2 134" xfId="443" xr:uid="{00000000-0005-0000-0000-0000A8010000}"/>
    <cellStyle name="Comma 2 135" xfId="444" xr:uid="{00000000-0005-0000-0000-0000A9010000}"/>
    <cellStyle name="Comma 2 136" xfId="445" xr:uid="{00000000-0005-0000-0000-0000AA010000}"/>
    <cellStyle name="Comma 2 137" xfId="446" xr:uid="{00000000-0005-0000-0000-0000AB010000}"/>
    <cellStyle name="Comma 2 138" xfId="447" xr:uid="{00000000-0005-0000-0000-0000AC010000}"/>
    <cellStyle name="Comma 2 139" xfId="448" xr:uid="{00000000-0005-0000-0000-0000AD010000}"/>
    <cellStyle name="Comma 2 14" xfId="449" xr:uid="{00000000-0005-0000-0000-0000AE010000}"/>
    <cellStyle name="Comma 2 14 2" xfId="450" xr:uid="{00000000-0005-0000-0000-0000AF010000}"/>
    <cellStyle name="Comma 2 14 2 2" xfId="451" xr:uid="{00000000-0005-0000-0000-0000B0010000}"/>
    <cellStyle name="Comma 2 14 2 3" xfId="452" xr:uid="{00000000-0005-0000-0000-0000B1010000}"/>
    <cellStyle name="Comma 2 14 3" xfId="453" xr:uid="{00000000-0005-0000-0000-0000B2010000}"/>
    <cellStyle name="Comma 2 140" xfId="454" xr:uid="{00000000-0005-0000-0000-0000B3010000}"/>
    <cellStyle name="Comma 2 141" xfId="455" xr:uid="{00000000-0005-0000-0000-0000B4010000}"/>
    <cellStyle name="Comma 2 142" xfId="456" xr:uid="{00000000-0005-0000-0000-0000B5010000}"/>
    <cellStyle name="Comma 2 143" xfId="457" xr:uid="{00000000-0005-0000-0000-0000B6010000}"/>
    <cellStyle name="Comma 2 144" xfId="458" xr:uid="{00000000-0005-0000-0000-0000B7010000}"/>
    <cellStyle name="Comma 2 145" xfId="459" xr:uid="{00000000-0005-0000-0000-0000B8010000}"/>
    <cellStyle name="Comma 2 146" xfId="460" xr:uid="{00000000-0005-0000-0000-0000B9010000}"/>
    <cellStyle name="Comma 2 147" xfId="461" xr:uid="{00000000-0005-0000-0000-0000BA010000}"/>
    <cellStyle name="Comma 2 148" xfId="462" xr:uid="{00000000-0005-0000-0000-0000BB010000}"/>
    <cellStyle name="Comma 2 149" xfId="463" xr:uid="{00000000-0005-0000-0000-0000BC010000}"/>
    <cellStyle name="Comma 2 15" xfId="464" xr:uid="{00000000-0005-0000-0000-0000BD010000}"/>
    <cellStyle name="Comma 2 15 2" xfId="465" xr:uid="{00000000-0005-0000-0000-0000BE010000}"/>
    <cellStyle name="Comma 2 15 2 2" xfId="466" xr:uid="{00000000-0005-0000-0000-0000BF010000}"/>
    <cellStyle name="Comma 2 15 2 3" xfId="467" xr:uid="{00000000-0005-0000-0000-0000C0010000}"/>
    <cellStyle name="Comma 2 15 3" xfId="468" xr:uid="{00000000-0005-0000-0000-0000C1010000}"/>
    <cellStyle name="Comma 2 150" xfId="469" xr:uid="{00000000-0005-0000-0000-0000C2010000}"/>
    <cellStyle name="Comma 2 151" xfId="470" xr:uid="{00000000-0005-0000-0000-0000C3010000}"/>
    <cellStyle name="Comma 2 152" xfId="471" xr:uid="{00000000-0005-0000-0000-0000C4010000}"/>
    <cellStyle name="Comma 2 153" xfId="472" xr:uid="{00000000-0005-0000-0000-0000C5010000}"/>
    <cellStyle name="Comma 2 16" xfId="473" xr:uid="{00000000-0005-0000-0000-0000C6010000}"/>
    <cellStyle name="Comma 2 16 2" xfId="474" xr:uid="{00000000-0005-0000-0000-0000C7010000}"/>
    <cellStyle name="Comma 2 16 2 2" xfId="475" xr:uid="{00000000-0005-0000-0000-0000C8010000}"/>
    <cellStyle name="Comma 2 16 2 3" xfId="476" xr:uid="{00000000-0005-0000-0000-0000C9010000}"/>
    <cellStyle name="Comma 2 16 3" xfId="477" xr:uid="{00000000-0005-0000-0000-0000CA010000}"/>
    <cellStyle name="Comma 2 17" xfId="478" xr:uid="{00000000-0005-0000-0000-0000CB010000}"/>
    <cellStyle name="Comma 2 17 2" xfId="479" xr:uid="{00000000-0005-0000-0000-0000CC010000}"/>
    <cellStyle name="Comma 2 18" xfId="480" xr:uid="{00000000-0005-0000-0000-0000CD010000}"/>
    <cellStyle name="Comma 2 18 2" xfId="481" xr:uid="{00000000-0005-0000-0000-0000CE010000}"/>
    <cellStyle name="Comma 2 19" xfId="482" xr:uid="{00000000-0005-0000-0000-0000CF010000}"/>
    <cellStyle name="Comma 2 19 2" xfId="483" xr:uid="{00000000-0005-0000-0000-0000D0010000}"/>
    <cellStyle name="Comma 2 2" xfId="484" xr:uid="{00000000-0005-0000-0000-0000D1010000}"/>
    <cellStyle name="Comma 2 2 10" xfId="485" xr:uid="{00000000-0005-0000-0000-0000D2010000}"/>
    <cellStyle name="Comma 2 2 10 2" xfId="486" xr:uid="{00000000-0005-0000-0000-0000D3010000}"/>
    <cellStyle name="Comma 2 2 11" xfId="487" xr:uid="{00000000-0005-0000-0000-0000D4010000}"/>
    <cellStyle name="Comma 2 2 11 2" xfId="488" xr:uid="{00000000-0005-0000-0000-0000D5010000}"/>
    <cellStyle name="Comma 2 2 12" xfId="489" xr:uid="{00000000-0005-0000-0000-0000D6010000}"/>
    <cellStyle name="Comma 2 2 12 2" xfId="490" xr:uid="{00000000-0005-0000-0000-0000D7010000}"/>
    <cellStyle name="Comma 2 2 12 2 2" xfId="491" xr:uid="{00000000-0005-0000-0000-0000D8010000}"/>
    <cellStyle name="Comma 2 2 12 3" xfId="492" xr:uid="{00000000-0005-0000-0000-0000D9010000}"/>
    <cellStyle name="Comma 2 2 13" xfId="493" xr:uid="{00000000-0005-0000-0000-0000DA010000}"/>
    <cellStyle name="Comma 2 2 13 2" xfId="494" xr:uid="{00000000-0005-0000-0000-0000DB010000}"/>
    <cellStyle name="Comma 2 2 14" xfId="495" xr:uid="{00000000-0005-0000-0000-0000DC010000}"/>
    <cellStyle name="Comma 2 2 14 2" xfId="496" xr:uid="{00000000-0005-0000-0000-0000DD010000}"/>
    <cellStyle name="Comma 2 2 14 2 2" xfId="497" xr:uid="{00000000-0005-0000-0000-0000DE010000}"/>
    <cellStyle name="Comma 2 2 14 3" xfId="498" xr:uid="{00000000-0005-0000-0000-0000DF010000}"/>
    <cellStyle name="Comma 2 2 15" xfId="499" xr:uid="{00000000-0005-0000-0000-0000E0010000}"/>
    <cellStyle name="Comma 2 2 15 2" xfId="500" xr:uid="{00000000-0005-0000-0000-0000E1010000}"/>
    <cellStyle name="Comma 2 2 15 2 2" xfId="501" xr:uid="{00000000-0005-0000-0000-0000E2010000}"/>
    <cellStyle name="Comma 2 2 15 3" xfId="502" xr:uid="{00000000-0005-0000-0000-0000E3010000}"/>
    <cellStyle name="Comma 2 2 16" xfId="503" xr:uid="{00000000-0005-0000-0000-0000E4010000}"/>
    <cellStyle name="Comma 2 2 16 2" xfId="504" xr:uid="{00000000-0005-0000-0000-0000E5010000}"/>
    <cellStyle name="Comma 2 2 16 2 2" xfId="505" xr:uid="{00000000-0005-0000-0000-0000E6010000}"/>
    <cellStyle name="Comma 2 2 16 3" xfId="506" xr:uid="{00000000-0005-0000-0000-0000E7010000}"/>
    <cellStyle name="Comma 2 2 17" xfId="507" xr:uid="{00000000-0005-0000-0000-0000E8010000}"/>
    <cellStyle name="Comma 2 2 17 2" xfId="508" xr:uid="{00000000-0005-0000-0000-0000E9010000}"/>
    <cellStyle name="Comma 2 2 17 2 2" xfId="509" xr:uid="{00000000-0005-0000-0000-0000EA010000}"/>
    <cellStyle name="Comma 2 2 17 3" xfId="510" xr:uid="{00000000-0005-0000-0000-0000EB010000}"/>
    <cellStyle name="Comma 2 2 18" xfId="511" xr:uid="{00000000-0005-0000-0000-0000EC010000}"/>
    <cellStyle name="Comma 2 2 18 2" xfId="512" xr:uid="{00000000-0005-0000-0000-0000ED010000}"/>
    <cellStyle name="Comma 2 2 19" xfId="513" xr:uid="{00000000-0005-0000-0000-0000EE010000}"/>
    <cellStyle name="Comma 2 2 2" xfId="514" xr:uid="{00000000-0005-0000-0000-0000EF010000}"/>
    <cellStyle name="Comma 2 2 2 10" xfId="515" xr:uid="{00000000-0005-0000-0000-0000F0010000}"/>
    <cellStyle name="Comma 2 2 2 11" xfId="516" xr:uid="{00000000-0005-0000-0000-0000F1010000}"/>
    <cellStyle name="Comma 2 2 2 12" xfId="517" xr:uid="{00000000-0005-0000-0000-0000F2010000}"/>
    <cellStyle name="Comma 2 2 2 13" xfId="518" xr:uid="{00000000-0005-0000-0000-0000F3010000}"/>
    <cellStyle name="Comma 2 2 2 14" xfId="519" xr:uid="{00000000-0005-0000-0000-0000F4010000}"/>
    <cellStyle name="Comma 2 2 2 15" xfId="520" xr:uid="{00000000-0005-0000-0000-0000F5010000}"/>
    <cellStyle name="Comma 2 2 2 16" xfId="521" xr:uid="{00000000-0005-0000-0000-0000F6010000}"/>
    <cellStyle name="Comma 2 2 2 17" xfId="522" xr:uid="{00000000-0005-0000-0000-0000F7010000}"/>
    <cellStyle name="Comma 2 2 2 18" xfId="523" xr:uid="{00000000-0005-0000-0000-0000F8010000}"/>
    <cellStyle name="Comma 2 2 2 18 2" xfId="524" xr:uid="{00000000-0005-0000-0000-0000F9010000}"/>
    <cellStyle name="Comma 2 2 2 19" xfId="525" xr:uid="{00000000-0005-0000-0000-0000FA010000}"/>
    <cellStyle name="Comma 2 2 2 2" xfId="526" xr:uid="{00000000-0005-0000-0000-0000FB010000}"/>
    <cellStyle name="Comma 2 2 2 2 10" xfId="527" xr:uid="{00000000-0005-0000-0000-0000FC010000}"/>
    <cellStyle name="Comma 2 2 2 2 10 2" xfId="528" xr:uid="{00000000-0005-0000-0000-0000FD010000}"/>
    <cellStyle name="Comma 2 2 2 2 10 2 2" xfId="529" xr:uid="{00000000-0005-0000-0000-0000FE010000}"/>
    <cellStyle name="Comma 2 2 2 2 10 3" xfId="530" xr:uid="{00000000-0005-0000-0000-0000FF010000}"/>
    <cellStyle name="Comma 2 2 2 2 11" xfId="531" xr:uid="{00000000-0005-0000-0000-000000020000}"/>
    <cellStyle name="Comma 2 2 2 2 11 2" xfId="532" xr:uid="{00000000-0005-0000-0000-000001020000}"/>
    <cellStyle name="Comma 2 2 2 2 11 2 2" xfId="533" xr:uid="{00000000-0005-0000-0000-000002020000}"/>
    <cellStyle name="Comma 2 2 2 2 11 3" xfId="534" xr:uid="{00000000-0005-0000-0000-000003020000}"/>
    <cellStyle name="Comma 2 2 2 2 12" xfId="535" xr:uid="{00000000-0005-0000-0000-000004020000}"/>
    <cellStyle name="Comma 2 2 2 2 12 2" xfId="536" xr:uid="{00000000-0005-0000-0000-000005020000}"/>
    <cellStyle name="Comma 2 2 2 2 12 2 2" xfId="537" xr:uid="{00000000-0005-0000-0000-000006020000}"/>
    <cellStyle name="Comma 2 2 2 2 12 3" xfId="538" xr:uid="{00000000-0005-0000-0000-000007020000}"/>
    <cellStyle name="Comma 2 2 2 2 13" xfId="539" xr:uid="{00000000-0005-0000-0000-000008020000}"/>
    <cellStyle name="Comma 2 2 2 2 13 2" xfId="540" xr:uid="{00000000-0005-0000-0000-000009020000}"/>
    <cellStyle name="Comma 2 2 2 2 13 2 2" xfId="541" xr:uid="{00000000-0005-0000-0000-00000A020000}"/>
    <cellStyle name="Comma 2 2 2 2 13 3" xfId="542" xr:uid="{00000000-0005-0000-0000-00000B020000}"/>
    <cellStyle name="Comma 2 2 2 2 14" xfId="543" xr:uid="{00000000-0005-0000-0000-00000C020000}"/>
    <cellStyle name="Comma 2 2 2 2 14 2" xfId="544" xr:uid="{00000000-0005-0000-0000-00000D020000}"/>
    <cellStyle name="Comma 2 2 2 2 14 2 2" xfId="545" xr:uid="{00000000-0005-0000-0000-00000E020000}"/>
    <cellStyle name="Comma 2 2 2 2 14 3" xfId="546" xr:uid="{00000000-0005-0000-0000-00000F020000}"/>
    <cellStyle name="Comma 2 2 2 2 15" xfId="547" xr:uid="{00000000-0005-0000-0000-000010020000}"/>
    <cellStyle name="Comma 2 2 2 2 15 2" xfId="548" xr:uid="{00000000-0005-0000-0000-000011020000}"/>
    <cellStyle name="Comma 2 2 2 2 15 2 2" xfId="549" xr:uid="{00000000-0005-0000-0000-000012020000}"/>
    <cellStyle name="Comma 2 2 2 2 15 3" xfId="550" xr:uid="{00000000-0005-0000-0000-000013020000}"/>
    <cellStyle name="Comma 2 2 2 2 16" xfId="551" xr:uid="{00000000-0005-0000-0000-000014020000}"/>
    <cellStyle name="Comma 2 2 2 2 16 2" xfId="552" xr:uid="{00000000-0005-0000-0000-000015020000}"/>
    <cellStyle name="Comma 2 2 2 2 16 2 2" xfId="553" xr:uid="{00000000-0005-0000-0000-000016020000}"/>
    <cellStyle name="Comma 2 2 2 2 16 3" xfId="554" xr:uid="{00000000-0005-0000-0000-000017020000}"/>
    <cellStyle name="Comma 2 2 2 2 17" xfId="555" xr:uid="{00000000-0005-0000-0000-000018020000}"/>
    <cellStyle name="Comma 2 2 2 2 17 2" xfId="556" xr:uid="{00000000-0005-0000-0000-000019020000}"/>
    <cellStyle name="Comma 2 2 2 2 17 2 2" xfId="557" xr:uid="{00000000-0005-0000-0000-00001A020000}"/>
    <cellStyle name="Comma 2 2 2 2 17 3" xfId="558" xr:uid="{00000000-0005-0000-0000-00001B020000}"/>
    <cellStyle name="Comma 2 2 2 2 2" xfId="559" xr:uid="{00000000-0005-0000-0000-00001C020000}"/>
    <cellStyle name="Comma 2 2 2 2 2 2" xfId="560" xr:uid="{00000000-0005-0000-0000-00001D020000}"/>
    <cellStyle name="Comma 2 2 2 2 2 2 2" xfId="561" xr:uid="{00000000-0005-0000-0000-00001E020000}"/>
    <cellStyle name="Comma 2 2 2 2 2 2 2 2" xfId="562" xr:uid="{00000000-0005-0000-0000-00001F020000}"/>
    <cellStyle name="Comma 2 2 2 2 2 2 2 2 2" xfId="563" xr:uid="{00000000-0005-0000-0000-000020020000}"/>
    <cellStyle name="Comma 2 2 2 2 2 2 2 3" xfId="564" xr:uid="{00000000-0005-0000-0000-000021020000}"/>
    <cellStyle name="Comma 2 2 2 2 2 2 3" xfId="565" xr:uid="{00000000-0005-0000-0000-000022020000}"/>
    <cellStyle name="Comma 2 2 2 2 2 2 3 2" xfId="566" xr:uid="{00000000-0005-0000-0000-000023020000}"/>
    <cellStyle name="Comma 2 2 2 2 2 2 3 2 2" xfId="567" xr:uid="{00000000-0005-0000-0000-000024020000}"/>
    <cellStyle name="Comma 2 2 2 2 2 2 3 3" xfId="568" xr:uid="{00000000-0005-0000-0000-000025020000}"/>
    <cellStyle name="Comma 2 2 2 2 2 2 4" xfId="569" xr:uid="{00000000-0005-0000-0000-000026020000}"/>
    <cellStyle name="Comma 2 2 2 2 2 2 4 2" xfId="570" xr:uid="{00000000-0005-0000-0000-000027020000}"/>
    <cellStyle name="Comma 2 2 2 2 2 2 4 2 2" xfId="571" xr:uid="{00000000-0005-0000-0000-000028020000}"/>
    <cellStyle name="Comma 2 2 2 2 2 2 4 3" xfId="572" xr:uid="{00000000-0005-0000-0000-000029020000}"/>
    <cellStyle name="Comma 2 2 2 2 2 2 5" xfId="573" xr:uid="{00000000-0005-0000-0000-00002A020000}"/>
    <cellStyle name="Comma 2 2 2 2 2 2 5 2" xfId="574" xr:uid="{00000000-0005-0000-0000-00002B020000}"/>
    <cellStyle name="Comma 2 2 2 2 2 2 5 2 2" xfId="575" xr:uid="{00000000-0005-0000-0000-00002C020000}"/>
    <cellStyle name="Comma 2 2 2 2 2 2 5 3" xfId="576" xr:uid="{00000000-0005-0000-0000-00002D020000}"/>
    <cellStyle name="Comma 2 2 2 2 2 3" xfId="577" xr:uid="{00000000-0005-0000-0000-00002E020000}"/>
    <cellStyle name="Comma 2 2 2 2 2 4" xfId="578" xr:uid="{00000000-0005-0000-0000-00002F020000}"/>
    <cellStyle name="Comma 2 2 2 2 2 5" xfId="579" xr:uid="{00000000-0005-0000-0000-000030020000}"/>
    <cellStyle name="Comma 2 2 2 2 2 6" xfId="580" xr:uid="{00000000-0005-0000-0000-000031020000}"/>
    <cellStyle name="Comma 2 2 2 2 2 6 2" xfId="581" xr:uid="{00000000-0005-0000-0000-000032020000}"/>
    <cellStyle name="Comma 2 2 2 2 2 7" xfId="582" xr:uid="{00000000-0005-0000-0000-000033020000}"/>
    <cellStyle name="Comma 2 2 2 2 3" xfId="583" xr:uid="{00000000-0005-0000-0000-000034020000}"/>
    <cellStyle name="Comma 2 2 2 2 3 2" xfId="584" xr:uid="{00000000-0005-0000-0000-000035020000}"/>
    <cellStyle name="Comma 2 2 2 2 3 2 2" xfId="585" xr:uid="{00000000-0005-0000-0000-000036020000}"/>
    <cellStyle name="Comma 2 2 2 2 3 3" xfId="586" xr:uid="{00000000-0005-0000-0000-000037020000}"/>
    <cellStyle name="Comma 2 2 2 2 4" xfId="587" xr:uid="{00000000-0005-0000-0000-000038020000}"/>
    <cellStyle name="Comma 2 2 2 2 4 2" xfId="588" xr:uid="{00000000-0005-0000-0000-000039020000}"/>
    <cellStyle name="Comma 2 2 2 2 4 2 2" xfId="589" xr:uid="{00000000-0005-0000-0000-00003A020000}"/>
    <cellStyle name="Comma 2 2 2 2 4 3" xfId="590" xr:uid="{00000000-0005-0000-0000-00003B020000}"/>
    <cellStyle name="Comma 2 2 2 2 5" xfId="591" xr:uid="{00000000-0005-0000-0000-00003C020000}"/>
    <cellStyle name="Comma 2 2 2 2 5 2" xfId="592" xr:uid="{00000000-0005-0000-0000-00003D020000}"/>
    <cellStyle name="Comma 2 2 2 2 5 2 2" xfId="593" xr:uid="{00000000-0005-0000-0000-00003E020000}"/>
    <cellStyle name="Comma 2 2 2 2 5 3" xfId="594" xr:uid="{00000000-0005-0000-0000-00003F020000}"/>
    <cellStyle name="Comma 2 2 2 2 6" xfId="595" xr:uid="{00000000-0005-0000-0000-000040020000}"/>
    <cellStyle name="Comma 2 2 2 2 6 2" xfId="596" xr:uid="{00000000-0005-0000-0000-000041020000}"/>
    <cellStyle name="Comma 2 2 2 2 6 2 2" xfId="597" xr:uid="{00000000-0005-0000-0000-000042020000}"/>
    <cellStyle name="Comma 2 2 2 2 6 3" xfId="598" xr:uid="{00000000-0005-0000-0000-000043020000}"/>
    <cellStyle name="Comma 2 2 2 2 7" xfId="599" xr:uid="{00000000-0005-0000-0000-000044020000}"/>
    <cellStyle name="Comma 2 2 2 2 7 2" xfId="600" xr:uid="{00000000-0005-0000-0000-000045020000}"/>
    <cellStyle name="Comma 2 2 2 2 7 2 2" xfId="601" xr:uid="{00000000-0005-0000-0000-000046020000}"/>
    <cellStyle name="Comma 2 2 2 2 7 3" xfId="602" xr:uid="{00000000-0005-0000-0000-000047020000}"/>
    <cellStyle name="Comma 2 2 2 2 8" xfId="603" xr:uid="{00000000-0005-0000-0000-000048020000}"/>
    <cellStyle name="Comma 2 2 2 2 8 2" xfId="604" xr:uid="{00000000-0005-0000-0000-000049020000}"/>
    <cellStyle name="Comma 2 2 2 2 8 2 2" xfId="605" xr:uid="{00000000-0005-0000-0000-00004A020000}"/>
    <cellStyle name="Comma 2 2 2 2 8 3" xfId="606" xr:uid="{00000000-0005-0000-0000-00004B020000}"/>
    <cellStyle name="Comma 2 2 2 2 9" xfId="607" xr:uid="{00000000-0005-0000-0000-00004C020000}"/>
    <cellStyle name="Comma 2 2 2 2 9 2" xfId="608" xr:uid="{00000000-0005-0000-0000-00004D020000}"/>
    <cellStyle name="Comma 2 2 2 2 9 2 2" xfId="609" xr:uid="{00000000-0005-0000-0000-00004E020000}"/>
    <cellStyle name="Comma 2 2 2 2 9 3" xfId="610" xr:uid="{00000000-0005-0000-0000-00004F020000}"/>
    <cellStyle name="Comma 2 2 2 3" xfId="611" xr:uid="{00000000-0005-0000-0000-000050020000}"/>
    <cellStyle name="Comma 2 2 2 4" xfId="612" xr:uid="{00000000-0005-0000-0000-000051020000}"/>
    <cellStyle name="Comma 2 2 2 5" xfId="613" xr:uid="{00000000-0005-0000-0000-000052020000}"/>
    <cellStyle name="Comma 2 2 2 6" xfId="614" xr:uid="{00000000-0005-0000-0000-000053020000}"/>
    <cellStyle name="Comma 2 2 2 7" xfId="615" xr:uid="{00000000-0005-0000-0000-000054020000}"/>
    <cellStyle name="Comma 2 2 2 8" xfId="616" xr:uid="{00000000-0005-0000-0000-000055020000}"/>
    <cellStyle name="Comma 2 2 2 9" xfId="617" xr:uid="{00000000-0005-0000-0000-000056020000}"/>
    <cellStyle name="Comma 2 2 20" xfId="618" xr:uid="{00000000-0005-0000-0000-000057020000}"/>
    <cellStyle name="Comma 2 2 20 2" xfId="619" xr:uid="{00000000-0005-0000-0000-000058020000}"/>
    <cellStyle name="Comma 2 2 20 3" xfId="620" xr:uid="{00000000-0005-0000-0000-000059020000}"/>
    <cellStyle name="Comma 2 2 3" xfId="621" xr:uid="{00000000-0005-0000-0000-00005A020000}"/>
    <cellStyle name="Comma 2 2 3 2" xfId="622" xr:uid="{00000000-0005-0000-0000-00005B020000}"/>
    <cellStyle name="Comma 2 2 3 2 2" xfId="623" xr:uid="{00000000-0005-0000-0000-00005C020000}"/>
    <cellStyle name="Comma 2 2 3 2 3" xfId="624" xr:uid="{00000000-0005-0000-0000-00005D020000}"/>
    <cellStyle name="Comma 2 2 3 3" xfId="625" xr:uid="{00000000-0005-0000-0000-00005E020000}"/>
    <cellStyle name="Comma 2 2 4" xfId="626" xr:uid="{00000000-0005-0000-0000-00005F020000}"/>
    <cellStyle name="Comma 2 2 4 2" xfId="627" xr:uid="{00000000-0005-0000-0000-000060020000}"/>
    <cellStyle name="Comma 2 2 4 2 2" xfId="628" xr:uid="{00000000-0005-0000-0000-000061020000}"/>
    <cellStyle name="Comma 2 2 4 2 3" xfId="629" xr:uid="{00000000-0005-0000-0000-000062020000}"/>
    <cellStyle name="Comma 2 2 4 3" xfId="630" xr:uid="{00000000-0005-0000-0000-000063020000}"/>
    <cellStyle name="Comma 2 2 5" xfId="631" xr:uid="{00000000-0005-0000-0000-000064020000}"/>
    <cellStyle name="Comma 2 2 5 2" xfId="632" xr:uid="{00000000-0005-0000-0000-000065020000}"/>
    <cellStyle name="Comma 2 2 5 2 2" xfId="633" xr:uid="{00000000-0005-0000-0000-000066020000}"/>
    <cellStyle name="Comma 2 2 5 2 3" xfId="634" xr:uid="{00000000-0005-0000-0000-000067020000}"/>
    <cellStyle name="Comma 2 2 5 3" xfId="635" xr:uid="{00000000-0005-0000-0000-000068020000}"/>
    <cellStyle name="Comma 2 2 6" xfId="636" xr:uid="{00000000-0005-0000-0000-000069020000}"/>
    <cellStyle name="Comma 2 2 6 2" xfId="637" xr:uid="{00000000-0005-0000-0000-00006A020000}"/>
    <cellStyle name="Comma 2 2 6 2 2" xfId="638" xr:uid="{00000000-0005-0000-0000-00006B020000}"/>
    <cellStyle name="Comma 2 2 6 2 3" xfId="639" xr:uid="{00000000-0005-0000-0000-00006C020000}"/>
    <cellStyle name="Comma 2 2 6 3" xfId="640" xr:uid="{00000000-0005-0000-0000-00006D020000}"/>
    <cellStyle name="Comma 2 2 7" xfId="641" xr:uid="{00000000-0005-0000-0000-00006E020000}"/>
    <cellStyle name="Comma 2 2 7 2" xfId="642" xr:uid="{00000000-0005-0000-0000-00006F020000}"/>
    <cellStyle name="Comma 2 2 7 2 2" xfId="643" xr:uid="{00000000-0005-0000-0000-000070020000}"/>
    <cellStyle name="Comma 2 2 7 2 3" xfId="644" xr:uid="{00000000-0005-0000-0000-000071020000}"/>
    <cellStyle name="Comma 2 2 7 3" xfId="645" xr:uid="{00000000-0005-0000-0000-000072020000}"/>
    <cellStyle name="Comma 2 2 8" xfId="646" xr:uid="{00000000-0005-0000-0000-000073020000}"/>
    <cellStyle name="Comma 2 2 8 2" xfId="647" xr:uid="{00000000-0005-0000-0000-000074020000}"/>
    <cellStyle name="Comma 2 2 8 2 2" xfId="648" xr:uid="{00000000-0005-0000-0000-000075020000}"/>
    <cellStyle name="Comma 2 2 8 2 3" xfId="649" xr:uid="{00000000-0005-0000-0000-000076020000}"/>
    <cellStyle name="Comma 2 2 8 3" xfId="650" xr:uid="{00000000-0005-0000-0000-000077020000}"/>
    <cellStyle name="Comma 2 2 9" xfId="651" xr:uid="{00000000-0005-0000-0000-000078020000}"/>
    <cellStyle name="Comma 2 2 9 2" xfId="652" xr:uid="{00000000-0005-0000-0000-000079020000}"/>
    <cellStyle name="Comma 2 20" xfId="653" xr:uid="{00000000-0005-0000-0000-00007A020000}"/>
    <cellStyle name="Comma 2 20 2" xfId="654" xr:uid="{00000000-0005-0000-0000-00007B020000}"/>
    <cellStyle name="Comma 2 21" xfId="655" xr:uid="{00000000-0005-0000-0000-00007C020000}"/>
    <cellStyle name="Comma 2 21 2" xfId="656" xr:uid="{00000000-0005-0000-0000-00007D020000}"/>
    <cellStyle name="Comma 2 22" xfId="657" xr:uid="{00000000-0005-0000-0000-00007E020000}"/>
    <cellStyle name="Comma 2 22 2" xfId="658" xr:uid="{00000000-0005-0000-0000-00007F020000}"/>
    <cellStyle name="Comma 2 23" xfId="659" xr:uid="{00000000-0005-0000-0000-000080020000}"/>
    <cellStyle name="Comma 2 23 2" xfId="660" xr:uid="{00000000-0005-0000-0000-000081020000}"/>
    <cellStyle name="Comma 2 24" xfId="661" xr:uid="{00000000-0005-0000-0000-000082020000}"/>
    <cellStyle name="Comma 2 24 2" xfId="662" xr:uid="{00000000-0005-0000-0000-000083020000}"/>
    <cellStyle name="Comma 2 25" xfId="663" xr:uid="{00000000-0005-0000-0000-000084020000}"/>
    <cellStyle name="Comma 2 25 2" xfId="664" xr:uid="{00000000-0005-0000-0000-000085020000}"/>
    <cellStyle name="Comma 2 26" xfId="665" xr:uid="{00000000-0005-0000-0000-000086020000}"/>
    <cellStyle name="Comma 2 26 2" xfId="666" xr:uid="{00000000-0005-0000-0000-000087020000}"/>
    <cellStyle name="Comma 2 27" xfId="667" xr:uid="{00000000-0005-0000-0000-000088020000}"/>
    <cellStyle name="Comma 2 27 2" xfId="668" xr:uid="{00000000-0005-0000-0000-000089020000}"/>
    <cellStyle name="Comma 2 28" xfId="669" xr:uid="{00000000-0005-0000-0000-00008A020000}"/>
    <cellStyle name="Comma 2 28 2" xfId="670" xr:uid="{00000000-0005-0000-0000-00008B020000}"/>
    <cellStyle name="Comma 2 29" xfId="671" xr:uid="{00000000-0005-0000-0000-00008C020000}"/>
    <cellStyle name="Comma 2 29 2" xfId="672" xr:uid="{00000000-0005-0000-0000-00008D020000}"/>
    <cellStyle name="Comma 2 3" xfId="673" xr:uid="{00000000-0005-0000-0000-00008E020000}"/>
    <cellStyle name="Comma 2 3 2" xfId="674" xr:uid="{00000000-0005-0000-0000-00008F020000}"/>
    <cellStyle name="Comma 2 3 2 2" xfId="675" xr:uid="{00000000-0005-0000-0000-000090020000}"/>
    <cellStyle name="Comma 2 3 2 3" xfId="676" xr:uid="{00000000-0005-0000-0000-000091020000}"/>
    <cellStyle name="Comma 2 3 3" xfId="677" xr:uid="{00000000-0005-0000-0000-000092020000}"/>
    <cellStyle name="Comma 2 30" xfId="678" xr:uid="{00000000-0005-0000-0000-000093020000}"/>
    <cellStyle name="Comma 2 30 2" xfId="679" xr:uid="{00000000-0005-0000-0000-000094020000}"/>
    <cellStyle name="Comma 2 31" xfId="680" xr:uid="{00000000-0005-0000-0000-000095020000}"/>
    <cellStyle name="Comma 2 31 2" xfId="681" xr:uid="{00000000-0005-0000-0000-000096020000}"/>
    <cellStyle name="Comma 2 32" xfId="682" xr:uid="{00000000-0005-0000-0000-000097020000}"/>
    <cellStyle name="Comma 2 32 2" xfId="683" xr:uid="{00000000-0005-0000-0000-000098020000}"/>
    <cellStyle name="Comma 2 33" xfId="684" xr:uid="{00000000-0005-0000-0000-000099020000}"/>
    <cellStyle name="Comma 2 33 2" xfId="685" xr:uid="{00000000-0005-0000-0000-00009A020000}"/>
    <cellStyle name="Comma 2 34" xfId="686" xr:uid="{00000000-0005-0000-0000-00009B020000}"/>
    <cellStyle name="Comma 2 34 2" xfId="687" xr:uid="{00000000-0005-0000-0000-00009C020000}"/>
    <cellStyle name="Comma 2 35" xfId="688" xr:uid="{00000000-0005-0000-0000-00009D020000}"/>
    <cellStyle name="Comma 2 35 2" xfId="689" xr:uid="{00000000-0005-0000-0000-00009E020000}"/>
    <cellStyle name="Comma 2 36" xfId="690" xr:uid="{00000000-0005-0000-0000-00009F020000}"/>
    <cellStyle name="Comma 2 36 2" xfId="691" xr:uid="{00000000-0005-0000-0000-0000A0020000}"/>
    <cellStyle name="Comma 2 37" xfId="692" xr:uid="{00000000-0005-0000-0000-0000A1020000}"/>
    <cellStyle name="Comma 2 37 2" xfId="693" xr:uid="{00000000-0005-0000-0000-0000A2020000}"/>
    <cellStyle name="Comma 2 38" xfId="694" xr:uid="{00000000-0005-0000-0000-0000A3020000}"/>
    <cellStyle name="Comma 2 38 2" xfId="695" xr:uid="{00000000-0005-0000-0000-0000A4020000}"/>
    <cellStyle name="Comma 2 39" xfId="696" xr:uid="{00000000-0005-0000-0000-0000A5020000}"/>
    <cellStyle name="Comma 2 39 2" xfId="697" xr:uid="{00000000-0005-0000-0000-0000A6020000}"/>
    <cellStyle name="Comma 2 4" xfId="698" xr:uid="{00000000-0005-0000-0000-0000A7020000}"/>
    <cellStyle name="Comma 2 4 2" xfId="699" xr:uid="{00000000-0005-0000-0000-0000A8020000}"/>
    <cellStyle name="Comma 2 4 2 2" xfId="700" xr:uid="{00000000-0005-0000-0000-0000A9020000}"/>
    <cellStyle name="Comma 2 4 2 3" xfId="701" xr:uid="{00000000-0005-0000-0000-0000AA020000}"/>
    <cellStyle name="Comma 2 4 3" xfId="702" xr:uid="{00000000-0005-0000-0000-0000AB020000}"/>
    <cellStyle name="Comma 2 40" xfId="703" xr:uid="{00000000-0005-0000-0000-0000AC020000}"/>
    <cellStyle name="Comma 2 40 2" xfId="704" xr:uid="{00000000-0005-0000-0000-0000AD020000}"/>
    <cellStyle name="Comma 2 41" xfId="705" xr:uid="{00000000-0005-0000-0000-0000AE020000}"/>
    <cellStyle name="Comma 2 41 2" xfId="706" xr:uid="{00000000-0005-0000-0000-0000AF020000}"/>
    <cellStyle name="Comma 2 42" xfId="707" xr:uid="{00000000-0005-0000-0000-0000B0020000}"/>
    <cellStyle name="Comma 2 42 2" xfId="708" xr:uid="{00000000-0005-0000-0000-0000B1020000}"/>
    <cellStyle name="Comma 2 43" xfId="709" xr:uid="{00000000-0005-0000-0000-0000B2020000}"/>
    <cellStyle name="Comma 2 43 2" xfId="710" xr:uid="{00000000-0005-0000-0000-0000B3020000}"/>
    <cellStyle name="Comma 2 44" xfId="711" xr:uid="{00000000-0005-0000-0000-0000B4020000}"/>
    <cellStyle name="Comma 2 44 2" xfId="712" xr:uid="{00000000-0005-0000-0000-0000B5020000}"/>
    <cellStyle name="Comma 2 45" xfId="713" xr:uid="{00000000-0005-0000-0000-0000B6020000}"/>
    <cellStyle name="Comma 2 45 2" xfId="714" xr:uid="{00000000-0005-0000-0000-0000B7020000}"/>
    <cellStyle name="Comma 2 46" xfId="715" xr:uid="{00000000-0005-0000-0000-0000B8020000}"/>
    <cellStyle name="Comma 2 46 2" xfId="716" xr:uid="{00000000-0005-0000-0000-0000B9020000}"/>
    <cellStyle name="Comma 2 47" xfId="717" xr:uid="{00000000-0005-0000-0000-0000BA020000}"/>
    <cellStyle name="Comma 2 47 2" xfId="718" xr:uid="{00000000-0005-0000-0000-0000BB020000}"/>
    <cellStyle name="Comma 2 48" xfId="719" xr:uid="{00000000-0005-0000-0000-0000BC020000}"/>
    <cellStyle name="Comma 2 48 2" xfId="720" xr:uid="{00000000-0005-0000-0000-0000BD020000}"/>
    <cellStyle name="Comma 2 49" xfId="721" xr:uid="{00000000-0005-0000-0000-0000BE020000}"/>
    <cellStyle name="Comma 2 49 2" xfId="722" xr:uid="{00000000-0005-0000-0000-0000BF020000}"/>
    <cellStyle name="Comma 2 5" xfId="723" xr:uid="{00000000-0005-0000-0000-0000C0020000}"/>
    <cellStyle name="Comma 2 5 2" xfId="724" xr:uid="{00000000-0005-0000-0000-0000C1020000}"/>
    <cellStyle name="Comma 2 5 2 2" xfId="725" xr:uid="{00000000-0005-0000-0000-0000C2020000}"/>
    <cellStyle name="Comma 2 5 2 3" xfId="726" xr:uid="{00000000-0005-0000-0000-0000C3020000}"/>
    <cellStyle name="Comma 2 5 3" xfId="727" xr:uid="{00000000-0005-0000-0000-0000C4020000}"/>
    <cellStyle name="Comma 2 50" xfId="728" xr:uid="{00000000-0005-0000-0000-0000C5020000}"/>
    <cellStyle name="Comma 2 50 2" xfId="729" xr:uid="{00000000-0005-0000-0000-0000C6020000}"/>
    <cellStyle name="Comma 2 51" xfId="730" xr:uid="{00000000-0005-0000-0000-0000C7020000}"/>
    <cellStyle name="Comma 2 51 2" xfId="731" xr:uid="{00000000-0005-0000-0000-0000C8020000}"/>
    <cellStyle name="Comma 2 52" xfId="732" xr:uid="{00000000-0005-0000-0000-0000C9020000}"/>
    <cellStyle name="Comma 2 52 2" xfId="733" xr:uid="{00000000-0005-0000-0000-0000CA020000}"/>
    <cellStyle name="Comma 2 53" xfId="734" xr:uid="{00000000-0005-0000-0000-0000CB020000}"/>
    <cellStyle name="Comma 2 53 2" xfId="735" xr:uid="{00000000-0005-0000-0000-0000CC020000}"/>
    <cellStyle name="Comma 2 54" xfId="736" xr:uid="{00000000-0005-0000-0000-0000CD020000}"/>
    <cellStyle name="Comma 2 54 2" xfId="737" xr:uid="{00000000-0005-0000-0000-0000CE020000}"/>
    <cellStyle name="Comma 2 55" xfId="738" xr:uid="{00000000-0005-0000-0000-0000CF020000}"/>
    <cellStyle name="Comma 2 55 2" xfId="739" xr:uid="{00000000-0005-0000-0000-0000D0020000}"/>
    <cellStyle name="Comma 2 56" xfId="740" xr:uid="{00000000-0005-0000-0000-0000D1020000}"/>
    <cellStyle name="Comma 2 56 2" xfId="741" xr:uid="{00000000-0005-0000-0000-0000D2020000}"/>
    <cellStyle name="Comma 2 57" xfId="742" xr:uid="{00000000-0005-0000-0000-0000D3020000}"/>
    <cellStyle name="Comma 2 57 2" xfId="743" xr:uid="{00000000-0005-0000-0000-0000D4020000}"/>
    <cellStyle name="Comma 2 58" xfId="744" xr:uid="{00000000-0005-0000-0000-0000D5020000}"/>
    <cellStyle name="Comma 2 58 2" xfId="745" xr:uid="{00000000-0005-0000-0000-0000D6020000}"/>
    <cellStyle name="Comma 2 59" xfId="746" xr:uid="{00000000-0005-0000-0000-0000D7020000}"/>
    <cellStyle name="Comma 2 59 2" xfId="747" xr:uid="{00000000-0005-0000-0000-0000D8020000}"/>
    <cellStyle name="Comma 2 6" xfId="748" xr:uid="{00000000-0005-0000-0000-0000D9020000}"/>
    <cellStyle name="Comma 2 6 2" xfId="749" xr:uid="{00000000-0005-0000-0000-0000DA020000}"/>
    <cellStyle name="Comma 2 6 2 2" xfId="750" xr:uid="{00000000-0005-0000-0000-0000DB020000}"/>
    <cellStyle name="Comma 2 6 2 3" xfId="751" xr:uid="{00000000-0005-0000-0000-0000DC020000}"/>
    <cellStyle name="Comma 2 6 3" xfId="752" xr:uid="{00000000-0005-0000-0000-0000DD020000}"/>
    <cellStyle name="Comma 2 60" xfId="753" xr:uid="{00000000-0005-0000-0000-0000DE020000}"/>
    <cellStyle name="Comma 2 60 2" xfId="754" xr:uid="{00000000-0005-0000-0000-0000DF020000}"/>
    <cellStyle name="Comma 2 61" xfId="755" xr:uid="{00000000-0005-0000-0000-0000E0020000}"/>
    <cellStyle name="Comma 2 61 2" xfId="756" xr:uid="{00000000-0005-0000-0000-0000E1020000}"/>
    <cellStyle name="Comma 2 62" xfId="757" xr:uid="{00000000-0005-0000-0000-0000E2020000}"/>
    <cellStyle name="Comma 2 63" xfId="758" xr:uid="{00000000-0005-0000-0000-0000E3020000}"/>
    <cellStyle name="Comma 2 64" xfId="759" xr:uid="{00000000-0005-0000-0000-0000E4020000}"/>
    <cellStyle name="Comma 2 65" xfId="760" xr:uid="{00000000-0005-0000-0000-0000E5020000}"/>
    <cellStyle name="Comma 2 66" xfId="761" xr:uid="{00000000-0005-0000-0000-0000E6020000}"/>
    <cellStyle name="Comma 2 67" xfId="762" xr:uid="{00000000-0005-0000-0000-0000E7020000}"/>
    <cellStyle name="Comma 2 68" xfId="763" xr:uid="{00000000-0005-0000-0000-0000E8020000}"/>
    <cellStyle name="Comma 2 68 2" xfId="764" xr:uid="{00000000-0005-0000-0000-0000E9020000}"/>
    <cellStyle name="Comma 2 68 3" xfId="765" xr:uid="{00000000-0005-0000-0000-0000EA020000}"/>
    <cellStyle name="Comma 2 69" xfId="766" xr:uid="{00000000-0005-0000-0000-0000EB020000}"/>
    <cellStyle name="Comma 2 7" xfId="767" xr:uid="{00000000-0005-0000-0000-0000EC020000}"/>
    <cellStyle name="Comma 2 7 2" xfId="768" xr:uid="{00000000-0005-0000-0000-0000ED020000}"/>
    <cellStyle name="Comma 2 7 2 2" xfId="769" xr:uid="{00000000-0005-0000-0000-0000EE020000}"/>
    <cellStyle name="Comma 2 7 2 3" xfId="770" xr:uid="{00000000-0005-0000-0000-0000EF020000}"/>
    <cellStyle name="Comma 2 7 3" xfId="771" xr:uid="{00000000-0005-0000-0000-0000F0020000}"/>
    <cellStyle name="Comma 2 70" xfId="772" xr:uid="{00000000-0005-0000-0000-0000F1020000}"/>
    <cellStyle name="Comma 2 71" xfId="773" xr:uid="{00000000-0005-0000-0000-0000F2020000}"/>
    <cellStyle name="Comma 2 72" xfId="774" xr:uid="{00000000-0005-0000-0000-0000F3020000}"/>
    <cellStyle name="Comma 2 73" xfId="775" xr:uid="{00000000-0005-0000-0000-0000F4020000}"/>
    <cellStyle name="Comma 2 74" xfId="776" xr:uid="{00000000-0005-0000-0000-0000F5020000}"/>
    <cellStyle name="Comma 2 75" xfId="777" xr:uid="{00000000-0005-0000-0000-0000F6020000}"/>
    <cellStyle name="Comma 2 76" xfId="778" xr:uid="{00000000-0005-0000-0000-0000F7020000}"/>
    <cellStyle name="Comma 2 77" xfId="779" xr:uid="{00000000-0005-0000-0000-0000F8020000}"/>
    <cellStyle name="Comma 2 78" xfId="780" xr:uid="{00000000-0005-0000-0000-0000F9020000}"/>
    <cellStyle name="Comma 2 79" xfId="781" xr:uid="{00000000-0005-0000-0000-0000FA020000}"/>
    <cellStyle name="Comma 2 8" xfId="782" xr:uid="{00000000-0005-0000-0000-0000FB020000}"/>
    <cellStyle name="Comma 2 8 2" xfId="783" xr:uid="{00000000-0005-0000-0000-0000FC020000}"/>
    <cellStyle name="Comma 2 8 2 2" xfId="784" xr:uid="{00000000-0005-0000-0000-0000FD020000}"/>
    <cellStyle name="Comma 2 8 2 3" xfId="785" xr:uid="{00000000-0005-0000-0000-0000FE020000}"/>
    <cellStyle name="Comma 2 8 3" xfId="786" xr:uid="{00000000-0005-0000-0000-0000FF020000}"/>
    <cellStyle name="Comma 2 80" xfId="787" xr:uid="{00000000-0005-0000-0000-000000030000}"/>
    <cellStyle name="Comma 2 81" xfId="788" xr:uid="{00000000-0005-0000-0000-000001030000}"/>
    <cellStyle name="Comma 2 82" xfId="789" xr:uid="{00000000-0005-0000-0000-000002030000}"/>
    <cellStyle name="Comma 2 83" xfId="790" xr:uid="{00000000-0005-0000-0000-000003030000}"/>
    <cellStyle name="Comma 2 84" xfId="791" xr:uid="{00000000-0005-0000-0000-000004030000}"/>
    <cellStyle name="Comma 2 85" xfId="792" xr:uid="{00000000-0005-0000-0000-000005030000}"/>
    <cellStyle name="Comma 2 86" xfId="793" xr:uid="{00000000-0005-0000-0000-000006030000}"/>
    <cellStyle name="Comma 2 87" xfId="794" xr:uid="{00000000-0005-0000-0000-000007030000}"/>
    <cellStyle name="Comma 2 88" xfId="795" xr:uid="{00000000-0005-0000-0000-000008030000}"/>
    <cellStyle name="Comma 2 89" xfId="796" xr:uid="{00000000-0005-0000-0000-000009030000}"/>
    <cellStyle name="Comma 2 9" xfId="797" xr:uid="{00000000-0005-0000-0000-00000A030000}"/>
    <cellStyle name="Comma 2 9 2" xfId="798" xr:uid="{00000000-0005-0000-0000-00000B030000}"/>
    <cellStyle name="Comma 2 9 2 2" xfId="799" xr:uid="{00000000-0005-0000-0000-00000C030000}"/>
    <cellStyle name="Comma 2 9 2 3" xfId="800" xr:uid="{00000000-0005-0000-0000-00000D030000}"/>
    <cellStyle name="Comma 2 9 3" xfId="801" xr:uid="{00000000-0005-0000-0000-00000E030000}"/>
    <cellStyle name="Comma 2 90" xfId="802" xr:uid="{00000000-0005-0000-0000-00000F030000}"/>
    <cellStyle name="Comma 2 91" xfId="803" xr:uid="{00000000-0005-0000-0000-000010030000}"/>
    <cellStyle name="Comma 2 92" xfId="804" xr:uid="{00000000-0005-0000-0000-000011030000}"/>
    <cellStyle name="Comma 2 93" xfId="805" xr:uid="{00000000-0005-0000-0000-000012030000}"/>
    <cellStyle name="Comma 2 94" xfId="806" xr:uid="{00000000-0005-0000-0000-000013030000}"/>
    <cellStyle name="Comma 2 95" xfId="807" xr:uid="{00000000-0005-0000-0000-000014030000}"/>
    <cellStyle name="Comma 2 96" xfId="808" xr:uid="{00000000-0005-0000-0000-000015030000}"/>
    <cellStyle name="Comma 2 97" xfId="809" xr:uid="{00000000-0005-0000-0000-000016030000}"/>
    <cellStyle name="Comma 2 98" xfId="810" xr:uid="{00000000-0005-0000-0000-000017030000}"/>
    <cellStyle name="Comma 2 99" xfId="811" xr:uid="{00000000-0005-0000-0000-000018030000}"/>
    <cellStyle name="Comma 20" xfId="812" xr:uid="{00000000-0005-0000-0000-000019030000}"/>
    <cellStyle name="Comma 21" xfId="813" xr:uid="{00000000-0005-0000-0000-00001A030000}"/>
    <cellStyle name="Comma 22" xfId="814" xr:uid="{00000000-0005-0000-0000-00001B030000}"/>
    <cellStyle name="Comma 23" xfId="815" xr:uid="{00000000-0005-0000-0000-00001C030000}"/>
    <cellStyle name="Comma 24" xfId="816" xr:uid="{00000000-0005-0000-0000-00001D030000}"/>
    <cellStyle name="Comma 25" xfId="817" xr:uid="{00000000-0005-0000-0000-00001E030000}"/>
    <cellStyle name="Comma 26" xfId="818" xr:uid="{00000000-0005-0000-0000-00001F030000}"/>
    <cellStyle name="Comma 27" xfId="819" xr:uid="{00000000-0005-0000-0000-000020030000}"/>
    <cellStyle name="Comma 28" xfId="820" xr:uid="{00000000-0005-0000-0000-000021030000}"/>
    <cellStyle name="Comma 29" xfId="821" xr:uid="{00000000-0005-0000-0000-000022030000}"/>
    <cellStyle name="Comma 3" xfId="822" xr:uid="{00000000-0005-0000-0000-000023030000}"/>
    <cellStyle name="Comma 3 10" xfId="823" xr:uid="{00000000-0005-0000-0000-000024030000}"/>
    <cellStyle name="Comma 3 10 2" xfId="824" xr:uid="{00000000-0005-0000-0000-000025030000}"/>
    <cellStyle name="Comma 3 10 2 2" xfId="825" xr:uid="{00000000-0005-0000-0000-000026030000}"/>
    <cellStyle name="Comma 3 10 2 3" xfId="826" xr:uid="{00000000-0005-0000-0000-000027030000}"/>
    <cellStyle name="Comma 3 10 3" xfId="827" xr:uid="{00000000-0005-0000-0000-000028030000}"/>
    <cellStyle name="Comma 3 100" xfId="828" xr:uid="{00000000-0005-0000-0000-000029030000}"/>
    <cellStyle name="Comma 3 101" xfId="829" xr:uid="{00000000-0005-0000-0000-00002A030000}"/>
    <cellStyle name="Comma 3 102" xfId="830" xr:uid="{00000000-0005-0000-0000-00002B030000}"/>
    <cellStyle name="Comma 3 103" xfId="831" xr:uid="{00000000-0005-0000-0000-00002C030000}"/>
    <cellStyle name="Comma 3 104" xfId="832" xr:uid="{00000000-0005-0000-0000-00002D030000}"/>
    <cellStyle name="Comma 3 105" xfId="833" xr:uid="{00000000-0005-0000-0000-00002E030000}"/>
    <cellStyle name="Comma 3 106" xfId="834" xr:uid="{00000000-0005-0000-0000-00002F030000}"/>
    <cellStyle name="Comma 3 107" xfId="835" xr:uid="{00000000-0005-0000-0000-000030030000}"/>
    <cellStyle name="Comma 3 108" xfId="836" xr:uid="{00000000-0005-0000-0000-000031030000}"/>
    <cellStyle name="Comma 3 109" xfId="837" xr:uid="{00000000-0005-0000-0000-000032030000}"/>
    <cellStyle name="Comma 3 11" xfId="838" xr:uid="{00000000-0005-0000-0000-000033030000}"/>
    <cellStyle name="Comma 3 11 2" xfId="839" xr:uid="{00000000-0005-0000-0000-000034030000}"/>
    <cellStyle name="Comma 3 11 2 2" xfId="840" xr:uid="{00000000-0005-0000-0000-000035030000}"/>
    <cellStyle name="Comma 3 11 2 3" xfId="841" xr:uid="{00000000-0005-0000-0000-000036030000}"/>
    <cellStyle name="Comma 3 11 3" xfId="842" xr:uid="{00000000-0005-0000-0000-000037030000}"/>
    <cellStyle name="Comma 3 110" xfId="843" xr:uid="{00000000-0005-0000-0000-000038030000}"/>
    <cellStyle name="Comma 3 111" xfId="844" xr:uid="{00000000-0005-0000-0000-000039030000}"/>
    <cellStyle name="Comma 3 112" xfId="845" xr:uid="{00000000-0005-0000-0000-00003A030000}"/>
    <cellStyle name="Comma 3 113" xfId="846" xr:uid="{00000000-0005-0000-0000-00003B030000}"/>
    <cellStyle name="Comma 3 114" xfId="847" xr:uid="{00000000-0005-0000-0000-00003C030000}"/>
    <cellStyle name="Comma 3 115" xfId="848" xr:uid="{00000000-0005-0000-0000-00003D030000}"/>
    <cellStyle name="Comma 3 116" xfId="849" xr:uid="{00000000-0005-0000-0000-00003E030000}"/>
    <cellStyle name="Comma 3 117" xfId="850" xr:uid="{00000000-0005-0000-0000-00003F030000}"/>
    <cellStyle name="Comma 3 118" xfId="851" xr:uid="{00000000-0005-0000-0000-000040030000}"/>
    <cellStyle name="Comma 3 119" xfId="852" xr:uid="{00000000-0005-0000-0000-000041030000}"/>
    <cellStyle name="Comma 3 12" xfId="853" xr:uid="{00000000-0005-0000-0000-000042030000}"/>
    <cellStyle name="Comma 3 12 2" xfId="854" xr:uid="{00000000-0005-0000-0000-000043030000}"/>
    <cellStyle name="Comma 3 12 2 2" xfId="855" xr:uid="{00000000-0005-0000-0000-000044030000}"/>
    <cellStyle name="Comma 3 12 2 3" xfId="856" xr:uid="{00000000-0005-0000-0000-000045030000}"/>
    <cellStyle name="Comma 3 12 3" xfId="857" xr:uid="{00000000-0005-0000-0000-000046030000}"/>
    <cellStyle name="Comma 3 120" xfId="858" xr:uid="{00000000-0005-0000-0000-000047030000}"/>
    <cellStyle name="Comma 3 121" xfId="859" xr:uid="{00000000-0005-0000-0000-000048030000}"/>
    <cellStyle name="Comma 3 122" xfId="860" xr:uid="{00000000-0005-0000-0000-000049030000}"/>
    <cellStyle name="Comma 3 123" xfId="861" xr:uid="{00000000-0005-0000-0000-00004A030000}"/>
    <cellStyle name="Comma 3 124" xfId="862" xr:uid="{00000000-0005-0000-0000-00004B030000}"/>
    <cellStyle name="Comma 3 125" xfId="863" xr:uid="{00000000-0005-0000-0000-00004C030000}"/>
    <cellStyle name="Comma 3 126" xfId="864" xr:uid="{00000000-0005-0000-0000-00004D030000}"/>
    <cellStyle name="Comma 3 127" xfId="865" xr:uid="{00000000-0005-0000-0000-00004E030000}"/>
    <cellStyle name="Comma 3 128" xfId="866" xr:uid="{00000000-0005-0000-0000-00004F030000}"/>
    <cellStyle name="Comma 3 129" xfId="867" xr:uid="{00000000-0005-0000-0000-000050030000}"/>
    <cellStyle name="Comma 3 13" xfId="868" xr:uid="{00000000-0005-0000-0000-000051030000}"/>
    <cellStyle name="Comma 3 13 2" xfId="869" xr:uid="{00000000-0005-0000-0000-000052030000}"/>
    <cellStyle name="Comma 3 13 2 2" xfId="870" xr:uid="{00000000-0005-0000-0000-000053030000}"/>
    <cellStyle name="Comma 3 13 2 3" xfId="871" xr:uid="{00000000-0005-0000-0000-000054030000}"/>
    <cellStyle name="Comma 3 13 3" xfId="872" xr:uid="{00000000-0005-0000-0000-000055030000}"/>
    <cellStyle name="Comma 3 130" xfId="873" xr:uid="{00000000-0005-0000-0000-000056030000}"/>
    <cellStyle name="Comma 3 131" xfId="874" xr:uid="{00000000-0005-0000-0000-000057030000}"/>
    <cellStyle name="Comma 3 132" xfId="875" xr:uid="{00000000-0005-0000-0000-000058030000}"/>
    <cellStyle name="Comma 3 133" xfId="876" xr:uid="{00000000-0005-0000-0000-000059030000}"/>
    <cellStyle name="Comma 3 134" xfId="877" xr:uid="{00000000-0005-0000-0000-00005A030000}"/>
    <cellStyle name="Comma 3 135" xfId="878" xr:uid="{00000000-0005-0000-0000-00005B030000}"/>
    <cellStyle name="Comma 3 136" xfId="879" xr:uid="{00000000-0005-0000-0000-00005C030000}"/>
    <cellStyle name="Comma 3 137" xfId="880" xr:uid="{00000000-0005-0000-0000-00005D030000}"/>
    <cellStyle name="Comma 3 138" xfId="881" xr:uid="{00000000-0005-0000-0000-00005E030000}"/>
    <cellStyle name="Comma 3 139" xfId="882" xr:uid="{00000000-0005-0000-0000-00005F030000}"/>
    <cellStyle name="Comma 3 14" xfId="883" xr:uid="{00000000-0005-0000-0000-000060030000}"/>
    <cellStyle name="Comma 3 14 2" xfId="884" xr:uid="{00000000-0005-0000-0000-000061030000}"/>
    <cellStyle name="Comma 3 14 2 2" xfId="885" xr:uid="{00000000-0005-0000-0000-000062030000}"/>
    <cellStyle name="Comma 3 14 2 3" xfId="886" xr:uid="{00000000-0005-0000-0000-000063030000}"/>
    <cellStyle name="Comma 3 14 3" xfId="887" xr:uid="{00000000-0005-0000-0000-000064030000}"/>
    <cellStyle name="Comma 3 140" xfId="888" xr:uid="{00000000-0005-0000-0000-000065030000}"/>
    <cellStyle name="Comma 3 141" xfId="889" xr:uid="{00000000-0005-0000-0000-000066030000}"/>
    <cellStyle name="Comma 3 142" xfId="890" xr:uid="{00000000-0005-0000-0000-000067030000}"/>
    <cellStyle name="Comma 3 143" xfId="891" xr:uid="{00000000-0005-0000-0000-000068030000}"/>
    <cellStyle name="Comma 3 144" xfId="892" xr:uid="{00000000-0005-0000-0000-000069030000}"/>
    <cellStyle name="Comma 3 145" xfId="893" xr:uid="{00000000-0005-0000-0000-00006A030000}"/>
    <cellStyle name="Comma 3 146" xfId="894" xr:uid="{00000000-0005-0000-0000-00006B030000}"/>
    <cellStyle name="Comma 3 147" xfId="895" xr:uid="{00000000-0005-0000-0000-00006C030000}"/>
    <cellStyle name="Comma 3 148" xfId="896" xr:uid="{00000000-0005-0000-0000-00006D030000}"/>
    <cellStyle name="Comma 3 149" xfId="897" xr:uid="{00000000-0005-0000-0000-00006E030000}"/>
    <cellStyle name="Comma 3 15" xfId="898" xr:uid="{00000000-0005-0000-0000-00006F030000}"/>
    <cellStyle name="Comma 3 15 2" xfId="899" xr:uid="{00000000-0005-0000-0000-000070030000}"/>
    <cellStyle name="Comma 3 15 2 2" xfId="900" xr:uid="{00000000-0005-0000-0000-000071030000}"/>
    <cellStyle name="Comma 3 15 2 3" xfId="901" xr:uid="{00000000-0005-0000-0000-000072030000}"/>
    <cellStyle name="Comma 3 15 3" xfId="902" xr:uid="{00000000-0005-0000-0000-000073030000}"/>
    <cellStyle name="Comma 3 150" xfId="903" xr:uid="{00000000-0005-0000-0000-000074030000}"/>
    <cellStyle name="Comma 3 151" xfId="904" xr:uid="{00000000-0005-0000-0000-000075030000}"/>
    <cellStyle name="Comma 3 152" xfId="905" xr:uid="{00000000-0005-0000-0000-000076030000}"/>
    <cellStyle name="Comma 3 16" xfId="906" xr:uid="{00000000-0005-0000-0000-000077030000}"/>
    <cellStyle name="Comma 3 16 2" xfId="907" xr:uid="{00000000-0005-0000-0000-000078030000}"/>
    <cellStyle name="Comma 3 16 2 2" xfId="908" xr:uid="{00000000-0005-0000-0000-000079030000}"/>
    <cellStyle name="Comma 3 16 2 3" xfId="909" xr:uid="{00000000-0005-0000-0000-00007A030000}"/>
    <cellStyle name="Comma 3 16 3" xfId="910" xr:uid="{00000000-0005-0000-0000-00007B030000}"/>
    <cellStyle name="Comma 3 17" xfId="911" xr:uid="{00000000-0005-0000-0000-00007C030000}"/>
    <cellStyle name="Comma 3 17 2" xfId="912" xr:uid="{00000000-0005-0000-0000-00007D030000}"/>
    <cellStyle name="Comma 3 17 2 2" xfId="913" xr:uid="{00000000-0005-0000-0000-00007E030000}"/>
    <cellStyle name="Comma 3 17 2 3" xfId="914" xr:uid="{00000000-0005-0000-0000-00007F030000}"/>
    <cellStyle name="Comma 3 17 3" xfId="915" xr:uid="{00000000-0005-0000-0000-000080030000}"/>
    <cellStyle name="Comma 3 18" xfId="916" xr:uid="{00000000-0005-0000-0000-000081030000}"/>
    <cellStyle name="Comma 3 18 2" xfId="917" xr:uid="{00000000-0005-0000-0000-000082030000}"/>
    <cellStyle name="Comma 3 18 2 2" xfId="918" xr:uid="{00000000-0005-0000-0000-000083030000}"/>
    <cellStyle name="Comma 3 18 2 3" xfId="919" xr:uid="{00000000-0005-0000-0000-000084030000}"/>
    <cellStyle name="Comma 3 18 3" xfId="920" xr:uid="{00000000-0005-0000-0000-000085030000}"/>
    <cellStyle name="Comma 3 19" xfId="921" xr:uid="{00000000-0005-0000-0000-000086030000}"/>
    <cellStyle name="Comma 3 19 2" xfId="922" xr:uid="{00000000-0005-0000-0000-000087030000}"/>
    <cellStyle name="Comma 3 19 3" xfId="923" xr:uid="{00000000-0005-0000-0000-000088030000}"/>
    <cellStyle name="Comma 3 19 4" xfId="924" xr:uid="{00000000-0005-0000-0000-000089030000}"/>
    <cellStyle name="Comma 3 2" xfId="925" xr:uid="{00000000-0005-0000-0000-00008A030000}"/>
    <cellStyle name="Comma 3 2 10" xfId="926" xr:uid="{00000000-0005-0000-0000-00008B030000}"/>
    <cellStyle name="Comma 3 2 10 2" xfId="927" xr:uid="{00000000-0005-0000-0000-00008C030000}"/>
    <cellStyle name="Comma 3 2 11" xfId="928" xr:uid="{00000000-0005-0000-0000-00008D030000}"/>
    <cellStyle name="Comma 3 2 11 2" xfId="929" xr:uid="{00000000-0005-0000-0000-00008E030000}"/>
    <cellStyle name="Comma 3 2 12" xfId="930" xr:uid="{00000000-0005-0000-0000-00008F030000}"/>
    <cellStyle name="Comma 3 2 12 2" xfId="931" xr:uid="{00000000-0005-0000-0000-000090030000}"/>
    <cellStyle name="Comma 3 2 12 2 2" xfId="932" xr:uid="{00000000-0005-0000-0000-000091030000}"/>
    <cellStyle name="Comma 3 2 12 3" xfId="933" xr:uid="{00000000-0005-0000-0000-000092030000}"/>
    <cellStyle name="Comma 3 2 13" xfId="934" xr:uid="{00000000-0005-0000-0000-000093030000}"/>
    <cellStyle name="Comma 3 2 13 2" xfId="935" xr:uid="{00000000-0005-0000-0000-000094030000}"/>
    <cellStyle name="Comma 3 2 14" xfId="936" xr:uid="{00000000-0005-0000-0000-000095030000}"/>
    <cellStyle name="Comma 3 2 14 2" xfId="937" xr:uid="{00000000-0005-0000-0000-000096030000}"/>
    <cellStyle name="Comma 3 2 14 2 2" xfId="938" xr:uid="{00000000-0005-0000-0000-000097030000}"/>
    <cellStyle name="Comma 3 2 14 3" xfId="939" xr:uid="{00000000-0005-0000-0000-000098030000}"/>
    <cellStyle name="Comma 3 2 15" xfId="940" xr:uid="{00000000-0005-0000-0000-000099030000}"/>
    <cellStyle name="Comma 3 2 15 2" xfId="941" xr:uid="{00000000-0005-0000-0000-00009A030000}"/>
    <cellStyle name="Comma 3 2 15 2 2" xfId="942" xr:uid="{00000000-0005-0000-0000-00009B030000}"/>
    <cellStyle name="Comma 3 2 15 3" xfId="943" xr:uid="{00000000-0005-0000-0000-00009C030000}"/>
    <cellStyle name="Comma 3 2 16" xfId="944" xr:uid="{00000000-0005-0000-0000-00009D030000}"/>
    <cellStyle name="Comma 3 2 16 2" xfId="945" xr:uid="{00000000-0005-0000-0000-00009E030000}"/>
    <cellStyle name="Comma 3 2 16 2 2" xfId="946" xr:uid="{00000000-0005-0000-0000-00009F030000}"/>
    <cellStyle name="Comma 3 2 16 3" xfId="947" xr:uid="{00000000-0005-0000-0000-0000A0030000}"/>
    <cellStyle name="Comma 3 2 17" xfId="948" xr:uid="{00000000-0005-0000-0000-0000A1030000}"/>
    <cellStyle name="Comma 3 2 17 2" xfId="949" xr:uid="{00000000-0005-0000-0000-0000A2030000}"/>
    <cellStyle name="Comma 3 2 17 2 2" xfId="950" xr:uid="{00000000-0005-0000-0000-0000A3030000}"/>
    <cellStyle name="Comma 3 2 17 3" xfId="951" xr:uid="{00000000-0005-0000-0000-0000A4030000}"/>
    <cellStyle name="Comma 3 2 18" xfId="952" xr:uid="{00000000-0005-0000-0000-0000A5030000}"/>
    <cellStyle name="Comma 3 2 19" xfId="953" xr:uid="{00000000-0005-0000-0000-0000A6030000}"/>
    <cellStyle name="Comma 3 2 2" xfId="954" xr:uid="{00000000-0005-0000-0000-0000A7030000}"/>
    <cellStyle name="Comma 3 2 2 10" xfId="955" xr:uid="{00000000-0005-0000-0000-0000A8030000}"/>
    <cellStyle name="Comma 3 2 2 11" xfId="956" xr:uid="{00000000-0005-0000-0000-0000A9030000}"/>
    <cellStyle name="Comma 3 2 2 12" xfId="957" xr:uid="{00000000-0005-0000-0000-0000AA030000}"/>
    <cellStyle name="Comma 3 2 2 13" xfId="958" xr:uid="{00000000-0005-0000-0000-0000AB030000}"/>
    <cellStyle name="Comma 3 2 2 14" xfId="959" xr:uid="{00000000-0005-0000-0000-0000AC030000}"/>
    <cellStyle name="Comma 3 2 2 15" xfId="960" xr:uid="{00000000-0005-0000-0000-0000AD030000}"/>
    <cellStyle name="Comma 3 2 2 16" xfId="961" xr:uid="{00000000-0005-0000-0000-0000AE030000}"/>
    <cellStyle name="Comma 3 2 2 17" xfId="962" xr:uid="{00000000-0005-0000-0000-0000AF030000}"/>
    <cellStyle name="Comma 3 2 2 18" xfId="963" xr:uid="{00000000-0005-0000-0000-0000B0030000}"/>
    <cellStyle name="Comma 3 2 2 18 2" xfId="964" xr:uid="{00000000-0005-0000-0000-0000B1030000}"/>
    <cellStyle name="Comma 3 2 2 19" xfId="965" xr:uid="{00000000-0005-0000-0000-0000B2030000}"/>
    <cellStyle name="Comma 3 2 2 2" xfId="966" xr:uid="{00000000-0005-0000-0000-0000B3030000}"/>
    <cellStyle name="Comma 3 2 2 2 10" xfId="967" xr:uid="{00000000-0005-0000-0000-0000B4030000}"/>
    <cellStyle name="Comma 3 2 2 2 10 2" xfId="968" xr:uid="{00000000-0005-0000-0000-0000B5030000}"/>
    <cellStyle name="Comma 3 2 2 2 10 2 2" xfId="969" xr:uid="{00000000-0005-0000-0000-0000B6030000}"/>
    <cellStyle name="Comma 3 2 2 2 10 3" xfId="970" xr:uid="{00000000-0005-0000-0000-0000B7030000}"/>
    <cellStyle name="Comma 3 2 2 2 11" xfId="971" xr:uid="{00000000-0005-0000-0000-0000B8030000}"/>
    <cellStyle name="Comma 3 2 2 2 11 2" xfId="972" xr:uid="{00000000-0005-0000-0000-0000B9030000}"/>
    <cellStyle name="Comma 3 2 2 2 11 2 2" xfId="973" xr:uid="{00000000-0005-0000-0000-0000BA030000}"/>
    <cellStyle name="Comma 3 2 2 2 11 3" xfId="974" xr:uid="{00000000-0005-0000-0000-0000BB030000}"/>
    <cellStyle name="Comma 3 2 2 2 12" xfId="975" xr:uid="{00000000-0005-0000-0000-0000BC030000}"/>
    <cellStyle name="Comma 3 2 2 2 12 2" xfId="976" xr:uid="{00000000-0005-0000-0000-0000BD030000}"/>
    <cellStyle name="Comma 3 2 2 2 12 2 2" xfId="977" xr:uid="{00000000-0005-0000-0000-0000BE030000}"/>
    <cellStyle name="Comma 3 2 2 2 12 3" xfId="978" xr:uid="{00000000-0005-0000-0000-0000BF030000}"/>
    <cellStyle name="Comma 3 2 2 2 13" xfId="979" xr:uid="{00000000-0005-0000-0000-0000C0030000}"/>
    <cellStyle name="Comma 3 2 2 2 13 2" xfId="980" xr:uid="{00000000-0005-0000-0000-0000C1030000}"/>
    <cellStyle name="Comma 3 2 2 2 13 2 2" xfId="981" xr:uid="{00000000-0005-0000-0000-0000C2030000}"/>
    <cellStyle name="Comma 3 2 2 2 13 3" xfId="982" xr:uid="{00000000-0005-0000-0000-0000C3030000}"/>
    <cellStyle name="Comma 3 2 2 2 14" xfId="983" xr:uid="{00000000-0005-0000-0000-0000C4030000}"/>
    <cellStyle name="Comma 3 2 2 2 14 2" xfId="984" xr:uid="{00000000-0005-0000-0000-0000C5030000}"/>
    <cellStyle name="Comma 3 2 2 2 14 2 2" xfId="985" xr:uid="{00000000-0005-0000-0000-0000C6030000}"/>
    <cellStyle name="Comma 3 2 2 2 14 3" xfId="986" xr:uid="{00000000-0005-0000-0000-0000C7030000}"/>
    <cellStyle name="Comma 3 2 2 2 15" xfId="987" xr:uid="{00000000-0005-0000-0000-0000C8030000}"/>
    <cellStyle name="Comma 3 2 2 2 15 2" xfId="988" xr:uid="{00000000-0005-0000-0000-0000C9030000}"/>
    <cellStyle name="Comma 3 2 2 2 15 2 2" xfId="989" xr:uid="{00000000-0005-0000-0000-0000CA030000}"/>
    <cellStyle name="Comma 3 2 2 2 15 3" xfId="990" xr:uid="{00000000-0005-0000-0000-0000CB030000}"/>
    <cellStyle name="Comma 3 2 2 2 16" xfId="991" xr:uid="{00000000-0005-0000-0000-0000CC030000}"/>
    <cellStyle name="Comma 3 2 2 2 16 2" xfId="992" xr:uid="{00000000-0005-0000-0000-0000CD030000}"/>
    <cellStyle name="Comma 3 2 2 2 16 2 2" xfId="993" xr:uid="{00000000-0005-0000-0000-0000CE030000}"/>
    <cellStyle name="Comma 3 2 2 2 16 3" xfId="994" xr:uid="{00000000-0005-0000-0000-0000CF030000}"/>
    <cellStyle name="Comma 3 2 2 2 17" xfId="995" xr:uid="{00000000-0005-0000-0000-0000D0030000}"/>
    <cellStyle name="Comma 3 2 2 2 17 2" xfId="996" xr:uid="{00000000-0005-0000-0000-0000D1030000}"/>
    <cellStyle name="Comma 3 2 2 2 17 2 2" xfId="997" xr:uid="{00000000-0005-0000-0000-0000D2030000}"/>
    <cellStyle name="Comma 3 2 2 2 17 3" xfId="998" xr:uid="{00000000-0005-0000-0000-0000D3030000}"/>
    <cellStyle name="Comma 3 2 2 2 2" xfId="999" xr:uid="{00000000-0005-0000-0000-0000D4030000}"/>
    <cellStyle name="Comma 3 2 2 2 2 2" xfId="1000" xr:uid="{00000000-0005-0000-0000-0000D5030000}"/>
    <cellStyle name="Comma 3 2 2 2 2 2 2" xfId="1001" xr:uid="{00000000-0005-0000-0000-0000D6030000}"/>
    <cellStyle name="Comma 3 2 2 2 2 2 2 2" xfId="1002" xr:uid="{00000000-0005-0000-0000-0000D7030000}"/>
    <cellStyle name="Comma 3 2 2 2 2 2 2 2 2" xfId="1003" xr:uid="{00000000-0005-0000-0000-0000D8030000}"/>
    <cellStyle name="Comma 3 2 2 2 2 2 2 3" xfId="1004" xr:uid="{00000000-0005-0000-0000-0000D9030000}"/>
    <cellStyle name="Comma 3 2 2 2 2 2 3" xfId="1005" xr:uid="{00000000-0005-0000-0000-0000DA030000}"/>
    <cellStyle name="Comma 3 2 2 2 2 2 3 2" xfId="1006" xr:uid="{00000000-0005-0000-0000-0000DB030000}"/>
    <cellStyle name="Comma 3 2 2 2 2 2 3 2 2" xfId="1007" xr:uid="{00000000-0005-0000-0000-0000DC030000}"/>
    <cellStyle name="Comma 3 2 2 2 2 2 3 3" xfId="1008" xr:uid="{00000000-0005-0000-0000-0000DD030000}"/>
    <cellStyle name="Comma 3 2 2 2 2 2 4" xfId="1009" xr:uid="{00000000-0005-0000-0000-0000DE030000}"/>
    <cellStyle name="Comma 3 2 2 2 2 2 4 2" xfId="1010" xr:uid="{00000000-0005-0000-0000-0000DF030000}"/>
    <cellStyle name="Comma 3 2 2 2 2 2 4 2 2" xfId="1011" xr:uid="{00000000-0005-0000-0000-0000E0030000}"/>
    <cellStyle name="Comma 3 2 2 2 2 2 4 3" xfId="1012" xr:uid="{00000000-0005-0000-0000-0000E1030000}"/>
    <cellStyle name="Comma 3 2 2 2 2 2 5" xfId="1013" xr:uid="{00000000-0005-0000-0000-0000E2030000}"/>
    <cellStyle name="Comma 3 2 2 2 2 2 5 2" xfId="1014" xr:uid="{00000000-0005-0000-0000-0000E3030000}"/>
    <cellStyle name="Comma 3 2 2 2 2 2 5 2 2" xfId="1015" xr:uid="{00000000-0005-0000-0000-0000E4030000}"/>
    <cellStyle name="Comma 3 2 2 2 2 2 5 3" xfId="1016" xr:uid="{00000000-0005-0000-0000-0000E5030000}"/>
    <cellStyle name="Comma 3 2 2 2 2 3" xfId="1017" xr:uid="{00000000-0005-0000-0000-0000E6030000}"/>
    <cellStyle name="Comma 3 2 2 2 2 4" xfId="1018" xr:uid="{00000000-0005-0000-0000-0000E7030000}"/>
    <cellStyle name="Comma 3 2 2 2 2 5" xfId="1019" xr:uid="{00000000-0005-0000-0000-0000E8030000}"/>
    <cellStyle name="Comma 3 2 2 2 2 6" xfId="1020" xr:uid="{00000000-0005-0000-0000-0000E9030000}"/>
    <cellStyle name="Comma 3 2 2 2 2 6 2" xfId="1021" xr:uid="{00000000-0005-0000-0000-0000EA030000}"/>
    <cellStyle name="Comma 3 2 2 2 2 7" xfId="1022" xr:uid="{00000000-0005-0000-0000-0000EB030000}"/>
    <cellStyle name="Comma 3 2 2 2 3" xfId="1023" xr:uid="{00000000-0005-0000-0000-0000EC030000}"/>
    <cellStyle name="Comma 3 2 2 2 3 2" xfId="1024" xr:uid="{00000000-0005-0000-0000-0000ED030000}"/>
    <cellStyle name="Comma 3 2 2 2 3 2 2" xfId="1025" xr:uid="{00000000-0005-0000-0000-0000EE030000}"/>
    <cellStyle name="Comma 3 2 2 2 3 3" xfId="1026" xr:uid="{00000000-0005-0000-0000-0000EF030000}"/>
    <cellStyle name="Comma 3 2 2 2 4" xfId="1027" xr:uid="{00000000-0005-0000-0000-0000F0030000}"/>
    <cellStyle name="Comma 3 2 2 2 4 2" xfId="1028" xr:uid="{00000000-0005-0000-0000-0000F1030000}"/>
    <cellStyle name="Comma 3 2 2 2 4 2 2" xfId="1029" xr:uid="{00000000-0005-0000-0000-0000F2030000}"/>
    <cellStyle name="Comma 3 2 2 2 4 3" xfId="1030" xr:uid="{00000000-0005-0000-0000-0000F3030000}"/>
    <cellStyle name="Comma 3 2 2 2 5" xfId="1031" xr:uid="{00000000-0005-0000-0000-0000F4030000}"/>
    <cellStyle name="Comma 3 2 2 2 5 2" xfId="1032" xr:uid="{00000000-0005-0000-0000-0000F5030000}"/>
    <cellStyle name="Comma 3 2 2 2 5 2 2" xfId="1033" xr:uid="{00000000-0005-0000-0000-0000F6030000}"/>
    <cellStyle name="Comma 3 2 2 2 5 3" xfId="1034" xr:uid="{00000000-0005-0000-0000-0000F7030000}"/>
    <cellStyle name="Comma 3 2 2 2 6" xfId="1035" xr:uid="{00000000-0005-0000-0000-0000F8030000}"/>
    <cellStyle name="Comma 3 2 2 2 6 2" xfId="1036" xr:uid="{00000000-0005-0000-0000-0000F9030000}"/>
    <cellStyle name="Comma 3 2 2 2 6 2 2" xfId="1037" xr:uid="{00000000-0005-0000-0000-0000FA030000}"/>
    <cellStyle name="Comma 3 2 2 2 6 3" xfId="1038" xr:uid="{00000000-0005-0000-0000-0000FB030000}"/>
    <cellStyle name="Comma 3 2 2 2 7" xfId="1039" xr:uid="{00000000-0005-0000-0000-0000FC030000}"/>
    <cellStyle name="Comma 3 2 2 2 7 2" xfId="1040" xr:uid="{00000000-0005-0000-0000-0000FD030000}"/>
    <cellStyle name="Comma 3 2 2 2 7 2 2" xfId="1041" xr:uid="{00000000-0005-0000-0000-0000FE030000}"/>
    <cellStyle name="Comma 3 2 2 2 7 3" xfId="1042" xr:uid="{00000000-0005-0000-0000-0000FF030000}"/>
    <cellStyle name="Comma 3 2 2 2 8" xfId="1043" xr:uid="{00000000-0005-0000-0000-000000040000}"/>
    <cellStyle name="Comma 3 2 2 2 8 2" xfId="1044" xr:uid="{00000000-0005-0000-0000-000001040000}"/>
    <cellStyle name="Comma 3 2 2 2 8 2 2" xfId="1045" xr:uid="{00000000-0005-0000-0000-000002040000}"/>
    <cellStyle name="Comma 3 2 2 2 8 3" xfId="1046" xr:uid="{00000000-0005-0000-0000-000003040000}"/>
    <cellStyle name="Comma 3 2 2 2 9" xfId="1047" xr:uid="{00000000-0005-0000-0000-000004040000}"/>
    <cellStyle name="Comma 3 2 2 2 9 2" xfId="1048" xr:uid="{00000000-0005-0000-0000-000005040000}"/>
    <cellStyle name="Comma 3 2 2 2 9 2 2" xfId="1049" xr:uid="{00000000-0005-0000-0000-000006040000}"/>
    <cellStyle name="Comma 3 2 2 2 9 3" xfId="1050" xr:uid="{00000000-0005-0000-0000-000007040000}"/>
    <cellStyle name="Comma 3 2 2 3" xfId="1051" xr:uid="{00000000-0005-0000-0000-000008040000}"/>
    <cellStyle name="Comma 3 2 2 4" xfId="1052" xr:uid="{00000000-0005-0000-0000-000009040000}"/>
    <cellStyle name="Comma 3 2 2 5" xfId="1053" xr:uid="{00000000-0005-0000-0000-00000A040000}"/>
    <cellStyle name="Comma 3 2 2 6" xfId="1054" xr:uid="{00000000-0005-0000-0000-00000B040000}"/>
    <cellStyle name="Comma 3 2 2 7" xfId="1055" xr:uid="{00000000-0005-0000-0000-00000C040000}"/>
    <cellStyle name="Comma 3 2 2 8" xfId="1056" xr:uid="{00000000-0005-0000-0000-00000D040000}"/>
    <cellStyle name="Comma 3 2 2 9" xfId="1057" xr:uid="{00000000-0005-0000-0000-00000E040000}"/>
    <cellStyle name="Comma 3 2 20" xfId="1058" xr:uid="{00000000-0005-0000-0000-00000F040000}"/>
    <cellStyle name="Comma 3 2 3" xfId="1059" xr:uid="{00000000-0005-0000-0000-000010040000}"/>
    <cellStyle name="Comma 3 2 3 2" xfId="1060" xr:uid="{00000000-0005-0000-0000-000011040000}"/>
    <cellStyle name="Comma 3 2 4" xfId="1061" xr:uid="{00000000-0005-0000-0000-000012040000}"/>
    <cellStyle name="Comma 3 2 4 2" xfId="1062" xr:uid="{00000000-0005-0000-0000-000013040000}"/>
    <cellStyle name="Comma 3 2 5" xfId="1063" xr:uid="{00000000-0005-0000-0000-000014040000}"/>
    <cellStyle name="Comma 3 2 5 2" xfId="1064" xr:uid="{00000000-0005-0000-0000-000015040000}"/>
    <cellStyle name="Comma 3 2 6" xfId="1065" xr:uid="{00000000-0005-0000-0000-000016040000}"/>
    <cellStyle name="Comma 3 2 6 2" xfId="1066" xr:uid="{00000000-0005-0000-0000-000017040000}"/>
    <cellStyle name="Comma 3 2 7" xfId="1067" xr:uid="{00000000-0005-0000-0000-000018040000}"/>
    <cellStyle name="Comma 3 2 7 2" xfId="1068" xr:uid="{00000000-0005-0000-0000-000019040000}"/>
    <cellStyle name="Comma 3 2 8" xfId="1069" xr:uid="{00000000-0005-0000-0000-00001A040000}"/>
    <cellStyle name="Comma 3 2 8 2" xfId="1070" xr:uid="{00000000-0005-0000-0000-00001B040000}"/>
    <cellStyle name="Comma 3 2 9" xfId="1071" xr:uid="{00000000-0005-0000-0000-00001C040000}"/>
    <cellStyle name="Comma 3 2 9 2" xfId="1072" xr:uid="{00000000-0005-0000-0000-00001D040000}"/>
    <cellStyle name="Comma 3 20" xfId="1073" xr:uid="{00000000-0005-0000-0000-00001E040000}"/>
    <cellStyle name="Comma 3 20 2" xfId="1074" xr:uid="{00000000-0005-0000-0000-00001F040000}"/>
    <cellStyle name="Comma 3 21" xfId="1075" xr:uid="{00000000-0005-0000-0000-000020040000}"/>
    <cellStyle name="Comma 3 21 2" xfId="1076" xr:uid="{00000000-0005-0000-0000-000021040000}"/>
    <cellStyle name="Comma 3 22" xfId="1077" xr:uid="{00000000-0005-0000-0000-000022040000}"/>
    <cellStyle name="Comma 3 22 2" xfId="1078" xr:uid="{00000000-0005-0000-0000-000023040000}"/>
    <cellStyle name="Comma 3 23" xfId="1079" xr:uid="{00000000-0005-0000-0000-000024040000}"/>
    <cellStyle name="Comma 3 23 2" xfId="1080" xr:uid="{00000000-0005-0000-0000-000025040000}"/>
    <cellStyle name="Comma 3 24" xfId="1081" xr:uid="{00000000-0005-0000-0000-000026040000}"/>
    <cellStyle name="Comma 3 24 2" xfId="1082" xr:uid="{00000000-0005-0000-0000-000027040000}"/>
    <cellStyle name="Comma 3 25" xfId="1083" xr:uid="{00000000-0005-0000-0000-000028040000}"/>
    <cellStyle name="Comma 3 25 2" xfId="1084" xr:uid="{00000000-0005-0000-0000-000029040000}"/>
    <cellStyle name="Comma 3 26" xfId="1085" xr:uid="{00000000-0005-0000-0000-00002A040000}"/>
    <cellStyle name="Comma 3 26 2" xfId="1086" xr:uid="{00000000-0005-0000-0000-00002B040000}"/>
    <cellStyle name="Comma 3 27" xfId="1087" xr:uid="{00000000-0005-0000-0000-00002C040000}"/>
    <cellStyle name="Comma 3 27 2" xfId="1088" xr:uid="{00000000-0005-0000-0000-00002D040000}"/>
    <cellStyle name="Comma 3 28" xfId="1089" xr:uid="{00000000-0005-0000-0000-00002E040000}"/>
    <cellStyle name="Comma 3 28 2" xfId="1090" xr:uid="{00000000-0005-0000-0000-00002F040000}"/>
    <cellStyle name="Comma 3 29" xfId="1091" xr:uid="{00000000-0005-0000-0000-000030040000}"/>
    <cellStyle name="Comma 3 29 2" xfId="1092" xr:uid="{00000000-0005-0000-0000-000031040000}"/>
    <cellStyle name="Comma 3 3" xfId="1093" xr:uid="{00000000-0005-0000-0000-000032040000}"/>
    <cellStyle name="Comma 3 3 2" xfId="1094" xr:uid="{00000000-0005-0000-0000-000033040000}"/>
    <cellStyle name="Comma 3 3 2 2" xfId="1095" xr:uid="{00000000-0005-0000-0000-000034040000}"/>
    <cellStyle name="Comma 3 3 2 2 2" xfId="1096" xr:uid="{00000000-0005-0000-0000-000035040000}"/>
    <cellStyle name="Comma 3 3 2 3" xfId="1097" xr:uid="{00000000-0005-0000-0000-000036040000}"/>
    <cellStyle name="Comma 3 3 2 4" xfId="1098" xr:uid="{00000000-0005-0000-0000-000037040000}"/>
    <cellStyle name="Comma 3 3 2 5" xfId="1099" xr:uid="{00000000-0005-0000-0000-000038040000}"/>
    <cellStyle name="Comma 3 3 3" xfId="1100" xr:uid="{00000000-0005-0000-0000-000039040000}"/>
    <cellStyle name="Comma 3 3 4" xfId="1101" xr:uid="{00000000-0005-0000-0000-00003A040000}"/>
    <cellStyle name="Comma 3 3 5" xfId="1102" xr:uid="{00000000-0005-0000-0000-00003B040000}"/>
    <cellStyle name="Comma 3 3 6" xfId="1103" xr:uid="{00000000-0005-0000-0000-00003C040000}"/>
    <cellStyle name="Comma 3 30" xfId="1104" xr:uid="{00000000-0005-0000-0000-00003D040000}"/>
    <cellStyle name="Comma 3 30 2" xfId="1105" xr:uid="{00000000-0005-0000-0000-00003E040000}"/>
    <cellStyle name="Comma 3 31" xfId="1106" xr:uid="{00000000-0005-0000-0000-00003F040000}"/>
    <cellStyle name="Comma 3 31 2" xfId="1107" xr:uid="{00000000-0005-0000-0000-000040040000}"/>
    <cellStyle name="Comma 3 32" xfId="1108" xr:uid="{00000000-0005-0000-0000-000041040000}"/>
    <cellStyle name="Comma 3 32 2" xfId="1109" xr:uid="{00000000-0005-0000-0000-000042040000}"/>
    <cellStyle name="Comma 3 33" xfId="1110" xr:uid="{00000000-0005-0000-0000-000043040000}"/>
    <cellStyle name="Comma 3 33 2" xfId="1111" xr:uid="{00000000-0005-0000-0000-000044040000}"/>
    <cellStyle name="Comma 3 34" xfId="1112" xr:uid="{00000000-0005-0000-0000-000045040000}"/>
    <cellStyle name="Comma 3 34 2" xfId="1113" xr:uid="{00000000-0005-0000-0000-000046040000}"/>
    <cellStyle name="Comma 3 35" xfId="1114" xr:uid="{00000000-0005-0000-0000-000047040000}"/>
    <cellStyle name="Comma 3 35 2" xfId="1115" xr:uid="{00000000-0005-0000-0000-000048040000}"/>
    <cellStyle name="Comma 3 36" xfId="1116" xr:uid="{00000000-0005-0000-0000-000049040000}"/>
    <cellStyle name="Comma 3 36 2" xfId="1117" xr:uid="{00000000-0005-0000-0000-00004A040000}"/>
    <cellStyle name="Comma 3 37" xfId="1118" xr:uid="{00000000-0005-0000-0000-00004B040000}"/>
    <cellStyle name="Comma 3 37 2" xfId="1119" xr:uid="{00000000-0005-0000-0000-00004C040000}"/>
    <cellStyle name="Comma 3 38" xfId="1120" xr:uid="{00000000-0005-0000-0000-00004D040000}"/>
    <cellStyle name="Comma 3 38 2" xfId="1121" xr:uid="{00000000-0005-0000-0000-00004E040000}"/>
    <cellStyle name="Comma 3 39" xfId="1122" xr:uid="{00000000-0005-0000-0000-00004F040000}"/>
    <cellStyle name="Comma 3 39 2" xfId="1123" xr:uid="{00000000-0005-0000-0000-000050040000}"/>
    <cellStyle name="Comma 3 4" xfId="1124" xr:uid="{00000000-0005-0000-0000-000051040000}"/>
    <cellStyle name="Comma 3 4 2" xfId="1125" xr:uid="{00000000-0005-0000-0000-000052040000}"/>
    <cellStyle name="Comma 3 4 2 2" xfId="1126" xr:uid="{00000000-0005-0000-0000-000053040000}"/>
    <cellStyle name="Comma 3 4 2 3" xfId="1127" xr:uid="{00000000-0005-0000-0000-000054040000}"/>
    <cellStyle name="Comma 3 4 3" xfId="1128" xr:uid="{00000000-0005-0000-0000-000055040000}"/>
    <cellStyle name="Comma 3 40" xfId="1129" xr:uid="{00000000-0005-0000-0000-000056040000}"/>
    <cellStyle name="Comma 3 40 2" xfId="1130" xr:uid="{00000000-0005-0000-0000-000057040000}"/>
    <cellStyle name="Comma 3 41" xfId="1131" xr:uid="{00000000-0005-0000-0000-000058040000}"/>
    <cellStyle name="Comma 3 41 2" xfId="1132" xr:uid="{00000000-0005-0000-0000-000059040000}"/>
    <cellStyle name="Comma 3 42" xfId="1133" xr:uid="{00000000-0005-0000-0000-00005A040000}"/>
    <cellStyle name="Comma 3 42 2" xfId="1134" xr:uid="{00000000-0005-0000-0000-00005B040000}"/>
    <cellStyle name="Comma 3 43" xfId="1135" xr:uid="{00000000-0005-0000-0000-00005C040000}"/>
    <cellStyle name="Comma 3 43 2" xfId="1136" xr:uid="{00000000-0005-0000-0000-00005D040000}"/>
    <cellStyle name="Comma 3 44" xfId="1137" xr:uid="{00000000-0005-0000-0000-00005E040000}"/>
    <cellStyle name="Comma 3 44 2" xfId="1138" xr:uid="{00000000-0005-0000-0000-00005F040000}"/>
    <cellStyle name="Comma 3 45" xfId="1139" xr:uid="{00000000-0005-0000-0000-000060040000}"/>
    <cellStyle name="Comma 3 45 2" xfId="1140" xr:uid="{00000000-0005-0000-0000-000061040000}"/>
    <cellStyle name="Comma 3 46" xfId="1141" xr:uid="{00000000-0005-0000-0000-000062040000}"/>
    <cellStyle name="Comma 3 46 2" xfId="1142" xr:uid="{00000000-0005-0000-0000-000063040000}"/>
    <cellStyle name="Comma 3 47" xfId="1143" xr:uid="{00000000-0005-0000-0000-000064040000}"/>
    <cellStyle name="Comma 3 47 2" xfId="1144" xr:uid="{00000000-0005-0000-0000-000065040000}"/>
    <cellStyle name="Comma 3 48" xfId="1145" xr:uid="{00000000-0005-0000-0000-000066040000}"/>
    <cellStyle name="Comma 3 48 2" xfId="1146" xr:uid="{00000000-0005-0000-0000-000067040000}"/>
    <cellStyle name="Comma 3 49" xfId="1147" xr:uid="{00000000-0005-0000-0000-000068040000}"/>
    <cellStyle name="Comma 3 49 2" xfId="1148" xr:uid="{00000000-0005-0000-0000-000069040000}"/>
    <cellStyle name="Comma 3 5" xfId="1149" xr:uid="{00000000-0005-0000-0000-00006A040000}"/>
    <cellStyle name="Comma 3 5 2" xfId="1150" xr:uid="{00000000-0005-0000-0000-00006B040000}"/>
    <cellStyle name="Comma 3 5 2 2" xfId="1151" xr:uid="{00000000-0005-0000-0000-00006C040000}"/>
    <cellStyle name="Comma 3 5 2 3" xfId="1152" xr:uid="{00000000-0005-0000-0000-00006D040000}"/>
    <cellStyle name="Comma 3 5 3" xfId="1153" xr:uid="{00000000-0005-0000-0000-00006E040000}"/>
    <cellStyle name="Comma 3 50" xfId="1154" xr:uid="{00000000-0005-0000-0000-00006F040000}"/>
    <cellStyle name="Comma 3 50 2" xfId="1155" xr:uid="{00000000-0005-0000-0000-000070040000}"/>
    <cellStyle name="Comma 3 51" xfId="1156" xr:uid="{00000000-0005-0000-0000-000071040000}"/>
    <cellStyle name="Comma 3 51 2" xfId="1157" xr:uid="{00000000-0005-0000-0000-000072040000}"/>
    <cellStyle name="Comma 3 52" xfId="1158" xr:uid="{00000000-0005-0000-0000-000073040000}"/>
    <cellStyle name="Comma 3 52 2" xfId="1159" xr:uid="{00000000-0005-0000-0000-000074040000}"/>
    <cellStyle name="Comma 3 53" xfId="1160" xr:uid="{00000000-0005-0000-0000-000075040000}"/>
    <cellStyle name="Comma 3 53 2" xfId="1161" xr:uid="{00000000-0005-0000-0000-000076040000}"/>
    <cellStyle name="Comma 3 54" xfId="1162" xr:uid="{00000000-0005-0000-0000-000077040000}"/>
    <cellStyle name="Comma 3 54 2" xfId="1163" xr:uid="{00000000-0005-0000-0000-000078040000}"/>
    <cellStyle name="Comma 3 55" xfId="1164" xr:uid="{00000000-0005-0000-0000-000079040000}"/>
    <cellStyle name="Comma 3 55 2" xfId="1165" xr:uid="{00000000-0005-0000-0000-00007A040000}"/>
    <cellStyle name="Comma 3 56" xfId="1166" xr:uid="{00000000-0005-0000-0000-00007B040000}"/>
    <cellStyle name="Comma 3 56 2" xfId="1167" xr:uid="{00000000-0005-0000-0000-00007C040000}"/>
    <cellStyle name="Comma 3 57" xfId="1168" xr:uid="{00000000-0005-0000-0000-00007D040000}"/>
    <cellStyle name="Comma 3 57 2" xfId="1169" xr:uid="{00000000-0005-0000-0000-00007E040000}"/>
    <cellStyle name="Comma 3 58" xfId="1170" xr:uid="{00000000-0005-0000-0000-00007F040000}"/>
    <cellStyle name="Comma 3 58 2" xfId="1171" xr:uid="{00000000-0005-0000-0000-000080040000}"/>
    <cellStyle name="Comma 3 59" xfId="1172" xr:uid="{00000000-0005-0000-0000-000081040000}"/>
    <cellStyle name="Comma 3 59 2" xfId="1173" xr:uid="{00000000-0005-0000-0000-000082040000}"/>
    <cellStyle name="Comma 3 6" xfId="1174" xr:uid="{00000000-0005-0000-0000-000083040000}"/>
    <cellStyle name="Comma 3 6 2" xfId="1175" xr:uid="{00000000-0005-0000-0000-000084040000}"/>
    <cellStyle name="Comma 3 6 2 2" xfId="1176" xr:uid="{00000000-0005-0000-0000-000085040000}"/>
    <cellStyle name="Comma 3 6 2 3" xfId="1177" xr:uid="{00000000-0005-0000-0000-000086040000}"/>
    <cellStyle name="Comma 3 6 3" xfId="1178" xr:uid="{00000000-0005-0000-0000-000087040000}"/>
    <cellStyle name="Comma 3 60" xfId="1179" xr:uid="{00000000-0005-0000-0000-000088040000}"/>
    <cellStyle name="Comma 3 60 2" xfId="1180" xr:uid="{00000000-0005-0000-0000-000089040000}"/>
    <cellStyle name="Comma 3 61" xfId="1181" xr:uid="{00000000-0005-0000-0000-00008A040000}"/>
    <cellStyle name="Comma 3 61 2" xfId="1182" xr:uid="{00000000-0005-0000-0000-00008B040000}"/>
    <cellStyle name="Comma 3 62" xfId="1183" xr:uid="{00000000-0005-0000-0000-00008C040000}"/>
    <cellStyle name="Comma 3 63" xfId="1184" xr:uid="{00000000-0005-0000-0000-00008D040000}"/>
    <cellStyle name="Comma 3 64" xfId="1185" xr:uid="{00000000-0005-0000-0000-00008E040000}"/>
    <cellStyle name="Comma 3 65" xfId="1186" xr:uid="{00000000-0005-0000-0000-00008F040000}"/>
    <cellStyle name="Comma 3 66" xfId="1187" xr:uid="{00000000-0005-0000-0000-000090040000}"/>
    <cellStyle name="Comma 3 67" xfId="1188" xr:uid="{00000000-0005-0000-0000-000091040000}"/>
    <cellStyle name="Comma 3 68" xfId="1189" xr:uid="{00000000-0005-0000-0000-000092040000}"/>
    <cellStyle name="Comma 3 69" xfId="1190" xr:uid="{00000000-0005-0000-0000-000093040000}"/>
    <cellStyle name="Comma 3 7" xfId="1191" xr:uid="{00000000-0005-0000-0000-000094040000}"/>
    <cellStyle name="Comma 3 7 2" xfId="1192" xr:uid="{00000000-0005-0000-0000-000095040000}"/>
    <cellStyle name="Comma 3 7 2 2" xfId="1193" xr:uid="{00000000-0005-0000-0000-000096040000}"/>
    <cellStyle name="Comma 3 7 2 3" xfId="1194" xr:uid="{00000000-0005-0000-0000-000097040000}"/>
    <cellStyle name="Comma 3 7 3" xfId="1195" xr:uid="{00000000-0005-0000-0000-000098040000}"/>
    <cellStyle name="Comma 3 70" xfId="1196" xr:uid="{00000000-0005-0000-0000-000099040000}"/>
    <cellStyle name="Comma 3 71" xfId="1197" xr:uid="{00000000-0005-0000-0000-00009A040000}"/>
    <cellStyle name="Comma 3 72" xfId="1198" xr:uid="{00000000-0005-0000-0000-00009B040000}"/>
    <cellStyle name="Comma 3 73" xfId="1199" xr:uid="{00000000-0005-0000-0000-00009C040000}"/>
    <cellStyle name="Comma 3 74" xfId="1200" xr:uid="{00000000-0005-0000-0000-00009D040000}"/>
    <cellStyle name="Comma 3 75" xfId="1201" xr:uid="{00000000-0005-0000-0000-00009E040000}"/>
    <cellStyle name="Comma 3 76" xfId="1202" xr:uid="{00000000-0005-0000-0000-00009F040000}"/>
    <cellStyle name="Comma 3 77" xfId="1203" xr:uid="{00000000-0005-0000-0000-0000A0040000}"/>
    <cellStyle name="Comma 3 78" xfId="1204" xr:uid="{00000000-0005-0000-0000-0000A1040000}"/>
    <cellStyle name="Comma 3 79" xfId="1205" xr:uid="{00000000-0005-0000-0000-0000A2040000}"/>
    <cellStyle name="Comma 3 8" xfId="1206" xr:uid="{00000000-0005-0000-0000-0000A3040000}"/>
    <cellStyle name="Comma 3 8 2" xfId="1207" xr:uid="{00000000-0005-0000-0000-0000A4040000}"/>
    <cellStyle name="Comma 3 8 2 2" xfId="1208" xr:uid="{00000000-0005-0000-0000-0000A5040000}"/>
    <cellStyle name="Comma 3 8 2 3" xfId="1209" xr:uid="{00000000-0005-0000-0000-0000A6040000}"/>
    <cellStyle name="Comma 3 8 3" xfId="1210" xr:uid="{00000000-0005-0000-0000-0000A7040000}"/>
    <cellStyle name="Comma 3 80" xfId="1211" xr:uid="{00000000-0005-0000-0000-0000A8040000}"/>
    <cellStyle name="Comma 3 81" xfId="1212" xr:uid="{00000000-0005-0000-0000-0000A9040000}"/>
    <cellStyle name="Comma 3 82" xfId="1213" xr:uid="{00000000-0005-0000-0000-0000AA040000}"/>
    <cellStyle name="Comma 3 83" xfId="1214" xr:uid="{00000000-0005-0000-0000-0000AB040000}"/>
    <cellStyle name="Comma 3 84" xfId="1215" xr:uid="{00000000-0005-0000-0000-0000AC040000}"/>
    <cellStyle name="Comma 3 85" xfId="1216" xr:uid="{00000000-0005-0000-0000-0000AD040000}"/>
    <cellStyle name="Comma 3 86" xfId="1217" xr:uid="{00000000-0005-0000-0000-0000AE040000}"/>
    <cellStyle name="Comma 3 87" xfId="1218" xr:uid="{00000000-0005-0000-0000-0000AF040000}"/>
    <cellStyle name="Comma 3 88" xfId="1219" xr:uid="{00000000-0005-0000-0000-0000B0040000}"/>
    <cellStyle name="Comma 3 89" xfId="1220" xr:uid="{00000000-0005-0000-0000-0000B1040000}"/>
    <cellStyle name="Comma 3 9" xfId="1221" xr:uid="{00000000-0005-0000-0000-0000B2040000}"/>
    <cellStyle name="Comma 3 9 2" xfId="1222" xr:uid="{00000000-0005-0000-0000-0000B3040000}"/>
    <cellStyle name="Comma 3 9 2 2" xfId="1223" xr:uid="{00000000-0005-0000-0000-0000B4040000}"/>
    <cellStyle name="Comma 3 9 2 3" xfId="1224" xr:uid="{00000000-0005-0000-0000-0000B5040000}"/>
    <cellStyle name="Comma 3 9 3" xfId="1225" xr:uid="{00000000-0005-0000-0000-0000B6040000}"/>
    <cellStyle name="Comma 3 90" xfId="1226" xr:uid="{00000000-0005-0000-0000-0000B7040000}"/>
    <cellStyle name="Comma 3 91" xfId="1227" xr:uid="{00000000-0005-0000-0000-0000B8040000}"/>
    <cellStyle name="Comma 3 92" xfId="1228" xr:uid="{00000000-0005-0000-0000-0000B9040000}"/>
    <cellStyle name="Comma 3 93" xfId="1229" xr:uid="{00000000-0005-0000-0000-0000BA040000}"/>
    <cellStyle name="Comma 3 94" xfId="1230" xr:uid="{00000000-0005-0000-0000-0000BB040000}"/>
    <cellStyle name="Comma 3 95" xfId="1231" xr:uid="{00000000-0005-0000-0000-0000BC040000}"/>
    <cellStyle name="Comma 3 96" xfId="1232" xr:uid="{00000000-0005-0000-0000-0000BD040000}"/>
    <cellStyle name="Comma 3 97" xfId="1233" xr:uid="{00000000-0005-0000-0000-0000BE040000}"/>
    <cellStyle name="Comma 3 98" xfId="1234" xr:uid="{00000000-0005-0000-0000-0000BF040000}"/>
    <cellStyle name="Comma 3 99" xfId="1235" xr:uid="{00000000-0005-0000-0000-0000C0040000}"/>
    <cellStyle name="Comma 30" xfId="1236" xr:uid="{00000000-0005-0000-0000-0000C1040000}"/>
    <cellStyle name="Comma 30 2" xfId="1237" xr:uid="{00000000-0005-0000-0000-0000C2040000}"/>
    <cellStyle name="Comma 31" xfId="1238" xr:uid="{00000000-0005-0000-0000-0000C3040000}"/>
    <cellStyle name="Comma 32" xfId="1239" xr:uid="{00000000-0005-0000-0000-0000C4040000}"/>
    <cellStyle name="Comma 33" xfId="1240" xr:uid="{00000000-0005-0000-0000-0000C5040000}"/>
    <cellStyle name="Comma 34" xfId="1241" xr:uid="{00000000-0005-0000-0000-0000C6040000}"/>
    <cellStyle name="Comma 35" xfId="1242" xr:uid="{00000000-0005-0000-0000-0000C7040000}"/>
    <cellStyle name="Comma 36" xfId="1243" xr:uid="{00000000-0005-0000-0000-0000C8040000}"/>
    <cellStyle name="Comma 37" xfId="1244" xr:uid="{00000000-0005-0000-0000-0000C9040000}"/>
    <cellStyle name="Comma 38" xfId="1245" xr:uid="{00000000-0005-0000-0000-0000CA040000}"/>
    <cellStyle name="Comma 39" xfId="1246" xr:uid="{00000000-0005-0000-0000-0000CB040000}"/>
    <cellStyle name="Comma 39 2" xfId="1247" xr:uid="{00000000-0005-0000-0000-0000CC040000}"/>
    <cellStyle name="Comma 4" xfId="1248" xr:uid="{00000000-0005-0000-0000-0000CD040000}"/>
    <cellStyle name="Comma 4 10" xfId="1249" xr:uid="{00000000-0005-0000-0000-0000CE040000}"/>
    <cellStyle name="Comma 4 11" xfId="1250" xr:uid="{00000000-0005-0000-0000-0000CF040000}"/>
    <cellStyle name="Comma 4 12" xfId="1251" xr:uid="{00000000-0005-0000-0000-0000D0040000}"/>
    <cellStyle name="Comma 4 13" xfId="1252" xr:uid="{00000000-0005-0000-0000-0000D1040000}"/>
    <cellStyle name="Comma 4 13 2" xfId="1253" xr:uid="{00000000-0005-0000-0000-0000D2040000}"/>
    <cellStyle name="Comma 4 13 2 2" xfId="1254" xr:uid="{00000000-0005-0000-0000-0000D3040000}"/>
    <cellStyle name="Comma 4 13 3" xfId="1255" xr:uid="{00000000-0005-0000-0000-0000D4040000}"/>
    <cellStyle name="Comma 4 13 4" xfId="1256" xr:uid="{00000000-0005-0000-0000-0000D5040000}"/>
    <cellStyle name="Comma 4 14" xfId="1257" xr:uid="{00000000-0005-0000-0000-0000D6040000}"/>
    <cellStyle name="Comma 4 15" xfId="1258" xr:uid="{00000000-0005-0000-0000-0000D7040000}"/>
    <cellStyle name="Comma 4 16" xfId="1259" xr:uid="{00000000-0005-0000-0000-0000D8040000}"/>
    <cellStyle name="Comma 4 17" xfId="1260" xr:uid="{00000000-0005-0000-0000-0000D9040000}"/>
    <cellStyle name="Comma 4 17 2" xfId="9404" xr:uid="{00000000-0005-0000-0000-0000DA040000}"/>
    <cellStyle name="Comma 4 2" xfId="1261" xr:uid="{00000000-0005-0000-0000-0000DB040000}"/>
    <cellStyle name="Comma 4 2 10" xfId="1262" xr:uid="{00000000-0005-0000-0000-0000DC040000}"/>
    <cellStyle name="Comma 4 2 10 2" xfId="1263" xr:uid="{00000000-0005-0000-0000-0000DD040000}"/>
    <cellStyle name="Comma 4 2 10 2 2" xfId="1264" xr:uid="{00000000-0005-0000-0000-0000DE040000}"/>
    <cellStyle name="Comma 4 2 10 3" xfId="1265" xr:uid="{00000000-0005-0000-0000-0000DF040000}"/>
    <cellStyle name="Comma 4 2 11" xfId="1266" xr:uid="{00000000-0005-0000-0000-0000E0040000}"/>
    <cellStyle name="Comma 4 2 11 2" xfId="1267" xr:uid="{00000000-0005-0000-0000-0000E1040000}"/>
    <cellStyle name="Comma 4 2 11 2 2" xfId="1268" xr:uid="{00000000-0005-0000-0000-0000E2040000}"/>
    <cellStyle name="Comma 4 2 11 3" xfId="1269" xr:uid="{00000000-0005-0000-0000-0000E3040000}"/>
    <cellStyle name="Comma 4 2 12" xfId="1270" xr:uid="{00000000-0005-0000-0000-0000E4040000}"/>
    <cellStyle name="Comma 4 2 12 2" xfId="1271" xr:uid="{00000000-0005-0000-0000-0000E5040000}"/>
    <cellStyle name="Comma 4 2 13" xfId="1272" xr:uid="{00000000-0005-0000-0000-0000E6040000}"/>
    <cellStyle name="Comma 4 2 13 2" xfId="1273" xr:uid="{00000000-0005-0000-0000-0000E7040000}"/>
    <cellStyle name="Comma 4 2 14" xfId="1274" xr:uid="{00000000-0005-0000-0000-0000E8040000}"/>
    <cellStyle name="Comma 4 2 2" xfId="1275" xr:uid="{00000000-0005-0000-0000-0000E9040000}"/>
    <cellStyle name="Comma 4 2 2 2" xfId="1276" xr:uid="{00000000-0005-0000-0000-0000EA040000}"/>
    <cellStyle name="Comma 4 2 2 2 2" xfId="1277" xr:uid="{00000000-0005-0000-0000-0000EB040000}"/>
    <cellStyle name="Comma 4 2 2 3" xfId="1278" xr:uid="{00000000-0005-0000-0000-0000EC040000}"/>
    <cellStyle name="Comma 4 2 3" xfId="1279" xr:uid="{00000000-0005-0000-0000-0000ED040000}"/>
    <cellStyle name="Comma 4 2 3 2" xfId="1280" xr:uid="{00000000-0005-0000-0000-0000EE040000}"/>
    <cellStyle name="Comma 4 2 3 2 2" xfId="1281" xr:uid="{00000000-0005-0000-0000-0000EF040000}"/>
    <cellStyle name="Comma 4 2 3 3" xfId="1282" xr:uid="{00000000-0005-0000-0000-0000F0040000}"/>
    <cellStyle name="Comma 4 2 4" xfId="1283" xr:uid="{00000000-0005-0000-0000-0000F1040000}"/>
    <cellStyle name="Comma 4 2 4 2" xfId="1284" xr:uid="{00000000-0005-0000-0000-0000F2040000}"/>
    <cellStyle name="Comma 4 2 4 2 2" xfId="1285" xr:uid="{00000000-0005-0000-0000-0000F3040000}"/>
    <cellStyle name="Comma 4 2 4 3" xfId="1286" xr:uid="{00000000-0005-0000-0000-0000F4040000}"/>
    <cellStyle name="Comma 4 2 5" xfId="1287" xr:uid="{00000000-0005-0000-0000-0000F5040000}"/>
    <cellStyle name="Comma 4 2 5 2" xfId="1288" xr:uid="{00000000-0005-0000-0000-0000F6040000}"/>
    <cellStyle name="Comma 4 2 5 2 2" xfId="1289" xr:uid="{00000000-0005-0000-0000-0000F7040000}"/>
    <cellStyle name="Comma 4 2 5 3" xfId="1290" xr:uid="{00000000-0005-0000-0000-0000F8040000}"/>
    <cellStyle name="Comma 4 2 6" xfId="1291" xr:uid="{00000000-0005-0000-0000-0000F9040000}"/>
    <cellStyle name="Comma 4 2 6 2" xfId="1292" xr:uid="{00000000-0005-0000-0000-0000FA040000}"/>
    <cellStyle name="Comma 4 2 6 2 2" xfId="1293" xr:uid="{00000000-0005-0000-0000-0000FB040000}"/>
    <cellStyle name="Comma 4 2 6 3" xfId="1294" xr:uid="{00000000-0005-0000-0000-0000FC040000}"/>
    <cellStyle name="Comma 4 2 7" xfId="1295" xr:uid="{00000000-0005-0000-0000-0000FD040000}"/>
    <cellStyle name="Comma 4 2 7 2" xfId="1296" xr:uid="{00000000-0005-0000-0000-0000FE040000}"/>
    <cellStyle name="Comma 4 2 7 2 2" xfId="1297" xr:uid="{00000000-0005-0000-0000-0000FF040000}"/>
    <cellStyle name="Comma 4 2 7 3" xfId="1298" xr:uid="{00000000-0005-0000-0000-000000050000}"/>
    <cellStyle name="Comma 4 2 8" xfId="1299" xr:uid="{00000000-0005-0000-0000-000001050000}"/>
    <cellStyle name="Comma 4 2 8 2" xfId="1300" xr:uid="{00000000-0005-0000-0000-000002050000}"/>
    <cellStyle name="Comma 4 2 8 2 2" xfId="1301" xr:uid="{00000000-0005-0000-0000-000003050000}"/>
    <cellStyle name="Comma 4 2 8 3" xfId="1302" xr:uid="{00000000-0005-0000-0000-000004050000}"/>
    <cellStyle name="Comma 4 2 9" xfId="1303" xr:uid="{00000000-0005-0000-0000-000005050000}"/>
    <cellStyle name="Comma 4 2 9 2" xfId="1304" xr:uid="{00000000-0005-0000-0000-000006050000}"/>
    <cellStyle name="Comma 4 2 9 2 2" xfId="1305" xr:uid="{00000000-0005-0000-0000-000007050000}"/>
    <cellStyle name="Comma 4 2 9 3" xfId="1306" xr:uid="{00000000-0005-0000-0000-000008050000}"/>
    <cellStyle name="Comma 4 3" xfId="1307" xr:uid="{00000000-0005-0000-0000-000009050000}"/>
    <cellStyle name="Comma 4 3 2" xfId="1308" xr:uid="{00000000-0005-0000-0000-00000A050000}"/>
    <cellStyle name="Comma 4 3 2 2" xfId="1309" xr:uid="{00000000-0005-0000-0000-00000B050000}"/>
    <cellStyle name="Comma 4 3 3" xfId="1310" xr:uid="{00000000-0005-0000-0000-00000C050000}"/>
    <cellStyle name="Comma 4 3 4" xfId="1311" xr:uid="{00000000-0005-0000-0000-00000D050000}"/>
    <cellStyle name="Comma 4 4" xfId="1312" xr:uid="{00000000-0005-0000-0000-00000E050000}"/>
    <cellStyle name="Comma 4 5" xfId="1313" xr:uid="{00000000-0005-0000-0000-00000F050000}"/>
    <cellStyle name="Comma 4 6" xfId="1314" xr:uid="{00000000-0005-0000-0000-000010050000}"/>
    <cellStyle name="Comma 4 7" xfId="1315" xr:uid="{00000000-0005-0000-0000-000011050000}"/>
    <cellStyle name="Comma 4 8" xfId="1316" xr:uid="{00000000-0005-0000-0000-000012050000}"/>
    <cellStyle name="Comma 4 9" xfId="1317" xr:uid="{00000000-0005-0000-0000-000013050000}"/>
    <cellStyle name="Comma 40" xfId="1318" xr:uid="{00000000-0005-0000-0000-000014050000}"/>
    <cellStyle name="Comma 41" xfId="1319" xr:uid="{00000000-0005-0000-0000-000015050000}"/>
    <cellStyle name="Comma 42" xfId="1320" xr:uid="{00000000-0005-0000-0000-000016050000}"/>
    <cellStyle name="Comma 43" xfId="1321" xr:uid="{00000000-0005-0000-0000-000017050000}"/>
    <cellStyle name="Comma 44" xfId="1322" xr:uid="{00000000-0005-0000-0000-000018050000}"/>
    <cellStyle name="Comma 45" xfId="1323" xr:uid="{00000000-0005-0000-0000-000019050000}"/>
    <cellStyle name="Comma 46" xfId="1324" xr:uid="{00000000-0005-0000-0000-00001A050000}"/>
    <cellStyle name="Comma 47" xfId="1325" xr:uid="{00000000-0005-0000-0000-00001B050000}"/>
    <cellStyle name="Comma 48" xfId="1326" xr:uid="{00000000-0005-0000-0000-00001C050000}"/>
    <cellStyle name="Comma 49" xfId="1327" xr:uid="{00000000-0005-0000-0000-00001D050000}"/>
    <cellStyle name="Comma 5" xfId="1328" xr:uid="{00000000-0005-0000-0000-00001E050000}"/>
    <cellStyle name="Comma 5 10" xfId="1329" xr:uid="{00000000-0005-0000-0000-00001F050000}"/>
    <cellStyle name="Comma 5 10 2" xfId="1330" xr:uid="{00000000-0005-0000-0000-000020050000}"/>
    <cellStyle name="Comma 5 10 2 2" xfId="1331" xr:uid="{00000000-0005-0000-0000-000021050000}"/>
    <cellStyle name="Comma 5 10 2 3" xfId="1332" xr:uid="{00000000-0005-0000-0000-000022050000}"/>
    <cellStyle name="Comma 5 10 3" xfId="1333" xr:uid="{00000000-0005-0000-0000-000023050000}"/>
    <cellStyle name="Comma 5 100" xfId="1334" xr:uid="{00000000-0005-0000-0000-000024050000}"/>
    <cellStyle name="Comma 5 101" xfId="1335" xr:uid="{00000000-0005-0000-0000-000025050000}"/>
    <cellStyle name="Comma 5 102" xfId="1336" xr:uid="{00000000-0005-0000-0000-000026050000}"/>
    <cellStyle name="Comma 5 103" xfId="1337" xr:uid="{00000000-0005-0000-0000-000027050000}"/>
    <cellStyle name="Comma 5 104" xfId="1338" xr:uid="{00000000-0005-0000-0000-000028050000}"/>
    <cellStyle name="Comma 5 105" xfId="1339" xr:uid="{00000000-0005-0000-0000-000029050000}"/>
    <cellStyle name="Comma 5 106" xfId="1340" xr:uid="{00000000-0005-0000-0000-00002A050000}"/>
    <cellStyle name="Comma 5 107" xfId="1341" xr:uid="{00000000-0005-0000-0000-00002B050000}"/>
    <cellStyle name="Comma 5 108" xfId="1342" xr:uid="{00000000-0005-0000-0000-00002C050000}"/>
    <cellStyle name="Comma 5 109" xfId="1343" xr:uid="{00000000-0005-0000-0000-00002D050000}"/>
    <cellStyle name="Comma 5 11" xfId="1344" xr:uid="{00000000-0005-0000-0000-00002E050000}"/>
    <cellStyle name="Comma 5 11 2" xfId="1345" xr:uid="{00000000-0005-0000-0000-00002F050000}"/>
    <cellStyle name="Comma 5 11 2 2" xfId="1346" xr:uid="{00000000-0005-0000-0000-000030050000}"/>
    <cellStyle name="Comma 5 11 2 3" xfId="1347" xr:uid="{00000000-0005-0000-0000-000031050000}"/>
    <cellStyle name="Comma 5 11 3" xfId="1348" xr:uid="{00000000-0005-0000-0000-000032050000}"/>
    <cellStyle name="Comma 5 110" xfId="1349" xr:uid="{00000000-0005-0000-0000-000033050000}"/>
    <cellStyle name="Comma 5 111" xfId="1350" xr:uid="{00000000-0005-0000-0000-000034050000}"/>
    <cellStyle name="Comma 5 112" xfId="1351" xr:uid="{00000000-0005-0000-0000-000035050000}"/>
    <cellStyle name="Comma 5 113" xfId="1352" xr:uid="{00000000-0005-0000-0000-000036050000}"/>
    <cellStyle name="Comma 5 114" xfId="1353" xr:uid="{00000000-0005-0000-0000-000037050000}"/>
    <cellStyle name="Comma 5 115" xfId="1354" xr:uid="{00000000-0005-0000-0000-000038050000}"/>
    <cellStyle name="Comma 5 116" xfId="1355" xr:uid="{00000000-0005-0000-0000-000039050000}"/>
    <cellStyle name="Comma 5 117" xfId="1356" xr:uid="{00000000-0005-0000-0000-00003A050000}"/>
    <cellStyle name="Comma 5 118" xfId="1357" xr:uid="{00000000-0005-0000-0000-00003B050000}"/>
    <cellStyle name="Comma 5 119" xfId="1358" xr:uid="{00000000-0005-0000-0000-00003C050000}"/>
    <cellStyle name="Comma 5 12" xfId="1359" xr:uid="{00000000-0005-0000-0000-00003D050000}"/>
    <cellStyle name="Comma 5 12 2" xfId="1360" xr:uid="{00000000-0005-0000-0000-00003E050000}"/>
    <cellStyle name="Comma 5 12 2 2" xfId="1361" xr:uid="{00000000-0005-0000-0000-00003F050000}"/>
    <cellStyle name="Comma 5 12 2 3" xfId="1362" xr:uid="{00000000-0005-0000-0000-000040050000}"/>
    <cellStyle name="Comma 5 12 3" xfId="1363" xr:uid="{00000000-0005-0000-0000-000041050000}"/>
    <cellStyle name="Comma 5 120" xfId="1364" xr:uid="{00000000-0005-0000-0000-000042050000}"/>
    <cellStyle name="Comma 5 121" xfId="1365" xr:uid="{00000000-0005-0000-0000-000043050000}"/>
    <cellStyle name="Comma 5 122" xfId="1366" xr:uid="{00000000-0005-0000-0000-000044050000}"/>
    <cellStyle name="Comma 5 123" xfId="1367" xr:uid="{00000000-0005-0000-0000-000045050000}"/>
    <cellStyle name="Comma 5 124" xfId="1368" xr:uid="{00000000-0005-0000-0000-000046050000}"/>
    <cellStyle name="Comma 5 125" xfId="1369" xr:uid="{00000000-0005-0000-0000-000047050000}"/>
    <cellStyle name="Comma 5 126" xfId="1370" xr:uid="{00000000-0005-0000-0000-000048050000}"/>
    <cellStyle name="Comma 5 127" xfId="1371" xr:uid="{00000000-0005-0000-0000-000049050000}"/>
    <cellStyle name="Comma 5 128" xfId="1372" xr:uid="{00000000-0005-0000-0000-00004A050000}"/>
    <cellStyle name="Comma 5 129" xfId="1373" xr:uid="{00000000-0005-0000-0000-00004B050000}"/>
    <cellStyle name="Comma 5 13" xfId="1374" xr:uid="{00000000-0005-0000-0000-00004C050000}"/>
    <cellStyle name="Comma 5 13 2" xfId="1375" xr:uid="{00000000-0005-0000-0000-00004D050000}"/>
    <cellStyle name="Comma 5 13 2 2" xfId="1376" xr:uid="{00000000-0005-0000-0000-00004E050000}"/>
    <cellStyle name="Comma 5 13 2 3" xfId="1377" xr:uid="{00000000-0005-0000-0000-00004F050000}"/>
    <cellStyle name="Comma 5 13 3" xfId="1378" xr:uid="{00000000-0005-0000-0000-000050050000}"/>
    <cellStyle name="Comma 5 13 3 2" xfId="1379" xr:uid="{00000000-0005-0000-0000-000051050000}"/>
    <cellStyle name="Comma 5 130" xfId="1380" xr:uid="{00000000-0005-0000-0000-000052050000}"/>
    <cellStyle name="Comma 5 131" xfId="1381" xr:uid="{00000000-0005-0000-0000-000053050000}"/>
    <cellStyle name="Comma 5 132" xfId="1382" xr:uid="{00000000-0005-0000-0000-000054050000}"/>
    <cellStyle name="Comma 5 133" xfId="1383" xr:uid="{00000000-0005-0000-0000-000055050000}"/>
    <cellStyle name="Comma 5 134" xfId="1384" xr:uid="{00000000-0005-0000-0000-000056050000}"/>
    <cellStyle name="Comma 5 135" xfId="1385" xr:uid="{00000000-0005-0000-0000-000057050000}"/>
    <cellStyle name="Comma 5 136" xfId="1386" xr:uid="{00000000-0005-0000-0000-000058050000}"/>
    <cellStyle name="Comma 5 137" xfId="1387" xr:uid="{00000000-0005-0000-0000-000059050000}"/>
    <cellStyle name="Comma 5 14" xfId="1388" xr:uid="{00000000-0005-0000-0000-00005A050000}"/>
    <cellStyle name="Comma 5 14 2" xfId="1389" xr:uid="{00000000-0005-0000-0000-00005B050000}"/>
    <cellStyle name="Comma 5 14 3" xfId="1390" xr:uid="{00000000-0005-0000-0000-00005C050000}"/>
    <cellStyle name="Comma 5 14 4" xfId="1391" xr:uid="{00000000-0005-0000-0000-00005D050000}"/>
    <cellStyle name="Comma 5 15" xfId="1392" xr:uid="{00000000-0005-0000-0000-00005E050000}"/>
    <cellStyle name="Comma 5 15 2" xfId="1393" xr:uid="{00000000-0005-0000-0000-00005F050000}"/>
    <cellStyle name="Comma 5 16" xfId="1394" xr:uid="{00000000-0005-0000-0000-000060050000}"/>
    <cellStyle name="Comma 5 16 2" xfId="1395" xr:uid="{00000000-0005-0000-0000-000061050000}"/>
    <cellStyle name="Comma 5 17" xfId="1396" xr:uid="{00000000-0005-0000-0000-000062050000}"/>
    <cellStyle name="Comma 5 17 2" xfId="1397" xr:uid="{00000000-0005-0000-0000-000063050000}"/>
    <cellStyle name="Comma 5 18" xfId="1398" xr:uid="{00000000-0005-0000-0000-000064050000}"/>
    <cellStyle name="Comma 5 18 2" xfId="1399" xr:uid="{00000000-0005-0000-0000-000065050000}"/>
    <cellStyle name="Comma 5 19" xfId="1400" xr:uid="{00000000-0005-0000-0000-000066050000}"/>
    <cellStyle name="Comma 5 19 2" xfId="1401" xr:uid="{00000000-0005-0000-0000-000067050000}"/>
    <cellStyle name="Comma 5 2" xfId="1402" xr:uid="{00000000-0005-0000-0000-000068050000}"/>
    <cellStyle name="Comma 5 2 10" xfId="1403" xr:uid="{00000000-0005-0000-0000-000069050000}"/>
    <cellStyle name="Comma 5 2 10 2" xfId="1404" xr:uid="{00000000-0005-0000-0000-00006A050000}"/>
    <cellStyle name="Comma 5 2 11" xfId="1405" xr:uid="{00000000-0005-0000-0000-00006B050000}"/>
    <cellStyle name="Comma 5 2 11 2" xfId="1406" xr:uid="{00000000-0005-0000-0000-00006C050000}"/>
    <cellStyle name="Comma 5 2 12" xfId="1407" xr:uid="{00000000-0005-0000-0000-00006D050000}"/>
    <cellStyle name="Comma 5 2 13" xfId="1408" xr:uid="{00000000-0005-0000-0000-00006E050000}"/>
    <cellStyle name="Comma 5 2 14" xfId="1409" xr:uid="{00000000-0005-0000-0000-00006F050000}"/>
    <cellStyle name="Comma 5 2 14 2" xfId="1410" xr:uid="{00000000-0005-0000-0000-000070050000}"/>
    <cellStyle name="Comma 5 2 15" xfId="1411" xr:uid="{00000000-0005-0000-0000-000071050000}"/>
    <cellStyle name="Comma 5 2 2" xfId="1412" xr:uid="{00000000-0005-0000-0000-000072050000}"/>
    <cellStyle name="Comma 5 2 2 10" xfId="1413" xr:uid="{00000000-0005-0000-0000-000073050000}"/>
    <cellStyle name="Comma 5 2 2 10 2" xfId="1414" xr:uid="{00000000-0005-0000-0000-000074050000}"/>
    <cellStyle name="Comma 5 2 2 10 2 2" xfId="1415" xr:uid="{00000000-0005-0000-0000-000075050000}"/>
    <cellStyle name="Comma 5 2 2 10 3" xfId="1416" xr:uid="{00000000-0005-0000-0000-000076050000}"/>
    <cellStyle name="Comma 5 2 2 11" xfId="1417" xr:uid="{00000000-0005-0000-0000-000077050000}"/>
    <cellStyle name="Comma 5 2 2 11 2" xfId="1418" xr:uid="{00000000-0005-0000-0000-000078050000}"/>
    <cellStyle name="Comma 5 2 2 11 2 2" xfId="1419" xr:uid="{00000000-0005-0000-0000-000079050000}"/>
    <cellStyle name="Comma 5 2 2 11 3" xfId="1420" xr:uid="{00000000-0005-0000-0000-00007A050000}"/>
    <cellStyle name="Comma 5 2 2 12" xfId="1421" xr:uid="{00000000-0005-0000-0000-00007B050000}"/>
    <cellStyle name="Comma 5 2 2 12 2" xfId="1422" xr:uid="{00000000-0005-0000-0000-00007C050000}"/>
    <cellStyle name="Comma 5 2 2 12 2 2" xfId="1423" xr:uid="{00000000-0005-0000-0000-00007D050000}"/>
    <cellStyle name="Comma 5 2 2 12 3" xfId="1424" xr:uid="{00000000-0005-0000-0000-00007E050000}"/>
    <cellStyle name="Comma 5 2 2 12 4" xfId="1425" xr:uid="{00000000-0005-0000-0000-00007F050000}"/>
    <cellStyle name="Comma 5 2 2 13" xfId="1426" xr:uid="{00000000-0005-0000-0000-000080050000}"/>
    <cellStyle name="Comma 5 2 2 13 2" xfId="1427" xr:uid="{00000000-0005-0000-0000-000081050000}"/>
    <cellStyle name="Comma 5 2 2 13 2 2" xfId="1428" xr:uid="{00000000-0005-0000-0000-000082050000}"/>
    <cellStyle name="Comma 5 2 2 13 3" xfId="1429" xr:uid="{00000000-0005-0000-0000-000083050000}"/>
    <cellStyle name="Comma 5 2 2 14" xfId="1430" xr:uid="{00000000-0005-0000-0000-000084050000}"/>
    <cellStyle name="Comma 5 2 2 15" xfId="1431" xr:uid="{00000000-0005-0000-0000-000085050000}"/>
    <cellStyle name="Comma 5 2 2 2" xfId="1432" xr:uid="{00000000-0005-0000-0000-000086050000}"/>
    <cellStyle name="Comma 5 2 2 2 2" xfId="1433" xr:uid="{00000000-0005-0000-0000-000087050000}"/>
    <cellStyle name="Comma 5 2 2 2 2 2" xfId="1434" xr:uid="{00000000-0005-0000-0000-000088050000}"/>
    <cellStyle name="Comma 5 2 2 2 3" xfId="1435" xr:uid="{00000000-0005-0000-0000-000089050000}"/>
    <cellStyle name="Comma 5 2 2 3" xfId="1436" xr:uid="{00000000-0005-0000-0000-00008A050000}"/>
    <cellStyle name="Comma 5 2 2 3 2" xfId="1437" xr:uid="{00000000-0005-0000-0000-00008B050000}"/>
    <cellStyle name="Comma 5 2 2 3 2 2" xfId="1438" xr:uid="{00000000-0005-0000-0000-00008C050000}"/>
    <cellStyle name="Comma 5 2 2 3 3" xfId="1439" xr:uid="{00000000-0005-0000-0000-00008D050000}"/>
    <cellStyle name="Comma 5 2 2 4" xfId="1440" xr:uid="{00000000-0005-0000-0000-00008E050000}"/>
    <cellStyle name="Comma 5 2 2 4 2" xfId="1441" xr:uid="{00000000-0005-0000-0000-00008F050000}"/>
    <cellStyle name="Comma 5 2 2 4 2 2" xfId="1442" xr:uid="{00000000-0005-0000-0000-000090050000}"/>
    <cellStyle name="Comma 5 2 2 4 3" xfId="1443" xr:uid="{00000000-0005-0000-0000-000091050000}"/>
    <cellStyle name="Comma 5 2 2 5" xfId="1444" xr:uid="{00000000-0005-0000-0000-000092050000}"/>
    <cellStyle name="Comma 5 2 2 5 2" xfId="1445" xr:uid="{00000000-0005-0000-0000-000093050000}"/>
    <cellStyle name="Comma 5 2 2 5 2 2" xfId="1446" xr:uid="{00000000-0005-0000-0000-000094050000}"/>
    <cellStyle name="Comma 5 2 2 5 3" xfId="1447" xr:uid="{00000000-0005-0000-0000-000095050000}"/>
    <cellStyle name="Comma 5 2 2 6" xfId="1448" xr:uid="{00000000-0005-0000-0000-000096050000}"/>
    <cellStyle name="Comma 5 2 2 6 2" xfId="1449" xr:uid="{00000000-0005-0000-0000-000097050000}"/>
    <cellStyle name="Comma 5 2 2 6 2 2" xfId="1450" xr:uid="{00000000-0005-0000-0000-000098050000}"/>
    <cellStyle name="Comma 5 2 2 6 3" xfId="1451" xr:uid="{00000000-0005-0000-0000-000099050000}"/>
    <cellStyle name="Comma 5 2 2 7" xfId="1452" xr:uid="{00000000-0005-0000-0000-00009A050000}"/>
    <cellStyle name="Comma 5 2 2 7 2" xfId="1453" xr:uid="{00000000-0005-0000-0000-00009B050000}"/>
    <cellStyle name="Comma 5 2 2 7 2 2" xfId="1454" xr:uid="{00000000-0005-0000-0000-00009C050000}"/>
    <cellStyle name="Comma 5 2 2 7 3" xfId="1455" xr:uid="{00000000-0005-0000-0000-00009D050000}"/>
    <cellStyle name="Comma 5 2 2 8" xfId="1456" xr:uid="{00000000-0005-0000-0000-00009E050000}"/>
    <cellStyle name="Comma 5 2 2 8 2" xfId="1457" xr:uid="{00000000-0005-0000-0000-00009F050000}"/>
    <cellStyle name="Comma 5 2 2 8 2 2" xfId="1458" xr:uid="{00000000-0005-0000-0000-0000A0050000}"/>
    <cellStyle name="Comma 5 2 2 8 3" xfId="1459" xr:uid="{00000000-0005-0000-0000-0000A1050000}"/>
    <cellStyle name="Comma 5 2 2 9" xfId="1460" xr:uid="{00000000-0005-0000-0000-0000A2050000}"/>
    <cellStyle name="Comma 5 2 2 9 2" xfId="1461" xr:uid="{00000000-0005-0000-0000-0000A3050000}"/>
    <cellStyle name="Comma 5 2 2 9 2 2" xfId="1462" xr:uid="{00000000-0005-0000-0000-0000A4050000}"/>
    <cellStyle name="Comma 5 2 2 9 3" xfId="1463" xr:uid="{00000000-0005-0000-0000-0000A5050000}"/>
    <cellStyle name="Comma 5 2 3" xfId="1464" xr:uid="{00000000-0005-0000-0000-0000A6050000}"/>
    <cellStyle name="Comma 5 2 3 2" xfId="1465" xr:uid="{00000000-0005-0000-0000-0000A7050000}"/>
    <cellStyle name="Comma 5 2 4" xfId="1466" xr:uid="{00000000-0005-0000-0000-0000A8050000}"/>
    <cellStyle name="Comma 5 2 4 2" xfId="1467" xr:uid="{00000000-0005-0000-0000-0000A9050000}"/>
    <cellStyle name="Comma 5 2 5" xfId="1468" xr:uid="{00000000-0005-0000-0000-0000AA050000}"/>
    <cellStyle name="Comma 5 2 5 2" xfId="1469" xr:uid="{00000000-0005-0000-0000-0000AB050000}"/>
    <cellStyle name="Comma 5 2 6" xfId="1470" xr:uid="{00000000-0005-0000-0000-0000AC050000}"/>
    <cellStyle name="Comma 5 2 6 2" xfId="1471" xr:uid="{00000000-0005-0000-0000-0000AD050000}"/>
    <cellStyle name="Comma 5 2 7" xfId="1472" xr:uid="{00000000-0005-0000-0000-0000AE050000}"/>
    <cellStyle name="Comma 5 2 7 2" xfId="1473" xr:uid="{00000000-0005-0000-0000-0000AF050000}"/>
    <cellStyle name="Comma 5 2 8" xfId="1474" xr:uid="{00000000-0005-0000-0000-0000B0050000}"/>
    <cellStyle name="Comma 5 2 8 2" xfId="1475" xr:uid="{00000000-0005-0000-0000-0000B1050000}"/>
    <cellStyle name="Comma 5 2 9" xfId="1476" xr:uid="{00000000-0005-0000-0000-0000B2050000}"/>
    <cellStyle name="Comma 5 2 9 2" xfId="1477" xr:uid="{00000000-0005-0000-0000-0000B3050000}"/>
    <cellStyle name="Comma 5 20" xfId="1478" xr:uid="{00000000-0005-0000-0000-0000B4050000}"/>
    <cellStyle name="Comma 5 20 2" xfId="1479" xr:uid="{00000000-0005-0000-0000-0000B5050000}"/>
    <cellStyle name="Comma 5 21" xfId="1480" xr:uid="{00000000-0005-0000-0000-0000B6050000}"/>
    <cellStyle name="Comma 5 21 2" xfId="1481" xr:uid="{00000000-0005-0000-0000-0000B7050000}"/>
    <cellStyle name="Comma 5 22" xfId="1482" xr:uid="{00000000-0005-0000-0000-0000B8050000}"/>
    <cellStyle name="Comma 5 22 2" xfId="1483" xr:uid="{00000000-0005-0000-0000-0000B9050000}"/>
    <cellStyle name="Comma 5 23" xfId="1484" xr:uid="{00000000-0005-0000-0000-0000BA050000}"/>
    <cellStyle name="Comma 5 23 2" xfId="1485" xr:uid="{00000000-0005-0000-0000-0000BB050000}"/>
    <cellStyle name="Comma 5 24" xfId="1486" xr:uid="{00000000-0005-0000-0000-0000BC050000}"/>
    <cellStyle name="Comma 5 24 2" xfId="1487" xr:uid="{00000000-0005-0000-0000-0000BD050000}"/>
    <cellStyle name="Comma 5 25" xfId="1488" xr:uid="{00000000-0005-0000-0000-0000BE050000}"/>
    <cellStyle name="Comma 5 25 2" xfId="1489" xr:uid="{00000000-0005-0000-0000-0000BF050000}"/>
    <cellStyle name="Comma 5 26" xfId="1490" xr:uid="{00000000-0005-0000-0000-0000C0050000}"/>
    <cellStyle name="Comma 5 26 2" xfId="1491" xr:uid="{00000000-0005-0000-0000-0000C1050000}"/>
    <cellStyle name="Comma 5 27" xfId="1492" xr:uid="{00000000-0005-0000-0000-0000C2050000}"/>
    <cellStyle name="Comma 5 27 2" xfId="1493" xr:uid="{00000000-0005-0000-0000-0000C3050000}"/>
    <cellStyle name="Comma 5 28" xfId="1494" xr:uid="{00000000-0005-0000-0000-0000C4050000}"/>
    <cellStyle name="Comma 5 28 2" xfId="1495" xr:uid="{00000000-0005-0000-0000-0000C5050000}"/>
    <cellStyle name="Comma 5 29" xfId="1496" xr:uid="{00000000-0005-0000-0000-0000C6050000}"/>
    <cellStyle name="Comma 5 29 2" xfId="1497" xr:uid="{00000000-0005-0000-0000-0000C7050000}"/>
    <cellStyle name="Comma 5 3" xfId="1498" xr:uid="{00000000-0005-0000-0000-0000C8050000}"/>
    <cellStyle name="Comma 5 3 10" xfId="1499" xr:uid="{00000000-0005-0000-0000-0000C9050000}"/>
    <cellStyle name="Comma 5 3 10 2" xfId="1500" xr:uid="{00000000-0005-0000-0000-0000CA050000}"/>
    <cellStyle name="Comma 5 3 10 2 2" xfId="1501" xr:uid="{00000000-0005-0000-0000-0000CB050000}"/>
    <cellStyle name="Comma 5 3 10 3" xfId="1502" xr:uid="{00000000-0005-0000-0000-0000CC050000}"/>
    <cellStyle name="Comma 5 3 11" xfId="1503" xr:uid="{00000000-0005-0000-0000-0000CD050000}"/>
    <cellStyle name="Comma 5 3 11 2" xfId="1504" xr:uid="{00000000-0005-0000-0000-0000CE050000}"/>
    <cellStyle name="Comma 5 3 11 2 2" xfId="1505" xr:uid="{00000000-0005-0000-0000-0000CF050000}"/>
    <cellStyle name="Comma 5 3 11 3" xfId="1506" xr:uid="{00000000-0005-0000-0000-0000D0050000}"/>
    <cellStyle name="Comma 5 3 12" xfId="1507" xr:uid="{00000000-0005-0000-0000-0000D1050000}"/>
    <cellStyle name="Comma 5 3 12 2" xfId="1508" xr:uid="{00000000-0005-0000-0000-0000D2050000}"/>
    <cellStyle name="Comma 5 3 12 3" xfId="1509" xr:uid="{00000000-0005-0000-0000-0000D3050000}"/>
    <cellStyle name="Comma 5 3 13" xfId="1510" xr:uid="{00000000-0005-0000-0000-0000D4050000}"/>
    <cellStyle name="Comma 5 3 13 2" xfId="1511" xr:uid="{00000000-0005-0000-0000-0000D5050000}"/>
    <cellStyle name="Comma 5 3 13 3" xfId="1512" xr:uid="{00000000-0005-0000-0000-0000D6050000}"/>
    <cellStyle name="Comma 5 3 14" xfId="1513" xr:uid="{00000000-0005-0000-0000-0000D7050000}"/>
    <cellStyle name="Comma 5 3 15" xfId="1514" xr:uid="{00000000-0005-0000-0000-0000D8050000}"/>
    <cellStyle name="Comma 5 3 2" xfId="1515" xr:uid="{00000000-0005-0000-0000-0000D9050000}"/>
    <cellStyle name="Comma 5 3 2 2" xfId="1516" xr:uid="{00000000-0005-0000-0000-0000DA050000}"/>
    <cellStyle name="Comma 5 3 2 2 2" xfId="1517" xr:uid="{00000000-0005-0000-0000-0000DB050000}"/>
    <cellStyle name="Comma 5 3 2 3" xfId="1518" xr:uid="{00000000-0005-0000-0000-0000DC050000}"/>
    <cellStyle name="Comma 5 3 3" xfId="1519" xr:uid="{00000000-0005-0000-0000-0000DD050000}"/>
    <cellStyle name="Comma 5 3 3 2" xfId="1520" xr:uid="{00000000-0005-0000-0000-0000DE050000}"/>
    <cellStyle name="Comma 5 3 3 2 2" xfId="1521" xr:uid="{00000000-0005-0000-0000-0000DF050000}"/>
    <cellStyle name="Comma 5 3 3 3" xfId="1522" xr:uid="{00000000-0005-0000-0000-0000E0050000}"/>
    <cellStyle name="Comma 5 3 4" xfId="1523" xr:uid="{00000000-0005-0000-0000-0000E1050000}"/>
    <cellStyle name="Comma 5 3 4 2" xfId="1524" xr:uid="{00000000-0005-0000-0000-0000E2050000}"/>
    <cellStyle name="Comma 5 3 4 2 2" xfId="1525" xr:uid="{00000000-0005-0000-0000-0000E3050000}"/>
    <cellStyle name="Comma 5 3 4 3" xfId="1526" xr:uid="{00000000-0005-0000-0000-0000E4050000}"/>
    <cellStyle name="Comma 5 3 5" xfId="1527" xr:uid="{00000000-0005-0000-0000-0000E5050000}"/>
    <cellStyle name="Comma 5 3 5 2" xfId="1528" xr:uid="{00000000-0005-0000-0000-0000E6050000}"/>
    <cellStyle name="Comma 5 3 5 2 2" xfId="1529" xr:uid="{00000000-0005-0000-0000-0000E7050000}"/>
    <cellStyle name="Comma 5 3 5 3" xfId="1530" xr:uid="{00000000-0005-0000-0000-0000E8050000}"/>
    <cellStyle name="Comma 5 3 6" xfId="1531" xr:uid="{00000000-0005-0000-0000-0000E9050000}"/>
    <cellStyle name="Comma 5 3 6 2" xfId="1532" xr:uid="{00000000-0005-0000-0000-0000EA050000}"/>
    <cellStyle name="Comma 5 3 6 2 2" xfId="1533" xr:uid="{00000000-0005-0000-0000-0000EB050000}"/>
    <cellStyle name="Comma 5 3 6 3" xfId="1534" xr:uid="{00000000-0005-0000-0000-0000EC050000}"/>
    <cellStyle name="Comma 5 3 7" xfId="1535" xr:uid="{00000000-0005-0000-0000-0000ED050000}"/>
    <cellStyle name="Comma 5 3 7 2" xfId="1536" xr:uid="{00000000-0005-0000-0000-0000EE050000}"/>
    <cellStyle name="Comma 5 3 7 2 2" xfId="1537" xr:uid="{00000000-0005-0000-0000-0000EF050000}"/>
    <cellStyle name="Comma 5 3 7 3" xfId="1538" xr:uid="{00000000-0005-0000-0000-0000F0050000}"/>
    <cellStyle name="Comma 5 3 8" xfId="1539" xr:uid="{00000000-0005-0000-0000-0000F1050000}"/>
    <cellStyle name="Comma 5 3 8 2" xfId="1540" xr:uid="{00000000-0005-0000-0000-0000F2050000}"/>
    <cellStyle name="Comma 5 3 8 2 2" xfId="1541" xr:uid="{00000000-0005-0000-0000-0000F3050000}"/>
    <cellStyle name="Comma 5 3 8 3" xfId="1542" xr:uid="{00000000-0005-0000-0000-0000F4050000}"/>
    <cellStyle name="Comma 5 3 9" xfId="1543" xr:uid="{00000000-0005-0000-0000-0000F5050000}"/>
    <cellStyle name="Comma 5 3 9 2" xfId="1544" xr:uid="{00000000-0005-0000-0000-0000F6050000}"/>
    <cellStyle name="Comma 5 3 9 2 2" xfId="1545" xr:uid="{00000000-0005-0000-0000-0000F7050000}"/>
    <cellStyle name="Comma 5 3 9 3" xfId="1546" xr:uid="{00000000-0005-0000-0000-0000F8050000}"/>
    <cellStyle name="Comma 5 30" xfId="1547" xr:uid="{00000000-0005-0000-0000-0000F9050000}"/>
    <cellStyle name="Comma 5 30 2" xfId="1548" xr:uid="{00000000-0005-0000-0000-0000FA050000}"/>
    <cellStyle name="Comma 5 31" xfId="1549" xr:uid="{00000000-0005-0000-0000-0000FB050000}"/>
    <cellStyle name="Comma 5 31 2" xfId="1550" xr:uid="{00000000-0005-0000-0000-0000FC050000}"/>
    <cellStyle name="Comma 5 32" xfId="1551" xr:uid="{00000000-0005-0000-0000-0000FD050000}"/>
    <cellStyle name="Comma 5 32 2" xfId="1552" xr:uid="{00000000-0005-0000-0000-0000FE050000}"/>
    <cellStyle name="Comma 5 33" xfId="1553" xr:uid="{00000000-0005-0000-0000-0000FF050000}"/>
    <cellStyle name="Comma 5 33 2" xfId="1554" xr:uid="{00000000-0005-0000-0000-000000060000}"/>
    <cellStyle name="Comma 5 34" xfId="1555" xr:uid="{00000000-0005-0000-0000-000001060000}"/>
    <cellStyle name="Comma 5 34 2" xfId="1556" xr:uid="{00000000-0005-0000-0000-000002060000}"/>
    <cellStyle name="Comma 5 35" xfId="1557" xr:uid="{00000000-0005-0000-0000-000003060000}"/>
    <cellStyle name="Comma 5 35 2" xfId="1558" xr:uid="{00000000-0005-0000-0000-000004060000}"/>
    <cellStyle name="Comma 5 36" xfId="1559" xr:uid="{00000000-0005-0000-0000-000005060000}"/>
    <cellStyle name="Comma 5 36 2" xfId="1560" xr:uid="{00000000-0005-0000-0000-000006060000}"/>
    <cellStyle name="Comma 5 37" xfId="1561" xr:uid="{00000000-0005-0000-0000-000007060000}"/>
    <cellStyle name="Comma 5 37 2" xfId="1562" xr:uid="{00000000-0005-0000-0000-000008060000}"/>
    <cellStyle name="Comma 5 38" xfId="1563" xr:uid="{00000000-0005-0000-0000-000009060000}"/>
    <cellStyle name="Comma 5 38 2" xfId="1564" xr:uid="{00000000-0005-0000-0000-00000A060000}"/>
    <cellStyle name="Comma 5 39" xfId="1565" xr:uid="{00000000-0005-0000-0000-00000B060000}"/>
    <cellStyle name="Comma 5 39 2" xfId="1566" xr:uid="{00000000-0005-0000-0000-00000C060000}"/>
    <cellStyle name="Comma 5 4" xfId="1567" xr:uid="{00000000-0005-0000-0000-00000D060000}"/>
    <cellStyle name="Comma 5 4 2" xfId="1568" xr:uid="{00000000-0005-0000-0000-00000E060000}"/>
    <cellStyle name="Comma 5 4 2 2" xfId="1569" xr:uid="{00000000-0005-0000-0000-00000F060000}"/>
    <cellStyle name="Comma 5 4 2 3" xfId="1570" xr:uid="{00000000-0005-0000-0000-000010060000}"/>
    <cellStyle name="Comma 5 4 3" xfId="1571" xr:uid="{00000000-0005-0000-0000-000011060000}"/>
    <cellStyle name="Comma 5 40" xfId="1572" xr:uid="{00000000-0005-0000-0000-000012060000}"/>
    <cellStyle name="Comma 5 40 2" xfId="1573" xr:uid="{00000000-0005-0000-0000-000013060000}"/>
    <cellStyle name="Comma 5 41" xfId="1574" xr:uid="{00000000-0005-0000-0000-000014060000}"/>
    <cellStyle name="Comma 5 41 2" xfId="1575" xr:uid="{00000000-0005-0000-0000-000015060000}"/>
    <cellStyle name="Comma 5 42" xfId="1576" xr:uid="{00000000-0005-0000-0000-000016060000}"/>
    <cellStyle name="Comma 5 42 2" xfId="1577" xr:uid="{00000000-0005-0000-0000-000017060000}"/>
    <cellStyle name="Comma 5 43" xfId="1578" xr:uid="{00000000-0005-0000-0000-000018060000}"/>
    <cellStyle name="Comma 5 43 2" xfId="1579" xr:uid="{00000000-0005-0000-0000-000019060000}"/>
    <cellStyle name="Comma 5 44" xfId="1580" xr:uid="{00000000-0005-0000-0000-00001A060000}"/>
    <cellStyle name="Comma 5 44 2" xfId="1581" xr:uid="{00000000-0005-0000-0000-00001B060000}"/>
    <cellStyle name="Comma 5 45" xfId="1582" xr:uid="{00000000-0005-0000-0000-00001C060000}"/>
    <cellStyle name="Comma 5 45 2" xfId="1583" xr:uid="{00000000-0005-0000-0000-00001D060000}"/>
    <cellStyle name="Comma 5 46" xfId="1584" xr:uid="{00000000-0005-0000-0000-00001E060000}"/>
    <cellStyle name="Comma 5 46 2" xfId="1585" xr:uid="{00000000-0005-0000-0000-00001F060000}"/>
    <cellStyle name="Comma 5 47" xfId="1586" xr:uid="{00000000-0005-0000-0000-000020060000}"/>
    <cellStyle name="Comma 5 47 2" xfId="1587" xr:uid="{00000000-0005-0000-0000-000021060000}"/>
    <cellStyle name="Comma 5 48" xfId="1588" xr:uid="{00000000-0005-0000-0000-000022060000}"/>
    <cellStyle name="Comma 5 48 2" xfId="1589" xr:uid="{00000000-0005-0000-0000-000023060000}"/>
    <cellStyle name="Comma 5 49" xfId="1590" xr:uid="{00000000-0005-0000-0000-000024060000}"/>
    <cellStyle name="Comma 5 49 2" xfId="1591" xr:uid="{00000000-0005-0000-0000-000025060000}"/>
    <cellStyle name="Comma 5 5" xfId="1592" xr:uid="{00000000-0005-0000-0000-000026060000}"/>
    <cellStyle name="Comma 5 5 2" xfId="1593" xr:uid="{00000000-0005-0000-0000-000027060000}"/>
    <cellStyle name="Comma 5 5 2 2" xfId="1594" xr:uid="{00000000-0005-0000-0000-000028060000}"/>
    <cellStyle name="Comma 5 5 2 3" xfId="1595" xr:uid="{00000000-0005-0000-0000-000029060000}"/>
    <cellStyle name="Comma 5 5 3" xfId="1596" xr:uid="{00000000-0005-0000-0000-00002A060000}"/>
    <cellStyle name="Comma 5 50" xfId="1597" xr:uid="{00000000-0005-0000-0000-00002B060000}"/>
    <cellStyle name="Comma 5 50 2" xfId="1598" xr:uid="{00000000-0005-0000-0000-00002C060000}"/>
    <cellStyle name="Comma 5 51" xfId="1599" xr:uid="{00000000-0005-0000-0000-00002D060000}"/>
    <cellStyle name="Comma 5 51 2" xfId="1600" xr:uid="{00000000-0005-0000-0000-00002E060000}"/>
    <cellStyle name="Comma 5 52" xfId="1601" xr:uid="{00000000-0005-0000-0000-00002F060000}"/>
    <cellStyle name="Comma 5 52 2" xfId="1602" xr:uid="{00000000-0005-0000-0000-000030060000}"/>
    <cellStyle name="Comma 5 53" xfId="1603" xr:uid="{00000000-0005-0000-0000-000031060000}"/>
    <cellStyle name="Comma 5 53 2" xfId="1604" xr:uid="{00000000-0005-0000-0000-000032060000}"/>
    <cellStyle name="Comma 5 54" xfId="1605" xr:uid="{00000000-0005-0000-0000-000033060000}"/>
    <cellStyle name="Comma 5 54 2" xfId="1606" xr:uid="{00000000-0005-0000-0000-000034060000}"/>
    <cellStyle name="Comma 5 55" xfId="1607" xr:uid="{00000000-0005-0000-0000-000035060000}"/>
    <cellStyle name="Comma 5 55 2" xfId="1608" xr:uid="{00000000-0005-0000-0000-000036060000}"/>
    <cellStyle name="Comma 5 56" xfId="1609" xr:uid="{00000000-0005-0000-0000-000037060000}"/>
    <cellStyle name="Comma 5 56 2" xfId="1610" xr:uid="{00000000-0005-0000-0000-000038060000}"/>
    <cellStyle name="Comma 5 57" xfId="1611" xr:uid="{00000000-0005-0000-0000-000039060000}"/>
    <cellStyle name="Comma 5 57 2" xfId="1612" xr:uid="{00000000-0005-0000-0000-00003A060000}"/>
    <cellStyle name="Comma 5 58" xfId="1613" xr:uid="{00000000-0005-0000-0000-00003B060000}"/>
    <cellStyle name="Comma 5 58 2" xfId="1614" xr:uid="{00000000-0005-0000-0000-00003C060000}"/>
    <cellStyle name="Comma 5 59" xfId="1615" xr:uid="{00000000-0005-0000-0000-00003D060000}"/>
    <cellStyle name="Comma 5 59 2" xfId="1616" xr:uid="{00000000-0005-0000-0000-00003E060000}"/>
    <cellStyle name="Comma 5 6" xfId="1617" xr:uid="{00000000-0005-0000-0000-00003F060000}"/>
    <cellStyle name="Comma 5 6 2" xfId="1618" xr:uid="{00000000-0005-0000-0000-000040060000}"/>
    <cellStyle name="Comma 5 6 2 2" xfId="1619" xr:uid="{00000000-0005-0000-0000-000041060000}"/>
    <cellStyle name="Comma 5 6 2 3" xfId="1620" xr:uid="{00000000-0005-0000-0000-000042060000}"/>
    <cellStyle name="Comma 5 6 3" xfId="1621" xr:uid="{00000000-0005-0000-0000-000043060000}"/>
    <cellStyle name="Comma 5 60" xfId="1622" xr:uid="{00000000-0005-0000-0000-000044060000}"/>
    <cellStyle name="Comma 5 60 2" xfId="1623" xr:uid="{00000000-0005-0000-0000-000045060000}"/>
    <cellStyle name="Comma 5 61" xfId="1624" xr:uid="{00000000-0005-0000-0000-000046060000}"/>
    <cellStyle name="Comma 5 61 2" xfId="1625" xr:uid="{00000000-0005-0000-0000-000047060000}"/>
    <cellStyle name="Comma 5 62" xfId="1626" xr:uid="{00000000-0005-0000-0000-000048060000}"/>
    <cellStyle name="Comma 5 63" xfId="1627" xr:uid="{00000000-0005-0000-0000-000049060000}"/>
    <cellStyle name="Comma 5 64" xfId="1628" xr:uid="{00000000-0005-0000-0000-00004A060000}"/>
    <cellStyle name="Comma 5 65" xfId="1629" xr:uid="{00000000-0005-0000-0000-00004B060000}"/>
    <cellStyle name="Comma 5 66" xfId="1630" xr:uid="{00000000-0005-0000-0000-00004C060000}"/>
    <cellStyle name="Comma 5 67" xfId="1631" xr:uid="{00000000-0005-0000-0000-00004D060000}"/>
    <cellStyle name="Comma 5 68" xfId="1632" xr:uid="{00000000-0005-0000-0000-00004E060000}"/>
    <cellStyle name="Comma 5 69" xfId="1633" xr:uid="{00000000-0005-0000-0000-00004F060000}"/>
    <cellStyle name="Comma 5 7" xfId="1634" xr:uid="{00000000-0005-0000-0000-000050060000}"/>
    <cellStyle name="Comma 5 7 2" xfId="1635" xr:uid="{00000000-0005-0000-0000-000051060000}"/>
    <cellStyle name="Comma 5 7 2 2" xfId="1636" xr:uid="{00000000-0005-0000-0000-000052060000}"/>
    <cellStyle name="Comma 5 7 2 3" xfId="1637" xr:uid="{00000000-0005-0000-0000-000053060000}"/>
    <cellStyle name="Comma 5 7 3" xfId="1638" xr:uid="{00000000-0005-0000-0000-000054060000}"/>
    <cellStyle name="Comma 5 70" xfId="1639" xr:uid="{00000000-0005-0000-0000-000055060000}"/>
    <cellStyle name="Comma 5 71" xfId="1640" xr:uid="{00000000-0005-0000-0000-000056060000}"/>
    <cellStyle name="Comma 5 72" xfId="1641" xr:uid="{00000000-0005-0000-0000-000057060000}"/>
    <cellStyle name="Comma 5 73" xfId="1642" xr:uid="{00000000-0005-0000-0000-000058060000}"/>
    <cellStyle name="Comma 5 74" xfId="1643" xr:uid="{00000000-0005-0000-0000-000059060000}"/>
    <cellStyle name="Comma 5 75" xfId="1644" xr:uid="{00000000-0005-0000-0000-00005A060000}"/>
    <cellStyle name="Comma 5 76" xfId="1645" xr:uid="{00000000-0005-0000-0000-00005B060000}"/>
    <cellStyle name="Comma 5 77" xfId="1646" xr:uid="{00000000-0005-0000-0000-00005C060000}"/>
    <cellStyle name="Comma 5 78" xfId="1647" xr:uid="{00000000-0005-0000-0000-00005D060000}"/>
    <cellStyle name="Comma 5 79" xfId="1648" xr:uid="{00000000-0005-0000-0000-00005E060000}"/>
    <cellStyle name="Comma 5 8" xfId="1649" xr:uid="{00000000-0005-0000-0000-00005F060000}"/>
    <cellStyle name="Comma 5 8 2" xfId="1650" xr:uid="{00000000-0005-0000-0000-000060060000}"/>
    <cellStyle name="Comma 5 8 2 2" xfId="1651" xr:uid="{00000000-0005-0000-0000-000061060000}"/>
    <cellStyle name="Comma 5 8 2 3" xfId="1652" xr:uid="{00000000-0005-0000-0000-000062060000}"/>
    <cellStyle name="Comma 5 8 3" xfId="1653" xr:uid="{00000000-0005-0000-0000-000063060000}"/>
    <cellStyle name="Comma 5 80" xfId="1654" xr:uid="{00000000-0005-0000-0000-000064060000}"/>
    <cellStyle name="Comma 5 81" xfId="1655" xr:uid="{00000000-0005-0000-0000-000065060000}"/>
    <cellStyle name="Comma 5 82" xfId="1656" xr:uid="{00000000-0005-0000-0000-000066060000}"/>
    <cellStyle name="Comma 5 83" xfId="1657" xr:uid="{00000000-0005-0000-0000-000067060000}"/>
    <cellStyle name="Comma 5 84" xfId="1658" xr:uid="{00000000-0005-0000-0000-000068060000}"/>
    <cellStyle name="Comma 5 85" xfId="1659" xr:uid="{00000000-0005-0000-0000-000069060000}"/>
    <cellStyle name="Comma 5 86" xfId="1660" xr:uid="{00000000-0005-0000-0000-00006A060000}"/>
    <cellStyle name="Comma 5 87" xfId="1661" xr:uid="{00000000-0005-0000-0000-00006B060000}"/>
    <cellStyle name="Comma 5 88" xfId="1662" xr:uid="{00000000-0005-0000-0000-00006C060000}"/>
    <cellStyle name="Comma 5 89" xfId="1663" xr:uid="{00000000-0005-0000-0000-00006D060000}"/>
    <cellStyle name="Comma 5 9" xfId="1664" xr:uid="{00000000-0005-0000-0000-00006E060000}"/>
    <cellStyle name="Comma 5 9 2" xfId="1665" xr:uid="{00000000-0005-0000-0000-00006F060000}"/>
    <cellStyle name="Comma 5 9 2 2" xfId="1666" xr:uid="{00000000-0005-0000-0000-000070060000}"/>
    <cellStyle name="Comma 5 9 2 3" xfId="1667" xr:uid="{00000000-0005-0000-0000-000071060000}"/>
    <cellStyle name="Comma 5 9 3" xfId="1668" xr:uid="{00000000-0005-0000-0000-000072060000}"/>
    <cellStyle name="Comma 5 90" xfId="1669" xr:uid="{00000000-0005-0000-0000-000073060000}"/>
    <cellStyle name="Comma 5 91" xfId="1670" xr:uid="{00000000-0005-0000-0000-000074060000}"/>
    <cellStyle name="Comma 5 92" xfId="1671" xr:uid="{00000000-0005-0000-0000-000075060000}"/>
    <cellStyle name="Comma 5 92 2" xfId="1672" xr:uid="{00000000-0005-0000-0000-000076060000}"/>
    <cellStyle name="Comma 5 93" xfId="1673" xr:uid="{00000000-0005-0000-0000-000077060000}"/>
    <cellStyle name="Comma 5 94" xfId="1674" xr:uid="{00000000-0005-0000-0000-000078060000}"/>
    <cellStyle name="Comma 5 95" xfId="1675" xr:uid="{00000000-0005-0000-0000-000079060000}"/>
    <cellStyle name="Comma 5 96" xfId="1676" xr:uid="{00000000-0005-0000-0000-00007A060000}"/>
    <cellStyle name="Comma 5 97" xfId="1677" xr:uid="{00000000-0005-0000-0000-00007B060000}"/>
    <cellStyle name="Comma 5 98" xfId="1678" xr:uid="{00000000-0005-0000-0000-00007C060000}"/>
    <cellStyle name="Comma 5 99" xfId="1679" xr:uid="{00000000-0005-0000-0000-00007D060000}"/>
    <cellStyle name="Comma 50" xfId="1680" xr:uid="{00000000-0005-0000-0000-00007E060000}"/>
    <cellStyle name="Comma 51" xfId="1681" xr:uid="{00000000-0005-0000-0000-00007F060000}"/>
    <cellStyle name="Comma 52" xfId="1682" xr:uid="{00000000-0005-0000-0000-000080060000}"/>
    <cellStyle name="Comma 53" xfId="1683" xr:uid="{00000000-0005-0000-0000-000081060000}"/>
    <cellStyle name="Comma 54" xfId="1684" xr:uid="{00000000-0005-0000-0000-000082060000}"/>
    <cellStyle name="Comma 55" xfId="1685" xr:uid="{00000000-0005-0000-0000-000083060000}"/>
    <cellStyle name="Comma 56" xfId="1686" xr:uid="{00000000-0005-0000-0000-000084060000}"/>
    <cellStyle name="Comma 57" xfId="1687" xr:uid="{00000000-0005-0000-0000-000085060000}"/>
    <cellStyle name="Comma 58" xfId="1688" xr:uid="{00000000-0005-0000-0000-000086060000}"/>
    <cellStyle name="Comma 59" xfId="1689" xr:uid="{00000000-0005-0000-0000-000087060000}"/>
    <cellStyle name="Comma 6" xfId="1690" xr:uid="{00000000-0005-0000-0000-000088060000}"/>
    <cellStyle name="Comma 6 2" xfId="1691" xr:uid="{00000000-0005-0000-0000-000089060000}"/>
    <cellStyle name="Comma 60" xfId="1692" xr:uid="{00000000-0005-0000-0000-00008A060000}"/>
    <cellStyle name="Comma 61" xfId="1693" xr:uid="{00000000-0005-0000-0000-00008B060000}"/>
    <cellStyle name="Comma 62" xfId="1694" xr:uid="{00000000-0005-0000-0000-00008C060000}"/>
    <cellStyle name="Comma 63" xfId="1695" xr:uid="{00000000-0005-0000-0000-00008D060000}"/>
    <cellStyle name="Comma 64" xfId="1696" xr:uid="{00000000-0005-0000-0000-00008E060000}"/>
    <cellStyle name="Comma 65" xfId="1697" xr:uid="{00000000-0005-0000-0000-00008F060000}"/>
    <cellStyle name="Comma 66" xfId="1698" xr:uid="{00000000-0005-0000-0000-000090060000}"/>
    <cellStyle name="Comma 67" xfId="1699" xr:uid="{00000000-0005-0000-0000-000091060000}"/>
    <cellStyle name="Comma 68" xfId="1700" xr:uid="{00000000-0005-0000-0000-000092060000}"/>
    <cellStyle name="Comma 69" xfId="1701" xr:uid="{00000000-0005-0000-0000-000093060000}"/>
    <cellStyle name="Comma 7" xfId="1702" xr:uid="{00000000-0005-0000-0000-000094060000}"/>
    <cellStyle name="Comma 7 10" xfId="1703" xr:uid="{00000000-0005-0000-0000-000095060000}"/>
    <cellStyle name="Comma 7 11" xfId="1704" xr:uid="{00000000-0005-0000-0000-000096060000}"/>
    <cellStyle name="Comma 7 12" xfId="1705" xr:uid="{00000000-0005-0000-0000-000097060000}"/>
    <cellStyle name="Comma 7 12 2" xfId="1706" xr:uid="{00000000-0005-0000-0000-000098060000}"/>
    <cellStyle name="Comma 7 13" xfId="1707" xr:uid="{00000000-0005-0000-0000-000099060000}"/>
    <cellStyle name="Comma 7 14" xfId="1708" xr:uid="{00000000-0005-0000-0000-00009A060000}"/>
    <cellStyle name="Comma 7 2" xfId="1709" xr:uid="{00000000-0005-0000-0000-00009B060000}"/>
    <cellStyle name="Comma 7 2 10" xfId="1710" xr:uid="{00000000-0005-0000-0000-00009C060000}"/>
    <cellStyle name="Comma 7 2 10 2" xfId="1711" xr:uid="{00000000-0005-0000-0000-00009D060000}"/>
    <cellStyle name="Comma 7 2 10 2 2" xfId="1712" xr:uid="{00000000-0005-0000-0000-00009E060000}"/>
    <cellStyle name="Comma 7 2 10 3" xfId="1713" xr:uid="{00000000-0005-0000-0000-00009F060000}"/>
    <cellStyle name="Comma 7 2 11" xfId="1714" xr:uid="{00000000-0005-0000-0000-0000A0060000}"/>
    <cellStyle name="Comma 7 2 11 2" xfId="1715" xr:uid="{00000000-0005-0000-0000-0000A1060000}"/>
    <cellStyle name="Comma 7 2 11 2 2" xfId="1716" xr:uid="{00000000-0005-0000-0000-0000A2060000}"/>
    <cellStyle name="Comma 7 2 11 3" xfId="1717" xr:uid="{00000000-0005-0000-0000-0000A3060000}"/>
    <cellStyle name="Comma 7 2 12" xfId="1718" xr:uid="{00000000-0005-0000-0000-0000A4060000}"/>
    <cellStyle name="Comma 7 2 12 2" xfId="1719" xr:uid="{00000000-0005-0000-0000-0000A5060000}"/>
    <cellStyle name="Comma 7 2 12 3" xfId="1720" xr:uid="{00000000-0005-0000-0000-0000A6060000}"/>
    <cellStyle name="Comma 7 2 13" xfId="1721" xr:uid="{00000000-0005-0000-0000-0000A7060000}"/>
    <cellStyle name="Comma 7 2 13 2" xfId="1722" xr:uid="{00000000-0005-0000-0000-0000A8060000}"/>
    <cellStyle name="Comma 7 2 13 3" xfId="1723" xr:uid="{00000000-0005-0000-0000-0000A9060000}"/>
    <cellStyle name="Comma 7 2 14" xfId="1724" xr:uid="{00000000-0005-0000-0000-0000AA060000}"/>
    <cellStyle name="Comma 7 2 2" xfId="1725" xr:uid="{00000000-0005-0000-0000-0000AB060000}"/>
    <cellStyle name="Comma 7 2 2 2" xfId="1726" xr:uid="{00000000-0005-0000-0000-0000AC060000}"/>
    <cellStyle name="Comma 7 2 2 2 2" xfId="1727" xr:uid="{00000000-0005-0000-0000-0000AD060000}"/>
    <cellStyle name="Comma 7 2 2 3" xfId="1728" xr:uid="{00000000-0005-0000-0000-0000AE060000}"/>
    <cellStyle name="Comma 7 2 3" xfId="1729" xr:uid="{00000000-0005-0000-0000-0000AF060000}"/>
    <cellStyle name="Comma 7 2 3 2" xfId="1730" xr:uid="{00000000-0005-0000-0000-0000B0060000}"/>
    <cellStyle name="Comma 7 2 3 2 2" xfId="1731" xr:uid="{00000000-0005-0000-0000-0000B1060000}"/>
    <cellStyle name="Comma 7 2 3 3" xfId="1732" xr:uid="{00000000-0005-0000-0000-0000B2060000}"/>
    <cellStyle name="Comma 7 2 4" xfId="1733" xr:uid="{00000000-0005-0000-0000-0000B3060000}"/>
    <cellStyle name="Comma 7 2 4 2" xfId="1734" xr:uid="{00000000-0005-0000-0000-0000B4060000}"/>
    <cellStyle name="Comma 7 2 4 2 2" xfId="1735" xr:uid="{00000000-0005-0000-0000-0000B5060000}"/>
    <cellStyle name="Comma 7 2 4 3" xfId="1736" xr:uid="{00000000-0005-0000-0000-0000B6060000}"/>
    <cellStyle name="Comma 7 2 5" xfId="1737" xr:uid="{00000000-0005-0000-0000-0000B7060000}"/>
    <cellStyle name="Comma 7 2 5 2" xfId="1738" xr:uid="{00000000-0005-0000-0000-0000B8060000}"/>
    <cellStyle name="Comma 7 2 5 2 2" xfId="1739" xr:uid="{00000000-0005-0000-0000-0000B9060000}"/>
    <cellStyle name="Comma 7 2 5 3" xfId="1740" xr:uid="{00000000-0005-0000-0000-0000BA060000}"/>
    <cellStyle name="Comma 7 2 6" xfId="1741" xr:uid="{00000000-0005-0000-0000-0000BB060000}"/>
    <cellStyle name="Comma 7 2 6 2" xfId="1742" xr:uid="{00000000-0005-0000-0000-0000BC060000}"/>
    <cellStyle name="Comma 7 2 6 2 2" xfId="1743" xr:uid="{00000000-0005-0000-0000-0000BD060000}"/>
    <cellStyle name="Comma 7 2 6 3" xfId="1744" xr:uid="{00000000-0005-0000-0000-0000BE060000}"/>
    <cellStyle name="Comma 7 2 7" xfId="1745" xr:uid="{00000000-0005-0000-0000-0000BF060000}"/>
    <cellStyle name="Comma 7 2 7 2" xfId="1746" xr:uid="{00000000-0005-0000-0000-0000C0060000}"/>
    <cellStyle name="Comma 7 2 7 2 2" xfId="1747" xr:uid="{00000000-0005-0000-0000-0000C1060000}"/>
    <cellStyle name="Comma 7 2 7 3" xfId="1748" xr:uid="{00000000-0005-0000-0000-0000C2060000}"/>
    <cellStyle name="Comma 7 2 8" xfId="1749" xr:uid="{00000000-0005-0000-0000-0000C3060000}"/>
    <cellStyle name="Comma 7 2 8 2" xfId="1750" xr:uid="{00000000-0005-0000-0000-0000C4060000}"/>
    <cellStyle name="Comma 7 2 8 2 2" xfId="1751" xr:uid="{00000000-0005-0000-0000-0000C5060000}"/>
    <cellStyle name="Comma 7 2 8 3" xfId="1752" xr:uid="{00000000-0005-0000-0000-0000C6060000}"/>
    <cellStyle name="Comma 7 2 9" xfId="1753" xr:uid="{00000000-0005-0000-0000-0000C7060000}"/>
    <cellStyle name="Comma 7 2 9 2" xfId="1754" xr:uid="{00000000-0005-0000-0000-0000C8060000}"/>
    <cellStyle name="Comma 7 2 9 2 2" xfId="1755" xr:uid="{00000000-0005-0000-0000-0000C9060000}"/>
    <cellStyle name="Comma 7 2 9 3" xfId="1756" xr:uid="{00000000-0005-0000-0000-0000CA060000}"/>
    <cellStyle name="Comma 7 3" xfId="1757" xr:uid="{00000000-0005-0000-0000-0000CB060000}"/>
    <cellStyle name="Comma 7 4" xfId="1758" xr:uid="{00000000-0005-0000-0000-0000CC060000}"/>
    <cellStyle name="Comma 7 5" xfId="1759" xr:uid="{00000000-0005-0000-0000-0000CD060000}"/>
    <cellStyle name="Comma 7 6" xfId="1760" xr:uid="{00000000-0005-0000-0000-0000CE060000}"/>
    <cellStyle name="Comma 7 7" xfId="1761" xr:uid="{00000000-0005-0000-0000-0000CF060000}"/>
    <cellStyle name="Comma 7 8" xfId="1762" xr:uid="{00000000-0005-0000-0000-0000D0060000}"/>
    <cellStyle name="Comma 7 9" xfId="1763" xr:uid="{00000000-0005-0000-0000-0000D1060000}"/>
    <cellStyle name="Comma 70" xfId="1764" xr:uid="{00000000-0005-0000-0000-0000D2060000}"/>
    <cellStyle name="Comma 71" xfId="1765" xr:uid="{00000000-0005-0000-0000-0000D3060000}"/>
    <cellStyle name="Comma 72" xfId="1766" xr:uid="{00000000-0005-0000-0000-0000D4060000}"/>
    <cellStyle name="Comma 73" xfId="1767" xr:uid="{00000000-0005-0000-0000-0000D5060000}"/>
    <cellStyle name="Comma 74" xfId="1768" xr:uid="{00000000-0005-0000-0000-0000D6060000}"/>
    <cellStyle name="Comma 75" xfId="1769" xr:uid="{00000000-0005-0000-0000-0000D7060000}"/>
    <cellStyle name="Comma 76" xfId="1770" xr:uid="{00000000-0005-0000-0000-0000D8060000}"/>
    <cellStyle name="Comma 77" xfId="1771" xr:uid="{00000000-0005-0000-0000-0000D9060000}"/>
    <cellStyle name="Comma 78" xfId="1772" xr:uid="{00000000-0005-0000-0000-0000DA060000}"/>
    <cellStyle name="Comma 79" xfId="1773" xr:uid="{00000000-0005-0000-0000-0000DB060000}"/>
    <cellStyle name="Comma 8" xfId="1774" xr:uid="{00000000-0005-0000-0000-0000DC060000}"/>
    <cellStyle name="Comma 8 2" xfId="1775" xr:uid="{00000000-0005-0000-0000-0000DD060000}"/>
    <cellStyle name="Comma 8 2 2" xfId="1776" xr:uid="{00000000-0005-0000-0000-0000DE060000}"/>
    <cellStyle name="Comma 8 2 3" xfId="1777" xr:uid="{00000000-0005-0000-0000-0000DF060000}"/>
    <cellStyle name="Comma 8 3" xfId="1778" xr:uid="{00000000-0005-0000-0000-0000E0060000}"/>
    <cellStyle name="Comma 80" xfId="1779" xr:uid="{00000000-0005-0000-0000-0000E1060000}"/>
    <cellStyle name="Comma 81" xfId="1780" xr:uid="{00000000-0005-0000-0000-0000E2060000}"/>
    <cellStyle name="Comma 82" xfId="1781" xr:uid="{00000000-0005-0000-0000-0000E3060000}"/>
    <cellStyle name="Comma 83" xfId="1782" xr:uid="{00000000-0005-0000-0000-0000E4060000}"/>
    <cellStyle name="Comma 84" xfId="1783" xr:uid="{00000000-0005-0000-0000-0000E5060000}"/>
    <cellStyle name="Comma 85" xfId="1784" xr:uid="{00000000-0005-0000-0000-0000E6060000}"/>
    <cellStyle name="Comma 86" xfId="1785" xr:uid="{00000000-0005-0000-0000-0000E7060000}"/>
    <cellStyle name="Comma 87" xfId="1786" xr:uid="{00000000-0005-0000-0000-0000E8060000}"/>
    <cellStyle name="Comma 88" xfId="1787" xr:uid="{00000000-0005-0000-0000-0000E9060000}"/>
    <cellStyle name="Comma 88 2" xfId="9395" xr:uid="{00000000-0005-0000-0000-0000EA060000}"/>
    <cellStyle name="Comma 88 2 2" xfId="9425" xr:uid="{00000000-0005-0000-0000-0000EB060000}"/>
    <cellStyle name="Comma 88 2 2 2" xfId="9433" xr:uid="{00000000-0005-0000-0000-0000EC060000}"/>
    <cellStyle name="Comma 89" xfId="1788" xr:uid="{00000000-0005-0000-0000-0000ED060000}"/>
    <cellStyle name="Comma 9" xfId="1789" xr:uid="{00000000-0005-0000-0000-0000EE060000}"/>
    <cellStyle name="Comma 9 2" xfId="1790" xr:uid="{00000000-0005-0000-0000-0000EF060000}"/>
    <cellStyle name="Comma 9 3" xfId="1791" xr:uid="{00000000-0005-0000-0000-0000F0060000}"/>
    <cellStyle name="Comma 9 4" xfId="1792" xr:uid="{00000000-0005-0000-0000-0000F1060000}"/>
    <cellStyle name="Comma 90" xfId="1793" xr:uid="{00000000-0005-0000-0000-0000F2060000}"/>
    <cellStyle name="Comma 91" xfId="1794" xr:uid="{00000000-0005-0000-0000-0000F3060000}"/>
    <cellStyle name="Comma 92" xfId="1795" xr:uid="{00000000-0005-0000-0000-0000F4060000}"/>
    <cellStyle name="Comma 93" xfId="1796" xr:uid="{00000000-0005-0000-0000-0000F5060000}"/>
    <cellStyle name="Comma 94" xfId="1797" xr:uid="{00000000-0005-0000-0000-0000F6060000}"/>
    <cellStyle name="Comma 94 2" xfId="1798" xr:uid="{00000000-0005-0000-0000-0000F7060000}"/>
    <cellStyle name="Comma 95" xfId="1799" xr:uid="{00000000-0005-0000-0000-0000F8060000}"/>
    <cellStyle name="Comma 96" xfId="1800" xr:uid="{00000000-0005-0000-0000-0000F9060000}"/>
    <cellStyle name="Comma 97" xfId="1801" xr:uid="{00000000-0005-0000-0000-0000FA060000}"/>
    <cellStyle name="Comma0" xfId="1802" xr:uid="{00000000-0005-0000-0000-0000FB060000}"/>
    <cellStyle name="corpload" xfId="1803" xr:uid="{00000000-0005-0000-0000-0000FC060000}"/>
    <cellStyle name="Currency" xfId="9412" builtinId="4"/>
    <cellStyle name="Currency [0] 2" xfId="1804" xr:uid="{00000000-0005-0000-0000-0000FE060000}"/>
    <cellStyle name="Currency [0] 2 2" xfId="1805" xr:uid="{00000000-0005-0000-0000-0000FF060000}"/>
    <cellStyle name="Currency [0] 3" xfId="1806" xr:uid="{00000000-0005-0000-0000-000000070000}"/>
    <cellStyle name="Currency 10" xfId="1807" xr:uid="{00000000-0005-0000-0000-000001070000}"/>
    <cellStyle name="Currency 11" xfId="1808" xr:uid="{00000000-0005-0000-0000-000002070000}"/>
    <cellStyle name="Currency 12" xfId="1809" xr:uid="{00000000-0005-0000-0000-000003070000}"/>
    <cellStyle name="Currency 12 2" xfId="1810" xr:uid="{00000000-0005-0000-0000-000004070000}"/>
    <cellStyle name="Currency 13" xfId="1811" xr:uid="{00000000-0005-0000-0000-000005070000}"/>
    <cellStyle name="Currency 14" xfId="1812" xr:uid="{00000000-0005-0000-0000-000006070000}"/>
    <cellStyle name="Currency 15" xfId="1813" xr:uid="{00000000-0005-0000-0000-000007070000}"/>
    <cellStyle name="Currency 16" xfId="1814" xr:uid="{00000000-0005-0000-0000-000008070000}"/>
    <cellStyle name="Currency 17" xfId="1815" xr:uid="{00000000-0005-0000-0000-000009070000}"/>
    <cellStyle name="Currency 18" xfId="1816" xr:uid="{00000000-0005-0000-0000-00000A070000}"/>
    <cellStyle name="Currency 19" xfId="1817" xr:uid="{00000000-0005-0000-0000-00000B070000}"/>
    <cellStyle name="Currency 2" xfId="1818" xr:uid="{00000000-0005-0000-0000-00000C070000}"/>
    <cellStyle name="Currency 2 10" xfId="1819" xr:uid="{00000000-0005-0000-0000-00000D070000}"/>
    <cellStyle name="Currency 2 10 2" xfId="1820" xr:uid="{00000000-0005-0000-0000-00000E070000}"/>
    <cellStyle name="Currency 2 10 2 2" xfId="1821" xr:uid="{00000000-0005-0000-0000-00000F070000}"/>
    <cellStyle name="Currency 2 10 2 3" xfId="1822" xr:uid="{00000000-0005-0000-0000-000010070000}"/>
    <cellStyle name="Currency 2 10 3" xfId="1823" xr:uid="{00000000-0005-0000-0000-000011070000}"/>
    <cellStyle name="Currency 2 100" xfId="1824" xr:uid="{00000000-0005-0000-0000-000012070000}"/>
    <cellStyle name="Currency 2 101" xfId="1825" xr:uid="{00000000-0005-0000-0000-000013070000}"/>
    <cellStyle name="Currency 2 102" xfId="1826" xr:uid="{00000000-0005-0000-0000-000014070000}"/>
    <cellStyle name="Currency 2 103" xfId="1827" xr:uid="{00000000-0005-0000-0000-000015070000}"/>
    <cellStyle name="Currency 2 104" xfId="1828" xr:uid="{00000000-0005-0000-0000-000016070000}"/>
    <cellStyle name="Currency 2 105" xfId="1829" xr:uid="{00000000-0005-0000-0000-000017070000}"/>
    <cellStyle name="Currency 2 106" xfId="1830" xr:uid="{00000000-0005-0000-0000-000018070000}"/>
    <cellStyle name="Currency 2 107" xfId="1831" xr:uid="{00000000-0005-0000-0000-000019070000}"/>
    <cellStyle name="Currency 2 108" xfId="1832" xr:uid="{00000000-0005-0000-0000-00001A070000}"/>
    <cellStyle name="Currency 2 109" xfId="1833" xr:uid="{00000000-0005-0000-0000-00001B070000}"/>
    <cellStyle name="Currency 2 11" xfId="1834" xr:uid="{00000000-0005-0000-0000-00001C070000}"/>
    <cellStyle name="Currency 2 11 2" xfId="1835" xr:uid="{00000000-0005-0000-0000-00001D070000}"/>
    <cellStyle name="Currency 2 11 2 2" xfId="1836" xr:uid="{00000000-0005-0000-0000-00001E070000}"/>
    <cellStyle name="Currency 2 11 2 3" xfId="1837" xr:uid="{00000000-0005-0000-0000-00001F070000}"/>
    <cellStyle name="Currency 2 11 3" xfId="1838" xr:uid="{00000000-0005-0000-0000-000020070000}"/>
    <cellStyle name="Currency 2 110" xfId="1839" xr:uid="{00000000-0005-0000-0000-000021070000}"/>
    <cellStyle name="Currency 2 111" xfId="1840" xr:uid="{00000000-0005-0000-0000-000022070000}"/>
    <cellStyle name="Currency 2 112" xfId="1841" xr:uid="{00000000-0005-0000-0000-000023070000}"/>
    <cellStyle name="Currency 2 113" xfId="1842" xr:uid="{00000000-0005-0000-0000-000024070000}"/>
    <cellStyle name="Currency 2 114" xfId="1843" xr:uid="{00000000-0005-0000-0000-000025070000}"/>
    <cellStyle name="Currency 2 115" xfId="1844" xr:uid="{00000000-0005-0000-0000-000026070000}"/>
    <cellStyle name="Currency 2 116" xfId="1845" xr:uid="{00000000-0005-0000-0000-000027070000}"/>
    <cellStyle name="Currency 2 117" xfId="1846" xr:uid="{00000000-0005-0000-0000-000028070000}"/>
    <cellStyle name="Currency 2 118" xfId="1847" xr:uid="{00000000-0005-0000-0000-000029070000}"/>
    <cellStyle name="Currency 2 119" xfId="1848" xr:uid="{00000000-0005-0000-0000-00002A070000}"/>
    <cellStyle name="Currency 2 12" xfId="1849" xr:uid="{00000000-0005-0000-0000-00002B070000}"/>
    <cellStyle name="Currency 2 12 2" xfId="1850" xr:uid="{00000000-0005-0000-0000-00002C070000}"/>
    <cellStyle name="Currency 2 12 2 2" xfId="1851" xr:uid="{00000000-0005-0000-0000-00002D070000}"/>
    <cellStyle name="Currency 2 12 2 3" xfId="1852" xr:uid="{00000000-0005-0000-0000-00002E070000}"/>
    <cellStyle name="Currency 2 12 3" xfId="1853" xr:uid="{00000000-0005-0000-0000-00002F070000}"/>
    <cellStyle name="Currency 2 120" xfId="1854" xr:uid="{00000000-0005-0000-0000-000030070000}"/>
    <cellStyle name="Currency 2 121" xfId="1855" xr:uid="{00000000-0005-0000-0000-000031070000}"/>
    <cellStyle name="Currency 2 122" xfId="1856" xr:uid="{00000000-0005-0000-0000-000032070000}"/>
    <cellStyle name="Currency 2 123" xfId="1857" xr:uid="{00000000-0005-0000-0000-000033070000}"/>
    <cellStyle name="Currency 2 124" xfId="1858" xr:uid="{00000000-0005-0000-0000-000034070000}"/>
    <cellStyle name="Currency 2 125" xfId="1859" xr:uid="{00000000-0005-0000-0000-000035070000}"/>
    <cellStyle name="Currency 2 126" xfId="1860" xr:uid="{00000000-0005-0000-0000-000036070000}"/>
    <cellStyle name="Currency 2 127" xfId="1861" xr:uid="{00000000-0005-0000-0000-000037070000}"/>
    <cellStyle name="Currency 2 128" xfId="1862" xr:uid="{00000000-0005-0000-0000-000038070000}"/>
    <cellStyle name="Currency 2 129" xfId="1863" xr:uid="{00000000-0005-0000-0000-000039070000}"/>
    <cellStyle name="Currency 2 13" xfId="1864" xr:uid="{00000000-0005-0000-0000-00003A070000}"/>
    <cellStyle name="Currency 2 13 2" xfId="1865" xr:uid="{00000000-0005-0000-0000-00003B070000}"/>
    <cellStyle name="Currency 2 13 2 2" xfId="1866" xr:uid="{00000000-0005-0000-0000-00003C070000}"/>
    <cellStyle name="Currency 2 13 2 3" xfId="1867" xr:uid="{00000000-0005-0000-0000-00003D070000}"/>
    <cellStyle name="Currency 2 13 3" xfId="1868" xr:uid="{00000000-0005-0000-0000-00003E070000}"/>
    <cellStyle name="Currency 2 130" xfId="1869" xr:uid="{00000000-0005-0000-0000-00003F070000}"/>
    <cellStyle name="Currency 2 131" xfId="1870" xr:uid="{00000000-0005-0000-0000-000040070000}"/>
    <cellStyle name="Currency 2 132" xfId="1871" xr:uid="{00000000-0005-0000-0000-000041070000}"/>
    <cellStyle name="Currency 2 133" xfId="1872" xr:uid="{00000000-0005-0000-0000-000042070000}"/>
    <cellStyle name="Currency 2 134" xfId="1873" xr:uid="{00000000-0005-0000-0000-000043070000}"/>
    <cellStyle name="Currency 2 135" xfId="1874" xr:uid="{00000000-0005-0000-0000-000044070000}"/>
    <cellStyle name="Currency 2 136" xfId="1875" xr:uid="{00000000-0005-0000-0000-000045070000}"/>
    <cellStyle name="Currency 2 137" xfId="1876" xr:uid="{00000000-0005-0000-0000-000046070000}"/>
    <cellStyle name="Currency 2 138" xfId="1877" xr:uid="{00000000-0005-0000-0000-000047070000}"/>
    <cellStyle name="Currency 2 14" xfId="1878" xr:uid="{00000000-0005-0000-0000-000048070000}"/>
    <cellStyle name="Currency 2 14 2" xfId="1879" xr:uid="{00000000-0005-0000-0000-000049070000}"/>
    <cellStyle name="Currency 2 14 2 2" xfId="1880" xr:uid="{00000000-0005-0000-0000-00004A070000}"/>
    <cellStyle name="Currency 2 14 2 3" xfId="1881" xr:uid="{00000000-0005-0000-0000-00004B070000}"/>
    <cellStyle name="Currency 2 14 3" xfId="1882" xr:uid="{00000000-0005-0000-0000-00004C070000}"/>
    <cellStyle name="Currency 2 15" xfId="1883" xr:uid="{00000000-0005-0000-0000-00004D070000}"/>
    <cellStyle name="Currency 2 15 2" xfId="1884" xr:uid="{00000000-0005-0000-0000-00004E070000}"/>
    <cellStyle name="Currency 2 15 2 2" xfId="1885" xr:uid="{00000000-0005-0000-0000-00004F070000}"/>
    <cellStyle name="Currency 2 15 2 3" xfId="1886" xr:uid="{00000000-0005-0000-0000-000050070000}"/>
    <cellStyle name="Currency 2 15 3" xfId="1887" xr:uid="{00000000-0005-0000-0000-000051070000}"/>
    <cellStyle name="Currency 2 16" xfId="1888" xr:uid="{00000000-0005-0000-0000-000052070000}"/>
    <cellStyle name="Currency 2 16 2" xfId="1889" xr:uid="{00000000-0005-0000-0000-000053070000}"/>
    <cellStyle name="Currency 2 16 2 2" xfId="1890" xr:uid="{00000000-0005-0000-0000-000054070000}"/>
    <cellStyle name="Currency 2 16 2 3" xfId="1891" xr:uid="{00000000-0005-0000-0000-000055070000}"/>
    <cellStyle name="Currency 2 16 3" xfId="1892" xr:uid="{00000000-0005-0000-0000-000056070000}"/>
    <cellStyle name="Currency 2 17" xfId="1893" xr:uid="{00000000-0005-0000-0000-000057070000}"/>
    <cellStyle name="Currency 2 17 2" xfId="1894" xr:uid="{00000000-0005-0000-0000-000058070000}"/>
    <cellStyle name="Currency 2 18" xfId="1895" xr:uid="{00000000-0005-0000-0000-000059070000}"/>
    <cellStyle name="Currency 2 18 2" xfId="1896" xr:uid="{00000000-0005-0000-0000-00005A070000}"/>
    <cellStyle name="Currency 2 19" xfId="1897" xr:uid="{00000000-0005-0000-0000-00005B070000}"/>
    <cellStyle name="Currency 2 19 2" xfId="1898" xr:uid="{00000000-0005-0000-0000-00005C070000}"/>
    <cellStyle name="Currency 2 2" xfId="1899" xr:uid="{00000000-0005-0000-0000-00005D070000}"/>
    <cellStyle name="Currency 2 2 10" xfId="1900" xr:uid="{00000000-0005-0000-0000-00005E070000}"/>
    <cellStyle name="Currency 2 2 10 2" xfId="1901" xr:uid="{00000000-0005-0000-0000-00005F070000}"/>
    <cellStyle name="Currency 2 2 11" xfId="1902" xr:uid="{00000000-0005-0000-0000-000060070000}"/>
    <cellStyle name="Currency 2 2 11 2" xfId="1903" xr:uid="{00000000-0005-0000-0000-000061070000}"/>
    <cellStyle name="Currency 2 2 12" xfId="1904" xr:uid="{00000000-0005-0000-0000-000062070000}"/>
    <cellStyle name="Currency 2 2 12 2" xfId="1905" xr:uid="{00000000-0005-0000-0000-000063070000}"/>
    <cellStyle name="Currency 2 2 12 2 2" xfId="1906" xr:uid="{00000000-0005-0000-0000-000064070000}"/>
    <cellStyle name="Currency 2 2 12 3" xfId="1907" xr:uid="{00000000-0005-0000-0000-000065070000}"/>
    <cellStyle name="Currency 2 2 13" xfId="1908" xr:uid="{00000000-0005-0000-0000-000066070000}"/>
    <cellStyle name="Currency 2 2 13 2" xfId="1909" xr:uid="{00000000-0005-0000-0000-000067070000}"/>
    <cellStyle name="Currency 2 2 14" xfId="1910" xr:uid="{00000000-0005-0000-0000-000068070000}"/>
    <cellStyle name="Currency 2 2 14 2" xfId="1911" xr:uid="{00000000-0005-0000-0000-000069070000}"/>
    <cellStyle name="Currency 2 2 14 2 2" xfId="1912" xr:uid="{00000000-0005-0000-0000-00006A070000}"/>
    <cellStyle name="Currency 2 2 14 3" xfId="1913" xr:uid="{00000000-0005-0000-0000-00006B070000}"/>
    <cellStyle name="Currency 2 2 15" xfId="1914" xr:uid="{00000000-0005-0000-0000-00006C070000}"/>
    <cellStyle name="Currency 2 2 15 2" xfId="1915" xr:uid="{00000000-0005-0000-0000-00006D070000}"/>
    <cellStyle name="Currency 2 2 15 2 2" xfId="1916" xr:uid="{00000000-0005-0000-0000-00006E070000}"/>
    <cellStyle name="Currency 2 2 15 3" xfId="1917" xr:uid="{00000000-0005-0000-0000-00006F070000}"/>
    <cellStyle name="Currency 2 2 16" xfId="1918" xr:uid="{00000000-0005-0000-0000-000070070000}"/>
    <cellStyle name="Currency 2 2 16 2" xfId="1919" xr:uid="{00000000-0005-0000-0000-000071070000}"/>
    <cellStyle name="Currency 2 2 16 2 2" xfId="1920" xr:uid="{00000000-0005-0000-0000-000072070000}"/>
    <cellStyle name="Currency 2 2 16 3" xfId="1921" xr:uid="{00000000-0005-0000-0000-000073070000}"/>
    <cellStyle name="Currency 2 2 17" xfId="1922" xr:uid="{00000000-0005-0000-0000-000074070000}"/>
    <cellStyle name="Currency 2 2 17 2" xfId="1923" xr:uid="{00000000-0005-0000-0000-000075070000}"/>
    <cellStyle name="Currency 2 2 17 2 2" xfId="1924" xr:uid="{00000000-0005-0000-0000-000076070000}"/>
    <cellStyle name="Currency 2 2 17 3" xfId="1925" xr:uid="{00000000-0005-0000-0000-000077070000}"/>
    <cellStyle name="Currency 2 2 18" xfId="1926" xr:uid="{00000000-0005-0000-0000-000078070000}"/>
    <cellStyle name="Currency 2 2 19" xfId="1927" xr:uid="{00000000-0005-0000-0000-000079070000}"/>
    <cellStyle name="Currency 2 2 2" xfId="1928" xr:uid="{00000000-0005-0000-0000-00007A070000}"/>
    <cellStyle name="Currency 2 2 2 10" xfId="1929" xr:uid="{00000000-0005-0000-0000-00007B070000}"/>
    <cellStyle name="Currency 2 2 2 11" xfId="1930" xr:uid="{00000000-0005-0000-0000-00007C070000}"/>
    <cellStyle name="Currency 2 2 2 12" xfId="1931" xr:uid="{00000000-0005-0000-0000-00007D070000}"/>
    <cellStyle name="Currency 2 2 2 13" xfId="1932" xr:uid="{00000000-0005-0000-0000-00007E070000}"/>
    <cellStyle name="Currency 2 2 2 14" xfId="1933" xr:uid="{00000000-0005-0000-0000-00007F070000}"/>
    <cellStyle name="Currency 2 2 2 15" xfId="1934" xr:uid="{00000000-0005-0000-0000-000080070000}"/>
    <cellStyle name="Currency 2 2 2 16" xfId="1935" xr:uid="{00000000-0005-0000-0000-000081070000}"/>
    <cellStyle name="Currency 2 2 2 17" xfId="1936" xr:uid="{00000000-0005-0000-0000-000082070000}"/>
    <cellStyle name="Currency 2 2 2 18" xfId="1937" xr:uid="{00000000-0005-0000-0000-000083070000}"/>
    <cellStyle name="Currency 2 2 2 18 2" xfId="1938" xr:uid="{00000000-0005-0000-0000-000084070000}"/>
    <cellStyle name="Currency 2 2 2 19" xfId="1939" xr:uid="{00000000-0005-0000-0000-000085070000}"/>
    <cellStyle name="Currency 2 2 2 2" xfId="1940" xr:uid="{00000000-0005-0000-0000-000086070000}"/>
    <cellStyle name="Currency 2 2 2 2 10" xfId="1941" xr:uid="{00000000-0005-0000-0000-000087070000}"/>
    <cellStyle name="Currency 2 2 2 2 10 2" xfId="1942" xr:uid="{00000000-0005-0000-0000-000088070000}"/>
    <cellStyle name="Currency 2 2 2 2 10 2 2" xfId="1943" xr:uid="{00000000-0005-0000-0000-000089070000}"/>
    <cellStyle name="Currency 2 2 2 2 10 3" xfId="1944" xr:uid="{00000000-0005-0000-0000-00008A070000}"/>
    <cellStyle name="Currency 2 2 2 2 11" xfId="1945" xr:uid="{00000000-0005-0000-0000-00008B070000}"/>
    <cellStyle name="Currency 2 2 2 2 11 2" xfId="1946" xr:uid="{00000000-0005-0000-0000-00008C070000}"/>
    <cellStyle name="Currency 2 2 2 2 11 2 2" xfId="1947" xr:uid="{00000000-0005-0000-0000-00008D070000}"/>
    <cellStyle name="Currency 2 2 2 2 11 3" xfId="1948" xr:uid="{00000000-0005-0000-0000-00008E070000}"/>
    <cellStyle name="Currency 2 2 2 2 12" xfId="1949" xr:uid="{00000000-0005-0000-0000-00008F070000}"/>
    <cellStyle name="Currency 2 2 2 2 12 2" xfId="1950" xr:uid="{00000000-0005-0000-0000-000090070000}"/>
    <cellStyle name="Currency 2 2 2 2 12 2 2" xfId="1951" xr:uid="{00000000-0005-0000-0000-000091070000}"/>
    <cellStyle name="Currency 2 2 2 2 12 3" xfId="1952" xr:uid="{00000000-0005-0000-0000-000092070000}"/>
    <cellStyle name="Currency 2 2 2 2 13" xfId="1953" xr:uid="{00000000-0005-0000-0000-000093070000}"/>
    <cellStyle name="Currency 2 2 2 2 13 2" xfId="1954" xr:uid="{00000000-0005-0000-0000-000094070000}"/>
    <cellStyle name="Currency 2 2 2 2 13 2 2" xfId="1955" xr:uid="{00000000-0005-0000-0000-000095070000}"/>
    <cellStyle name="Currency 2 2 2 2 13 3" xfId="1956" xr:uid="{00000000-0005-0000-0000-000096070000}"/>
    <cellStyle name="Currency 2 2 2 2 14" xfId="1957" xr:uid="{00000000-0005-0000-0000-000097070000}"/>
    <cellStyle name="Currency 2 2 2 2 14 2" xfId="1958" xr:uid="{00000000-0005-0000-0000-000098070000}"/>
    <cellStyle name="Currency 2 2 2 2 14 2 2" xfId="1959" xr:uid="{00000000-0005-0000-0000-000099070000}"/>
    <cellStyle name="Currency 2 2 2 2 14 3" xfId="1960" xr:uid="{00000000-0005-0000-0000-00009A070000}"/>
    <cellStyle name="Currency 2 2 2 2 15" xfId="1961" xr:uid="{00000000-0005-0000-0000-00009B070000}"/>
    <cellStyle name="Currency 2 2 2 2 15 2" xfId="1962" xr:uid="{00000000-0005-0000-0000-00009C070000}"/>
    <cellStyle name="Currency 2 2 2 2 15 2 2" xfId="1963" xr:uid="{00000000-0005-0000-0000-00009D070000}"/>
    <cellStyle name="Currency 2 2 2 2 15 3" xfId="1964" xr:uid="{00000000-0005-0000-0000-00009E070000}"/>
    <cellStyle name="Currency 2 2 2 2 16" xfId="1965" xr:uid="{00000000-0005-0000-0000-00009F070000}"/>
    <cellStyle name="Currency 2 2 2 2 16 2" xfId="1966" xr:uid="{00000000-0005-0000-0000-0000A0070000}"/>
    <cellStyle name="Currency 2 2 2 2 16 2 2" xfId="1967" xr:uid="{00000000-0005-0000-0000-0000A1070000}"/>
    <cellStyle name="Currency 2 2 2 2 16 3" xfId="1968" xr:uid="{00000000-0005-0000-0000-0000A2070000}"/>
    <cellStyle name="Currency 2 2 2 2 17" xfId="1969" xr:uid="{00000000-0005-0000-0000-0000A3070000}"/>
    <cellStyle name="Currency 2 2 2 2 17 2" xfId="1970" xr:uid="{00000000-0005-0000-0000-0000A4070000}"/>
    <cellStyle name="Currency 2 2 2 2 17 2 2" xfId="1971" xr:uid="{00000000-0005-0000-0000-0000A5070000}"/>
    <cellStyle name="Currency 2 2 2 2 17 3" xfId="1972" xr:uid="{00000000-0005-0000-0000-0000A6070000}"/>
    <cellStyle name="Currency 2 2 2 2 2" xfId="1973" xr:uid="{00000000-0005-0000-0000-0000A7070000}"/>
    <cellStyle name="Currency 2 2 2 2 2 2" xfId="1974" xr:uid="{00000000-0005-0000-0000-0000A8070000}"/>
    <cellStyle name="Currency 2 2 2 2 2 2 2" xfId="1975" xr:uid="{00000000-0005-0000-0000-0000A9070000}"/>
    <cellStyle name="Currency 2 2 2 2 2 2 2 2" xfId="1976" xr:uid="{00000000-0005-0000-0000-0000AA070000}"/>
    <cellStyle name="Currency 2 2 2 2 2 2 2 2 2" xfId="1977" xr:uid="{00000000-0005-0000-0000-0000AB070000}"/>
    <cellStyle name="Currency 2 2 2 2 2 2 2 3" xfId="1978" xr:uid="{00000000-0005-0000-0000-0000AC070000}"/>
    <cellStyle name="Currency 2 2 2 2 2 2 3" xfId="1979" xr:uid="{00000000-0005-0000-0000-0000AD070000}"/>
    <cellStyle name="Currency 2 2 2 2 2 2 3 2" xfId="1980" xr:uid="{00000000-0005-0000-0000-0000AE070000}"/>
    <cellStyle name="Currency 2 2 2 2 2 2 3 2 2" xfId="1981" xr:uid="{00000000-0005-0000-0000-0000AF070000}"/>
    <cellStyle name="Currency 2 2 2 2 2 2 3 3" xfId="1982" xr:uid="{00000000-0005-0000-0000-0000B0070000}"/>
    <cellStyle name="Currency 2 2 2 2 2 2 4" xfId="1983" xr:uid="{00000000-0005-0000-0000-0000B1070000}"/>
    <cellStyle name="Currency 2 2 2 2 2 2 4 2" xfId="1984" xr:uid="{00000000-0005-0000-0000-0000B2070000}"/>
    <cellStyle name="Currency 2 2 2 2 2 2 4 2 2" xfId="1985" xr:uid="{00000000-0005-0000-0000-0000B3070000}"/>
    <cellStyle name="Currency 2 2 2 2 2 2 4 3" xfId="1986" xr:uid="{00000000-0005-0000-0000-0000B4070000}"/>
    <cellStyle name="Currency 2 2 2 2 2 2 5" xfId="1987" xr:uid="{00000000-0005-0000-0000-0000B5070000}"/>
    <cellStyle name="Currency 2 2 2 2 2 2 5 2" xfId="1988" xr:uid="{00000000-0005-0000-0000-0000B6070000}"/>
    <cellStyle name="Currency 2 2 2 2 2 2 5 2 2" xfId="1989" xr:uid="{00000000-0005-0000-0000-0000B7070000}"/>
    <cellStyle name="Currency 2 2 2 2 2 2 5 3" xfId="1990" xr:uid="{00000000-0005-0000-0000-0000B8070000}"/>
    <cellStyle name="Currency 2 2 2 2 2 3" xfId="1991" xr:uid="{00000000-0005-0000-0000-0000B9070000}"/>
    <cellStyle name="Currency 2 2 2 2 2 4" xfId="1992" xr:uid="{00000000-0005-0000-0000-0000BA070000}"/>
    <cellStyle name="Currency 2 2 2 2 2 5" xfId="1993" xr:uid="{00000000-0005-0000-0000-0000BB070000}"/>
    <cellStyle name="Currency 2 2 2 2 2 6" xfId="1994" xr:uid="{00000000-0005-0000-0000-0000BC070000}"/>
    <cellStyle name="Currency 2 2 2 2 2 6 2" xfId="1995" xr:uid="{00000000-0005-0000-0000-0000BD070000}"/>
    <cellStyle name="Currency 2 2 2 2 2 7" xfId="1996" xr:uid="{00000000-0005-0000-0000-0000BE070000}"/>
    <cellStyle name="Currency 2 2 2 2 3" xfId="1997" xr:uid="{00000000-0005-0000-0000-0000BF070000}"/>
    <cellStyle name="Currency 2 2 2 2 3 2" xfId="1998" xr:uid="{00000000-0005-0000-0000-0000C0070000}"/>
    <cellStyle name="Currency 2 2 2 2 3 2 2" xfId="1999" xr:uid="{00000000-0005-0000-0000-0000C1070000}"/>
    <cellStyle name="Currency 2 2 2 2 3 3" xfId="2000" xr:uid="{00000000-0005-0000-0000-0000C2070000}"/>
    <cellStyle name="Currency 2 2 2 2 4" xfId="2001" xr:uid="{00000000-0005-0000-0000-0000C3070000}"/>
    <cellStyle name="Currency 2 2 2 2 4 2" xfId="2002" xr:uid="{00000000-0005-0000-0000-0000C4070000}"/>
    <cellStyle name="Currency 2 2 2 2 4 2 2" xfId="2003" xr:uid="{00000000-0005-0000-0000-0000C5070000}"/>
    <cellStyle name="Currency 2 2 2 2 4 3" xfId="2004" xr:uid="{00000000-0005-0000-0000-0000C6070000}"/>
    <cellStyle name="Currency 2 2 2 2 5" xfId="2005" xr:uid="{00000000-0005-0000-0000-0000C7070000}"/>
    <cellStyle name="Currency 2 2 2 2 5 2" xfId="2006" xr:uid="{00000000-0005-0000-0000-0000C8070000}"/>
    <cellStyle name="Currency 2 2 2 2 5 2 2" xfId="2007" xr:uid="{00000000-0005-0000-0000-0000C9070000}"/>
    <cellStyle name="Currency 2 2 2 2 5 3" xfId="2008" xr:uid="{00000000-0005-0000-0000-0000CA070000}"/>
    <cellStyle name="Currency 2 2 2 2 6" xfId="2009" xr:uid="{00000000-0005-0000-0000-0000CB070000}"/>
    <cellStyle name="Currency 2 2 2 2 6 2" xfId="2010" xr:uid="{00000000-0005-0000-0000-0000CC070000}"/>
    <cellStyle name="Currency 2 2 2 2 6 2 2" xfId="2011" xr:uid="{00000000-0005-0000-0000-0000CD070000}"/>
    <cellStyle name="Currency 2 2 2 2 6 3" xfId="2012" xr:uid="{00000000-0005-0000-0000-0000CE070000}"/>
    <cellStyle name="Currency 2 2 2 2 7" xfId="2013" xr:uid="{00000000-0005-0000-0000-0000CF070000}"/>
    <cellStyle name="Currency 2 2 2 2 7 2" xfId="2014" xr:uid="{00000000-0005-0000-0000-0000D0070000}"/>
    <cellStyle name="Currency 2 2 2 2 7 2 2" xfId="2015" xr:uid="{00000000-0005-0000-0000-0000D1070000}"/>
    <cellStyle name="Currency 2 2 2 2 7 3" xfId="2016" xr:uid="{00000000-0005-0000-0000-0000D2070000}"/>
    <cellStyle name="Currency 2 2 2 2 8" xfId="2017" xr:uid="{00000000-0005-0000-0000-0000D3070000}"/>
    <cellStyle name="Currency 2 2 2 2 8 2" xfId="2018" xr:uid="{00000000-0005-0000-0000-0000D4070000}"/>
    <cellStyle name="Currency 2 2 2 2 8 2 2" xfId="2019" xr:uid="{00000000-0005-0000-0000-0000D5070000}"/>
    <cellStyle name="Currency 2 2 2 2 8 3" xfId="2020" xr:uid="{00000000-0005-0000-0000-0000D6070000}"/>
    <cellStyle name="Currency 2 2 2 2 9" xfId="2021" xr:uid="{00000000-0005-0000-0000-0000D7070000}"/>
    <cellStyle name="Currency 2 2 2 2 9 2" xfId="2022" xr:uid="{00000000-0005-0000-0000-0000D8070000}"/>
    <cellStyle name="Currency 2 2 2 2 9 2 2" xfId="2023" xr:uid="{00000000-0005-0000-0000-0000D9070000}"/>
    <cellStyle name="Currency 2 2 2 2 9 3" xfId="2024" xr:uid="{00000000-0005-0000-0000-0000DA070000}"/>
    <cellStyle name="Currency 2 2 2 3" xfId="2025" xr:uid="{00000000-0005-0000-0000-0000DB070000}"/>
    <cellStyle name="Currency 2 2 2 4" xfId="2026" xr:uid="{00000000-0005-0000-0000-0000DC070000}"/>
    <cellStyle name="Currency 2 2 2 5" xfId="2027" xr:uid="{00000000-0005-0000-0000-0000DD070000}"/>
    <cellStyle name="Currency 2 2 2 6" xfId="2028" xr:uid="{00000000-0005-0000-0000-0000DE070000}"/>
    <cellStyle name="Currency 2 2 2 7" xfId="2029" xr:uid="{00000000-0005-0000-0000-0000DF070000}"/>
    <cellStyle name="Currency 2 2 2 8" xfId="2030" xr:uid="{00000000-0005-0000-0000-0000E0070000}"/>
    <cellStyle name="Currency 2 2 2 9" xfId="2031" xr:uid="{00000000-0005-0000-0000-0000E1070000}"/>
    <cellStyle name="Currency 2 2 20" xfId="2032" xr:uid="{00000000-0005-0000-0000-0000E2070000}"/>
    <cellStyle name="Currency 2 2 3" xfId="2033" xr:uid="{00000000-0005-0000-0000-0000E3070000}"/>
    <cellStyle name="Currency 2 2 3 2" xfId="2034" xr:uid="{00000000-0005-0000-0000-0000E4070000}"/>
    <cellStyle name="Currency 2 2 4" xfId="2035" xr:uid="{00000000-0005-0000-0000-0000E5070000}"/>
    <cellStyle name="Currency 2 2 4 2" xfId="2036" xr:uid="{00000000-0005-0000-0000-0000E6070000}"/>
    <cellStyle name="Currency 2 2 5" xfId="2037" xr:uid="{00000000-0005-0000-0000-0000E7070000}"/>
    <cellStyle name="Currency 2 2 5 2" xfId="2038" xr:uid="{00000000-0005-0000-0000-0000E8070000}"/>
    <cellStyle name="Currency 2 2 6" xfId="2039" xr:uid="{00000000-0005-0000-0000-0000E9070000}"/>
    <cellStyle name="Currency 2 2 6 2" xfId="2040" xr:uid="{00000000-0005-0000-0000-0000EA070000}"/>
    <cellStyle name="Currency 2 2 7" xfId="2041" xr:uid="{00000000-0005-0000-0000-0000EB070000}"/>
    <cellStyle name="Currency 2 2 7 2" xfId="2042" xr:uid="{00000000-0005-0000-0000-0000EC070000}"/>
    <cellStyle name="Currency 2 2 8" xfId="2043" xr:uid="{00000000-0005-0000-0000-0000ED070000}"/>
    <cellStyle name="Currency 2 2 8 2" xfId="2044" xr:uid="{00000000-0005-0000-0000-0000EE070000}"/>
    <cellStyle name="Currency 2 2 9" xfId="2045" xr:uid="{00000000-0005-0000-0000-0000EF070000}"/>
    <cellStyle name="Currency 2 2 9 2" xfId="2046" xr:uid="{00000000-0005-0000-0000-0000F0070000}"/>
    <cellStyle name="Currency 2 20" xfId="2047" xr:uid="{00000000-0005-0000-0000-0000F1070000}"/>
    <cellStyle name="Currency 2 20 2" xfId="2048" xr:uid="{00000000-0005-0000-0000-0000F2070000}"/>
    <cellStyle name="Currency 2 21" xfId="2049" xr:uid="{00000000-0005-0000-0000-0000F3070000}"/>
    <cellStyle name="Currency 2 21 2" xfId="2050" xr:uid="{00000000-0005-0000-0000-0000F4070000}"/>
    <cellStyle name="Currency 2 22" xfId="2051" xr:uid="{00000000-0005-0000-0000-0000F5070000}"/>
    <cellStyle name="Currency 2 22 2" xfId="2052" xr:uid="{00000000-0005-0000-0000-0000F6070000}"/>
    <cellStyle name="Currency 2 23" xfId="2053" xr:uid="{00000000-0005-0000-0000-0000F7070000}"/>
    <cellStyle name="Currency 2 23 2" xfId="2054" xr:uid="{00000000-0005-0000-0000-0000F8070000}"/>
    <cellStyle name="Currency 2 24" xfId="2055" xr:uid="{00000000-0005-0000-0000-0000F9070000}"/>
    <cellStyle name="Currency 2 24 2" xfId="2056" xr:uid="{00000000-0005-0000-0000-0000FA070000}"/>
    <cellStyle name="Currency 2 25" xfId="2057" xr:uid="{00000000-0005-0000-0000-0000FB070000}"/>
    <cellStyle name="Currency 2 25 2" xfId="2058" xr:uid="{00000000-0005-0000-0000-0000FC070000}"/>
    <cellStyle name="Currency 2 26" xfId="2059" xr:uid="{00000000-0005-0000-0000-0000FD070000}"/>
    <cellStyle name="Currency 2 26 2" xfId="2060" xr:uid="{00000000-0005-0000-0000-0000FE070000}"/>
    <cellStyle name="Currency 2 27" xfId="2061" xr:uid="{00000000-0005-0000-0000-0000FF070000}"/>
    <cellStyle name="Currency 2 27 2" xfId="2062" xr:uid="{00000000-0005-0000-0000-000000080000}"/>
    <cellStyle name="Currency 2 28" xfId="2063" xr:uid="{00000000-0005-0000-0000-000001080000}"/>
    <cellStyle name="Currency 2 28 2" xfId="2064" xr:uid="{00000000-0005-0000-0000-000002080000}"/>
    <cellStyle name="Currency 2 29" xfId="2065" xr:uid="{00000000-0005-0000-0000-000003080000}"/>
    <cellStyle name="Currency 2 29 2" xfId="2066" xr:uid="{00000000-0005-0000-0000-000004080000}"/>
    <cellStyle name="Currency 2 3" xfId="2067" xr:uid="{00000000-0005-0000-0000-000005080000}"/>
    <cellStyle name="Currency 2 3 2" xfId="2068" xr:uid="{00000000-0005-0000-0000-000006080000}"/>
    <cellStyle name="Currency 2 3 2 2" xfId="2069" xr:uid="{00000000-0005-0000-0000-000007080000}"/>
    <cellStyle name="Currency 2 3 2 3" xfId="2070" xr:uid="{00000000-0005-0000-0000-000008080000}"/>
    <cellStyle name="Currency 2 3 3" xfId="2071" xr:uid="{00000000-0005-0000-0000-000009080000}"/>
    <cellStyle name="Currency 2 30" xfId="2072" xr:uid="{00000000-0005-0000-0000-00000A080000}"/>
    <cellStyle name="Currency 2 30 2" xfId="2073" xr:uid="{00000000-0005-0000-0000-00000B080000}"/>
    <cellStyle name="Currency 2 31" xfId="2074" xr:uid="{00000000-0005-0000-0000-00000C080000}"/>
    <cellStyle name="Currency 2 31 2" xfId="2075" xr:uid="{00000000-0005-0000-0000-00000D080000}"/>
    <cellStyle name="Currency 2 32" xfId="2076" xr:uid="{00000000-0005-0000-0000-00000E080000}"/>
    <cellStyle name="Currency 2 32 2" xfId="2077" xr:uid="{00000000-0005-0000-0000-00000F080000}"/>
    <cellStyle name="Currency 2 33" xfId="2078" xr:uid="{00000000-0005-0000-0000-000010080000}"/>
    <cellStyle name="Currency 2 33 2" xfId="2079" xr:uid="{00000000-0005-0000-0000-000011080000}"/>
    <cellStyle name="Currency 2 34" xfId="2080" xr:uid="{00000000-0005-0000-0000-000012080000}"/>
    <cellStyle name="Currency 2 34 2" xfId="2081" xr:uid="{00000000-0005-0000-0000-000013080000}"/>
    <cellStyle name="Currency 2 35" xfId="2082" xr:uid="{00000000-0005-0000-0000-000014080000}"/>
    <cellStyle name="Currency 2 35 2" xfId="2083" xr:uid="{00000000-0005-0000-0000-000015080000}"/>
    <cellStyle name="Currency 2 36" xfId="2084" xr:uid="{00000000-0005-0000-0000-000016080000}"/>
    <cellStyle name="Currency 2 36 2" xfId="2085" xr:uid="{00000000-0005-0000-0000-000017080000}"/>
    <cellStyle name="Currency 2 37" xfId="2086" xr:uid="{00000000-0005-0000-0000-000018080000}"/>
    <cellStyle name="Currency 2 37 2" xfId="2087" xr:uid="{00000000-0005-0000-0000-000019080000}"/>
    <cellStyle name="Currency 2 38" xfId="2088" xr:uid="{00000000-0005-0000-0000-00001A080000}"/>
    <cellStyle name="Currency 2 38 2" xfId="2089" xr:uid="{00000000-0005-0000-0000-00001B080000}"/>
    <cellStyle name="Currency 2 39" xfId="2090" xr:uid="{00000000-0005-0000-0000-00001C080000}"/>
    <cellStyle name="Currency 2 39 2" xfId="2091" xr:uid="{00000000-0005-0000-0000-00001D080000}"/>
    <cellStyle name="Currency 2 4" xfId="2092" xr:uid="{00000000-0005-0000-0000-00001E080000}"/>
    <cellStyle name="Currency 2 4 2" xfId="2093" xr:uid="{00000000-0005-0000-0000-00001F080000}"/>
    <cellStyle name="Currency 2 4 2 2" xfId="2094" xr:uid="{00000000-0005-0000-0000-000020080000}"/>
    <cellStyle name="Currency 2 4 2 3" xfId="2095" xr:uid="{00000000-0005-0000-0000-000021080000}"/>
    <cellStyle name="Currency 2 4 3" xfId="2096" xr:uid="{00000000-0005-0000-0000-000022080000}"/>
    <cellStyle name="Currency 2 40" xfId="2097" xr:uid="{00000000-0005-0000-0000-000023080000}"/>
    <cellStyle name="Currency 2 40 2" xfId="2098" xr:uid="{00000000-0005-0000-0000-000024080000}"/>
    <cellStyle name="Currency 2 41" xfId="2099" xr:uid="{00000000-0005-0000-0000-000025080000}"/>
    <cellStyle name="Currency 2 41 2" xfId="2100" xr:uid="{00000000-0005-0000-0000-000026080000}"/>
    <cellStyle name="Currency 2 42" xfId="2101" xr:uid="{00000000-0005-0000-0000-000027080000}"/>
    <cellStyle name="Currency 2 42 2" xfId="2102" xr:uid="{00000000-0005-0000-0000-000028080000}"/>
    <cellStyle name="Currency 2 43" xfId="2103" xr:uid="{00000000-0005-0000-0000-000029080000}"/>
    <cellStyle name="Currency 2 43 2" xfId="2104" xr:uid="{00000000-0005-0000-0000-00002A080000}"/>
    <cellStyle name="Currency 2 44" xfId="2105" xr:uid="{00000000-0005-0000-0000-00002B080000}"/>
    <cellStyle name="Currency 2 44 2" xfId="2106" xr:uid="{00000000-0005-0000-0000-00002C080000}"/>
    <cellStyle name="Currency 2 45" xfId="2107" xr:uid="{00000000-0005-0000-0000-00002D080000}"/>
    <cellStyle name="Currency 2 45 2" xfId="2108" xr:uid="{00000000-0005-0000-0000-00002E080000}"/>
    <cellStyle name="Currency 2 46" xfId="2109" xr:uid="{00000000-0005-0000-0000-00002F080000}"/>
    <cellStyle name="Currency 2 46 2" xfId="2110" xr:uid="{00000000-0005-0000-0000-000030080000}"/>
    <cellStyle name="Currency 2 47" xfId="2111" xr:uid="{00000000-0005-0000-0000-000031080000}"/>
    <cellStyle name="Currency 2 47 2" xfId="2112" xr:uid="{00000000-0005-0000-0000-000032080000}"/>
    <cellStyle name="Currency 2 48" xfId="2113" xr:uid="{00000000-0005-0000-0000-000033080000}"/>
    <cellStyle name="Currency 2 48 2" xfId="2114" xr:uid="{00000000-0005-0000-0000-000034080000}"/>
    <cellStyle name="Currency 2 49" xfId="2115" xr:uid="{00000000-0005-0000-0000-000035080000}"/>
    <cellStyle name="Currency 2 49 2" xfId="2116" xr:uid="{00000000-0005-0000-0000-000036080000}"/>
    <cellStyle name="Currency 2 5" xfId="2117" xr:uid="{00000000-0005-0000-0000-000037080000}"/>
    <cellStyle name="Currency 2 5 2" xfId="2118" xr:uid="{00000000-0005-0000-0000-000038080000}"/>
    <cellStyle name="Currency 2 5 2 2" xfId="2119" xr:uid="{00000000-0005-0000-0000-000039080000}"/>
    <cellStyle name="Currency 2 5 2 3" xfId="2120" xr:uid="{00000000-0005-0000-0000-00003A080000}"/>
    <cellStyle name="Currency 2 5 3" xfId="2121" xr:uid="{00000000-0005-0000-0000-00003B080000}"/>
    <cellStyle name="Currency 2 50" xfId="2122" xr:uid="{00000000-0005-0000-0000-00003C080000}"/>
    <cellStyle name="Currency 2 50 2" xfId="2123" xr:uid="{00000000-0005-0000-0000-00003D080000}"/>
    <cellStyle name="Currency 2 51" xfId="2124" xr:uid="{00000000-0005-0000-0000-00003E080000}"/>
    <cellStyle name="Currency 2 51 2" xfId="2125" xr:uid="{00000000-0005-0000-0000-00003F080000}"/>
    <cellStyle name="Currency 2 52" xfId="2126" xr:uid="{00000000-0005-0000-0000-000040080000}"/>
    <cellStyle name="Currency 2 52 2" xfId="2127" xr:uid="{00000000-0005-0000-0000-000041080000}"/>
    <cellStyle name="Currency 2 53" xfId="2128" xr:uid="{00000000-0005-0000-0000-000042080000}"/>
    <cellStyle name="Currency 2 53 2" xfId="2129" xr:uid="{00000000-0005-0000-0000-000043080000}"/>
    <cellStyle name="Currency 2 54" xfId="2130" xr:uid="{00000000-0005-0000-0000-000044080000}"/>
    <cellStyle name="Currency 2 54 2" xfId="2131" xr:uid="{00000000-0005-0000-0000-000045080000}"/>
    <cellStyle name="Currency 2 55" xfId="2132" xr:uid="{00000000-0005-0000-0000-000046080000}"/>
    <cellStyle name="Currency 2 55 2" xfId="2133" xr:uid="{00000000-0005-0000-0000-000047080000}"/>
    <cellStyle name="Currency 2 56" xfId="2134" xr:uid="{00000000-0005-0000-0000-000048080000}"/>
    <cellStyle name="Currency 2 56 2" xfId="2135" xr:uid="{00000000-0005-0000-0000-000049080000}"/>
    <cellStyle name="Currency 2 57" xfId="2136" xr:uid="{00000000-0005-0000-0000-00004A080000}"/>
    <cellStyle name="Currency 2 57 2" xfId="2137" xr:uid="{00000000-0005-0000-0000-00004B080000}"/>
    <cellStyle name="Currency 2 58" xfId="2138" xr:uid="{00000000-0005-0000-0000-00004C080000}"/>
    <cellStyle name="Currency 2 58 2" xfId="2139" xr:uid="{00000000-0005-0000-0000-00004D080000}"/>
    <cellStyle name="Currency 2 59" xfId="2140" xr:uid="{00000000-0005-0000-0000-00004E080000}"/>
    <cellStyle name="Currency 2 59 2" xfId="2141" xr:uid="{00000000-0005-0000-0000-00004F080000}"/>
    <cellStyle name="Currency 2 6" xfId="2142" xr:uid="{00000000-0005-0000-0000-000050080000}"/>
    <cellStyle name="Currency 2 6 2" xfId="2143" xr:uid="{00000000-0005-0000-0000-000051080000}"/>
    <cellStyle name="Currency 2 6 2 2" xfId="2144" xr:uid="{00000000-0005-0000-0000-000052080000}"/>
    <cellStyle name="Currency 2 6 2 3" xfId="2145" xr:uid="{00000000-0005-0000-0000-000053080000}"/>
    <cellStyle name="Currency 2 6 3" xfId="2146" xr:uid="{00000000-0005-0000-0000-000054080000}"/>
    <cellStyle name="Currency 2 60" xfId="2147" xr:uid="{00000000-0005-0000-0000-000055080000}"/>
    <cellStyle name="Currency 2 60 2" xfId="2148" xr:uid="{00000000-0005-0000-0000-000056080000}"/>
    <cellStyle name="Currency 2 61" xfId="2149" xr:uid="{00000000-0005-0000-0000-000057080000}"/>
    <cellStyle name="Currency 2 61 2" xfId="2150" xr:uid="{00000000-0005-0000-0000-000058080000}"/>
    <cellStyle name="Currency 2 62" xfId="2151" xr:uid="{00000000-0005-0000-0000-000059080000}"/>
    <cellStyle name="Currency 2 63" xfId="2152" xr:uid="{00000000-0005-0000-0000-00005A080000}"/>
    <cellStyle name="Currency 2 64" xfId="2153" xr:uid="{00000000-0005-0000-0000-00005B080000}"/>
    <cellStyle name="Currency 2 65" xfId="2154" xr:uid="{00000000-0005-0000-0000-00005C080000}"/>
    <cellStyle name="Currency 2 66" xfId="2155" xr:uid="{00000000-0005-0000-0000-00005D080000}"/>
    <cellStyle name="Currency 2 67" xfId="2156" xr:uid="{00000000-0005-0000-0000-00005E080000}"/>
    <cellStyle name="Currency 2 68" xfId="2157" xr:uid="{00000000-0005-0000-0000-00005F080000}"/>
    <cellStyle name="Currency 2 69" xfId="2158" xr:uid="{00000000-0005-0000-0000-000060080000}"/>
    <cellStyle name="Currency 2 7" xfId="2159" xr:uid="{00000000-0005-0000-0000-000061080000}"/>
    <cellStyle name="Currency 2 7 2" xfId="2160" xr:uid="{00000000-0005-0000-0000-000062080000}"/>
    <cellStyle name="Currency 2 7 2 2" xfId="2161" xr:uid="{00000000-0005-0000-0000-000063080000}"/>
    <cellStyle name="Currency 2 7 2 3" xfId="2162" xr:uid="{00000000-0005-0000-0000-000064080000}"/>
    <cellStyle name="Currency 2 7 3" xfId="2163" xr:uid="{00000000-0005-0000-0000-000065080000}"/>
    <cellStyle name="Currency 2 70" xfId="2164" xr:uid="{00000000-0005-0000-0000-000066080000}"/>
    <cellStyle name="Currency 2 71" xfId="2165" xr:uid="{00000000-0005-0000-0000-000067080000}"/>
    <cellStyle name="Currency 2 72" xfId="2166" xr:uid="{00000000-0005-0000-0000-000068080000}"/>
    <cellStyle name="Currency 2 73" xfId="2167" xr:uid="{00000000-0005-0000-0000-000069080000}"/>
    <cellStyle name="Currency 2 74" xfId="2168" xr:uid="{00000000-0005-0000-0000-00006A080000}"/>
    <cellStyle name="Currency 2 75" xfId="2169" xr:uid="{00000000-0005-0000-0000-00006B080000}"/>
    <cellStyle name="Currency 2 76" xfId="2170" xr:uid="{00000000-0005-0000-0000-00006C080000}"/>
    <cellStyle name="Currency 2 77" xfId="2171" xr:uid="{00000000-0005-0000-0000-00006D080000}"/>
    <cellStyle name="Currency 2 78" xfId="2172" xr:uid="{00000000-0005-0000-0000-00006E080000}"/>
    <cellStyle name="Currency 2 79" xfId="2173" xr:uid="{00000000-0005-0000-0000-00006F080000}"/>
    <cellStyle name="Currency 2 8" xfId="2174" xr:uid="{00000000-0005-0000-0000-000070080000}"/>
    <cellStyle name="Currency 2 8 2" xfId="2175" xr:uid="{00000000-0005-0000-0000-000071080000}"/>
    <cellStyle name="Currency 2 8 2 2" xfId="2176" xr:uid="{00000000-0005-0000-0000-000072080000}"/>
    <cellStyle name="Currency 2 8 2 3" xfId="2177" xr:uid="{00000000-0005-0000-0000-000073080000}"/>
    <cellStyle name="Currency 2 8 3" xfId="2178" xr:uid="{00000000-0005-0000-0000-000074080000}"/>
    <cellStyle name="Currency 2 80" xfId="2179" xr:uid="{00000000-0005-0000-0000-000075080000}"/>
    <cellStyle name="Currency 2 81" xfId="2180" xr:uid="{00000000-0005-0000-0000-000076080000}"/>
    <cellStyle name="Currency 2 82" xfId="2181" xr:uid="{00000000-0005-0000-0000-000077080000}"/>
    <cellStyle name="Currency 2 83" xfId="2182" xr:uid="{00000000-0005-0000-0000-000078080000}"/>
    <cellStyle name="Currency 2 84" xfId="2183" xr:uid="{00000000-0005-0000-0000-000079080000}"/>
    <cellStyle name="Currency 2 85" xfId="2184" xr:uid="{00000000-0005-0000-0000-00007A080000}"/>
    <cellStyle name="Currency 2 86" xfId="2185" xr:uid="{00000000-0005-0000-0000-00007B080000}"/>
    <cellStyle name="Currency 2 87" xfId="2186" xr:uid="{00000000-0005-0000-0000-00007C080000}"/>
    <cellStyle name="Currency 2 88" xfId="2187" xr:uid="{00000000-0005-0000-0000-00007D080000}"/>
    <cellStyle name="Currency 2 89" xfId="2188" xr:uid="{00000000-0005-0000-0000-00007E080000}"/>
    <cellStyle name="Currency 2 9" xfId="2189" xr:uid="{00000000-0005-0000-0000-00007F080000}"/>
    <cellStyle name="Currency 2 9 2" xfId="2190" xr:uid="{00000000-0005-0000-0000-000080080000}"/>
    <cellStyle name="Currency 2 9 2 2" xfId="2191" xr:uid="{00000000-0005-0000-0000-000081080000}"/>
    <cellStyle name="Currency 2 9 2 3" xfId="2192" xr:uid="{00000000-0005-0000-0000-000082080000}"/>
    <cellStyle name="Currency 2 9 3" xfId="2193" xr:uid="{00000000-0005-0000-0000-000083080000}"/>
    <cellStyle name="Currency 2 90" xfId="2194" xr:uid="{00000000-0005-0000-0000-000084080000}"/>
    <cellStyle name="Currency 2 91" xfId="2195" xr:uid="{00000000-0005-0000-0000-000085080000}"/>
    <cellStyle name="Currency 2 92" xfId="2196" xr:uid="{00000000-0005-0000-0000-000086080000}"/>
    <cellStyle name="Currency 2 93" xfId="2197" xr:uid="{00000000-0005-0000-0000-000087080000}"/>
    <cellStyle name="Currency 2 94" xfId="2198" xr:uid="{00000000-0005-0000-0000-000088080000}"/>
    <cellStyle name="Currency 2 95" xfId="2199" xr:uid="{00000000-0005-0000-0000-000089080000}"/>
    <cellStyle name="Currency 2 96" xfId="2200" xr:uid="{00000000-0005-0000-0000-00008A080000}"/>
    <cellStyle name="Currency 2 97" xfId="2201" xr:uid="{00000000-0005-0000-0000-00008B080000}"/>
    <cellStyle name="Currency 2 98" xfId="2202" xr:uid="{00000000-0005-0000-0000-00008C080000}"/>
    <cellStyle name="Currency 2 99" xfId="2203" xr:uid="{00000000-0005-0000-0000-00008D080000}"/>
    <cellStyle name="Currency 20" xfId="2204" xr:uid="{00000000-0005-0000-0000-00008E080000}"/>
    <cellStyle name="Currency 21" xfId="2205" xr:uid="{00000000-0005-0000-0000-00008F080000}"/>
    <cellStyle name="Currency 22" xfId="2206" xr:uid="{00000000-0005-0000-0000-000090080000}"/>
    <cellStyle name="Currency 23" xfId="2207" xr:uid="{00000000-0005-0000-0000-000091080000}"/>
    <cellStyle name="Currency 24" xfId="2208" xr:uid="{00000000-0005-0000-0000-000092080000}"/>
    <cellStyle name="Currency 25" xfId="2209" xr:uid="{00000000-0005-0000-0000-000093080000}"/>
    <cellStyle name="Currency 25 2" xfId="2210" xr:uid="{00000000-0005-0000-0000-000094080000}"/>
    <cellStyle name="Currency 25 3" xfId="2211" xr:uid="{00000000-0005-0000-0000-000095080000}"/>
    <cellStyle name="Currency 26" xfId="2212" xr:uid="{00000000-0005-0000-0000-000096080000}"/>
    <cellStyle name="Currency 27" xfId="2213" xr:uid="{00000000-0005-0000-0000-000097080000}"/>
    <cellStyle name="Currency 28" xfId="2214" xr:uid="{00000000-0005-0000-0000-000098080000}"/>
    <cellStyle name="Currency 29" xfId="2215" xr:uid="{00000000-0005-0000-0000-000099080000}"/>
    <cellStyle name="Currency 3" xfId="2216" xr:uid="{00000000-0005-0000-0000-00009A080000}"/>
    <cellStyle name="Currency 3 10" xfId="2217" xr:uid="{00000000-0005-0000-0000-00009B080000}"/>
    <cellStyle name="Currency 3 10 2" xfId="2218" xr:uid="{00000000-0005-0000-0000-00009C080000}"/>
    <cellStyle name="Currency 3 10 2 2" xfId="2219" xr:uid="{00000000-0005-0000-0000-00009D080000}"/>
    <cellStyle name="Currency 3 10 2 3" xfId="2220" xr:uid="{00000000-0005-0000-0000-00009E080000}"/>
    <cellStyle name="Currency 3 10 3" xfId="2221" xr:uid="{00000000-0005-0000-0000-00009F080000}"/>
    <cellStyle name="Currency 3 100" xfId="2222" xr:uid="{00000000-0005-0000-0000-0000A0080000}"/>
    <cellStyle name="Currency 3 101" xfId="2223" xr:uid="{00000000-0005-0000-0000-0000A1080000}"/>
    <cellStyle name="Currency 3 102" xfId="2224" xr:uid="{00000000-0005-0000-0000-0000A2080000}"/>
    <cellStyle name="Currency 3 103" xfId="2225" xr:uid="{00000000-0005-0000-0000-0000A3080000}"/>
    <cellStyle name="Currency 3 104" xfId="2226" xr:uid="{00000000-0005-0000-0000-0000A4080000}"/>
    <cellStyle name="Currency 3 105" xfId="2227" xr:uid="{00000000-0005-0000-0000-0000A5080000}"/>
    <cellStyle name="Currency 3 106" xfId="2228" xr:uid="{00000000-0005-0000-0000-0000A6080000}"/>
    <cellStyle name="Currency 3 107" xfId="2229" xr:uid="{00000000-0005-0000-0000-0000A7080000}"/>
    <cellStyle name="Currency 3 108" xfId="2230" xr:uid="{00000000-0005-0000-0000-0000A8080000}"/>
    <cellStyle name="Currency 3 109" xfId="2231" xr:uid="{00000000-0005-0000-0000-0000A9080000}"/>
    <cellStyle name="Currency 3 11" xfId="2232" xr:uid="{00000000-0005-0000-0000-0000AA080000}"/>
    <cellStyle name="Currency 3 11 2" xfId="2233" xr:uid="{00000000-0005-0000-0000-0000AB080000}"/>
    <cellStyle name="Currency 3 11 2 2" xfId="2234" xr:uid="{00000000-0005-0000-0000-0000AC080000}"/>
    <cellStyle name="Currency 3 11 2 3" xfId="2235" xr:uid="{00000000-0005-0000-0000-0000AD080000}"/>
    <cellStyle name="Currency 3 11 3" xfId="2236" xr:uid="{00000000-0005-0000-0000-0000AE080000}"/>
    <cellStyle name="Currency 3 110" xfId="2237" xr:uid="{00000000-0005-0000-0000-0000AF080000}"/>
    <cellStyle name="Currency 3 111" xfId="2238" xr:uid="{00000000-0005-0000-0000-0000B0080000}"/>
    <cellStyle name="Currency 3 112" xfId="2239" xr:uid="{00000000-0005-0000-0000-0000B1080000}"/>
    <cellStyle name="Currency 3 113" xfId="2240" xr:uid="{00000000-0005-0000-0000-0000B2080000}"/>
    <cellStyle name="Currency 3 114" xfId="2241" xr:uid="{00000000-0005-0000-0000-0000B3080000}"/>
    <cellStyle name="Currency 3 115" xfId="2242" xr:uid="{00000000-0005-0000-0000-0000B4080000}"/>
    <cellStyle name="Currency 3 116" xfId="2243" xr:uid="{00000000-0005-0000-0000-0000B5080000}"/>
    <cellStyle name="Currency 3 117" xfId="2244" xr:uid="{00000000-0005-0000-0000-0000B6080000}"/>
    <cellStyle name="Currency 3 118" xfId="2245" xr:uid="{00000000-0005-0000-0000-0000B7080000}"/>
    <cellStyle name="Currency 3 119" xfId="2246" xr:uid="{00000000-0005-0000-0000-0000B8080000}"/>
    <cellStyle name="Currency 3 12" xfId="2247" xr:uid="{00000000-0005-0000-0000-0000B9080000}"/>
    <cellStyle name="Currency 3 12 2" xfId="2248" xr:uid="{00000000-0005-0000-0000-0000BA080000}"/>
    <cellStyle name="Currency 3 12 2 2" xfId="2249" xr:uid="{00000000-0005-0000-0000-0000BB080000}"/>
    <cellStyle name="Currency 3 12 2 3" xfId="2250" xr:uid="{00000000-0005-0000-0000-0000BC080000}"/>
    <cellStyle name="Currency 3 12 3" xfId="2251" xr:uid="{00000000-0005-0000-0000-0000BD080000}"/>
    <cellStyle name="Currency 3 120" xfId="2252" xr:uid="{00000000-0005-0000-0000-0000BE080000}"/>
    <cellStyle name="Currency 3 121" xfId="2253" xr:uid="{00000000-0005-0000-0000-0000BF080000}"/>
    <cellStyle name="Currency 3 122" xfId="2254" xr:uid="{00000000-0005-0000-0000-0000C0080000}"/>
    <cellStyle name="Currency 3 123" xfId="2255" xr:uid="{00000000-0005-0000-0000-0000C1080000}"/>
    <cellStyle name="Currency 3 124" xfId="2256" xr:uid="{00000000-0005-0000-0000-0000C2080000}"/>
    <cellStyle name="Currency 3 125" xfId="2257" xr:uid="{00000000-0005-0000-0000-0000C3080000}"/>
    <cellStyle name="Currency 3 126" xfId="2258" xr:uid="{00000000-0005-0000-0000-0000C4080000}"/>
    <cellStyle name="Currency 3 127" xfId="2259" xr:uid="{00000000-0005-0000-0000-0000C5080000}"/>
    <cellStyle name="Currency 3 128" xfId="2260" xr:uid="{00000000-0005-0000-0000-0000C6080000}"/>
    <cellStyle name="Currency 3 129" xfId="2261" xr:uid="{00000000-0005-0000-0000-0000C7080000}"/>
    <cellStyle name="Currency 3 13" xfId="2262" xr:uid="{00000000-0005-0000-0000-0000C8080000}"/>
    <cellStyle name="Currency 3 13 2" xfId="2263" xr:uid="{00000000-0005-0000-0000-0000C9080000}"/>
    <cellStyle name="Currency 3 13 2 2" xfId="2264" xr:uid="{00000000-0005-0000-0000-0000CA080000}"/>
    <cellStyle name="Currency 3 13 2 3" xfId="2265" xr:uid="{00000000-0005-0000-0000-0000CB080000}"/>
    <cellStyle name="Currency 3 13 3" xfId="2266" xr:uid="{00000000-0005-0000-0000-0000CC080000}"/>
    <cellStyle name="Currency 3 130" xfId="2267" xr:uid="{00000000-0005-0000-0000-0000CD080000}"/>
    <cellStyle name="Currency 3 131" xfId="2268" xr:uid="{00000000-0005-0000-0000-0000CE080000}"/>
    <cellStyle name="Currency 3 132" xfId="2269" xr:uid="{00000000-0005-0000-0000-0000CF080000}"/>
    <cellStyle name="Currency 3 133" xfId="2270" xr:uid="{00000000-0005-0000-0000-0000D0080000}"/>
    <cellStyle name="Currency 3 134" xfId="2271" xr:uid="{00000000-0005-0000-0000-0000D1080000}"/>
    <cellStyle name="Currency 3 135" xfId="2272" xr:uid="{00000000-0005-0000-0000-0000D2080000}"/>
    <cellStyle name="Currency 3 136" xfId="2273" xr:uid="{00000000-0005-0000-0000-0000D3080000}"/>
    <cellStyle name="Currency 3 137" xfId="2274" xr:uid="{00000000-0005-0000-0000-0000D4080000}"/>
    <cellStyle name="Currency 3 138" xfId="2275" xr:uid="{00000000-0005-0000-0000-0000D5080000}"/>
    <cellStyle name="Currency 3 139" xfId="2276" xr:uid="{00000000-0005-0000-0000-0000D6080000}"/>
    <cellStyle name="Currency 3 14" xfId="2277" xr:uid="{00000000-0005-0000-0000-0000D7080000}"/>
    <cellStyle name="Currency 3 14 2" xfId="2278" xr:uid="{00000000-0005-0000-0000-0000D8080000}"/>
    <cellStyle name="Currency 3 14 2 2" xfId="2279" xr:uid="{00000000-0005-0000-0000-0000D9080000}"/>
    <cellStyle name="Currency 3 14 2 3" xfId="2280" xr:uid="{00000000-0005-0000-0000-0000DA080000}"/>
    <cellStyle name="Currency 3 14 3" xfId="2281" xr:uid="{00000000-0005-0000-0000-0000DB080000}"/>
    <cellStyle name="Currency 3 15" xfId="2282" xr:uid="{00000000-0005-0000-0000-0000DC080000}"/>
    <cellStyle name="Currency 3 15 2" xfId="2283" xr:uid="{00000000-0005-0000-0000-0000DD080000}"/>
    <cellStyle name="Currency 3 15 2 2" xfId="2284" xr:uid="{00000000-0005-0000-0000-0000DE080000}"/>
    <cellStyle name="Currency 3 15 2 3" xfId="2285" xr:uid="{00000000-0005-0000-0000-0000DF080000}"/>
    <cellStyle name="Currency 3 15 3" xfId="2286" xr:uid="{00000000-0005-0000-0000-0000E0080000}"/>
    <cellStyle name="Currency 3 16" xfId="2287" xr:uid="{00000000-0005-0000-0000-0000E1080000}"/>
    <cellStyle name="Currency 3 16 2" xfId="2288" xr:uid="{00000000-0005-0000-0000-0000E2080000}"/>
    <cellStyle name="Currency 3 16 2 2" xfId="2289" xr:uid="{00000000-0005-0000-0000-0000E3080000}"/>
    <cellStyle name="Currency 3 16 2 3" xfId="2290" xr:uid="{00000000-0005-0000-0000-0000E4080000}"/>
    <cellStyle name="Currency 3 16 3" xfId="2291" xr:uid="{00000000-0005-0000-0000-0000E5080000}"/>
    <cellStyle name="Currency 3 17" xfId="2292" xr:uid="{00000000-0005-0000-0000-0000E6080000}"/>
    <cellStyle name="Currency 3 17 2" xfId="2293" xr:uid="{00000000-0005-0000-0000-0000E7080000}"/>
    <cellStyle name="Currency 3 17 2 2" xfId="2294" xr:uid="{00000000-0005-0000-0000-0000E8080000}"/>
    <cellStyle name="Currency 3 17 2 3" xfId="2295" xr:uid="{00000000-0005-0000-0000-0000E9080000}"/>
    <cellStyle name="Currency 3 17 3" xfId="2296" xr:uid="{00000000-0005-0000-0000-0000EA080000}"/>
    <cellStyle name="Currency 3 18" xfId="2297" xr:uid="{00000000-0005-0000-0000-0000EB080000}"/>
    <cellStyle name="Currency 3 18 2" xfId="2298" xr:uid="{00000000-0005-0000-0000-0000EC080000}"/>
    <cellStyle name="Currency 3 18 2 2" xfId="2299" xr:uid="{00000000-0005-0000-0000-0000ED080000}"/>
    <cellStyle name="Currency 3 18 2 3" xfId="2300" xr:uid="{00000000-0005-0000-0000-0000EE080000}"/>
    <cellStyle name="Currency 3 18 3" xfId="2301" xr:uid="{00000000-0005-0000-0000-0000EF080000}"/>
    <cellStyle name="Currency 3 19" xfId="2302" xr:uid="{00000000-0005-0000-0000-0000F0080000}"/>
    <cellStyle name="Currency 3 19 2" xfId="2303" xr:uid="{00000000-0005-0000-0000-0000F1080000}"/>
    <cellStyle name="Currency 3 19 2 2" xfId="2304" xr:uid="{00000000-0005-0000-0000-0000F2080000}"/>
    <cellStyle name="Currency 3 19 2 3" xfId="2305" xr:uid="{00000000-0005-0000-0000-0000F3080000}"/>
    <cellStyle name="Currency 3 19 3" xfId="2306" xr:uid="{00000000-0005-0000-0000-0000F4080000}"/>
    <cellStyle name="Currency 3 2" xfId="2307" xr:uid="{00000000-0005-0000-0000-0000F5080000}"/>
    <cellStyle name="Currency 3 2 10" xfId="2308" xr:uid="{00000000-0005-0000-0000-0000F6080000}"/>
    <cellStyle name="Currency 3 2 11" xfId="2309" xr:uid="{00000000-0005-0000-0000-0000F7080000}"/>
    <cellStyle name="Currency 3 2 12" xfId="2310" xr:uid="{00000000-0005-0000-0000-0000F8080000}"/>
    <cellStyle name="Currency 3 2 13" xfId="2311" xr:uid="{00000000-0005-0000-0000-0000F9080000}"/>
    <cellStyle name="Currency 3 2 14" xfId="2312" xr:uid="{00000000-0005-0000-0000-0000FA080000}"/>
    <cellStyle name="Currency 3 2 15" xfId="2313" xr:uid="{00000000-0005-0000-0000-0000FB080000}"/>
    <cellStyle name="Currency 3 2 15 2" xfId="2314" xr:uid="{00000000-0005-0000-0000-0000FC080000}"/>
    <cellStyle name="Currency 3 2 16" xfId="2315" xr:uid="{00000000-0005-0000-0000-0000FD080000}"/>
    <cellStyle name="Currency 3 2 17" xfId="2316" xr:uid="{00000000-0005-0000-0000-0000FE080000}"/>
    <cellStyle name="Currency 3 2 18" xfId="2317" xr:uid="{00000000-0005-0000-0000-0000FF080000}"/>
    <cellStyle name="Currency 3 2 18 2" xfId="2318" xr:uid="{00000000-0005-0000-0000-000000090000}"/>
    <cellStyle name="Currency 3 2 19" xfId="2319" xr:uid="{00000000-0005-0000-0000-000001090000}"/>
    <cellStyle name="Currency 3 2 2" xfId="2320" xr:uid="{00000000-0005-0000-0000-000002090000}"/>
    <cellStyle name="Currency 3 2 2 10" xfId="2321" xr:uid="{00000000-0005-0000-0000-000003090000}"/>
    <cellStyle name="Currency 3 2 2 11" xfId="2322" xr:uid="{00000000-0005-0000-0000-000004090000}"/>
    <cellStyle name="Currency 3 2 2 12" xfId="2323" xr:uid="{00000000-0005-0000-0000-000005090000}"/>
    <cellStyle name="Currency 3 2 2 13" xfId="2324" xr:uid="{00000000-0005-0000-0000-000006090000}"/>
    <cellStyle name="Currency 3 2 2 14" xfId="2325" xr:uid="{00000000-0005-0000-0000-000007090000}"/>
    <cellStyle name="Currency 3 2 2 15" xfId="2326" xr:uid="{00000000-0005-0000-0000-000008090000}"/>
    <cellStyle name="Currency 3 2 2 16" xfId="2327" xr:uid="{00000000-0005-0000-0000-000009090000}"/>
    <cellStyle name="Currency 3 2 2 17" xfId="2328" xr:uid="{00000000-0005-0000-0000-00000A090000}"/>
    <cellStyle name="Currency 3 2 2 18" xfId="2329" xr:uid="{00000000-0005-0000-0000-00000B090000}"/>
    <cellStyle name="Currency 3 2 2 2" xfId="2330" xr:uid="{00000000-0005-0000-0000-00000C090000}"/>
    <cellStyle name="Currency 3 2 2 2 10" xfId="2331" xr:uid="{00000000-0005-0000-0000-00000D090000}"/>
    <cellStyle name="Currency 3 2 2 2 11" xfId="2332" xr:uid="{00000000-0005-0000-0000-00000E090000}"/>
    <cellStyle name="Currency 3 2 2 2 12" xfId="2333" xr:uid="{00000000-0005-0000-0000-00000F090000}"/>
    <cellStyle name="Currency 3 2 2 2 13" xfId="2334" xr:uid="{00000000-0005-0000-0000-000010090000}"/>
    <cellStyle name="Currency 3 2 2 2 14" xfId="2335" xr:uid="{00000000-0005-0000-0000-000011090000}"/>
    <cellStyle name="Currency 3 2 2 2 15" xfId="2336" xr:uid="{00000000-0005-0000-0000-000012090000}"/>
    <cellStyle name="Currency 3 2 2 2 16" xfId="2337" xr:uid="{00000000-0005-0000-0000-000013090000}"/>
    <cellStyle name="Currency 3 2 2 2 17" xfId="2338" xr:uid="{00000000-0005-0000-0000-000014090000}"/>
    <cellStyle name="Currency 3 2 2 2 2" xfId="2339" xr:uid="{00000000-0005-0000-0000-000015090000}"/>
    <cellStyle name="Currency 3 2 2 2 2 2" xfId="2340" xr:uid="{00000000-0005-0000-0000-000016090000}"/>
    <cellStyle name="Currency 3 2 2 2 2 2 2" xfId="2341" xr:uid="{00000000-0005-0000-0000-000017090000}"/>
    <cellStyle name="Currency 3 2 2 2 2 2 3" xfId="2342" xr:uid="{00000000-0005-0000-0000-000018090000}"/>
    <cellStyle name="Currency 3 2 2 2 2 2 4" xfId="2343" xr:uid="{00000000-0005-0000-0000-000019090000}"/>
    <cellStyle name="Currency 3 2 2 2 2 2 5" xfId="2344" xr:uid="{00000000-0005-0000-0000-00001A090000}"/>
    <cellStyle name="Currency 3 2 2 2 2 3" xfId="2345" xr:uid="{00000000-0005-0000-0000-00001B090000}"/>
    <cellStyle name="Currency 3 2 2 2 2 4" xfId="2346" xr:uid="{00000000-0005-0000-0000-00001C090000}"/>
    <cellStyle name="Currency 3 2 2 2 2 5" xfId="2347" xr:uid="{00000000-0005-0000-0000-00001D090000}"/>
    <cellStyle name="Currency 3 2 2 2 3" xfId="2348" xr:uid="{00000000-0005-0000-0000-00001E090000}"/>
    <cellStyle name="Currency 3 2 2 2 4" xfId="2349" xr:uid="{00000000-0005-0000-0000-00001F090000}"/>
    <cellStyle name="Currency 3 2 2 2 5" xfId="2350" xr:uid="{00000000-0005-0000-0000-000020090000}"/>
    <cellStyle name="Currency 3 2 2 2 6" xfId="2351" xr:uid="{00000000-0005-0000-0000-000021090000}"/>
    <cellStyle name="Currency 3 2 2 2 7" xfId="2352" xr:uid="{00000000-0005-0000-0000-000022090000}"/>
    <cellStyle name="Currency 3 2 2 2 8" xfId="2353" xr:uid="{00000000-0005-0000-0000-000023090000}"/>
    <cellStyle name="Currency 3 2 2 2 9" xfId="2354" xr:uid="{00000000-0005-0000-0000-000024090000}"/>
    <cellStyle name="Currency 3 2 2 3" xfId="2355" xr:uid="{00000000-0005-0000-0000-000025090000}"/>
    <cellStyle name="Currency 3 2 2 4" xfId="2356" xr:uid="{00000000-0005-0000-0000-000026090000}"/>
    <cellStyle name="Currency 3 2 2 5" xfId="2357" xr:uid="{00000000-0005-0000-0000-000027090000}"/>
    <cellStyle name="Currency 3 2 2 6" xfId="2358" xr:uid="{00000000-0005-0000-0000-000028090000}"/>
    <cellStyle name="Currency 3 2 2 7" xfId="2359" xr:uid="{00000000-0005-0000-0000-000029090000}"/>
    <cellStyle name="Currency 3 2 2 8" xfId="2360" xr:uid="{00000000-0005-0000-0000-00002A090000}"/>
    <cellStyle name="Currency 3 2 2 9" xfId="2361" xr:uid="{00000000-0005-0000-0000-00002B090000}"/>
    <cellStyle name="Currency 3 2 20" xfId="2362" xr:uid="{00000000-0005-0000-0000-00002C090000}"/>
    <cellStyle name="Currency 3 2 21" xfId="2363" xr:uid="{00000000-0005-0000-0000-00002D090000}"/>
    <cellStyle name="Currency 3 2 3" xfId="2364" xr:uid="{00000000-0005-0000-0000-00002E090000}"/>
    <cellStyle name="Currency 3 2 4" xfId="2365" xr:uid="{00000000-0005-0000-0000-00002F090000}"/>
    <cellStyle name="Currency 3 2 5" xfId="2366" xr:uid="{00000000-0005-0000-0000-000030090000}"/>
    <cellStyle name="Currency 3 2 6" xfId="2367" xr:uid="{00000000-0005-0000-0000-000031090000}"/>
    <cellStyle name="Currency 3 2 7" xfId="2368" xr:uid="{00000000-0005-0000-0000-000032090000}"/>
    <cellStyle name="Currency 3 2 8" xfId="2369" xr:uid="{00000000-0005-0000-0000-000033090000}"/>
    <cellStyle name="Currency 3 2 9" xfId="2370" xr:uid="{00000000-0005-0000-0000-000034090000}"/>
    <cellStyle name="Currency 3 20" xfId="2371" xr:uid="{00000000-0005-0000-0000-000035090000}"/>
    <cellStyle name="Currency 3 20 2" xfId="2372" xr:uid="{00000000-0005-0000-0000-000036090000}"/>
    <cellStyle name="Currency 3 20 3" xfId="2373" xr:uid="{00000000-0005-0000-0000-000037090000}"/>
    <cellStyle name="Currency 3 20 4" xfId="2374" xr:uid="{00000000-0005-0000-0000-000038090000}"/>
    <cellStyle name="Currency 3 21" xfId="2375" xr:uid="{00000000-0005-0000-0000-000039090000}"/>
    <cellStyle name="Currency 3 21 2" xfId="2376" xr:uid="{00000000-0005-0000-0000-00003A090000}"/>
    <cellStyle name="Currency 3 22" xfId="2377" xr:uid="{00000000-0005-0000-0000-00003B090000}"/>
    <cellStyle name="Currency 3 22 2" xfId="2378" xr:uid="{00000000-0005-0000-0000-00003C090000}"/>
    <cellStyle name="Currency 3 23" xfId="2379" xr:uid="{00000000-0005-0000-0000-00003D090000}"/>
    <cellStyle name="Currency 3 23 2" xfId="2380" xr:uid="{00000000-0005-0000-0000-00003E090000}"/>
    <cellStyle name="Currency 3 24" xfId="2381" xr:uid="{00000000-0005-0000-0000-00003F090000}"/>
    <cellStyle name="Currency 3 24 2" xfId="2382" xr:uid="{00000000-0005-0000-0000-000040090000}"/>
    <cellStyle name="Currency 3 25" xfId="2383" xr:uid="{00000000-0005-0000-0000-000041090000}"/>
    <cellStyle name="Currency 3 25 2" xfId="2384" xr:uid="{00000000-0005-0000-0000-000042090000}"/>
    <cellStyle name="Currency 3 26" xfId="2385" xr:uid="{00000000-0005-0000-0000-000043090000}"/>
    <cellStyle name="Currency 3 26 2" xfId="2386" xr:uid="{00000000-0005-0000-0000-000044090000}"/>
    <cellStyle name="Currency 3 27" xfId="2387" xr:uid="{00000000-0005-0000-0000-000045090000}"/>
    <cellStyle name="Currency 3 27 2" xfId="2388" xr:uid="{00000000-0005-0000-0000-000046090000}"/>
    <cellStyle name="Currency 3 28" xfId="2389" xr:uid="{00000000-0005-0000-0000-000047090000}"/>
    <cellStyle name="Currency 3 28 2" xfId="2390" xr:uid="{00000000-0005-0000-0000-000048090000}"/>
    <cellStyle name="Currency 3 29" xfId="2391" xr:uid="{00000000-0005-0000-0000-000049090000}"/>
    <cellStyle name="Currency 3 29 2" xfId="2392" xr:uid="{00000000-0005-0000-0000-00004A090000}"/>
    <cellStyle name="Currency 3 3" xfId="2393" xr:uid="{00000000-0005-0000-0000-00004B090000}"/>
    <cellStyle name="Currency 3 3 10" xfId="2394" xr:uid="{00000000-0005-0000-0000-00004C090000}"/>
    <cellStyle name="Currency 3 3 10 2" xfId="2395" xr:uid="{00000000-0005-0000-0000-00004D090000}"/>
    <cellStyle name="Currency 3 3 11" xfId="2396" xr:uid="{00000000-0005-0000-0000-00004E090000}"/>
    <cellStyle name="Currency 3 3 11 2" xfId="2397" xr:uid="{00000000-0005-0000-0000-00004F090000}"/>
    <cellStyle name="Currency 3 3 12" xfId="2398" xr:uid="{00000000-0005-0000-0000-000050090000}"/>
    <cellStyle name="Currency 3 3 13" xfId="2399" xr:uid="{00000000-0005-0000-0000-000051090000}"/>
    <cellStyle name="Currency 3 3 14" xfId="2400" xr:uid="{00000000-0005-0000-0000-000052090000}"/>
    <cellStyle name="Currency 3 3 14 2" xfId="2401" xr:uid="{00000000-0005-0000-0000-000053090000}"/>
    <cellStyle name="Currency 3 3 15" xfId="2402" xr:uid="{00000000-0005-0000-0000-000054090000}"/>
    <cellStyle name="Currency 3 3 2" xfId="2403" xr:uid="{00000000-0005-0000-0000-000055090000}"/>
    <cellStyle name="Currency 3 3 2 10" xfId="2404" xr:uid="{00000000-0005-0000-0000-000056090000}"/>
    <cellStyle name="Currency 3 3 2 10 2" xfId="2405" xr:uid="{00000000-0005-0000-0000-000057090000}"/>
    <cellStyle name="Currency 3 3 2 10 2 2" xfId="2406" xr:uid="{00000000-0005-0000-0000-000058090000}"/>
    <cellStyle name="Currency 3 3 2 10 3" xfId="2407" xr:uid="{00000000-0005-0000-0000-000059090000}"/>
    <cellStyle name="Currency 3 3 2 11" xfId="2408" xr:uid="{00000000-0005-0000-0000-00005A090000}"/>
    <cellStyle name="Currency 3 3 2 11 2" xfId="2409" xr:uid="{00000000-0005-0000-0000-00005B090000}"/>
    <cellStyle name="Currency 3 3 2 11 2 2" xfId="2410" xr:uid="{00000000-0005-0000-0000-00005C090000}"/>
    <cellStyle name="Currency 3 3 2 11 3" xfId="2411" xr:uid="{00000000-0005-0000-0000-00005D090000}"/>
    <cellStyle name="Currency 3 3 2 12" xfId="2412" xr:uid="{00000000-0005-0000-0000-00005E090000}"/>
    <cellStyle name="Currency 3 3 2 12 2" xfId="2413" xr:uid="{00000000-0005-0000-0000-00005F090000}"/>
    <cellStyle name="Currency 3 3 2 12 2 2" xfId="2414" xr:uid="{00000000-0005-0000-0000-000060090000}"/>
    <cellStyle name="Currency 3 3 2 12 3" xfId="2415" xr:uid="{00000000-0005-0000-0000-000061090000}"/>
    <cellStyle name="Currency 3 3 2 12 4" xfId="2416" xr:uid="{00000000-0005-0000-0000-000062090000}"/>
    <cellStyle name="Currency 3 3 2 13" xfId="2417" xr:uid="{00000000-0005-0000-0000-000063090000}"/>
    <cellStyle name="Currency 3 3 2 13 2" xfId="2418" xr:uid="{00000000-0005-0000-0000-000064090000}"/>
    <cellStyle name="Currency 3 3 2 13 2 2" xfId="2419" xr:uid="{00000000-0005-0000-0000-000065090000}"/>
    <cellStyle name="Currency 3 3 2 13 3" xfId="2420" xr:uid="{00000000-0005-0000-0000-000066090000}"/>
    <cellStyle name="Currency 3 3 2 14" xfId="2421" xr:uid="{00000000-0005-0000-0000-000067090000}"/>
    <cellStyle name="Currency 3 3 2 15" xfId="2422" xr:uid="{00000000-0005-0000-0000-000068090000}"/>
    <cellStyle name="Currency 3 3 2 2" xfId="2423" xr:uid="{00000000-0005-0000-0000-000069090000}"/>
    <cellStyle name="Currency 3 3 2 2 2" xfId="2424" xr:uid="{00000000-0005-0000-0000-00006A090000}"/>
    <cellStyle name="Currency 3 3 2 2 2 2" xfId="2425" xr:uid="{00000000-0005-0000-0000-00006B090000}"/>
    <cellStyle name="Currency 3 3 2 2 3" xfId="2426" xr:uid="{00000000-0005-0000-0000-00006C090000}"/>
    <cellStyle name="Currency 3 3 2 3" xfId="2427" xr:uid="{00000000-0005-0000-0000-00006D090000}"/>
    <cellStyle name="Currency 3 3 2 3 2" xfId="2428" xr:uid="{00000000-0005-0000-0000-00006E090000}"/>
    <cellStyle name="Currency 3 3 2 3 2 2" xfId="2429" xr:uid="{00000000-0005-0000-0000-00006F090000}"/>
    <cellStyle name="Currency 3 3 2 3 3" xfId="2430" xr:uid="{00000000-0005-0000-0000-000070090000}"/>
    <cellStyle name="Currency 3 3 2 4" xfId="2431" xr:uid="{00000000-0005-0000-0000-000071090000}"/>
    <cellStyle name="Currency 3 3 2 4 2" xfId="2432" xr:uid="{00000000-0005-0000-0000-000072090000}"/>
    <cellStyle name="Currency 3 3 2 4 2 2" xfId="2433" xr:uid="{00000000-0005-0000-0000-000073090000}"/>
    <cellStyle name="Currency 3 3 2 4 3" xfId="2434" xr:uid="{00000000-0005-0000-0000-000074090000}"/>
    <cellStyle name="Currency 3 3 2 5" xfId="2435" xr:uid="{00000000-0005-0000-0000-000075090000}"/>
    <cellStyle name="Currency 3 3 2 5 2" xfId="2436" xr:uid="{00000000-0005-0000-0000-000076090000}"/>
    <cellStyle name="Currency 3 3 2 5 2 2" xfId="2437" xr:uid="{00000000-0005-0000-0000-000077090000}"/>
    <cellStyle name="Currency 3 3 2 5 3" xfId="2438" xr:uid="{00000000-0005-0000-0000-000078090000}"/>
    <cellStyle name="Currency 3 3 2 6" xfId="2439" xr:uid="{00000000-0005-0000-0000-000079090000}"/>
    <cellStyle name="Currency 3 3 2 6 2" xfId="2440" xr:uid="{00000000-0005-0000-0000-00007A090000}"/>
    <cellStyle name="Currency 3 3 2 6 2 2" xfId="2441" xr:uid="{00000000-0005-0000-0000-00007B090000}"/>
    <cellStyle name="Currency 3 3 2 6 3" xfId="2442" xr:uid="{00000000-0005-0000-0000-00007C090000}"/>
    <cellStyle name="Currency 3 3 2 7" xfId="2443" xr:uid="{00000000-0005-0000-0000-00007D090000}"/>
    <cellStyle name="Currency 3 3 2 7 2" xfId="2444" xr:uid="{00000000-0005-0000-0000-00007E090000}"/>
    <cellStyle name="Currency 3 3 2 7 2 2" xfId="2445" xr:uid="{00000000-0005-0000-0000-00007F090000}"/>
    <cellStyle name="Currency 3 3 2 7 3" xfId="2446" xr:uid="{00000000-0005-0000-0000-000080090000}"/>
    <cellStyle name="Currency 3 3 2 8" xfId="2447" xr:uid="{00000000-0005-0000-0000-000081090000}"/>
    <cellStyle name="Currency 3 3 2 8 2" xfId="2448" xr:uid="{00000000-0005-0000-0000-000082090000}"/>
    <cellStyle name="Currency 3 3 2 8 2 2" xfId="2449" xr:uid="{00000000-0005-0000-0000-000083090000}"/>
    <cellStyle name="Currency 3 3 2 8 3" xfId="2450" xr:uid="{00000000-0005-0000-0000-000084090000}"/>
    <cellStyle name="Currency 3 3 2 9" xfId="2451" xr:uid="{00000000-0005-0000-0000-000085090000}"/>
    <cellStyle name="Currency 3 3 2 9 2" xfId="2452" xr:uid="{00000000-0005-0000-0000-000086090000}"/>
    <cellStyle name="Currency 3 3 2 9 2 2" xfId="2453" xr:uid="{00000000-0005-0000-0000-000087090000}"/>
    <cellStyle name="Currency 3 3 2 9 3" xfId="2454" xr:uid="{00000000-0005-0000-0000-000088090000}"/>
    <cellStyle name="Currency 3 3 3" xfId="2455" xr:uid="{00000000-0005-0000-0000-000089090000}"/>
    <cellStyle name="Currency 3 3 3 2" xfId="2456" xr:uid="{00000000-0005-0000-0000-00008A090000}"/>
    <cellStyle name="Currency 3 3 4" xfId="2457" xr:uid="{00000000-0005-0000-0000-00008B090000}"/>
    <cellStyle name="Currency 3 3 4 2" xfId="2458" xr:uid="{00000000-0005-0000-0000-00008C090000}"/>
    <cellStyle name="Currency 3 3 5" xfId="2459" xr:uid="{00000000-0005-0000-0000-00008D090000}"/>
    <cellStyle name="Currency 3 3 5 2" xfId="2460" xr:uid="{00000000-0005-0000-0000-00008E090000}"/>
    <cellStyle name="Currency 3 3 6" xfId="2461" xr:uid="{00000000-0005-0000-0000-00008F090000}"/>
    <cellStyle name="Currency 3 3 6 2" xfId="2462" xr:uid="{00000000-0005-0000-0000-000090090000}"/>
    <cellStyle name="Currency 3 3 7" xfId="2463" xr:uid="{00000000-0005-0000-0000-000091090000}"/>
    <cellStyle name="Currency 3 3 7 2" xfId="2464" xr:uid="{00000000-0005-0000-0000-000092090000}"/>
    <cellStyle name="Currency 3 3 8" xfId="2465" xr:uid="{00000000-0005-0000-0000-000093090000}"/>
    <cellStyle name="Currency 3 3 8 2" xfId="2466" xr:uid="{00000000-0005-0000-0000-000094090000}"/>
    <cellStyle name="Currency 3 3 9" xfId="2467" xr:uid="{00000000-0005-0000-0000-000095090000}"/>
    <cellStyle name="Currency 3 3 9 2" xfId="2468" xr:uid="{00000000-0005-0000-0000-000096090000}"/>
    <cellStyle name="Currency 3 30" xfId="2469" xr:uid="{00000000-0005-0000-0000-000097090000}"/>
    <cellStyle name="Currency 3 30 2" xfId="2470" xr:uid="{00000000-0005-0000-0000-000098090000}"/>
    <cellStyle name="Currency 3 31" xfId="2471" xr:uid="{00000000-0005-0000-0000-000099090000}"/>
    <cellStyle name="Currency 3 31 2" xfId="2472" xr:uid="{00000000-0005-0000-0000-00009A090000}"/>
    <cellStyle name="Currency 3 32" xfId="2473" xr:uid="{00000000-0005-0000-0000-00009B090000}"/>
    <cellStyle name="Currency 3 32 2" xfId="2474" xr:uid="{00000000-0005-0000-0000-00009C090000}"/>
    <cellStyle name="Currency 3 33" xfId="2475" xr:uid="{00000000-0005-0000-0000-00009D090000}"/>
    <cellStyle name="Currency 3 33 2" xfId="2476" xr:uid="{00000000-0005-0000-0000-00009E090000}"/>
    <cellStyle name="Currency 3 34" xfId="2477" xr:uid="{00000000-0005-0000-0000-00009F090000}"/>
    <cellStyle name="Currency 3 34 2" xfId="2478" xr:uid="{00000000-0005-0000-0000-0000A0090000}"/>
    <cellStyle name="Currency 3 35" xfId="2479" xr:uid="{00000000-0005-0000-0000-0000A1090000}"/>
    <cellStyle name="Currency 3 35 2" xfId="2480" xr:uid="{00000000-0005-0000-0000-0000A2090000}"/>
    <cellStyle name="Currency 3 36" xfId="2481" xr:uid="{00000000-0005-0000-0000-0000A3090000}"/>
    <cellStyle name="Currency 3 36 2" xfId="2482" xr:uid="{00000000-0005-0000-0000-0000A4090000}"/>
    <cellStyle name="Currency 3 37" xfId="2483" xr:uid="{00000000-0005-0000-0000-0000A5090000}"/>
    <cellStyle name="Currency 3 37 2" xfId="2484" xr:uid="{00000000-0005-0000-0000-0000A6090000}"/>
    <cellStyle name="Currency 3 38" xfId="2485" xr:uid="{00000000-0005-0000-0000-0000A7090000}"/>
    <cellStyle name="Currency 3 38 2" xfId="2486" xr:uid="{00000000-0005-0000-0000-0000A8090000}"/>
    <cellStyle name="Currency 3 39" xfId="2487" xr:uid="{00000000-0005-0000-0000-0000A9090000}"/>
    <cellStyle name="Currency 3 39 2" xfId="2488" xr:uid="{00000000-0005-0000-0000-0000AA090000}"/>
    <cellStyle name="Currency 3 4" xfId="2489" xr:uid="{00000000-0005-0000-0000-0000AB090000}"/>
    <cellStyle name="Currency 3 4 2" xfId="2490" xr:uid="{00000000-0005-0000-0000-0000AC090000}"/>
    <cellStyle name="Currency 3 4 2 2" xfId="2491" xr:uid="{00000000-0005-0000-0000-0000AD090000}"/>
    <cellStyle name="Currency 3 4 2 2 2" xfId="2492" xr:uid="{00000000-0005-0000-0000-0000AE090000}"/>
    <cellStyle name="Currency 3 4 2 3" xfId="2493" xr:uid="{00000000-0005-0000-0000-0000AF090000}"/>
    <cellStyle name="Currency 3 4 2 4" xfId="2494" xr:uid="{00000000-0005-0000-0000-0000B0090000}"/>
    <cellStyle name="Currency 3 4 2 5" xfId="2495" xr:uid="{00000000-0005-0000-0000-0000B1090000}"/>
    <cellStyle name="Currency 3 4 3" xfId="2496" xr:uid="{00000000-0005-0000-0000-0000B2090000}"/>
    <cellStyle name="Currency 3 4 4" xfId="2497" xr:uid="{00000000-0005-0000-0000-0000B3090000}"/>
    <cellStyle name="Currency 3 4 5" xfId="2498" xr:uid="{00000000-0005-0000-0000-0000B4090000}"/>
    <cellStyle name="Currency 3 4 6" xfId="2499" xr:uid="{00000000-0005-0000-0000-0000B5090000}"/>
    <cellStyle name="Currency 3 40" xfId="2500" xr:uid="{00000000-0005-0000-0000-0000B6090000}"/>
    <cellStyle name="Currency 3 40 2" xfId="2501" xr:uid="{00000000-0005-0000-0000-0000B7090000}"/>
    <cellStyle name="Currency 3 41" xfId="2502" xr:uid="{00000000-0005-0000-0000-0000B8090000}"/>
    <cellStyle name="Currency 3 41 2" xfId="2503" xr:uid="{00000000-0005-0000-0000-0000B9090000}"/>
    <cellStyle name="Currency 3 42" xfId="2504" xr:uid="{00000000-0005-0000-0000-0000BA090000}"/>
    <cellStyle name="Currency 3 42 2" xfId="2505" xr:uid="{00000000-0005-0000-0000-0000BB090000}"/>
    <cellStyle name="Currency 3 43" xfId="2506" xr:uid="{00000000-0005-0000-0000-0000BC090000}"/>
    <cellStyle name="Currency 3 43 2" xfId="2507" xr:uid="{00000000-0005-0000-0000-0000BD090000}"/>
    <cellStyle name="Currency 3 44" xfId="2508" xr:uid="{00000000-0005-0000-0000-0000BE090000}"/>
    <cellStyle name="Currency 3 44 2" xfId="2509" xr:uid="{00000000-0005-0000-0000-0000BF090000}"/>
    <cellStyle name="Currency 3 45" xfId="2510" xr:uid="{00000000-0005-0000-0000-0000C0090000}"/>
    <cellStyle name="Currency 3 45 2" xfId="2511" xr:uid="{00000000-0005-0000-0000-0000C1090000}"/>
    <cellStyle name="Currency 3 46" xfId="2512" xr:uid="{00000000-0005-0000-0000-0000C2090000}"/>
    <cellStyle name="Currency 3 46 2" xfId="2513" xr:uid="{00000000-0005-0000-0000-0000C3090000}"/>
    <cellStyle name="Currency 3 47" xfId="2514" xr:uid="{00000000-0005-0000-0000-0000C4090000}"/>
    <cellStyle name="Currency 3 47 2" xfId="2515" xr:uid="{00000000-0005-0000-0000-0000C5090000}"/>
    <cellStyle name="Currency 3 48" xfId="2516" xr:uid="{00000000-0005-0000-0000-0000C6090000}"/>
    <cellStyle name="Currency 3 48 2" xfId="2517" xr:uid="{00000000-0005-0000-0000-0000C7090000}"/>
    <cellStyle name="Currency 3 49" xfId="2518" xr:uid="{00000000-0005-0000-0000-0000C8090000}"/>
    <cellStyle name="Currency 3 49 2" xfId="2519" xr:uid="{00000000-0005-0000-0000-0000C9090000}"/>
    <cellStyle name="Currency 3 5" xfId="2520" xr:uid="{00000000-0005-0000-0000-0000CA090000}"/>
    <cellStyle name="Currency 3 5 2" xfId="2521" xr:uid="{00000000-0005-0000-0000-0000CB090000}"/>
    <cellStyle name="Currency 3 5 2 2" xfId="2522" xr:uid="{00000000-0005-0000-0000-0000CC090000}"/>
    <cellStyle name="Currency 3 5 2 3" xfId="2523" xr:uid="{00000000-0005-0000-0000-0000CD090000}"/>
    <cellStyle name="Currency 3 5 3" xfId="2524" xr:uid="{00000000-0005-0000-0000-0000CE090000}"/>
    <cellStyle name="Currency 3 50" xfId="2525" xr:uid="{00000000-0005-0000-0000-0000CF090000}"/>
    <cellStyle name="Currency 3 50 2" xfId="2526" xr:uid="{00000000-0005-0000-0000-0000D0090000}"/>
    <cellStyle name="Currency 3 51" xfId="2527" xr:uid="{00000000-0005-0000-0000-0000D1090000}"/>
    <cellStyle name="Currency 3 51 2" xfId="2528" xr:uid="{00000000-0005-0000-0000-0000D2090000}"/>
    <cellStyle name="Currency 3 52" xfId="2529" xr:uid="{00000000-0005-0000-0000-0000D3090000}"/>
    <cellStyle name="Currency 3 52 2" xfId="2530" xr:uid="{00000000-0005-0000-0000-0000D4090000}"/>
    <cellStyle name="Currency 3 53" xfId="2531" xr:uid="{00000000-0005-0000-0000-0000D5090000}"/>
    <cellStyle name="Currency 3 53 2" xfId="2532" xr:uid="{00000000-0005-0000-0000-0000D6090000}"/>
    <cellStyle name="Currency 3 54" xfId="2533" xr:uid="{00000000-0005-0000-0000-0000D7090000}"/>
    <cellStyle name="Currency 3 54 2" xfId="2534" xr:uid="{00000000-0005-0000-0000-0000D8090000}"/>
    <cellStyle name="Currency 3 55" xfId="2535" xr:uid="{00000000-0005-0000-0000-0000D9090000}"/>
    <cellStyle name="Currency 3 55 2" xfId="2536" xr:uid="{00000000-0005-0000-0000-0000DA090000}"/>
    <cellStyle name="Currency 3 56" xfId="2537" xr:uid="{00000000-0005-0000-0000-0000DB090000}"/>
    <cellStyle name="Currency 3 56 2" xfId="2538" xr:uid="{00000000-0005-0000-0000-0000DC090000}"/>
    <cellStyle name="Currency 3 57" xfId="2539" xr:uid="{00000000-0005-0000-0000-0000DD090000}"/>
    <cellStyle name="Currency 3 57 2" xfId="2540" xr:uid="{00000000-0005-0000-0000-0000DE090000}"/>
    <cellStyle name="Currency 3 58" xfId="2541" xr:uid="{00000000-0005-0000-0000-0000DF090000}"/>
    <cellStyle name="Currency 3 58 2" xfId="2542" xr:uid="{00000000-0005-0000-0000-0000E0090000}"/>
    <cellStyle name="Currency 3 59" xfId="2543" xr:uid="{00000000-0005-0000-0000-0000E1090000}"/>
    <cellStyle name="Currency 3 59 2" xfId="2544" xr:uid="{00000000-0005-0000-0000-0000E2090000}"/>
    <cellStyle name="Currency 3 6" xfId="2545" xr:uid="{00000000-0005-0000-0000-0000E3090000}"/>
    <cellStyle name="Currency 3 6 2" xfId="2546" xr:uid="{00000000-0005-0000-0000-0000E4090000}"/>
    <cellStyle name="Currency 3 6 2 2" xfId="2547" xr:uid="{00000000-0005-0000-0000-0000E5090000}"/>
    <cellStyle name="Currency 3 6 2 3" xfId="2548" xr:uid="{00000000-0005-0000-0000-0000E6090000}"/>
    <cellStyle name="Currency 3 6 3" xfId="2549" xr:uid="{00000000-0005-0000-0000-0000E7090000}"/>
    <cellStyle name="Currency 3 60" xfId="2550" xr:uid="{00000000-0005-0000-0000-0000E8090000}"/>
    <cellStyle name="Currency 3 60 2" xfId="2551" xr:uid="{00000000-0005-0000-0000-0000E9090000}"/>
    <cellStyle name="Currency 3 61" xfId="2552" xr:uid="{00000000-0005-0000-0000-0000EA090000}"/>
    <cellStyle name="Currency 3 61 2" xfId="2553" xr:uid="{00000000-0005-0000-0000-0000EB090000}"/>
    <cellStyle name="Currency 3 62" xfId="2554" xr:uid="{00000000-0005-0000-0000-0000EC090000}"/>
    <cellStyle name="Currency 3 63" xfId="2555" xr:uid="{00000000-0005-0000-0000-0000ED090000}"/>
    <cellStyle name="Currency 3 64" xfId="2556" xr:uid="{00000000-0005-0000-0000-0000EE090000}"/>
    <cellStyle name="Currency 3 65" xfId="2557" xr:uid="{00000000-0005-0000-0000-0000EF090000}"/>
    <cellStyle name="Currency 3 66" xfId="2558" xr:uid="{00000000-0005-0000-0000-0000F0090000}"/>
    <cellStyle name="Currency 3 67" xfId="2559" xr:uid="{00000000-0005-0000-0000-0000F1090000}"/>
    <cellStyle name="Currency 3 68" xfId="2560" xr:uid="{00000000-0005-0000-0000-0000F2090000}"/>
    <cellStyle name="Currency 3 69" xfId="2561" xr:uid="{00000000-0005-0000-0000-0000F3090000}"/>
    <cellStyle name="Currency 3 7" xfId="2562" xr:uid="{00000000-0005-0000-0000-0000F4090000}"/>
    <cellStyle name="Currency 3 7 2" xfId="2563" xr:uid="{00000000-0005-0000-0000-0000F5090000}"/>
    <cellStyle name="Currency 3 7 2 2" xfId="2564" xr:uid="{00000000-0005-0000-0000-0000F6090000}"/>
    <cellStyle name="Currency 3 7 2 3" xfId="2565" xr:uid="{00000000-0005-0000-0000-0000F7090000}"/>
    <cellStyle name="Currency 3 7 3" xfId="2566" xr:uid="{00000000-0005-0000-0000-0000F8090000}"/>
    <cellStyle name="Currency 3 70" xfId="2567" xr:uid="{00000000-0005-0000-0000-0000F9090000}"/>
    <cellStyle name="Currency 3 71" xfId="2568" xr:uid="{00000000-0005-0000-0000-0000FA090000}"/>
    <cellStyle name="Currency 3 72" xfId="2569" xr:uid="{00000000-0005-0000-0000-0000FB090000}"/>
    <cellStyle name="Currency 3 73" xfId="2570" xr:uid="{00000000-0005-0000-0000-0000FC090000}"/>
    <cellStyle name="Currency 3 74" xfId="2571" xr:uid="{00000000-0005-0000-0000-0000FD090000}"/>
    <cellStyle name="Currency 3 75" xfId="2572" xr:uid="{00000000-0005-0000-0000-0000FE090000}"/>
    <cellStyle name="Currency 3 76" xfId="2573" xr:uid="{00000000-0005-0000-0000-0000FF090000}"/>
    <cellStyle name="Currency 3 77" xfId="2574" xr:uid="{00000000-0005-0000-0000-0000000A0000}"/>
    <cellStyle name="Currency 3 78" xfId="2575" xr:uid="{00000000-0005-0000-0000-0000010A0000}"/>
    <cellStyle name="Currency 3 79" xfId="2576" xr:uid="{00000000-0005-0000-0000-0000020A0000}"/>
    <cellStyle name="Currency 3 8" xfId="2577" xr:uid="{00000000-0005-0000-0000-0000030A0000}"/>
    <cellStyle name="Currency 3 8 2" xfId="2578" xr:uid="{00000000-0005-0000-0000-0000040A0000}"/>
    <cellStyle name="Currency 3 8 2 2" xfId="2579" xr:uid="{00000000-0005-0000-0000-0000050A0000}"/>
    <cellStyle name="Currency 3 8 2 3" xfId="2580" xr:uid="{00000000-0005-0000-0000-0000060A0000}"/>
    <cellStyle name="Currency 3 8 3" xfId="2581" xr:uid="{00000000-0005-0000-0000-0000070A0000}"/>
    <cellStyle name="Currency 3 80" xfId="2582" xr:uid="{00000000-0005-0000-0000-0000080A0000}"/>
    <cellStyle name="Currency 3 81" xfId="2583" xr:uid="{00000000-0005-0000-0000-0000090A0000}"/>
    <cellStyle name="Currency 3 82" xfId="2584" xr:uid="{00000000-0005-0000-0000-00000A0A0000}"/>
    <cellStyle name="Currency 3 83" xfId="2585" xr:uid="{00000000-0005-0000-0000-00000B0A0000}"/>
    <cellStyle name="Currency 3 84" xfId="2586" xr:uid="{00000000-0005-0000-0000-00000C0A0000}"/>
    <cellStyle name="Currency 3 85" xfId="2587" xr:uid="{00000000-0005-0000-0000-00000D0A0000}"/>
    <cellStyle name="Currency 3 86" xfId="2588" xr:uid="{00000000-0005-0000-0000-00000E0A0000}"/>
    <cellStyle name="Currency 3 87" xfId="2589" xr:uid="{00000000-0005-0000-0000-00000F0A0000}"/>
    <cellStyle name="Currency 3 88" xfId="2590" xr:uid="{00000000-0005-0000-0000-0000100A0000}"/>
    <cellStyle name="Currency 3 89" xfId="2591" xr:uid="{00000000-0005-0000-0000-0000110A0000}"/>
    <cellStyle name="Currency 3 9" xfId="2592" xr:uid="{00000000-0005-0000-0000-0000120A0000}"/>
    <cellStyle name="Currency 3 9 2" xfId="2593" xr:uid="{00000000-0005-0000-0000-0000130A0000}"/>
    <cellStyle name="Currency 3 9 2 2" xfId="2594" xr:uid="{00000000-0005-0000-0000-0000140A0000}"/>
    <cellStyle name="Currency 3 9 2 3" xfId="2595" xr:uid="{00000000-0005-0000-0000-0000150A0000}"/>
    <cellStyle name="Currency 3 9 3" xfId="2596" xr:uid="{00000000-0005-0000-0000-0000160A0000}"/>
    <cellStyle name="Currency 3 90" xfId="2597" xr:uid="{00000000-0005-0000-0000-0000170A0000}"/>
    <cellStyle name="Currency 3 91" xfId="2598" xr:uid="{00000000-0005-0000-0000-0000180A0000}"/>
    <cellStyle name="Currency 3 92" xfId="2599" xr:uid="{00000000-0005-0000-0000-0000190A0000}"/>
    <cellStyle name="Currency 3 92 2" xfId="2600" xr:uid="{00000000-0005-0000-0000-00001A0A0000}"/>
    <cellStyle name="Currency 3 93" xfId="2601" xr:uid="{00000000-0005-0000-0000-00001B0A0000}"/>
    <cellStyle name="Currency 3 94" xfId="2602" xr:uid="{00000000-0005-0000-0000-00001C0A0000}"/>
    <cellStyle name="Currency 3 95" xfId="2603" xr:uid="{00000000-0005-0000-0000-00001D0A0000}"/>
    <cellStyle name="Currency 3 96" xfId="2604" xr:uid="{00000000-0005-0000-0000-00001E0A0000}"/>
    <cellStyle name="Currency 3 97" xfId="2605" xr:uid="{00000000-0005-0000-0000-00001F0A0000}"/>
    <cellStyle name="Currency 3 98" xfId="2606" xr:uid="{00000000-0005-0000-0000-0000200A0000}"/>
    <cellStyle name="Currency 3 99" xfId="2607" xr:uid="{00000000-0005-0000-0000-0000210A0000}"/>
    <cellStyle name="Currency 30" xfId="2608" xr:uid="{00000000-0005-0000-0000-0000220A0000}"/>
    <cellStyle name="Currency 31" xfId="2609" xr:uid="{00000000-0005-0000-0000-0000230A0000}"/>
    <cellStyle name="Currency 32" xfId="2610" xr:uid="{00000000-0005-0000-0000-0000240A0000}"/>
    <cellStyle name="Currency 33" xfId="2611" xr:uid="{00000000-0005-0000-0000-0000250A0000}"/>
    <cellStyle name="Currency 34" xfId="2612" xr:uid="{00000000-0005-0000-0000-0000260A0000}"/>
    <cellStyle name="Currency 34 2" xfId="9394" xr:uid="{00000000-0005-0000-0000-0000270A0000}"/>
    <cellStyle name="Currency 34 2 2" xfId="9424" xr:uid="{00000000-0005-0000-0000-0000280A0000}"/>
    <cellStyle name="Currency 34 2 2 2" xfId="9432" xr:uid="{00000000-0005-0000-0000-0000290A0000}"/>
    <cellStyle name="Currency 35" xfId="2613" xr:uid="{00000000-0005-0000-0000-00002A0A0000}"/>
    <cellStyle name="Currency 36" xfId="2614" xr:uid="{00000000-0005-0000-0000-00002B0A0000}"/>
    <cellStyle name="Currency 37" xfId="9435" xr:uid="{00000000-0005-0000-0000-00002C0A0000}"/>
    <cellStyle name="Currency 38" xfId="9437" xr:uid="{00000000-0005-0000-0000-00002D0A0000}"/>
    <cellStyle name="Currency 4" xfId="2615" xr:uid="{00000000-0005-0000-0000-00002E0A0000}"/>
    <cellStyle name="Currency 4 10" xfId="2616" xr:uid="{00000000-0005-0000-0000-00002F0A0000}"/>
    <cellStyle name="Currency 4 11" xfId="2617" xr:uid="{00000000-0005-0000-0000-0000300A0000}"/>
    <cellStyle name="Currency 4 12" xfId="2618" xr:uid="{00000000-0005-0000-0000-0000310A0000}"/>
    <cellStyle name="Currency 4 13" xfId="2619" xr:uid="{00000000-0005-0000-0000-0000320A0000}"/>
    <cellStyle name="Currency 4 14" xfId="2620" xr:uid="{00000000-0005-0000-0000-0000330A0000}"/>
    <cellStyle name="Currency 4 15" xfId="2621" xr:uid="{00000000-0005-0000-0000-0000340A0000}"/>
    <cellStyle name="Currency 4 16" xfId="2622" xr:uid="{00000000-0005-0000-0000-0000350A0000}"/>
    <cellStyle name="Currency 4 17" xfId="2623" xr:uid="{00000000-0005-0000-0000-0000360A0000}"/>
    <cellStyle name="Currency 4 18" xfId="2624" xr:uid="{00000000-0005-0000-0000-0000370A0000}"/>
    <cellStyle name="Currency 4 19" xfId="2625" xr:uid="{00000000-0005-0000-0000-0000380A0000}"/>
    <cellStyle name="Currency 4 2" xfId="2626" xr:uid="{00000000-0005-0000-0000-0000390A0000}"/>
    <cellStyle name="Currency 4 2 2" xfId="2627" xr:uid="{00000000-0005-0000-0000-00003A0A0000}"/>
    <cellStyle name="Currency 4 2 2 2" xfId="2628" xr:uid="{00000000-0005-0000-0000-00003B0A0000}"/>
    <cellStyle name="Currency 4 2 2 3" xfId="2629" xr:uid="{00000000-0005-0000-0000-00003C0A0000}"/>
    <cellStyle name="Currency 4 2 2 4" xfId="2630" xr:uid="{00000000-0005-0000-0000-00003D0A0000}"/>
    <cellStyle name="Currency 4 2 2 5" xfId="2631" xr:uid="{00000000-0005-0000-0000-00003E0A0000}"/>
    <cellStyle name="Currency 4 2 2 6" xfId="2632" xr:uid="{00000000-0005-0000-0000-00003F0A0000}"/>
    <cellStyle name="Currency 4 2 2 7" xfId="2633" xr:uid="{00000000-0005-0000-0000-0000400A0000}"/>
    <cellStyle name="Currency 4 2 2 8" xfId="2634" xr:uid="{00000000-0005-0000-0000-0000410A0000}"/>
    <cellStyle name="Currency 4 2 2 9" xfId="2635" xr:uid="{00000000-0005-0000-0000-0000420A0000}"/>
    <cellStyle name="Currency 4 2 3" xfId="2636" xr:uid="{00000000-0005-0000-0000-0000430A0000}"/>
    <cellStyle name="Currency 4 2 4" xfId="2637" xr:uid="{00000000-0005-0000-0000-0000440A0000}"/>
    <cellStyle name="Currency 4 2 5" xfId="2638" xr:uid="{00000000-0005-0000-0000-0000450A0000}"/>
    <cellStyle name="Currency 4 2 6" xfId="2639" xr:uid="{00000000-0005-0000-0000-0000460A0000}"/>
    <cellStyle name="Currency 4 2 7" xfId="2640" xr:uid="{00000000-0005-0000-0000-0000470A0000}"/>
    <cellStyle name="Currency 4 2 8" xfId="2641" xr:uid="{00000000-0005-0000-0000-0000480A0000}"/>
    <cellStyle name="Currency 4 2 9" xfId="2642" xr:uid="{00000000-0005-0000-0000-0000490A0000}"/>
    <cellStyle name="Currency 4 20" xfId="2643" xr:uid="{00000000-0005-0000-0000-00004A0A0000}"/>
    <cellStyle name="Currency 4 21" xfId="2644" xr:uid="{00000000-0005-0000-0000-00004B0A0000}"/>
    <cellStyle name="Currency 4 22" xfId="2645" xr:uid="{00000000-0005-0000-0000-00004C0A0000}"/>
    <cellStyle name="Currency 4 23" xfId="2646" xr:uid="{00000000-0005-0000-0000-00004D0A0000}"/>
    <cellStyle name="Currency 4 24" xfId="2647" xr:uid="{00000000-0005-0000-0000-00004E0A0000}"/>
    <cellStyle name="Currency 4 25" xfId="2648" xr:uid="{00000000-0005-0000-0000-00004F0A0000}"/>
    <cellStyle name="Currency 4 26" xfId="2649" xr:uid="{00000000-0005-0000-0000-0000500A0000}"/>
    <cellStyle name="Currency 4 27" xfId="2650" xr:uid="{00000000-0005-0000-0000-0000510A0000}"/>
    <cellStyle name="Currency 4 28" xfId="2651" xr:uid="{00000000-0005-0000-0000-0000520A0000}"/>
    <cellStyle name="Currency 4 29" xfId="2652" xr:uid="{00000000-0005-0000-0000-0000530A0000}"/>
    <cellStyle name="Currency 4 3" xfId="2653" xr:uid="{00000000-0005-0000-0000-0000540A0000}"/>
    <cellStyle name="Currency 4 30" xfId="2654" xr:uid="{00000000-0005-0000-0000-0000550A0000}"/>
    <cellStyle name="Currency 4 31" xfId="2655" xr:uid="{00000000-0005-0000-0000-0000560A0000}"/>
    <cellStyle name="Currency 4 32" xfId="2656" xr:uid="{00000000-0005-0000-0000-0000570A0000}"/>
    <cellStyle name="Currency 4 33" xfId="2657" xr:uid="{00000000-0005-0000-0000-0000580A0000}"/>
    <cellStyle name="Currency 4 34" xfId="2658" xr:uid="{00000000-0005-0000-0000-0000590A0000}"/>
    <cellStyle name="Currency 4 35" xfId="2659" xr:uid="{00000000-0005-0000-0000-00005A0A0000}"/>
    <cellStyle name="Currency 4 36" xfId="2660" xr:uid="{00000000-0005-0000-0000-00005B0A0000}"/>
    <cellStyle name="Currency 4 37" xfId="2661" xr:uid="{00000000-0005-0000-0000-00005C0A0000}"/>
    <cellStyle name="Currency 4 38" xfId="2662" xr:uid="{00000000-0005-0000-0000-00005D0A0000}"/>
    <cellStyle name="Currency 4 39" xfId="2663" xr:uid="{00000000-0005-0000-0000-00005E0A0000}"/>
    <cellStyle name="Currency 4 4" xfId="2664" xr:uid="{00000000-0005-0000-0000-00005F0A0000}"/>
    <cellStyle name="Currency 4 40" xfId="2665" xr:uid="{00000000-0005-0000-0000-0000600A0000}"/>
    <cellStyle name="Currency 4 41" xfId="2666" xr:uid="{00000000-0005-0000-0000-0000610A0000}"/>
    <cellStyle name="Currency 4 42" xfId="2667" xr:uid="{00000000-0005-0000-0000-0000620A0000}"/>
    <cellStyle name="Currency 4 43" xfId="2668" xr:uid="{00000000-0005-0000-0000-0000630A0000}"/>
    <cellStyle name="Currency 4 44" xfId="2669" xr:uid="{00000000-0005-0000-0000-0000640A0000}"/>
    <cellStyle name="Currency 4 45" xfId="2670" xr:uid="{00000000-0005-0000-0000-0000650A0000}"/>
    <cellStyle name="Currency 4 46" xfId="2671" xr:uid="{00000000-0005-0000-0000-0000660A0000}"/>
    <cellStyle name="Currency 4 5" xfId="2672" xr:uid="{00000000-0005-0000-0000-0000670A0000}"/>
    <cellStyle name="Currency 4 6" xfId="2673" xr:uid="{00000000-0005-0000-0000-0000680A0000}"/>
    <cellStyle name="Currency 4 7" xfId="2674" xr:uid="{00000000-0005-0000-0000-0000690A0000}"/>
    <cellStyle name="Currency 4 8" xfId="2675" xr:uid="{00000000-0005-0000-0000-00006A0A0000}"/>
    <cellStyle name="Currency 4 9" xfId="2676" xr:uid="{00000000-0005-0000-0000-00006B0A0000}"/>
    <cellStyle name="Currency 5" xfId="2677" xr:uid="{00000000-0005-0000-0000-00006C0A0000}"/>
    <cellStyle name="Currency 5 10" xfId="2678" xr:uid="{00000000-0005-0000-0000-00006D0A0000}"/>
    <cellStyle name="Currency 5 100" xfId="2679" xr:uid="{00000000-0005-0000-0000-00006E0A0000}"/>
    <cellStyle name="Currency 5 11" xfId="2680" xr:uid="{00000000-0005-0000-0000-00006F0A0000}"/>
    <cellStyle name="Currency 5 12" xfId="2681" xr:uid="{00000000-0005-0000-0000-0000700A0000}"/>
    <cellStyle name="Currency 5 13" xfId="2682" xr:uid="{00000000-0005-0000-0000-0000710A0000}"/>
    <cellStyle name="Currency 5 14" xfId="2683" xr:uid="{00000000-0005-0000-0000-0000720A0000}"/>
    <cellStyle name="Currency 5 15" xfId="2684" xr:uid="{00000000-0005-0000-0000-0000730A0000}"/>
    <cellStyle name="Currency 5 16" xfId="2685" xr:uid="{00000000-0005-0000-0000-0000740A0000}"/>
    <cellStyle name="Currency 5 17" xfId="2686" xr:uid="{00000000-0005-0000-0000-0000750A0000}"/>
    <cellStyle name="Currency 5 18" xfId="2687" xr:uid="{00000000-0005-0000-0000-0000760A0000}"/>
    <cellStyle name="Currency 5 19" xfId="2688" xr:uid="{00000000-0005-0000-0000-0000770A0000}"/>
    <cellStyle name="Currency 5 2" xfId="2689" xr:uid="{00000000-0005-0000-0000-0000780A0000}"/>
    <cellStyle name="Currency 5 2 10" xfId="2690" xr:uid="{00000000-0005-0000-0000-0000790A0000}"/>
    <cellStyle name="Currency 5 2 10 2" xfId="2691" xr:uid="{00000000-0005-0000-0000-00007A0A0000}"/>
    <cellStyle name="Currency 5 2 11" xfId="2692" xr:uid="{00000000-0005-0000-0000-00007B0A0000}"/>
    <cellStyle name="Currency 5 2 11 2" xfId="2693" xr:uid="{00000000-0005-0000-0000-00007C0A0000}"/>
    <cellStyle name="Currency 5 2 12" xfId="2694" xr:uid="{00000000-0005-0000-0000-00007D0A0000}"/>
    <cellStyle name="Currency 5 2 13" xfId="2695" xr:uid="{00000000-0005-0000-0000-00007E0A0000}"/>
    <cellStyle name="Currency 5 2 14" xfId="2696" xr:uid="{00000000-0005-0000-0000-00007F0A0000}"/>
    <cellStyle name="Currency 5 2 14 2" xfId="2697" xr:uid="{00000000-0005-0000-0000-0000800A0000}"/>
    <cellStyle name="Currency 5 2 15" xfId="2698" xr:uid="{00000000-0005-0000-0000-0000810A0000}"/>
    <cellStyle name="Currency 5 2 2" xfId="2699" xr:uid="{00000000-0005-0000-0000-0000820A0000}"/>
    <cellStyle name="Currency 5 2 2 10" xfId="2700" xr:uid="{00000000-0005-0000-0000-0000830A0000}"/>
    <cellStyle name="Currency 5 2 2 10 2" xfId="2701" xr:uid="{00000000-0005-0000-0000-0000840A0000}"/>
    <cellStyle name="Currency 5 2 2 10 2 2" xfId="2702" xr:uid="{00000000-0005-0000-0000-0000850A0000}"/>
    <cellStyle name="Currency 5 2 2 10 3" xfId="2703" xr:uid="{00000000-0005-0000-0000-0000860A0000}"/>
    <cellStyle name="Currency 5 2 2 11" xfId="2704" xr:uid="{00000000-0005-0000-0000-0000870A0000}"/>
    <cellStyle name="Currency 5 2 2 11 2" xfId="2705" xr:uid="{00000000-0005-0000-0000-0000880A0000}"/>
    <cellStyle name="Currency 5 2 2 11 2 2" xfId="2706" xr:uid="{00000000-0005-0000-0000-0000890A0000}"/>
    <cellStyle name="Currency 5 2 2 11 3" xfId="2707" xr:uid="{00000000-0005-0000-0000-00008A0A0000}"/>
    <cellStyle name="Currency 5 2 2 12" xfId="2708" xr:uid="{00000000-0005-0000-0000-00008B0A0000}"/>
    <cellStyle name="Currency 5 2 2 12 2" xfId="2709" xr:uid="{00000000-0005-0000-0000-00008C0A0000}"/>
    <cellStyle name="Currency 5 2 2 12 2 2" xfId="2710" xr:uid="{00000000-0005-0000-0000-00008D0A0000}"/>
    <cellStyle name="Currency 5 2 2 12 3" xfId="2711" xr:uid="{00000000-0005-0000-0000-00008E0A0000}"/>
    <cellStyle name="Currency 5 2 2 12 4" xfId="2712" xr:uid="{00000000-0005-0000-0000-00008F0A0000}"/>
    <cellStyle name="Currency 5 2 2 13" xfId="2713" xr:uid="{00000000-0005-0000-0000-0000900A0000}"/>
    <cellStyle name="Currency 5 2 2 13 2" xfId="2714" xr:uid="{00000000-0005-0000-0000-0000910A0000}"/>
    <cellStyle name="Currency 5 2 2 13 2 2" xfId="2715" xr:uid="{00000000-0005-0000-0000-0000920A0000}"/>
    <cellStyle name="Currency 5 2 2 13 3" xfId="2716" xr:uid="{00000000-0005-0000-0000-0000930A0000}"/>
    <cellStyle name="Currency 5 2 2 14" xfId="2717" xr:uid="{00000000-0005-0000-0000-0000940A0000}"/>
    <cellStyle name="Currency 5 2 2 15" xfId="2718" xr:uid="{00000000-0005-0000-0000-0000950A0000}"/>
    <cellStyle name="Currency 5 2 2 2" xfId="2719" xr:uid="{00000000-0005-0000-0000-0000960A0000}"/>
    <cellStyle name="Currency 5 2 2 2 2" xfId="2720" xr:uid="{00000000-0005-0000-0000-0000970A0000}"/>
    <cellStyle name="Currency 5 2 2 2 2 2" xfId="2721" xr:uid="{00000000-0005-0000-0000-0000980A0000}"/>
    <cellStyle name="Currency 5 2 2 2 3" xfId="2722" xr:uid="{00000000-0005-0000-0000-0000990A0000}"/>
    <cellStyle name="Currency 5 2 2 3" xfId="2723" xr:uid="{00000000-0005-0000-0000-00009A0A0000}"/>
    <cellStyle name="Currency 5 2 2 3 2" xfId="2724" xr:uid="{00000000-0005-0000-0000-00009B0A0000}"/>
    <cellStyle name="Currency 5 2 2 3 2 2" xfId="2725" xr:uid="{00000000-0005-0000-0000-00009C0A0000}"/>
    <cellStyle name="Currency 5 2 2 3 3" xfId="2726" xr:uid="{00000000-0005-0000-0000-00009D0A0000}"/>
    <cellStyle name="Currency 5 2 2 4" xfId="2727" xr:uid="{00000000-0005-0000-0000-00009E0A0000}"/>
    <cellStyle name="Currency 5 2 2 4 2" xfId="2728" xr:uid="{00000000-0005-0000-0000-00009F0A0000}"/>
    <cellStyle name="Currency 5 2 2 4 2 2" xfId="2729" xr:uid="{00000000-0005-0000-0000-0000A00A0000}"/>
    <cellStyle name="Currency 5 2 2 4 3" xfId="2730" xr:uid="{00000000-0005-0000-0000-0000A10A0000}"/>
    <cellStyle name="Currency 5 2 2 5" xfId="2731" xr:uid="{00000000-0005-0000-0000-0000A20A0000}"/>
    <cellStyle name="Currency 5 2 2 5 2" xfId="2732" xr:uid="{00000000-0005-0000-0000-0000A30A0000}"/>
    <cellStyle name="Currency 5 2 2 5 2 2" xfId="2733" xr:uid="{00000000-0005-0000-0000-0000A40A0000}"/>
    <cellStyle name="Currency 5 2 2 5 3" xfId="2734" xr:uid="{00000000-0005-0000-0000-0000A50A0000}"/>
    <cellStyle name="Currency 5 2 2 6" xfId="2735" xr:uid="{00000000-0005-0000-0000-0000A60A0000}"/>
    <cellStyle name="Currency 5 2 2 6 2" xfId="2736" xr:uid="{00000000-0005-0000-0000-0000A70A0000}"/>
    <cellStyle name="Currency 5 2 2 6 2 2" xfId="2737" xr:uid="{00000000-0005-0000-0000-0000A80A0000}"/>
    <cellStyle name="Currency 5 2 2 6 3" xfId="2738" xr:uid="{00000000-0005-0000-0000-0000A90A0000}"/>
    <cellStyle name="Currency 5 2 2 7" xfId="2739" xr:uid="{00000000-0005-0000-0000-0000AA0A0000}"/>
    <cellStyle name="Currency 5 2 2 7 2" xfId="2740" xr:uid="{00000000-0005-0000-0000-0000AB0A0000}"/>
    <cellStyle name="Currency 5 2 2 7 2 2" xfId="2741" xr:uid="{00000000-0005-0000-0000-0000AC0A0000}"/>
    <cellStyle name="Currency 5 2 2 7 3" xfId="2742" xr:uid="{00000000-0005-0000-0000-0000AD0A0000}"/>
    <cellStyle name="Currency 5 2 2 8" xfId="2743" xr:uid="{00000000-0005-0000-0000-0000AE0A0000}"/>
    <cellStyle name="Currency 5 2 2 8 2" xfId="2744" xr:uid="{00000000-0005-0000-0000-0000AF0A0000}"/>
    <cellStyle name="Currency 5 2 2 8 2 2" xfId="2745" xr:uid="{00000000-0005-0000-0000-0000B00A0000}"/>
    <cellStyle name="Currency 5 2 2 8 3" xfId="2746" xr:uid="{00000000-0005-0000-0000-0000B10A0000}"/>
    <cellStyle name="Currency 5 2 2 9" xfId="2747" xr:uid="{00000000-0005-0000-0000-0000B20A0000}"/>
    <cellStyle name="Currency 5 2 2 9 2" xfId="2748" xr:uid="{00000000-0005-0000-0000-0000B30A0000}"/>
    <cellStyle name="Currency 5 2 2 9 2 2" xfId="2749" xr:uid="{00000000-0005-0000-0000-0000B40A0000}"/>
    <cellStyle name="Currency 5 2 2 9 3" xfId="2750" xr:uid="{00000000-0005-0000-0000-0000B50A0000}"/>
    <cellStyle name="Currency 5 2 3" xfId="2751" xr:uid="{00000000-0005-0000-0000-0000B60A0000}"/>
    <cellStyle name="Currency 5 2 3 2" xfId="2752" xr:uid="{00000000-0005-0000-0000-0000B70A0000}"/>
    <cellStyle name="Currency 5 2 4" xfId="2753" xr:uid="{00000000-0005-0000-0000-0000B80A0000}"/>
    <cellStyle name="Currency 5 2 4 2" xfId="2754" xr:uid="{00000000-0005-0000-0000-0000B90A0000}"/>
    <cellStyle name="Currency 5 2 5" xfId="2755" xr:uid="{00000000-0005-0000-0000-0000BA0A0000}"/>
    <cellStyle name="Currency 5 2 5 2" xfId="2756" xr:uid="{00000000-0005-0000-0000-0000BB0A0000}"/>
    <cellStyle name="Currency 5 2 6" xfId="2757" xr:uid="{00000000-0005-0000-0000-0000BC0A0000}"/>
    <cellStyle name="Currency 5 2 6 2" xfId="2758" xr:uid="{00000000-0005-0000-0000-0000BD0A0000}"/>
    <cellStyle name="Currency 5 2 7" xfId="2759" xr:uid="{00000000-0005-0000-0000-0000BE0A0000}"/>
    <cellStyle name="Currency 5 2 7 2" xfId="2760" xr:uid="{00000000-0005-0000-0000-0000BF0A0000}"/>
    <cellStyle name="Currency 5 2 8" xfId="2761" xr:uid="{00000000-0005-0000-0000-0000C00A0000}"/>
    <cellStyle name="Currency 5 2 8 2" xfId="2762" xr:uid="{00000000-0005-0000-0000-0000C10A0000}"/>
    <cellStyle name="Currency 5 2 9" xfId="2763" xr:uid="{00000000-0005-0000-0000-0000C20A0000}"/>
    <cellStyle name="Currency 5 2 9 2" xfId="2764" xr:uid="{00000000-0005-0000-0000-0000C30A0000}"/>
    <cellStyle name="Currency 5 20" xfId="2765" xr:uid="{00000000-0005-0000-0000-0000C40A0000}"/>
    <cellStyle name="Currency 5 21" xfId="2766" xr:uid="{00000000-0005-0000-0000-0000C50A0000}"/>
    <cellStyle name="Currency 5 22" xfId="2767" xr:uid="{00000000-0005-0000-0000-0000C60A0000}"/>
    <cellStyle name="Currency 5 23" xfId="2768" xr:uid="{00000000-0005-0000-0000-0000C70A0000}"/>
    <cellStyle name="Currency 5 24" xfId="2769" xr:uid="{00000000-0005-0000-0000-0000C80A0000}"/>
    <cellStyle name="Currency 5 25" xfId="2770" xr:uid="{00000000-0005-0000-0000-0000C90A0000}"/>
    <cellStyle name="Currency 5 26" xfId="2771" xr:uid="{00000000-0005-0000-0000-0000CA0A0000}"/>
    <cellStyle name="Currency 5 27" xfId="2772" xr:uid="{00000000-0005-0000-0000-0000CB0A0000}"/>
    <cellStyle name="Currency 5 28" xfId="2773" xr:uid="{00000000-0005-0000-0000-0000CC0A0000}"/>
    <cellStyle name="Currency 5 29" xfId="2774" xr:uid="{00000000-0005-0000-0000-0000CD0A0000}"/>
    <cellStyle name="Currency 5 3" xfId="2775" xr:uid="{00000000-0005-0000-0000-0000CE0A0000}"/>
    <cellStyle name="Currency 5 3 2" xfId="2776" xr:uid="{00000000-0005-0000-0000-0000CF0A0000}"/>
    <cellStyle name="Currency 5 3 3" xfId="2777" xr:uid="{00000000-0005-0000-0000-0000D00A0000}"/>
    <cellStyle name="Currency 5 30" xfId="2778" xr:uid="{00000000-0005-0000-0000-0000D10A0000}"/>
    <cellStyle name="Currency 5 31" xfId="2779" xr:uid="{00000000-0005-0000-0000-0000D20A0000}"/>
    <cellStyle name="Currency 5 32" xfId="2780" xr:uid="{00000000-0005-0000-0000-0000D30A0000}"/>
    <cellStyle name="Currency 5 33" xfId="2781" xr:uid="{00000000-0005-0000-0000-0000D40A0000}"/>
    <cellStyle name="Currency 5 34" xfId="2782" xr:uid="{00000000-0005-0000-0000-0000D50A0000}"/>
    <cellStyle name="Currency 5 35" xfId="2783" xr:uid="{00000000-0005-0000-0000-0000D60A0000}"/>
    <cellStyle name="Currency 5 36" xfId="2784" xr:uid="{00000000-0005-0000-0000-0000D70A0000}"/>
    <cellStyle name="Currency 5 37" xfId="2785" xr:uid="{00000000-0005-0000-0000-0000D80A0000}"/>
    <cellStyle name="Currency 5 38" xfId="2786" xr:uid="{00000000-0005-0000-0000-0000D90A0000}"/>
    <cellStyle name="Currency 5 39" xfId="2787" xr:uid="{00000000-0005-0000-0000-0000DA0A0000}"/>
    <cellStyle name="Currency 5 4" xfId="2788" xr:uid="{00000000-0005-0000-0000-0000DB0A0000}"/>
    <cellStyle name="Currency 5 40" xfId="2789" xr:uid="{00000000-0005-0000-0000-0000DC0A0000}"/>
    <cellStyle name="Currency 5 41" xfId="2790" xr:uid="{00000000-0005-0000-0000-0000DD0A0000}"/>
    <cellStyle name="Currency 5 42" xfId="2791" xr:uid="{00000000-0005-0000-0000-0000DE0A0000}"/>
    <cellStyle name="Currency 5 43" xfId="2792" xr:uid="{00000000-0005-0000-0000-0000DF0A0000}"/>
    <cellStyle name="Currency 5 44" xfId="2793" xr:uid="{00000000-0005-0000-0000-0000E00A0000}"/>
    <cellStyle name="Currency 5 45" xfId="2794" xr:uid="{00000000-0005-0000-0000-0000E10A0000}"/>
    <cellStyle name="Currency 5 46" xfId="2795" xr:uid="{00000000-0005-0000-0000-0000E20A0000}"/>
    <cellStyle name="Currency 5 47" xfId="2796" xr:uid="{00000000-0005-0000-0000-0000E30A0000}"/>
    <cellStyle name="Currency 5 48" xfId="2797" xr:uid="{00000000-0005-0000-0000-0000E40A0000}"/>
    <cellStyle name="Currency 5 49" xfId="2798" xr:uid="{00000000-0005-0000-0000-0000E50A0000}"/>
    <cellStyle name="Currency 5 5" xfId="2799" xr:uid="{00000000-0005-0000-0000-0000E60A0000}"/>
    <cellStyle name="Currency 5 50" xfId="2800" xr:uid="{00000000-0005-0000-0000-0000E70A0000}"/>
    <cellStyle name="Currency 5 51" xfId="2801" xr:uid="{00000000-0005-0000-0000-0000E80A0000}"/>
    <cellStyle name="Currency 5 52" xfId="2802" xr:uid="{00000000-0005-0000-0000-0000E90A0000}"/>
    <cellStyle name="Currency 5 53" xfId="2803" xr:uid="{00000000-0005-0000-0000-0000EA0A0000}"/>
    <cellStyle name="Currency 5 54" xfId="2804" xr:uid="{00000000-0005-0000-0000-0000EB0A0000}"/>
    <cellStyle name="Currency 5 55" xfId="2805" xr:uid="{00000000-0005-0000-0000-0000EC0A0000}"/>
    <cellStyle name="Currency 5 56" xfId="2806" xr:uid="{00000000-0005-0000-0000-0000ED0A0000}"/>
    <cellStyle name="Currency 5 57" xfId="2807" xr:uid="{00000000-0005-0000-0000-0000EE0A0000}"/>
    <cellStyle name="Currency 5 58" xfId="2808" xr:uid="{00000000-0005-0000-0000-0000EF0A0000}"/>
    <cellStyle name="Currency 5 59" xfId="2809" xr:uid="{00000000-0005-0000-0000-0000F00A0000}"/>
    <cellStyle name="Currency 5 6" xfId="2810" xr:uid="{00000000-0005-0000-0000-0000F10A0000}"/>
    <cellStyle name="Currency 5 60" xfId="2811" xr:uid="{00000000-0005-0000-0000-0000F20A0000}"/>
    <cellStyle name="Currency 5 61" xfId="2812" xr:uid="{00000000-0005-0000-0000-0000F30A0000}"/>
    <cellStyle name="Currency 5 62" xfId="2813" xr:uid="{00000000-0005-0000-0000-0000F40A0000}"/>
    <cellStyle name="Currency 5 63" xfId="2814" xr:uid="{00000000-0005-0000-0000-0000F50A0000}"/>
    <cellStyle name="Currency 5 64" xfId="2815" xr:uid="{00000000-0005-0000-0000-0000F60A0000}"/>
    <cellStyle name="Currency 5 65" xfId="2816" xr:uid="{00000000-0005-0000-0000-0000F70A0000}"/>
    <cellStyle name="Currency 5 66" xfId="2817" xr:uid="{00000000-0005-0000-0000-0000F80A0000}"/>
    <cellStyle name="Currency 5 67" xfId="2818" xr:uid="{00000000-0005-0000-0000-0000F90A0000}"/>
    <cellStyle name="Currency 5 68" xfId="2819" xr:uid="{00000000-0005-0000-0000-0000FA0A0000}"/>
    <cellStyle name="Currency 5 69" xfId="2820" xr:uid="{00000000-0005-0000-0000-0000FB0A0000}"/>
    <cellStyle name="Currency 5 7" xfId="2821" xr:uid="{00000000-0005-0000-0000-0000FC0A0000}"/>
    <cellStyle name="Currency 5 70" xfId="2822" xr:uid="{00000000-0005-0000-0000-0000FD0A0000}"/>
    <cellStyle name="Currency 5 71" xfId="2823" xr:uid="{00000000-0005-0000-0000-0000FE0A0000}"/>
    <cellStyle name="Currency 5 72" xfId="2824" xr:uid="{00000000-0005-0000-0000-0000FF0A0000}"/>
    <cellStyle name="Currency 5 73" xfId="2825" xr:uid="{00000000-0005-0000-0000-0000000B0000}"/>
    <cellStyle name="Currency 5 74" xfId="2826" xr:uid="{00000000-0005-0000-0000-0000010B0000}"/>
    <cellStyle name="Currency 5 75" xfId="2827" xr:uid="{00000000-0005-0000-0000-0000020B0000}"/>
    <cellStyle name="Currency 5 76" xfId="2828" xr:uid="{00000000-0005-0000-0000-0000030B0000}"/>
    <cellStyle name="Currency 5 77" xfId="2829" xr:uid="{00000000-0005-0000-0000-0000040B0000}"/>
    <cellStyle name="Currency 5 78" xfId="2830" xr:uid="{00000000-0005-0000-0000-0000050B0000}"/>
    <cellStyle name="Currency 5 79" xfId="2831" xr:uid="{00000000-0005-0000-0000-0000060B0000}"/>
    <cellStyle name="Currency 5 8" xfId="2832" xr:uid="{00000000-0005-0000-0000-0000070B0000}"/>
    <cellStyle name="Currency 5 80" xfId="2833" xr:uid="{00000000-0005-0000-0000-0000080B0000}"/>
    <cellStyle name="Currency 5 81" xfId="2834" xr:uid="{00000000-0005-0000-0000-0000090B0000}"/>
    <cellStyle name="Currency 5 82" xfId="2835" xr:uid="{00000000-0005-0000-0000-00000A0B0000}"/>
    <cellStyle name="Currency 5 83" xfId="2836" xr:uid="{00000000-0005-0000-0000-00000B0B0000}"/>
    <cellStyle name="Currency 5 84" xfId="2837" xr:uid="{00000000-0005-0000-0000-00000C0B0000}"/>
    <cellStyle name="Currency 5 85" xfId="2838" xr:uid="{00000000-0005-0000-0000-00000D0B0000}"/>
    <cellStyle name="Currency 5 86" xfId="2839" xr:uid="{00000000-0005-0000-0000-00000E0B0000}"/>
    <cellStyle name="Currency 5 87" xfId="2840" xr:uid="{00000000-0005-0000-0000-00000F0B0000}"/>
    <cellStyle name="Currency 5 88" xfId="2841" xr:uid="{00000000-0005-0000-0000-0000100B0000}"/>
    <cellStyle name="Currency 5 89" xfId="2842" xr:uid="{00000000-0005-0000-0000-0000110B0000}"/>
    <cellStyle name="Currency 5 9" xfId="2843" xr:uid="{00000000-0005-0000-0000-0000120B0000}"/>
    <cellStyle name="Currency 5 90" xfId="2844" xr:uid="{00000000-0005-0000-0000-0000130B0000}"/>
    <cellStyle name="Currency 5 91" xfId="2845" xr:uid="{00000000-0005-0000-0000-0000140B0000}"/>
    <cellStyle name="Currency 5 92" xfId="2846" xr:uid="{00000000-0005-0000-0000-0000150B0000}"/>
    <cellStyle name="Currency 5 93" xfId="2847" xr:uid="{00000000-0005-0000-0000-0000160B0000}"/>
    <cellStyle name="Currency 5 94" xfId="2848" xr:uid="{00000000-0005-0000-0000-0000170B0000}"/>
    <cellStyle name="Currency 5 95" xfId="2849" xr:uid="{00000000-0005-0000-0000-0000180B0000}"/>
    <cellStyle name="Currency 5 96" xfId="2850" xr:uid="{00000000-0005-0000-0000-0000190B0000}"/>
    <cellStyle name="Currency 5 97" xfId="2851" xr:uid="{00000000-0005-0000-0000-00001A0B0000}"/>
    <cellStyle name="Currency 5 98" xfId="2852" xr:uid="{00000000-0005-0000-0000-00001B0B0000}"/>
    <cellStyle name="Currency 5 99" xfId="2853" xr:uid="{00000000-0005-0000-0000-00001C0B0000}"/>
    <cellStyle name="Currency 6" xfId="2854" xr:uid="{00000000-0005-0000-0000-00001D0B0000}"/>
    <cellStyle name="Currency 6 10" xfId="2855" xr:uid="{00000000-0005-0000-0000-00001E0B0000}"/>
    <cellStyle name="Currency 6 11" xfId="2856" xr:uid="{00000000-0005-0000-0000-00001F0B0000}"/>
    <cellStyle name="Currency 6 12" xfId="2857" xr:uid="{00000000-0005-0000-0000-0000200B0000}"/>
    <cellStyle name="Currency 6 13" xfId="2858" xr:uid="{00000000-0005-0000-0000-0000210B0000}"/>
    <cellStyle name="Currency 6 14" xfId="2859" xr:uid="{00000000-0005-0000-0000-0000220B0000}"/>
    <cellStyle name="Currency 6 15" xfId="2860" xr:uid="{00000000-0005-0000-0000-0000230B0000}"/>
    <cellStyle name="Currency 6 16" xfId="2861" xr:uid="{00000000-0005-0000-0000-0000240B0000}"/>
    <cellStyle name="Currency 6 17" xfId="2862" xr:uid="{00000000-0005-0000-0000-0000250B0000}"/>
    <cellStyle name="Currency 6 18" xfId="2863" xr:uid="{00000000-0005-0000-0000-0000260B0000}"/>
    <cellStyle name="Currency 6 2" xfId="2864" xr:uid="{00000000-0005-0000-0000-0000270B0000}"/>
    <cellStyle name="Currency 6 2 2" xfId="2865" xr:uid="{00000000-0005-0000-0000-0000280B0000}"/>
    <cellStyle name="Currency 6 2 2 2" xfId="2866" xr:uid="{00000000-0005-0000-0000-0000290B0000}"/>
    <cellStyle name="Currency 6 2 3" xfId="2867" xr:uid="{00000000-0005-0000-0000-00002A0B0000}"/>
    <cellStyle name="Currency 6 3" xfId="2868" xr:uid="{00000000-0005-0000-0000-00002B0B0000}"/>
    <cellStyle name="Currency 6 4" xfId="2869" xr:uid="{00000000-0005-0000-0000-00002C0B0000}"/>
    <cellStyle name="Currency 6 5" xfId="2870" xr:uid="{00000000-0005-0000-0000-00002D0B0000}"/>
    <cellStyle name="Currency 6 6" xfId="2871" xr:uid="{00000000-0005-0000-0000-00002E0B0000}"/>
    <cellStyle name="Currency 6 7" xfId="2872" xr:uid="{00000000-0005-0000-0000-00002F0B0000}"/>
    <cellStyle name="Currency 6 8" xfId="2873" xr:uid="{00000000-0005-0000-0000-0000300B0000}"/>
    <cellStyle name="Currency 6 9" xfId="2874" xr:uid="{00000000-0005-0000-0000-0000310B0000}"/>
    <cellStyle name="Currency 7" xfId="2875" xr:uid="{00000000-0005-0000-0000-0000320B0000}"/>
    <cellStyle name="Currency 7 10" xfId="2876" xr:uid="{00000000-0005-0000-0000-0000330B0000}"/>
    <cellStyle name="Currency 7 11" xfId="2877" xr:uid="{00000000-0005-0000-0000-0000340B0000}"/>
    <cellStyle name="Currency 7 12" xfId="2878" xr:uid="{00000000-0005-0000-0000-0000350B0000}"/>
    <cellStyle name="Currency 7 13" xfId="2879" xr:uid="{00000000-0005-0000-0000-0000360B0000}"/>
    <cellStyle name="Currency 7 13 2" xfId="2880" xr:uid="{00000000-0005-0000-0000-0000370B0000}"/>
    <cellStyle name="Currency 7 13 2 2" xfId="2881" xr:uid="{00000000-0005-0000-0000-0000380B0000}"/>
    <cellStyle name="Currency 7 13 3" xfId="2882" xr:uid="{00000000-0005-0000-0000-0000390B0000}"/>
    <cellStyle name="Currency 7 13 4" xfId="2883" xr:uid="{00000000-0005-0000-0000-00003A0B0000}"/>
    <cellStyle name="Currency 7 14" xfId="2884" xr:uid="{00000000-0005-0000-0000-00003B0B0000}"/>
    <cellStyle name="Currency 7 15" xfId="2885" xr:uid="{00000000-0005-0000-0000-00003C0B0000}"/>
    <cellStyle name="Currency 7 16" xfId="2886" xr:uid="{00000000-0005-0000-0000-00003D0B0000}"/>
    <cellStyle name="Currency 7 17" xfId="2887" xr:uid="{00000000-0005-0000-0000-00003E0B0000}"/>
    <cellStyle name="Currency 7 2" xfId="2888" xr:uid="{00000000-0005-0000-0000-00003F0B0000}"/>
    <cellStyle name="Currency 7 2 10" xfId="2889" xr:uid="{00000000-0005-0000-0000-0000400B0000}"/>
    <cellStyle name="Currency 7 2 10 2" xfId="2890" xr:uid="{00000000-0005-0000-0000-0000410B0000}"/>
    <cellStyle name="Currency 7 2 10 2 2" xfId="2891" xr:uid="{00000000-0005-0000-0000-0000420B0000}"/>
    <cellStyle name="Currency 7 2 10 3" xfId="2892" xr:uid="{00000000-0005-0000-0000-0000430B0000}"/>
    <cellStyle name="Currency 7 2 11" xfId="2893" xr:uid="{00000000-0005-0000-0000-0000440B0000}"/>
    <cellStyle name="Currency 7 2 11 2" xfId="2894" xr:uid="{00000000-0005-0000-0000-0000450B0000}"/>
    <cellStyle name="Currency 7 2 11 2 2" xfId="2895" xr:uid="{00000000-0005-0000-0000-0000460B0000}"/>
    <cellStyle name="Currency 7 2 11 3" xfId="2896" xr:uid="{00000000-0005-0000-0000-0000470B0000}"/>
    <cellStyle name="Currency 7 2 12" xfId="2897" xr:uid="{00000000-0005-0000-0000-0000480B0000}"/>
    <cellStyle name="Currency 7 2 12 2" xfId="2898" xr:uid="{00000000-0005-0000-0000-0000490B0000}"/>
    <cellStyle name="Currency 7 2 13" xfId="2899" xr:uid="{00000000-0005-0000-0000-00004A0B0000}"/>
    <cellStyle name="Currency 7 2 13 2" xfId="2900" xr:uid="{00000000-0005-0000-0000-00004B0B0000}"/>
    <cellStyle name="Currency 7 2 14" xfId="2901" xr:uid="{00000000-0005-0000-0000-00004C0B0000}"/>
    <cellStyle name="Currency 7 2 2" xfId="2902" xr:uid="{00000000-0005-0000-0000-00004D0B0000}"/>
    <cellStyle name="Currency 7 2 2 2" xfId="2903" xr:uid="{00000000-0005-0000-0000-00004E0B0000}"/>
    <cellStyle name="Currency 7 2 2 2 2" xfId="2904" xr:uid="{00000000-0005-0000-0000-00004F0B0000}"/>
    <cellStyle name="Currency 7 2 2 3" xfId="2905" xr:uid="{00000000-0005-0000-0000-0000500B0000}"/>
    <cellStyle name="Currency 7 2 3" xfId="2906" xr:uid="{00000000-0005-0000-0000-0000510B0000}"/>
    <cellStyle name="Currency 7 2 3 2" xfId="2907" xr:uid="{00000000-0005-0000-0000-0000520B0000}"/>
    <cellStyle name="Currency 7 2 3 2 2" xfId="2908" xr:uid="{00000000-0005-0000-0000-0000530B0000}"/>
    <cellStyle name="Currency 7 2 3 3" xfId="2909" xr:uid="{00000000-0005-0000-0000-0000540B0000}"/>
    <cellStyle name="Currency 7 2 4" xfId="2910" xr:uid="{00000000-0005-0000-0000-0000550B0000}"/>
    <cellStyle name="Currency 7 2 4 2" xfId="2911" xr:uid="{00000000-0005-0000-0000-0000560B0000}"/>
    <cellStyle name="Currency 7 2 4 2 2" xfId="2912" xr:uid="{00000000-0005-0000-0000-0000570B0000}"/>
    <cellStyle name="Currency 7 2 4 3" xfId="2913" xr:uid="{00000000-0005-0000-0000-0000580B0000}"/>
    <cellStyle name="Currency 7 2 5" xfId="2914" xr:uid="{00000000-0005-0000-0000-0000590B0000}"/>
    <cellStyle name="Currency 7 2 5 2" xfId="2915" xr:uid="{00000000-0005-0000-0000-00005A0B0000}"/>
    <cellStyle name="Currency 7 2 5 2 2" xfId="2916" xr:uid="{00000000-0005-0000-0000-00005B0B0000}"/>
    <cellStyle name="Currency 7 2 5 3" xfId="2917" xr:uid="{00000000-0005-0000-0000-00005C0B0000}"/>
    <cellStyle name="Currency 7 2 6" xfId="2918" xr:uid="{00000000-0005-0000-0000-00005D0B0000}"/>
    <cellStyle name="Currency 7 2 6 2" xfId="2919" xr:uid="{00000000-0005-0000-0000-00005E0B0000}"/>
    <cellStyle name="Currency 7 2 6 2 2" xfId="2920" xr:uid="{00000000-0005-0000-0000-00005F0B0000}"/>
    <cellStyle name="Currency 7 2 6 3" xfId="2921" xr:uid="{00000000-0005-0000-0000-0000600B0000}"/>
    <cellStyle name="Currency 7 2 7" xfId="2922" xr:uid="{00000000-0005-0000-0000-0000610B0000}"/>
    <cellStyle name="Currency 7 2 7 2" xfId="2923" xr:uid="{00000000-0005-0000-0000-0000620B0000}"/>
    <cellStyle name="Currency 7 2 7 2 2" xfId="2924" xr:uid="{00000000-0005-0000-0000-0000630B0000}"/>
    <cellStyle name="Currency 7 2 7 3" xfId="2925" xr:uid="{00000000-0005-0000-0000-0000640B0000}"/>
    <cellStyle name="Currency 7 2 8" xfId="2926" xr:uid="{00000000-0005-0000-0000-0000650B0000}"/>
    <cellStyle name="Currency 7 2 8 2" xfId="2927" xr:uid="{00000000-0005-0000-0000-0000660B0000}"/>
    <cellStyle name="Currency 7 2 8 2 2" xfId="2928" xr:uid="{00000000-0005-0000-0000-0000670B0000}"/>
    <cellStyle name="Currency 7 2 8 3" xfId="2929" xr:uid="{00000000-0005-0000-0000-0000680B0000}"/>
    <cellStyle name="Currency 7 2 9" xfId="2930" xr:uid="{00000000-0005-0000-0000-0000690B0000}"/>
    <cellStyle name="Currency 7 2 9 2" xfId="2931" xr:uid="{00000000-0005-0000-0000-00006A0B0000}"/>
    <cellStyle name="Currency 7 2 9 2 2" xfId="2932" xr:uid="{00000000-0005-0000-0000-00006B0B0000}"/>
    <cellStyle name="Currency 7 2 9 3" xfId="2933" xr:uid="{00000000-0005-0000-0000-00006C0B0000}"/>
    <cellStyle name="Currency 7 3" xfId="2934" xr:uid="{00000000-0005-0000-0000-00006D0B0000}"/>
    <cellStyle name="Currency 7 3 2" xfId="2935" xr:uid="{00000000-0005-0000-0000-00006E0B0000}"/>
    <cellStyle name="Currency 7 3 2 2" xfId="2936" xr:uid="{00000000-0005-0000-0000-00006F0B0000}"/>
    <cellStyle name="Currency 7 3 3" xfId="2937" xr:uid="{00000000-0005-0000-0000-0000700B0000}"/>
    <cellStyle name="Currency 7 4" xfId="2938" xr:uid="{00000000-0005-0000-0000-0000710B0000}"/>
    <cellStyle name="Currency 7 5" xfId="2939" xr:uid="{00000000-0005-0000-0000-0000720B0000}"/>
    <cellStyle name="Currency 7 6" xfId="2940" xr:uid="{00000000-0005-0000-0000-0000730B0000}"/>
    <cellStyle name="Currency 7 7" xfId="2941" xr:uid="{00000000-0005-0000-0000-0000740B0000}"/>
    <cellStyle name="Currency 7 8" xfId="2942" xr:uid="{00000000-0005-0000-0000-0000750B0000}"/>
    <cellStyle name="Currency 7 9" xfId="2943" xr:uid="{00000000-0005-0000-0000-0000760B0000}"/>
    <cellStyle name="Currency 8" xfId="2944" xr:uid="{00000000-0005-0000-0000-0000770B0000}"/>
    <cellStyle name="Currency 9" xfId="2945" xr:uid="{00000000-0005-0000-0000-0000780B0000}"/>
    <cellStyle name="Currency No$" xfId="2946" xr:uid="{00000000-0005-0000-0000-0000790B0000}"/>
    <cellStyle name="Currency Total" xfId="2947" xr:uid="{00000000-0005-0000-0000-00007A0B0000}"/>
    <cellStyle name="Currency Total 2" xfId="2948" xr:uid="{00000000-0005-0000-0000-00007B0B0000}"/>
    <cellStyle name="Currency x2 No$" xfId="2949" xr:uid="{00000000-0005-0000-0000-00007C0B0000}"/>
    <cellStyle name="Currency0" xfId="2950" xr:uid="{00000000-0005-0000-0000-00007D0B0000}"/>
    <cellStyle name="Custom - Style1" xfId="2951" xr:uid="{00000000-0005-0000-0000-00007E0B0000}"/>
    <cellStyle name="Custom - Style8" xfId="2952" xr:uid="{00000000-0005-0000-0000-00007F0B0000}"/>
    <cellStyle name="Data   - Style2" xfId="2953" xr:uid="{00000000-0005-0000-0000-0000800B0000}"/>
    <cellStyle name="Date" xfId="2954" xr:uid="{00000000-0005-0000-0000-0000810B0000}"/>
    <cellStyle name="Dollarsign" xfId="2955" xr:uid="{00000000-0005-0000-0000-0000820B0000}"/>
    <cellStyle name="DOUBLEL" xfId="2956" xr:uid="{00000000-0005-0000-0000-0000830B0000}"/>
    <cellStyle name="DOUBLEL 2" xfId="2957" xr:uid="{00000000-0005-0000-0000-0000840B0000}"/>
    <cellStyle name="DOUBLEL 3" xfId="2958" xr:uid="{00000000-0005-0000-0000-0000850B0000}"/>
    <cellStyle name="DOUBLEL 4" xfId="2959" xr:uid="{00000000-0005-0000-0000-0000860B0000}"/>
    <cellStyle name="eatme" xfId="2960" xr:uid="{00000000-0005-0000-0000-0000870B0000}"/>
    <cellStyle name="Explanatory Text 2" xfId="2961" xr:uid="{00000000-0005-0000-0000-0000880B0000}"/>
    <cellStyle name="Explanatory Text 3" xfId="2962" xr:uid="{00000000-0005-0000-0000-0000890B0000}"/>
    <cellStyle name="Explanatory Text 4" xfId="2963" xr:uid="{00000000-0005-0000-0000-00008A0B0000}"/>
    <cellStyle name="Explanatory Text 5" xfId="2964" xr:uid="{00000000-0005-0000-0000-00008B0B0000}"/>
    <cellStyle name="Explanatory Text 6" xfId="2965" xr:uid="{00000000-0005-0000-0000-00008C0B0000}"/>
    <cellStyle name="Fixed" xfId="2966" xr:uid="{00000000-0005-0000-0000-00008D0B0000}"/>
    <cellStyle name="Formula" xfId="2967" xr:uid="{00000000-0005-0000-0000-00008E0B0000}"/>
    <cellStyle name="Gas Cost x5" xfId="2968" xr:uid="{00000000-0005-0000-0000-00008F0B0000}"/>
    <cellStyle name="Good 2" xfId="2969" xr:uid="{00000000-0005-0000-0000-0000900B0000}"/>
    <cellStyle name="Good 3" xfId="2970" xr:uid="{00000000-0005-0000-0000-0000910B0000}"/>
    <cellStyle name="Good 4" xfId="2971" xr:uid="{00000000-0005-0000-0000-0000920B0000}"/>
    <cellStyle name="Good 5" xfId="2972" xr:uid="{00000000-0005-0000-0000-0000930B0000}"/>
    <cellStyle name="Good 6" xfId="2973" xr:uid="{00000000-0005-0000-0000-0000940B0000}"/>
    <cellStyle name="Hardcoded" xfId="2974" xr:uid="{00000000-0005-0000-0000-0000950B0000}"/>
    <cellStyle name="Head Title" xfId="2975" xr:uid="{00000000-0005-0000-0000-0000960B0000}"/>
    <cellStyle name="Heading 1 2" xfId="2976" xr:uid="{00000000-0005-0000-0000-0000970B0000}"/>
    <cellStyle name="Heading 1 3" xfId="2977" xr:uid="{00000000-0005-0000-0000-0000980B0000}"/>
    <cellStyle name="Heading 1 4" xfId="2978" xr:uid="{00000000-0005-0000-0000-0000990B0000}"/>
    <cellStyle name="Heading 1 5" xfId="2979" xr:uid="{00000000-0005-0000-0000-00009A0B0000}"/>
    <cellStyle name="Heading 1 6" xfId="2980" xr:uid="{00000000-0005-0000-0000-00009B0B0000}"/>
    <cellStyle name="Heading 2 2" xfId="2981" xr:uid="{00000000-0005-0000-0000-00009C0B0000}"/>
    <cellStyle name="Heading 2 3" xfId="2982" xr:uid="{00000000-0005-0000-0000-00009D0B0000}"/>
    <cellStyle name="Heading 2 4" xfId="2983" xr:uid="{00000000-0005-0000-0000-00009E0B0000}"/>
    <cellStyle name="Heading 2 5" xfId="2984" xr:uid="{00000000-0005-0000-0000-00009F0B0000}"/>
    <cellStyle name="Heading 2 6" xfId="2985" xr:uid="{00000000-0005-0000-0000-0000A00B0000}"/>
    <cellStyle name="Heading 3 2" xfId="2986" xr:uid="{00000000-0005-0000-0000-0000A10B0000}"/>
    <cellStyle name="Heading 3 3" xfId="2987" xr:uid="{00000000-0005-0000-0000-0000A20B0000}"/>
    <cellStyle name="Heading 3 4" xfId="2988" xr:uid="{00000000-0005-0000-0000-0000A30B0000}"/>
    <cellStyle name="Heading 3 5" xfId="2989" xr:uid="{00000000-0005-0000-0000-0000A40B0000}"/>
    <cellStyle name="Heading 3 6" xfId="2990" xr:uid="{00000000-0005-0000-0000-0000A50B0000}"/>
    <cellStyle name="Heading 4 2" xfId="2991" xr:uid="{00000000-0005-0000-0000-0000A60B0000}"/>
    <cellStyle name="Heading 4 3" xfId="2992" xr:uid="{00000000-0005-0000-0000-0000A70B0000}"/>
    <cellStyle name="Heading 4 4" xfId="2993" xr:uid="{00000000-0005-0000-0000-0000A80B0000}"/>
    <cellStyle name="Heading 4 5" xfId="2994" xr:uid="{00000000-0005-0000-0000-0000A90B0000}"/>
    <cellStyle name="Heading 4 6" xfId="2995" xr:uid="{00000000-0005-0000-0000-0000AA0B0000}"/>
    <cellStyle name="HeadlineStyle" xfId="2996" xr:uid="{00000000-0005-0000-0000-0000AB0B0000}"/>
    <cellStyle name="HeadlineStyle 10" xfId="2997" xr:uid="{00000000-0005-0000-0000-0000AC0B0000}"/>
    <cellStyle name="HeadlineStyle 11" xfId="2998" xr:uid="{00000000-0005-0000-0000-0000AD0B0000}"/>
    <cellStyle name="HeadlineStyle 12" xfId="2999" xr:uid="{00000000-0005-0000-0000-0000AE0B0000}"/>
    <cellStyle name="HeadlineStyle 13" xfId="3000" xr:uid="{00000000-0005-0000-0000-0000AF0B0000}"/>
    <cellStyle name="HeadlineStyle 14" xfId="3001" xr:uid="{00000000-0005-0000-0000-0000B00B0000}"/>
    <cellStyle name="HeadlineStyle 15" xfId="3002" xr:uid="{00000000-0005-0000-0000-0000B10B0000}"/>
    <cellStyle name="HeadlineStyle 16" xfId="3003" xr:uid="{00000000-0005-0000-0000-0000B20B0000}"/>
    <cellStyle name="HeadlineStyle 2" xfId="3004" xr:uid="{00000000-0005-0000-0000-0000B30B0000}"/>
    <cellStyle name="HeadlineStyle 3" xfId="3005" xr:uid="{00000000-0005-0000-0000-0000B40B0000}"/>
    <cellStyle name="HeadlineStyle 4" xfId="3006" xr:uid="{00000000-0005-0000-0000-0000B50B0000}"/>
    <cellStyle name="HeadlineStyle 5" xfId="3007" xr:uid="{00000000-0005-0000-0000-0000B60B0000}"/>
    <cellStyle name="HeadlineStyle 6" xfId="3008" xr:uid="{00000000-0005-0000-0000-0000B70B0000}"/>
    <cellStyle name="HeadlineStyle 7" xfId="3009" xr:uid="{00000000-0005-0000-0000-0000B80B0000}"/>
    <cellStyle name="HeadlineStyle 8" xfId="3010" xr:uid="{00000000-0005-0000-0000-0000B90B0000}"/>
    <cellStyle name="HeadlineStyle 9" xfId="3011" xr:uid="{00000000-0005-0000-0000-0000BA0B0000}"/>
    <cellStyle name="HeadlineStyleJustified" xfId="3012" xr:uid="{00000000-0005-0000-0000-0000BB0B0000}"/>
    <cellStyle name="HeadlineStyleJustified 10" xfId="3013" xr:uid="{00000000-0005-0000-0000-0000BC0B0000}"/>
    <cellStyle name="HeadlineStyleJustified 11" xfId="3014" xr:uid="{00000000-0005-0000-0000-0000BD0B0000}"/>
    <cellStyle name="HeadlineStyleJustified 12" xfId="3015" xr:uid="{00000000-0005-0000-0000-0000BE0B0000}"/>
    <cellStyle name="HeadlineStyleJustified 13" xfId="3016" xr:uid="{00000000-0005-0000-0000-0000BF0B0000}"/>
    <cellStyle name="HeadlineStyleJustified 14" xfId="3017" xr:uid="{00000000-0005-0000-0000-0000C00B0000}"/>
    <cellStyle name="HeadlineStyleJustified 15" xfId="3018" xr:uid="{00000000-0005-0000-0000-0000C10B0000}"/>
    <cellStyle name="HeadlineStyleJustified 16" xfId="3019" xr:uid="{00000000-0005-0000-0000-0000C20B0000}"/>
    <cellStyle name="HeadlineStyleJustified 2" xfId="3020" xr:uid="{00000000-0005-0000-0000-0000C30B0000}"/>
    <cellStyle name="HeadlineStyleJustified 3" xfId="3021" xr:uid="{00000000-0005-0000-0000-0000C40B0000}"/>
    <cellStyle name="HeadlineStyleJustified 4" xfId="3022" xr:uid="{00000000-0005-0000-0000-0000C50B0000}"/>
    <cellStyle name="HeadlineStyleJustified 5" xfId="3023" xr:uid="{00000000-0005-0000-0000-0000C60B0000}"/>
    <cellStyle name="HeadlineStyleJustified 6" xfId="3024" xr:uid="{00000000-0005-0000-0000-0000C70B0000}"/>
    <cellStyle name="HeadlineStyleJustified 7" xfId="3025" xr:uid="{00000000-0005-0000-0000-0000C80B0000}"/>
    <cellStyle name="HeadlineStyleJustified 8" xfId="3026" xr:uid="{00000000-0005-0000-0000-0000C90B0000}"/>
    <cellStyle name="HeadlineStyleJustified 9" xfId="3027" xr:uid="{00000000-0005-0000-0000-0000CA0B0000}"/>
    <cellStyle name="Hyperlink 2" xfId="3028" xr:uid="{00000000-0005-0000-0000-0000CB0B0000}"/>
    <cellStyle name="Hyperlink 2 2" xfId="3029" xr:uid="{00000000-0005-0000-0000-0000CC0B0000}"/>
    <cellStyle name="Hyperlink 3" xfId="3030" xr:uid="{00000000-0005-0000-0000-0000CD0B0000}"/>
    <cellStyle name="inc/dec" xfId="3031" xr:uid="{00000000-0005-0000-0000-0000CE0B0000}"/>
    <cellStyle name="inc/dec 2" xfId="3032" xr:uid="{00000000-0005-0000-0000-0000CF0B0000}"/>
    <cellStyle name="Input 2" xfId="3033" xr:uid="{00000000-0005-0000-0000-0000D00B0000}"/>
    <cellStyle name="Input 3" xfId="3034" xr:uid="{00000000-0005-0000-0000-0000D10B0000}"/>
    <cellStyle name="Input 4" xfId="3035" xr:uid="{00000000-0005-0000-0000-0000D20B0000}"/>
    <cellStyle name="Input 5" xfId="3036" xr:uid="{00000000-0005-0000-0000-0000D30B0000}"/>
    <cellStyle name="Input 6" xfId="3037" xr:uid="{00000000-0005-0000-0000-0000D40B0000}"/>
    <cellStyle name="Input 7" xfId="3038" xr:uid="{00000000-0005-0000-0000-0000D50B0000}"/>
    <cellStyle name="Labels - Style3" xfId="3039" xr:uid="{00000000-0005-0000-0000-0000D60B0000}"/>
    <cellStyle name="Labor" xfId="3040" xr:uid="{00000000-0005-0000-0000-0000D70B0000}"/>
    <cellStyle name="Lines" xfId="3041" xr:uid="{00000000-0005-0000-0000-0000D80B0000}"/>
    <cellStyle name="Linked Amount" xfId="3042" xr:uid="{00000000-0005-0000-0000-0000D90B0000}"/>
    <cellStyle name="Linked Cell 2" xfId="3043" xr:uid="{00000000-0005-0000-0000-0000DA0B0000}"/>
    <cellStyle name="Linked Cell 3" xfId="3044" xr:uid="{00000000-0005-0000-0000-0000DB0B0000}"/>
    <cellStyle name="Linked Cell 4" xfId="3045" xr:uid="{00000000-0005-0000-0000-0000DC0B0000}"/>
    <cellStyle name="Linked Cell 5" xfId="3046" xr:uid="{00000000-0005-0000-0000-0000DD0B0000}"/>
    <cellStyle name="Linked Cell 6" xfId="3047" xr:uid="{00000000-0005-0000-0000-0000DE0B0000}"/>
    <cellStyle name="Neutral 2" xfId="3048" xr:uid="{00000000-0005-0000-0000-0000DF0B0000}"/>
    <cellStyle name="Neutral 3" xfId="3049" xr:uid="{00000000-0005-0000-0000-0000E00B0000}"/>
    <cellStyle name="Neutral 4" xfId="3050" xr:uid="{00000000-0005-0000-0000-0000E10B0000}"/>
    <cellStyle name="Neutral 5" xfId="3051" xr:uid="{00000000-0005-0000-0000-0000E20B0000}"/>
    <cellStyle name="Neutral 6" xfId="3052" xr:uid="{00000000-0005-0000-0000-0000E30B0000}"/>
    <cellStyle name="Normal" xfId="0" builtinId="0"/>
    <cellStyle name="Normal - Style1" xfId="3053" xr:uid="{00000000-0005-0000-0000-0000E50B0000}"/>
    <cellStyle name="Normal - Style2" xfId="3054" xr:uid="{00000000-0005-0000-0000-0000E60B0000}"/>
    <cellStyle name="Normal - Style3" xfId="3055" xr:uid="{00000000-0005-0000-0000-0000E70B0000}"/>
    <cellStyle name="Normal - Style4" xfId="3056" xr:uid="{00000000-0005-0000-0000-0000E80B0000}"/>
    <cellStyle name="Normal - Style5" xfId="3057" xr:uid="{00000000-0005-0000-0000-0000E90B0000}"/>
    <cellStyle name="Normal - Style6" xfId="3058" xr:uid="{00000000-0005-0000-0000-0000EA0B0000}"/>
    <cellStyle name="Normal - Style7" xfId="3059" xr:uid="{00000000-0005-0000-0000-0000EB0B0000}"/>
    <cellStyle name="Normal - Style8" xfId="3060" xr:uid="{00000000-0005-0000-0000-0000EC0B0000}"/>
    <cellStyle name="Normal 10" xfId="3061" xr:uid="{00000000-0005-0000-0000-0000ED0B0000}"/>
    <cellStyle name="Normal 10 10" xfId="19" xr:uid="{00000000-0005-0000-0000-0000EE0B0000}"/>
    <cellStyle name="Normal 10 10 2" xfId="3062" xr:uid="{00000000-0005-0000-0000-0000EF0B0000}"/>
    <cellStyle name="Normal 10 10 2 2" xfId="3063" xr:uid="{00000000-0005-0000-0000-0000F00B0000}"/>
    <cellStyle name="Normal 10 10 2 3" xfId="3064" xr:uid="{00000000-0005-0000-0000-0000F10B0000}"/>
    <cellStyle name="Normal 10 10 3" xfId="3065" xr:uid="{00000000-0005-0000-0000-0000F20B0000}"/>
    <cellStyle name="Normal 10 10 3 2" xfId="9398" xr:uid="{00000000-0005-0000-0000-0000F30B0000}"/>
    <cellStyle name="Normal 10 10 4" xfId="3066" xr:uid="{00000000-0005-0000-0000-0000F40B0000}"/>
    <cellStyle name="Normal 10 10 5" xfId="3067" xr:uid="{00000000-0005-0000-0000-0000F50B0000}"/>
    <cellStyle name="Normal 10 10 6" xfId="3068" xr:uid="{00000000-0005-0000-0000-0000F60B0000}"/>
    <cellStyle name="Normal 10 10 6 2" xfId="9397" xr:uid="{00000000-0005-0000-0000-0000F70B0000}"/>
    <cellStyle name="Normal 10 10 7" xfId="3069" xr:uid="{00000000-0005-0000-0000-0000F80B0000}"/>
    <cellStyle name="Normal 10 10 8" xfId="9407" xr:uid="{00000000-0005-0000-0000-0000F90B0000}"/>
    <cellStyle name="Normal 10 10 8 2" xfId="9447" xr:uid="{00000000-0005-0000-0000-0000FA0B0000}"/>
    <cellStyle name="Normal 10 11" xfId="22" xr:uid="{00000000-0005-0000-0000-0000FB0B0000}"/>
    <cellStyle name="Normal 10 11 2" xfId="3070" xr:uid="{00000000-0005-0000-0000-0000FC0B0000}"/>
    <cellStyle name="Normal 10 11 2 2" xfId="3071" xr:uid="{00000000-0005-0000-0000-0000FD0B0000}"/>
    <cellStyle name="Normal 10 11 3" xfId="3072" xr:uid="{00000000-0005-0000-0000-0000FE0B0000}"/>
    <cellStyle name="Normal 10 11 4" xfId="9409" xr:uid="{00000000-0005-0000-0000-0000FF0B0000}"/>
    <cellStyle name="Normal 10 12" xfId="3073" xr:uid="{00000000-0005-0000-0000-0000000C0000}"/>
    <cellStyle name="Normal 10 12 2" xfId="3074" xr:uid="{00000000-0005-0000-0000-0000010C0000}"/>
    <cellStyle name="Normal 10 12 2 2" xfId="3075" xr:uid="{00000000-0005-0000-0000-0000020C0000}"/>
    <cellStyle name="Normal 10 12 3" xfId="3076" xr:uid="{00000000-0005-0000-0000-0000030C0000}"/>
    <cellStyle name="Normal 10 13" xfId="3077" xr:uid="{00000000-0005-0000-0000-0000040C0000}"/>
    <cellStyle name="Normal 10 13 2" xfId="3078" xr:uid="{00000000-0005-0000-0000-0000050C0000}"/>
    <cellStyle name="Normal 10 13 2 2" xfId="3079" xr:uid="{00000000-0005-0000-0000-0000060C0000}"/>
    <cellStyle name="Normal 10 13 3" xfId="3080" xr:uid="{00000000-0005-0000-0000-0000070C0000}"/>
    <cellStyle name="Normal 10 14" xfId="3081" xr:uid="{00000000-0005-0000-0000-0000080C0000}"/>
    <cellStyle name="Normal 10 14 10" xfId="3082" xr:uid="{00000000-0005-0000-0000-0000090C0000}"/>
    <cellStyle name="Normal 10 14 10 2" xfId="3083" xr:uid="{00000000-0005-0000-0000-00000A0C0000}"/>
    <cellStyle name="Normal 10 14 10 2 2" xfId="3084" xr:uid="{00000000-0005-0000-0000-00000B0C0000}"/>
    <cellStyle name="Normal 10 14 10 3" xfId="3085" xr:uid="{00000000-0005-0000-0000-00000C0C0000}"/>
    <cellStyle name="Normal 10 14 11" xfId="3086" xr:uid="{00000000-0005-0000-0000-00000D0C0000}"/>
    <cellStyle name="Normal 10 14 11 2" xfId="3087" xr:uid="{00000000-0005-0000-0000-00000E0C0000}"/>
    <cellStyle name="Normal 10 14 11 2 2" xfId="3088" xr:uid="{00000000-0005-0000-0000-00000F0C0000}"/>
    <cellStyle name="Normal 10 14 11 3" xfId="3089" xr:uid="{00000000-0005-0000-0000-0000100C0000}"/>
    <cellStyle name="Normal 10 14 12" xfId="3090" xr:uid="{00000000-0005-0000-0000-0000110C0000}"/>
    <cellStyle name="Normal 10 14 12 2" xfId="3091" xr:uid="{00000000-0005-0000-0000-0000120C0000}"/>
    <cellStyle name="Normal 10 14 12 2 2" xfId="3092" xr:uid="{00000000-0005-0000-0000-0000130C0000}"/>
    <cellStyle name="Normal 10 14 12 3" xfId="3093" xr:uid="{00000000-0005-0000-0000-0000140C0000}"/>
    <cellStyle name="Normal 10 14 13" xfId="3094" xr:uid="{00000000-0005-0000-0000-0000150C0000}"/>
    <cellStyle name="Normal 10 14 13 2" xfId="3095" xr:uid="{00000000-0005-0000-0000-0000160C0000}"/>
    <cellStyle name="Normal 10 14 14" xfId="3096" xr:uid="{00000000-0005-0000-0000-0000170C0000}"/>
    <cellStyle name="Normal 10 14 2" xfId="3097" xr:uid="{00000000-0005-0000-0000-0000180C0000}"/>
    <cellStyle name="Normal 10 14 2 2" xfId="3098" xr:uid="{00000000-0005-0000-0000-0000190C0000}"/>
    <cellStyle name="Normal 10 14 2 2 2" xfId="3099" xr:uid="{00000000-0005-0000-0000-00001A0C0000}"/>
    <cellStyle name="Normal 10 14 2 3" xfId="3100" xr:uid="{00000000-0005-0000-0000-00001B0C0000}"/>
    <cellStyle name="Normal 10 14 3" xfId="3101" xr:uid="{00000000-0005-0000-0000-00001C0C0000}"/>
    <cellStyle name="Normal 10 14 3 2" xfId="3102" xr:uid="{00000000-0005-0000-0000-00001D0C0000}"/>
    <cellStyle name="Normal 10 14 3 2 2" xfId="3103" xr:uid="{00000000-0005-0000-0000-00001E0C0000}"/>
    <cellStyle name="Normal 10 14 3 3" xfId="3104" xr:uid="{00000000-0005-0000-0000-00001F0C0000}"/>
    <cellStyle name="Normal 10 14 4" xfId="3105" xr:uid="{00000000-0005-0000-0000-0000200C0000}"/>
    <cellStyle name="Normal 10 14 4 2" xfId="3106" xr:uid="{00000000-0005-0000-0000-0000210C0000}"/>
    <cellStyle name="Normal 10 14 4 2 2" xfId="3107" xr:uid="{00000000-0005-0000-0000-0000220C0000}"/>
    <cellStyle name="Normal 10 14 4 3" xfId="3108" xr:uid="{00000000-0005-0000-0000-0000230C0000}"/>
    <cellStyle name="Normal 10 14 5" xfId="3109" xr:uid="{00000000-0005-0000-0000-0000240C0000}"/>
    <cellStyle name="Normal 10 14 5 2" xfId="3110" xr:uid="{00000000-0005-0000-0000-0000250C0000}"/>
    <cellStyle name="Normal 10 14 5 2 2" xfId="3111" xr:uid="{00000000-0005-0000-0000-0000260C0000}"/>
    <cellStyle name="Normal 10 14 5 3" xfId="3112" xr:uid="{00000000-0005-0000-0000-0000270C0000}"/>
    <cellStyle name="Normal 10 14 6" xfId="3113" xr:uid="{00000000-0005-0000-0000-0000280C0000}"/>
    <cellStyle name="Normal 10 14 6 2" xfId="3114" xr:uid="{00000000-0005-0000-0000-0000290C0000}"/>
    <cellStyle name="Normal 10 14 6 2 2" xfId="3115" xr:uid="{00000000-0005-0000-0000-00002A0C0000}"/>
    <cellStyle name="Normal 10 14 6 3" xfId="3116" xr:uid="{00000000-0005-0000-0000-00002B0C0000}"/>
    <cellStyle name="Normal 10 14 7" xfId="3117" xr:uid="{00000000-0005-0000-0000-00002C0C0000}"/>
    <cellStyle name="Normal 10 14 7 2" xfId="3118" xr:uid="{00000000-0005-0000-0000-00002D0C0000}"/>
    <cellStyle name="Normal 10 14 7 2 2" xfId="3119" xr:uid="{00000000-0005-0000-0000-00002E0C0000}"/>
    <cellStyle name="Normal 10 14 7 3" xfId="3120" xr:uid="{00000000-0005-0000-0000-00002F0C0000}"/>
    <cellStyle name="Normal 10 14 8" xfId="3121" xr:uid="{00000000-0005-0000-0000-0000300C0000}"/>
    <cellStyle name="Normal 10 14 8 2" xfId="3122" xr:uid="{00000000-0005-0000-0000-0000310C0000}"/>
    <cellStyle name="Normal 10 14 8 2 2" xfId="3123" xr:uid="{00000000-0005-0000-0000-0000320C0000}"/>
    <cellStyle name="Normal 10 14 8 3" xfId="3124" xr:uid="{00000000-0005-0000-0000-0000330C0000}"/>
    <cellStyle name="Normal 10 14 9" xfId="3125" xr:uid="{00000000-0005-0000-0000-0000340C0000}"/>
    <cellStyle name="Normal 10 14 9 2" xfId="3126" xr:uid="{00000000-0005-0000-0000-0000350C0000}"/>
    <cellStyle name="Normal 10 14 9 2 2" xfId="3127" xr:uid="{00000000-0005-0000-0000-0000360C0000}"/>
    <cellStyle name="Normal 10 14 9 3" xfId="3128" xr:uid="{00000000-0005-0000-0000-0000370C0000}"/>
    <cellStyle name="Normal 10 15" xfId="3129" xr:uid="{00000000-0005-0000-0000-0000380C0000}"/>
    <cellStyle name="Normal 10 15 2" xfId="3130" xr:uid="{00000000-0005-0000-0000-0000390C0000}"/>
    <cellStyle name="Normal 10 15 2 2" xfId="3131" xr:uid="{00000000-0005-0000-0000-00003A0C0000}"/>
    <cellStyle name="Normal 10 15 3" xfId="3132" xr:uid="{00000000-0005-0000-0000-00003B0C0000}"/>
    <cellStyle name="Normal 10 16" xfId="3133" xr:uid="{00000000-0005-0000-0000-00003C0C0000}"/>
    <cellStyle name="Normal 10 16 2" xfId="3134" xr:uid="{00000000-0005-0000-0000-00003D0C0000}"/>
    <cellStyle name="Normal 10 16 2 2" xfId="3135" xr:uid="{00000000-0005-0000-0000-00003E0C0000}"/>
    <cellStyle name="Normal 10 16 3" xfId="3136" xr:uid="{00000000-0005-0000-0000-00003F0C0000}"/>
    <cellStyle name="Normal 10 17" xfId="3137" xr:uid="{00000000-0005-0000-0000-0000400C0000}"/>
    <cellStyle name="Normal 10 17 2" xfId="3138" xr:uid="{00000000-0005-0000-0000-0000410C0000}"/>
    <cellStyle name="Normal 10 17 2 2" xfId="3139" xr:uid="{00000000-0005-0000-0000-0000420C0000}"/>
    <cellStyle name="Normal 10 17 3" xfId="3140" xr:uid="{00000000-0005-0000-0000-0000430C0000}"/>
    <cellStyle name="Normal 10 18" xfId="3141" xr:uid="{00000000-0005-0000-0000-0000440C0000}"/>
    <cellStyle name="Normal 10 18 2" xfId="3142" xr:uid="{00000000-0005-0000-0000-0000450C0000}"/>
    <cellStyle name="Normal 10 18 2 2" xfId="3143" xr:uid="{00000000-0005-0000-0000-0000460C0000}"/>
    <cellStyle name="Normal 10 18 3" xfId="3144" xr:uid="{00000000-0005-0000-0000-0000470C0000}"/>
    <cellStyle name="Normal 10 19" xfId="3145" xr:uid="{00000000-0005-0000-0000-0000480C0000}"/>
    <cellStyle name="Normal 10 19 2" xfId="3146" xr:uid="{00000000-0005-0000-0000-0000490C0000}"/>
    <cellStyle name="Normal 10 19 2 2" xfId="3147" xr:uid="{00000000-0005-0000-0000-00004A0C0000}"/>
    <cellStyle name="Normal 10 19 3" xfId="3148" xr:uid="{00000000-0005-0000-0000-00004B0C0000}"/>
    <cellStyle name="Normal 10 2" xfId="3149" xr:uid="{00000000-0005-0000-0000-00004C0C0000}"/>
    <cellStyle name="Normal 10 2 2" xfId="3150" xr:uid="{00000000-0005-0000-0000-00004D0C0000}"/>
    <cellStyle name="Normal 10 2 2 2" xfId="3151" xr:uid="{00000000-0005-0000-0000-00004E0C0000}"/>
    <cellStyle name="Normal 10 2 2 3" xfId="3152" xr:uid="{00000000-0005-0000-0000-00004F0C0000}"/>
    <cellStyle name="Normal 10 2 3" xfId="3153" xr:uid="{00000000-0005-0000-0000-0000500C0000}"/>
    <cellStyle name="Normal 10 2 4" xfId="3154" xr:uid="{00000000-0005-0000-0000-0000510C0000}"/>
    <cellStyle name="Normal 10 20" xfId="3155" xr:uid="{00000000-0005-0000-0000-0000520C0000}"/>
    <cellStyle name="Normal 10 20 2" xfId="3156" xr:uid="{00000000-0005-0000-0000-0000530C0000}"/>
    <cellStyle name="Normal 10 20 2 2" xfId="3157" xr:uid="{00000000-0005-0000-0000-0000540C0000}"/>
    <cellStyle name="Normal 10 20 3" xfId="3158" xr:uid="{00000000-0005-0000-0000-0000550C0000}"/>
    <cellStyle name="Normal 10 21" xfId="3159" xr:uid="{00000000-0005-0000-0000-0000560C0000}"/>
    <cellStyle name="Normal 10 21 2" xfId="3160" xr:uid="{00000000-0005-0000-0000-0000570C0000}"/>
    <cellStyle name="Normal 10 21 2 2" xfId="3161" xr:uid="{00000000-0005-0000-0000-0000580C0000}"/>
    <cellStyle name="Normal 10 21 3" xfId="3162" xr:uid="{00000000-0005-0000-0000-0000590C0000}"/>
    <cellStyle name="Normal 10 21 4" xfId="3163" xr:uid="{00000000-0005-0000-0000-00005A0C0000}"/>
    <cellStyle name="Normal 10 21 5" xfId="3164" xr:uid="{00000000-0005-0000-0000-00005B0C0000}"/>
    <cellStyle name="Normal 10 22" xfId="3165" xr:uid="{00000000-0005-0000-0000-00005C0C0000}"/>
    <cellStyle name="Normal 10 22 2" xfId="3166" xr:uid="{00000000-0005-0000-0000-00005D0C0000}"/>
    <cellStyle name="Normal 10 22 3" xfId="3167" xr:uid="{00000000-0005-0000-0000-00005E0C0000}"/>
    <cellStyle name="Normal 10 23" xfId="3168" xr:uid="{00000000-0005-0000-0000-00005F0C0000}"/>
    <cellStyle name="Normal 10 23 2" xfId="20" xr:uid="{00000000-0005-0000-0000-0000600C0000}"/>
    <cellStyle name="Normal 10 23 3" xfId="3169" xr:uid="{00000000-0005-0000-0000-0000610C0000}"/>
    <cellStyle name="Normal 10 24" xfId="3170" xr:uid="{00000000-0005-0000-0000-0000620C0000}"/>
    <cellStyle name="Normal 10 25" xfId="3171" xr:uid="{00000000-0005-0000-0000-0000630C0000}"/>
    <cellStyle name="Normal 10 26" xfId="3172" xr:uid="{00000000-0005-0000-0000-0000640C0000}"/>
    <cellStyle name="Normal 10 26 2" xfId="3173" xr:uid="{00000000-0005-0000-0000-0000650C0000}"/>
    <cellStyle name="Normal 10 27" xfId="3174" xr:uid="{00000000-0005-0000-0000-0000660C0000}"/>
    <cellStyle name="Normal 10 28" xfId="3175" xr:uid="{00000000-0005-0000-0000-0000670C0000}"/>
    <cellStyle name="Normal 10 29" xfId="3176" xr:uid="{00000000-0005-0000-0000-0000680C0000}"/>
    <cellStyle name="Normal 10 3" xfId="3177" xr:uid="{00000000-0005-0000-0000-0000690C0000}"/>
    <cellStyle name="Normal 10 3 2" xfId="3178" xr:uid="{00000000-0005-0000-0000-00006A0C0000}"/>
    <cellStyle name="Normal 10 3 2 2" xfId="3179" xr:uid="{00000000-0005-0000-0000-00006B0C0000}"/>
    <cellStyle name="Normal 10 3 2 3" xfId="3180" xr:uid="{00000000-0005-0000-0000-00006C0C0000}"/>
    <cellStyle name="Normal 10 3 3" xfId="3181" xr:uid="{00000000-0005-0000-0000-00006D0C0000}"/>
    <cellStyle name="Normal 10 3 4" xfId="3182" xr:uid="{00000000-0005-0000-0000-00006E0C0000}"/>
    <cellStyle name="Normal 10 30" xfId="3183" xr:uid="{00000000-0005-0000-0000-00006F0C0000}"/>
    <cellStyle name="Normal 10 31" xfId="3184" xr:uid="{00000000-0005-0000-0000-0000700C0000}"/>
    <cellStyle name="Normal 10 32" xfId="3185" xr:uid="{00000000-0005-0000-0000-0000710C0000}"/>
    <cellStyle name="Normal 10 33" xfId="3186" xr:uid="{00000000-0005-0000-0000-0000720C0000}"/>
    <cellStyle name="Normal 10 34" xfId="3187" xr:uid="{00000000-0005-0000-0000-0000730C0000}"/>
    <cellStyle name="Normal 10 35" xfId="3188" xr:uid="{00000000-0005-0000-0000-0000740C0000}"/>
    <cellStyle name="Normal 10 36" xfId="3189" xr:uid="{00000000-0005-0000-0000-0000750C0000}"/>
    <cellStyle name="Normal 10 37" xfId="3190" xr:uid="{00000000-0005-0000-0000-0000760C0000}"/>
    <cellStyle name="Normal 10 38" xfId="3191" xr:uid="{00000000-0005-0000-0000-0000770C0000}"/>
    <cellStyle name="Normal 10 39" xfId="3192" xr:uid="{00000000-0005-0000-0000-0000780C0000}"/>
    <cellStyle name="Normal 10 4" xfId="3193" xr:uid="{00000000-0005-0000-0000-0000790C0000}"/>
    <cellStyle name="Normal 10 4 2" xfId="3194" xr:uid="{00000000-0005-0000-0000-00007A0C0000}"/>
    <cellStyle name="Normal 10 4 2 2" xfId="3195" xr:uid="{00000000-0005-0000-0000-00007B0C0000}"/>
    <cellStyle name="Normal 10 4 2 3" xfId="3196" xr:uid="{00000000-0005-0000-0000-00007C0C0000}"/>
    <cellStyle name="Normal 10 4 3" xfId="3197" xr:uid="{00000000-0005-0000-0000-00007D0C0000}"/>
    <cellStyle name="Normal 10 4 4" xfId="3198" xr:uid="{00000000-0005-0000-0000-00007E0C0000}"/>
    <cellStyle name="Normal 10 40" xfId="3199" xr:uid="{00000000-0005-0000-0000-00007F0C0000}"/>
    <cellStyle name="Normal 10 41" xfId="3200" xr:uid="{00000000-0005-0000-0000-0000800C0000}"/>
    <cellStyle name="Normal 10 42" xfId="3201" xr:uid="{00000000-0005-0000-0000-0000810C0000}"/>
    <cellStyle name="Normal 10 43" xfId="3202" xr:uid="{00000000-0005-0000-0000-0000820C0000}"/>
    <cellStyle name="Normal 10 44" xfId="3203" xr:uid="{00000000-0005-0000-0000-0000830C0000}"/>
    <cellStyle name="Normal 10 45" xfId="3204" xr:uid="{00000000-0005-0000-0000-0000840C0000}"/>
    <cellStyle name="Normal 10 46" xfId="3205" xr:uid="{00000000-0005-0000-0000-0000850C0000}"/>
    <cellStyle name="Normal 10 47" xfId="3206" xr:uid="{00000000-0005-0000-0000-0000860C0000}"/>
    <cellStyle name="Normal 10 48" xfId="3207" xr:uid="{00000000-0005-0000-0000-0000870C0000}"/>
    <cellStyle name="Normal 10 49" xfId="3208" xr:uid="{00000000-0005-0000-0000-0000880C0000}"/>
    <cellStyle name="Normal 10 5" xfId="3209" xr:uid="{00000000-0005-0000-0000-0000890C0000}"/>
    <cellStyle name="Normal 10 5 2" xfId="3210" xr:uid="{00000000-0005-0000-0000-00008A0C0000}"/>
    <cellStyle name="Normal 10 5 2 2" xfId="3211" xr:uid="{00000000-0005-0000-0000-00008B0C0000}"/>
    <cellStyle name="Normal 10 5 2 3" xfId="3212" xr:uid="{00000000-0005-0000-0000-00008C0C0000}"/>
    <cellStyle name="Normal 10 5 3" xfId="3213" xr:uid="{00000000-0005-0000-0000-00008D0C0000}"/>
    <cellStyle name="Normal 10 5 4" xfId="3214" xr:uid="{00000000-0005-0000-0000-00008E0C0000}"/>
    <cellStyle name="Normal 10 50" xfId="3215" xr:uid="{00000000-0005-0000-0000-00008F0C0000}"/>
    <cellStyle name="Normal 10 51" xfId="3216" xr:uid="{00000000-0005-0000-0000-0000900C0000}"/>
    <cellStyle name="Normal 10 52" xfId="3217" xr:uid="{00000000-0005-0000-0000-0000910C0000}"/>
    <cellStyle name="Normal 10 53" xfId="3218" xr:uid="{00000000-0005-0000-0000-0000920C0000}"/>
    <cellStyle name="Normal 10 54" xfId="3219" xr:uid="{00000000-0005-0000-0000-0000930C0000}"/>
    <cellStyle name="Normal 10 55" xfId="3220" xr:uid="{00000000-0005-0000-0000-0000940C0000}"/>
    <cellStyle name="Normal 10 56" xfId="3221" xr:uid="{00000000-0005-0000-0000-0000950C0000}"/>
    <cellStyle name="Normal 10 57" xfId="3222" xr:uid="{00000000-0005-0000-0000-0000960C0000}"/>
    <cellStyle name="Normal 10 58" xfId="3223" xr:uid="{00000000-0005-0000-0000-0000970C0000}"/>
    <cellStyle name="Normal 10 59" xfId="3224" xr:uid="{00000000-0005-0000-0000-0000980C0000}"/>
    <cellStyle name="Normal 10 6" xfId="3225" xr:uid="{00000000-0005-0000-0000-0000990C0000}"/>
    <cellStyle name="Normal 10 6 2" xfId="3226" xr:uid="{00000000-0005-0000-0000-00009A0C0000}"/>
    <cellStyle name="Normal 10 6 2 2" xfId="3227" xr:uid="{00000000-0005-0000-0000-00009B0C0000}"/>
    <cellStyle name="Normal 10 6 2 3" xfId="3228" xr:uid="{00000000-0005-0000-0000-00009C0C0000}"/>
    <cellStyle name="Normal 10 6 3" xfId="3229" xr:uid="{00000000-0005-0000-0000-00009D0C0000}"/>
    <cellStyle name="Normal 10 6 4" xfId="3230" xr:uid="{00000000-0005-0000-0000-00009E0C0000}"/>
    <cellStyle name="Normal 10 60" xfId="3231" xr:uid="{00000000-0005-0000-0000-00009F0C0000}"/>
    <cellStyle name="Normal 10 61" xfId="3232" xr:uid="{00000000-0005-0000-0000-0000A00C0000}"/>
    <cellStyle name="Normal 10 62" xfId="3233" xr:uid="{00000000-0005-0000-0000-0000A10C0000}"/>
    <cellStyle name="Normal 10 63" xfId="3234" xr:uid="{00000000-0005-0000-0000-0000A20C0000}"/>
    <cellStyle name="Normal 10 64" xfId="3235" xr:uid="{00000000-0005-0000-0000-0000A30C0000}"/>
    <cellStyle name="Normal 10 65" xfId="3236" xr:uid="{00000000-0005-0000-0000-0000A40C0000}"/>
    <cellStyle name="Normal 10 66" xfId="3237" xr:uid="{00000000-0005-0000-0000-0000A50C0000}"/>
    <cellStyle name="Normal 10 67" xfId="3238" xr:uid="{00000000-0005-0000-0000-0000A60C0000}"/>
    <cellStyle name="Normal 10 68" xfId="3239" xr:uid="{00000000-0005-0000-0000-0000A70C0000}"/>
    <cellStyle name="Normal 10 69" xfId="3240" xr:uid="{00000000-0005-0000-0000-0000A80C0000}"/>
    <cellStyle name="Normal 10 7" xfId="3241" xr:uid="{00000000-0005-0000-0000-0000A90C0000}"/>
    <cellStyle name="Normal 10 7 2" xfId="3242" xr:uid="{00000000-0005-0000-0000-0000AA0C0000}"/>
    <cellStyle name="Normal 10 7 2 2" xfId="3243" xr:uid="{00000000-0005-0000-0000-0000AB0C0000}"/>
    <cellStyle name="Normal 10 7 2 3" xfId="3244" xr:uid="{00000000-0005-0000-0000-0000AC0C0000}"/>
    <cellStyle name="Normal 10 7 3" xfId="3245" xr:uid="{00000000-0005-0000-0000-0000AD0C0000}"/>
    <cellStyle name="Normal 10 7 4" xfId="3246" xr:uid="{00000000-0005-0000-0000-0000AE0C0000}"/>
    <cellStyle name="Normal 10 70" xfId="3247" xr:uid="{00000000-0005-0000-0000-0000AF0C0000}"/>
    <cellStyle name="Normal 10 71" xfId="3248" xr:uid="{00000000-0005-0000-0000-0000B00C0000}"/>
    <cellStyle name="Normal 10 71 2" xfId="3249" xr:uid="{00000000-0005-0000-0000-0000B10C0000}"/>
    <cellStyle name="Normal 10 72" xfId="3250" xr:uid="{00000000-0005-0000-0000-0000B20C0000}"/>
    <cellStyle name="Normal 10 73" xfId="3251" xr:uid="{00000000-0005-0000-0000-0000B30C0000}"/>
    <cellStyle name="Normal 10 8" xfId="3252" xr:uid="{00000000-0005-0000-0000-0000B40C0000}"/>
    <cellStyle name="Normal 10 8 2" xfId="3253" xr:uid="{00000000-0005-0000-0000-0000B50C0000}"/>
    <cellStyle name="Normal 10 8 2 2" xfId="3254" xr:uid="{00000000-0005-0000-0000-0000B60C0000}"/>
    <cellStyle name="Normal 10 8 2 3" xfId="3255" xr:uid="{00000000-0005-0000-0000-0000B70C0000}"/>
    <cellStyle name="Normal 10 8 3" xfId="3256" xr:uid="{00000000-0005-0000-0000-0000B80C0000}"/>
    <cellStyle name="Normal 10 8 4" xfId="3257" xr:uid="{00000000-0005-0000-0000-0000B90C0000}"/>
    <cellStyle name="Normal 10 9" xfId="3258" xr:uid="{00000000-0005-0000-0000-0000BA0C0000}"/>
    <cellStyle name="Normal 10 9 2" xfId="3259" xr:uid="{00000000-0005-0000-0000-0000BB0C0000}"/>
    <cellStyle name="Normal 10 9 2 2" xfId="3260" xr:uid="{00000000-0005-0000-0000-0000BC0C0000}"/>
    <cellStyle name="Normal 10 9 3" xfId="3261" xr:uid="{00000000-0005-0000-0000-0000BD0C0000}"/>
    <cellStyle name="Normal 10 9 4" xfId="3262" xr:uid="{00000000-0005-0000-0000-0000BE0C0000}"/>
    <cellStyle name="Normal 10 9 5" xfId="3263" xr:uid="{00000000-0005-0000-0000-0000BF0C0000}"/>
    <cellStyle name="Normal 100" xfId="3264" xr:uid="{00000000-0005-0000-0000-0000C00C0000}"/>
    <cellStyle name="Normal 101" xfId="3265" xr:uid="{00000000-0005-0000-0000-0000C10C0000}"/>
    <cellStyle name="Normal 102" xfId="3266" xr:uid="{00000000-0005-0000-0000-0000C20C0000}"/>
    <cellStyle name="Normal 103" xfId="3267" xr:uid="{00000000-0005-0000-0000-0000C30C0000}"/>
    <cellStyle name="Normal 104" xfId="3268" xr:uid="{00000000-0005-0000-0000-0000C40C0000}"/>
    <cellStyle name="Normal 105" xfId="3269" xr:uid="{00000000-0005-0000-0000-0000C50C0000}"/>
    <cellStyle name="Normal 106" xfId="3270" xr:uid="{00000000-0005-0000-0000-0000C60C0000}"/>
    <cellStyle name="Normal 107" xfId="3271" xr:uid="{00000000-0005-0000-0000-0000C70C0000}"/>
    <cellStyle name="Normal 108" xfId="3272" xr:uid="{00000000-0005-0000-0000-0000C80C0000}"/>
    <cellStyle name="Normal 109" xfId="3273" xr:uid="{00000000-0005-0000-0000-0000C90C0000}"/>
    <cellStyle name="Normal 11" xfId="3274" xr:uid="{00000000-0005-0000-0000-0000CA0C0000}"/>
    <cellStyle name="Normal 11 10" xfId="3275" xr:uid="{00000000-0005-0000-0000-0000CB0C0000}"/>
    <cellStyle name="Normal 11 11" xfId="3276" xr:uid="{00000000-0005-0000-0000-0000CC0C0000}"/>
    <cellStyle name="Normal 11 12" xfId="3277" xr:uid="{00000000-0005-0000-0000-0000CD0C0000}"/>
    <cellStyle name="Normal 11 13" xfId="3278" xr:uid="{00000000-0005-0000-0000-0000CE0C0000}"/>
    <cellStyle name="Normal 11 14" xfId="3279" xr:uid="{00000000-0005-0000-0000-0000CF0C0000}"/>
    <cellStyle name="Normal 11 2" xfId="3280" xr:uid="{00000000-0005-0000-0000-0000D00C0000}"/>
    <cellStyle name="Normal 11 2 10" xfId="3281" xr:uid="{00000000-0005-0000-0000-0000D10C0000}"/>
    <cellStyle name="Normal 11 2 2" xfId="3282" xr:uid="{00000000-0005-0000-0000-0000D20C0000}"/>
    <cellStyle name="Normal 11 2 2 2" xfId="3283" xr:uid="{00000000-0005-0000-0000-0000D30C0000}"/>
    <cellStyle name="Normal 11 2 2 2 2" xfId="3284" xr:uid="{00000000-0005-0000-0000-0000D40C0000}"/>
    <cellStyle name="Normal 11 2 2 3" xfId="3285" xr:uid="{00000000-0005-0000-0000-0000D50C0000}"/>
    <cellStyle name="Normal 11 2 2 4" xfId="3286" xr:uid="{00000000-0005-0000-0000-0000D60C0000}"/>
    <cellStyle name="Normal 11 2 2 5" xfId="3287" xr:uid="{00000000-0005-0000-0000-0000D70C0000}"/>
    <cellStyle name="Normal 11 2 2 6" xfId="3288" xr:uid="{00000000-0005-0000-0000-0000D80C0000}"/>
    <cellStyle name="Normal 11 2 2 7" xfId="3289" xr:uid="{00000000-0005-0000-0000-0000D90C0000}"/>
    <cellStyle name="Normal 11 2 2 8" xfId="3290" xr:uid="{00000000-0005-0000-0000-0000DA0C0000}"/>
    <cellStyle name="Normal 11 2 2 9" xfId="3291" xr:uid="{00000000-0005-0000-0000-0000DB0C0000}"/>
    <cellStyle name="Normal 11 2 3" xfId="3292" xr:uid="{00000000-0005-0000-0000-0000DC0C0000}"/>
    <cellStyle name="Normal 11 2 4" xfId="3293" xr:uid="{00000000-0005-0000-0000-0000DD0C0000}"/>
    <cellStyle name="Normal 11 2 5" xfId="3294" xr:uid="{00000000-0005-0000-0000-0000DE0C0000}"/>
    <cellStyle name="Normal 11 2 6" xfId="3295" xr:uid="{00000000-0005-0000-0000-0000DF0C0000}"/>
    <cellStyle name="Normal 11 2 7" xfId="3296" xr:uid="{00000000-0005-0000-0000-0000E00C0000}"/>
    <cellStyle name="Normal 11 2 8" xfId="3297" xr:uid="{00000000-0005-0000-0000-0000E10C0000}"/>
    <cellStyle name="Normal 11 2 9" xfId="3298" xr:uid="{00000000-0005-0000-0000-0000E20C0000}"/>
    <cellStyle name="Normal 11 3" xfId="3299" xr:uid="{00000000-0005-0000-0000-0000E30C0000}"/>
    <cellStyle name="Normal 11 4" xfId="3300" xr:uid="{00000000-0005-0000-0000-0000E40C0000}"/>
    <cellStyle name="Normal 11 5" xfId="3301" xr:uid="{00000000-0005-0000-0000-0000E50C0000}"/>
    <cellStyle name="Normal 11 5 2" xfId="3302" xr:uid="{00000000-0005-0000-0000-0000E60C0000}"/>
    <cellStyle name="Normal 11 6" xfId="3303" xr:uid="{00000000-0005-0000-0000-0000E70C0000}"/>
    <cellStyle name="Normal 11 6 2" xfId="3304" xr:uid="{00000000-0005-0000-0000-0000E80C0000}"/>
    <cellStyle name="Normal 11 7" xfId="3305" xr:uid="{00000000-0005-0000-0000-0000E90C0000}"/>
    <cellStyle name="Normal 11 8" xfId="3306" xr:uid="{00000000-0005-0000-0000-0000EA0C0000}"/>
    <cellStyle name="Normal 11 9" xfId="3307" xr:uid="{00000000-0005-0000-0000-0000EB0C0000}"/>
    <cellStyle name="Normal 110" xfId="3308" xr:uid="{00000000-0005-0000-0000-0000EC0C0000}"/>
    <cellStyle name="Normal 111" xfId="3309" xr:uid="{00000000-0005-0000-0000-0000ED0C0000}"/>
    <cellStyle name="Normal 112" xfId="3310" xr:uid="{00000000-0005-0000-0000-0000EE0C0000}"/>
    <cellStyle name="Normal 113" xfId="3311" xr:uid="{00000000-0005-0000-0000-0000EF0C0000}"/>
    <cellStyle name="Normal 114" xfId="3312" xr:uid="{00000000-0005-0000-0000-0000F00C0000}"/>
    <cellStyle name="Normal 115" xfId="3313" xr:uid="{00000000-0005-0000-0000-0000F10C0000}"/>
    <cellStyle name="Normal 116" xfId="3314" xr:uid="{00000000-0005-0000-0000-0000F20C0000}"/>
    <cellStyle name="Normal 117" xfId="3315" xr:uid="{00000000-0005-0000-0000-0000F30C0000}"/>
    <cellStyle name="Normal 118" xfId="3316" xr:uid="{00000000-0005-0000-0000-0000F40C0000}"/>
    <cellStyle name="Normal 119" xfId="3317" xr:uid="{00000000-0005-0000-0000-0000F50C0000}"/>
    <cellStyle name="Normal 12" xfId="3318" xr:uid="{00000000-0005-0000-0000-0000F60C0000}"/>
    <cellStyle name="Normal 12 10" xfId="3319" xr:uid="{00000000-0005-0000-0000-0000F70C0000}"/>
    <cellStyle name="Normal 12 10 2" xfId="9406" xr:uid="{00000000-0005-0000-0000-0000F80C0000}"/>
    <cellStyle name="Normal 12 11" xfId="3320" xr:uid="{00000000-0005-0000-0000-0000F90C0000}"/>
    <cellStyle name="Normal 12 12" xfId="3321" xr:uid="{00000000-0005-0000-0000-0000FA0C0000}"/>
    <cellStyle name="Normal 12 13" xfId="3322" xr:uid="{00000000-0005-0000-0000-0000FB0C0000}"/>
    <cellStyle name="Normal 12 14" xfId="3323" xr:uid="{00000000-0005-0000-0000-0000FC0C0000}"/>
    <cellStyle name="Normal 12 15" xfId="3324" xr:uid="{00000000-0005-0000-0000-0000FD0C0000}"/>
    <cellStyle name="Normal 12 16" xfId="3325" xr:uid="{00000000-0005-0000-0000-0000FE0C0000}"/>
    <cellStyle name="Normal 12 17" xfId="3326" xr:uid="{00000000-0005-0000-0000-0000FF0C0000}"/>
    <cellStyle name="Normal 12 18" xfId="3327" xr:uid="{00000000-0005-0000-0000-0000000D0000}"/>
    <cellStyle name="Normal 12 19" xfId="3328" xr:uid="{00000000-0005-0000-0000-0000010D0000}"/>
    <cellStyle name="Normal 12 2" xfId="3329" xr:uid="{00000000-0005-0000-0000-0000020D0000}"/>
    <cellStyle name="Normal 12 2 2" xfId="3330" xr:uid="{00000000-0005-0000-0000-0000030D0000}"/>
    <cellStyle name="Normal 12 2 2 2" xfId="3331" xr:uid="{00000000-0005-0000-0000-0000040D0000}"/>
    <cellStyle name="Normal 12 2 3" xfId="3332" xr:uid="{00000000-0005-0000-0000-0000050D0000}"/>
    <cellStyle name="Normal 12 2 4" xfId="3333" xr:uid="{00000000-0005-0000-0000-0000060D0000}"/>
    <cellStyle name="Normal 12 20" xfId="3334" xr:uid="{00000000-0005-0000-0000-0000070D0000}"/>
    <cellStyle name="Normal 12 21" xfId="3335" xr:uid="{00000000-0005-0000-0000-0000080D0000}"/>
    <cellStyle name="Normal 12 22" xfId="3336" xr:uid="{00000000-0005-0000-0000-0000090D0000}"/>
    <cellStyle name="Normal 12 23" xfId="3337" xr:uid="{00000000-0005-0000-0000-00000A0D0000}"/>
    <cellStyle name="Normal 12 24" xfId="3338" xr:uid="{00000000-0005-0000-0000-00000B0D0000}"/>
    <cellStyle name="Normal 12 25" xfId="3339" xr:uid="{00000000-0005-0000-0000-00000C0D0000}"/>
    <cellStyle name="Normal 12 26" xfId="3340" xr:uid="{00000000-0005-0000-0000-00000D0D0000}"/>
    <cellStyle name="Normal 12 27" xfId="3341" xr:uid="{00000000-0005-0000-0000-00000E0D0000}"/>
    <cellStyle name="Normal 12 28" xfId="3342" xr:uid="{00000000-0005-0000-0000-00000F0D0000}"/>
    <cellStyle name="Normal 12 29" xfId="3343" xr:uid="{00000000-0005-0000-0000-0000100D0000}"/>
    <cellStyle name="Normal 12 3" xfId="3344" xr:uid="{00000000-0005-0000-0000-0000110D0000}"/>
    <cellStyle name="Normal 12 30" xfId="3345" xr:uid="{00000000-0005-0000-0000-0000120D0000}"/>
    <cellStyle name="Normal 12 31" xfId="3346" xr:uid="{00000000-0005-0000-0000-0000130D0000}"/>
    <cellStyle name="Normal 12 32" xfId="3347" xr:uid="{00000000-0005-0000-0000-0000140D0000}"/>
    <cellStyle name="Normal 12 33" xfId="3348" xr:uid="{00000000-0005-0000-0000-0000150D0000}"/>
    <cellStyle name="Normal 12 34" xfId="3349" xr:uid="{00000000-0005-0000-0000-0000160D0000}"/>
    <cellStyle name="Normal 12 35" xfId="3350" xr:uid="{00000000-0005-0000-0000-0000170D0000}"/>
    <cellStyle name="Normal 12 36" xfId="3351" xr:uid="{00000000-0005-0000-0000-0000180D0000}"/>
    <cellStyle name="Normal 12 37" xfId="3352" xr:uid="{00000000-0005-0000-0000-0000190D0000}"/>
    <cellStyle name="Normal 12 38" xfId="3353" xr:uid="{00000000-0005-0000-0000-00001A0D0000}"/>
    <cellStyle name="Normal 12 39" xfId="3354" xr:uid="{00000000-0005-0000-0000-00001B0D0000}"/>
    <cellStyle name="Normal 12 4" xfId="3355" xr:uid="{00000000-0005-0000-0000-00001C0D0000}"/>
    <cellStyle name="Normal 12 40" xfId="3356" xr:uid="{00000000-0005-0000-0000-00001D0D0000}"/>
    <cellStyle name="Normal 12 41" xfId="3357" xr:uid="{00000000-0005-0000-0000-00001E0D0000}"/>
    <cellStyle name="Normal 12 42" xfId="3358" xr:uid="{00000000-0005-0000-0000-00001F0D0000}"/>
    <cellStyle name="Normal 12 43" xfId="3359" xr:uid="{00000000-0005-0000-0000-0000200D0000}"/>
    <cellStyle name="Normal 12 44" xfId="3360" xr:uid="{00000000-0005-0000-0000-0000210D0000}"/>
    <cellStyle name="Normal 12 45" xfId="3361" xr:uid="{00000000-0005-0000-0000-0000220D0000}"/>
    <cellStyle name="Normal 12 46" xfId="3362" xr:uid="{00000000-0005-0000-0000-0000230D0000}"/>
    <cellStyle name="Normal 12 47" xfId="3363" xr:uid="{00000000-0005-0000-0000-0000240D0000}"/>
    <cellStyle name="Normal 12 48" xfId="3364" xr:uid="{00000000-0005-0000-0000-0000250D0000}"/>
    <cellStyle name="Normal 12 49" xfId="3365" xr:uid="{00000000-0005-0000-0000-0000260D0000}"/>
    <cellStyle name="Normal 12 5" xfId="3366" xr:uid="{00000000-0005-0000-0000-0000270D0000}"/>
    <cellStyle name="Normal 12 50" xfId="9401" xr:uid="{00000000-0005-0000-0000-0000280D0000}"/>
    <cellStyle name="Normal 12 6" xfId="3367" xr:uid="{00000000-0005-0000-0000-0000290D0000}"/>
    <cellStyle name="Normal 12 7" xfId="3368" xr:uid="{00000000-0005-0000-0000-00002A0D0000}"/>
    <cellStyle name="Normal 12 8" xfId="3369" xr:uid="{00000000-0005-0000-0000-00002B0D0000}"/>
    <cellStyle name="Normal 12 9" xfId="3370" xr:uid="{00000000-0005-0000-0000-00002C0D0000}"/>
    <cellStyle name="Normal 120" xfId="3371" xr:uid="{00000000-0005-0000-0000-00002D0D0000}"/>
    <cellStyle name="Normal 121" xfId="3372" xr:uid="{00000000-0005-0000-0000-00002E0D0000}"/>
    <cellStyle name="Normal 122" xfId="3373" xr:uid="{00000000-0005-0000-0000-00002F0D0000}"/>
    <cellStyle name="Normal 123" xfId="3374" xr:uid="{00000000-0005-0000-0000-0000300D0000}"/>
    <cellStyle name="Normal 124" xfId="3375" xr:uid="{00000000-0005-0000-0000-0000310D0000}"/>
    <cellStyle name="Normal 125" xfId="3376" xr:uid="{00000000-0005-0000-0000-0000320D0000}"/>
    <cellStyle name="Normal 125 2" xfId="3377" xr:uid="{00000000-0005-0000-0000-0000330D0000}"/>
    <cellStyle name="Normal 126" xfId="3378" xr:uid="{00000000-0005-0000-0000-0000340D0000}"/>
    <cellStyle name="Normal 126 2" xfId="3379" xr:uid="{00000000-0005-0000-0000-0000350D0000}"/>
    <cellStyle name="Normal 127" xfId="3380" xr:uid="{00000000-0005-0000-0000-0000360D0000}"/>
    <cellStyle name="Normal 127 2" xfId="3381" xr:uid="{00000000-0005-0000-0000-0000370D0000}"/>
    <cellStyle name="Normal 128" xfId="3382" xr:uid="{00000000-0005-0000-0000-0000380D0000}"/>
    <cellStyle name="Normal 129" xfId="3383" xr:uid="{00000000-0005-0000-0000-0000390D0000}"/>
    <cellStyle name="Normal 129 2" xfId="3384" xr:uid="{00000000-0005-0000-0000-00003A0D0000}"/>
    <cellStyle name="Normal 13" xfId="3385" xr:uid="{00000000-0005-0000-0000-00003B0D0000}"/>
    <cellStyle name="Normal 13 10" xfId="3386" xr:uid="{00000000-0005-0000-0000-00003C0D0000}"/>
    <cellStyle name="Normal 13 11" xfId="3387" xr:uid="{00000000-0005-0000-0000-00003D0D0000}"/>
    <cellStyle name="Normal 13 12" xfId="3388" xr:uid="{00000000-0005-0000-0000-00003E0D0000}"/>
    <cellStyle name="Normal 13 13" xfId="3389" xr:uid="{00000000-0005-0000-0000-00003F0D0000}"/>
    <cellStyle name="Normal 13 14" xfId="3390" xr:uid="{00000000-0005-0000-0000-0000400D0000}"/>
    <cellStyle name="Normal 13 15" xfId="3391" xr:uid="{00000000-0005-0000-0000-0000410D0000}"/>
    <cellStyle name="Normal 13 16" xfId="3392" xr:uid="{00000000-0005-0000-0000-0000420D0000}"/>
    <cellStyle name="Normal 13 17" xfId="3393" xr:uid="{00000000-0005-0000-0000-0000430D0000}"/>
    <cellStyle name="Normal 13 18" xfId="3394" xr:uid="{00000000-0005-0000-0000-0000440D0000}"/>
    <cellStyle name="Normal 13 19" xfId="3395" xr:uid="{00000000-0005-0000-0000-0000450D0000}"/>
    <cellStyle name="Normal 13 2" xfId="3396" xr:uid="{00000000-0005-0000-0000-0000460D0000}"/>
    <cellStyle name="Normal 13 2 2" xfId="3397" xr:uid="{00000000-0005-0000-0000-0000470D0000}"/>
    <cellStyle name="Normal 13 2 2 2" xfId="3398" xr:uid="{00000000-0005-0000-0000-0000480D0000}"/>
    <cellStyle name="Normal 13 2 2 3" xfId="3399" xr:uid="{00000000-0005-0000-0000-0000490D0000}"/>
    <cellStyle name="Normal 13 2 3" xfId="3400" xr:uid="{00000000-0005-0000-0000-00004A0D0000}"/>
    <cellStyle name="Normal 13 2 3 2" xfId="3401" xr:uid="{00000000-0005-0000-0000-00004B0D0000}"/>
    <cellStyle name="Normal 13 2 4" xfId="3402" xr:uid="{00000000-0005-0000-0000-00004C0D0000}"/>
    <cellStyle name="Normal 13 2 5" xfId="3403" xr:uid="{00000000-0005-0000-0000-00004D0D0000}"/>
    <cellStyle name="Normal 13 20" xfId="3404" xr:uid="{00000000-0005-0000-0000-00004E0D0000}"/>
    <cellStyle name="Normal 13 21" xfId="3405" xr:uid="{00000000-0005-0000-0000-00004F0D0000}"/>
    <cellStyle name="Normal 13 21 2" xfId="3406" xr:uid="{00000000-0005-0000-0000-0000500D0000}"/>
    <cellStyle name="Normal 13 22" xfId="3407" xr:uid="{00000000-0005-0000-0000-0000510D0000}"/>
    <cellStyle name="Normal 13 3" xfId="3408" xr:uid="{00000000-0005-0000-0000-0000520D0000}"/>
    <cellStyle name="Normal 13 3 2" xfId="3409" xr:uid="{00000000-0005-0000-0000-0000530D0000}"/>
    <cellStyle name="Normal 13 3 3" xfId="3410" xr:uid="{00000000-0005-0000-0000-0000540D0000}"/>
    <cellStyle name="Normal 13 4" xfId="3411" xr:uid="{00000000-0005-0000-0000-0000550D0000}"/>
    <cellStyle name="Normal 13 4 2" xfId="3412" xr:uid="{00000000-0005-0000-0000-0000560D0000}"/>
    <cellStyle name="Normal 13 4 2 2" xfId="3413" xr:uid="{00000000-0005-0000-0000-0000570D0000}"/>
    <cellStyle name="Normal 13 4 3" xfId="3414" xr:uid="{00000000-0005-0000-0000-0000580D0000}"/>
    <cellStyle name="Normal 13 5" xfId="3415" xr:uid="{00000000-0005-0000-0000-0000590D0000}"/>
    <cellStyle name="Normal 13 5 2" xfId="3416" xr:uid="{00000000-0005-0000-0000-00005A0D0000}"/>
    <cellStyle name="Normal 13 6" xfId="3417" xr:uid="{00000000-0005-0000-0000-00005B0D0000}"/>
    <cellStyle name="Normal 13 7" xfId="3418" xr:uid="{00000000-0005-0000-0000-00005C0D0000}"/>
    <cellStyle name="Normal 13 8" xfId="3419" xr:uid="{00000000-0005-0000-0000-00005D0D0000}"/>
    <cellStyle name="Normal 13 9" xfId="3420" xr:uid="{00000000-0005-0000-0000-00005E0D0000}"/>
    <cellStyle name="Normal 130" xfId="3421" xr:uid="{00000000-0005-0000-0000-00005F0D0000}"/>
    <cellStyle name="Normal 130 2" xfId="3422" xr:uid="{00000000-0005-0000-0000-0000600D0000}"/>
    <cellStyle name="Normal 131" xfId="3423" xr:uid="{00000000-0005-0000-0000-0000610D0000}"/>
    <cellStyle name="Normal 131 2" xfId="3424" xr:uid="{00000000-0005-0000-0000-0000620D0000}"/>
    <cellStyle name="Normal 131 3" xfId="3425" xr:uid="{00000000-0005-0000-0000-0000630D0000}"/>
    <cellStyle name="Normal 132" xfId="3426" xr:uid="{00000000-0005-0000-0000-0000640D0000}"/>
    <cellStyle name="Normal 132 2" xfId="3427" xr:uid="{00000000-0005-0000-0000-0000650D0000}"/>
    <cellStyle name="Normal 133" xfId="3428" xr:uid="{00000000-0005-0000-0000-0000660D0000}"/>
    <cellStyle name="Normal 134" xfId="3429" xr:uid="{00000000-0005-0000-0000-0000670D0000}"/>
    <cellStyle name="Normal 134 2" xfId="3430" xr:uid="{00000000-0005-0000-0000-0000680D0000}"/>
    <cellStyle name="Normal 134 2 2" xfId="3431" xr:uid="{00000000-0005-0000-0000-0000690D0000}"/>
    <cellStyle name="Normal 135" xfId="3432" xr:uid="{00000000-0005-0000-0000-00006A0D0000}"/>
    <cellStyle name="Normal 136" xfId="3433" xr:uid="{00000000-0005-0000-0000-00006B0D0000}"/>
    <cellStyle name="Normal 137" xfId="3434" xr:uid="{00000000-0005-0000-0000-00006C0D0000}"/>
    <cellStyle name="Normal 138" xfId="3435" xr:uid="{00000000-0005-0000-0000-00006D0D0000}"/>
    <cellStyle name="Normal 139" xfId="3436" xr:uid="{00000000-0005-0000-0000-00006E0D0000}"/>
    <cellStyle name="Normal 139 2" xfId="3437" xr:uid="{00000000-0005-0000-0000-00006F0D0000}"/>
    <cellStyle name="Normal 14" xfId="3438" xr:uid="{00000000-0005-0000-0000-0000700D0000}"/>
    <cellStyle name="Normal 14 10" xfId="3439" xr:uid="{00000000-0005-0000-0000-0000710D0000}"/>
    <cellStyle name="Normal 14 10 2" xfId="3440" xr:uid="{00000000-0005-0000-0000-0000720D0000}"/>
    <cellStyle name="Normal 14 11" xfId="3441" xr:uid="{00000000-0005-0000-0000-0000730D0000}"/>
    <cellStyle name="Normal 14 12" xfId="3442" xr:uid="{00000000-0005-0000-0000-0000740D0000}"/>
    <cellStyle name="Normal 14 13" xfId="3443" xr:uid="{00000000-0005-0000-0000-0000750D0000}"/>
    <cellStyle name="Normal 14 14" xfId="3444" xr:uid="{00000000-0005-0000-0000-0000760D0000}"/>
    <cellStyle name="Normal 14 2" xfId="3445" xr:uid="{00000000-0005-0000-0000-0000770D0000}"/>
    <cellStyle name="Normal 14 2 2" xfId="3446" xr:uid="{00000000-0005-0000-0000-0000780D0000}"/>
    <cellStyle name="Normal 14 2 3" xfId="3447" xr:uid="{00000000-0005-0000-0000-0000790D0000}"/>
    <cellStyle name="Normal 14 2 4" xfId="3448" xr:uid="{00000000-0005-0000-0000-00007A0D0000}"/>
    <cellStyle name="Normal 14 3" xfId="3449" xr:uid="{00000000-0005-0000-0000-00007B0D0000}"/>
    <cellStyle name="Normal 14 3 2" xfId="3450" xr:uid="{00000000-0005-0000-0000-00007C0D0000}"/>
    <cellStyle name="Normal 14 3 3" xfId="3451" xr:uid="{00000000-0005-0000-0000-00007D0D0000}"/>
    <cellStyle name="Normal 14 4" xfId="3452" xr:uid="{00000000-0005-0000-0000-00007E0D0000}"/>
    <cellStyle name="Normal 14 4 2" xfId="3453" xr:uid="{00000000-0005-0000-0000-00007F0D0000}"/>
    <cellStyle name="Normal 14 4 2 2" xfId="3454" xr:uid="{00000000-0005-0000-0000-0000800D0000}"/>
    <cellStyle name="Normal 14 4 3" xfId="3455" xr:uid="{00000000-0005-0000-0000-0000810D0000}"/>
    <cellStyle name="Normal 14 5" xfId="3456" xr:uid="{00000000-0005-0000-0000-0000820D0000}"/>
    <cellStyle name="Normal 14 5 2" xfId="3457" xr:uid="{00000000-0005-0000-0000-0000830D0000}"/>
    <cellStyle name="Normal 14 5 3" xfId="3458" xr:uid="{00000000-0005-0000-0000-0000840D0000}"/>
    <cellStyle name="Normal 14 5 4" xfId="3459" xr:uid="{00000000-0005-0000-0000-0000850D0000}"/>
    <cellStyle name="Normal 14 6" xfId="3460" xr:uid="{00000000-0005-0000-0000-0000860D0000}"/>
    <cellStyle name="Normal 14 6 2" xfId="3461" xr:uid="{00000000-0005-0000-0000-0000870D0000}"/>
    <cellStyle name="Normal 14 7" xfId="3462" xr:uid="{00000000-0005-0000-0000-0000880D0000}"/>
    <cellStyle name="Normal 14 7 2" xfId="3463" xr:uid="{00000000-0005-0000-0000-0000890D0000}"/>
    <cellStyle name="Normal 14 8" xfId="3464" xr:uid="{00000000-0005-0000-0000-00008A0D0000}"/>
    <cellStyle name="Normal 14 8 2" xfId="3465" xr:uid="{00000000-0005-0000-0000-00008B0D0000}"/>
    <cellStyle name="Normal 14 9" xfId="3466" xr:uid="{00000000-0005-0000-0000-00008C0D0000}"/>
    <cellStyle name="Normal 14 9 2" xfId="3467" xr:uid="{00000000-0005-0000-0000-00008D0D0000}"/>
    <cellStyle name="Normal 140" xfId="3468" xr:uid="{00000000-0005-0000-0000-00008E0D0000}"/>
    <cellStyle name="Normal 140 2" xfId="3469" xr:uid="{00000000-0005-0000-0000-00008F0D0000}"/>
    <cellStyle name="Normal 140 2 2" xfId="3470" xr:uid="{00000000-0005-0000-0000-0000900D0000}"/>
    <cellStyle name="Normal 140 3" xfId="3471" xr:uid="{00000000-0005-0000-0000-0000910D0000}"/>
    <cellStyle name="Normal 141" xfId="3472" xr:uid="{00000000-0005-0000-0000-0000920D0000}"/>
    <cellStyle name="Normal 142" xfId="3473" xr:uid="{00000000-0005-0000-0000-0000930D0000}"/>
    <cellStyle name="Normal 143" xfId="3474" xr:uid="{00000000-0005-0000-0000-0000940D0000}"/>
    <cellStyle name="Normal 144" xfId="3475" xr:uid="{00000000-0005-0000-0000-0000950D0000}"/>
    <cellStyle name="Normal 145" xfId="3476" xr:uid="{00000000-0005-0000-0000-0000960D0000}"/>
    <cellStyle name="Normal 146" xfId="3477" xr:uid="{00000000-0005-0000-0000-0000970D0000}"/>
    <cellStyle name="Normal 147" xfId="3478" xr:uid="{00000000-0005-0000-0000-0000980D0000}"/>
    <cellStyle name="Normal 148" xfId="3479" xr:uid="{00000000-0005-0000-0000-0000990D0000}"/>
    <cellStyle name="Normal 149" xfId="3480" xr:uid="{00000000-0005-0000-0000-00009A0D0000}"/>
    <cellStyle name="Normal 15" xfId="3481" xr:uid="{00000000-0005-0000-0000-00009B0D0000}"/>
    <cellStyle name="Normal 15 2" xfId="3482" xr:uid="{00000000-0005-0000-0000-00009C0D0000}"/>
    <cellStyle name="Normal 15 2 2" xfId="3483" xr:uid="{00000000-0005-0000-0000-00009D0D0000}"/>
    <cellStyle name="Normal 15 2 3" xfId="3484" xr:uid="{00000000-0005-0000-0000-00009E0D0000}"/>
    <cellStyle name="Normal 15 3" xfId="3485" xr:uid="{00000000-0005-0000-0000-00009F0D0000}"/>
    <cellStyle name="Normal 15 3 2" xfId="3486" xr:uid="{00000000-0005-0000-0000-0000A00D0000}"/>
    <cellStyle name="Normal 15 3 3" xfId="3487" xr:uid="{00000000-0005-0000-0000-0000A10D0000}"/>
    <cellStyle name="Normal 15 4" xfId="3488" xr:uid="{00000000-0005-0000-0000-0000A20D0000}"/>
    <cellStyle name="Normal 15 4 2" xfId="3489" xr:uid="{00000000-0005-0000-0000-0000A30D0000}"/>
    <cellStyle name="Normal 15 4 3" xfId="3490" xr:uid="{00000000-0005-0000-0000-0000A40D0000}"/>
    <cellStyle name="Normal 15 5" xfId="3491" xr:uid="{00000000-0005-0000-0000-0000A50D0000}"/>
    <cellStyle name="Normal 15 6" xfId="3492" xr:uid="{00000000-0005-0000-0000-0000A60D0000}"/>
    <cellStyle name="Normal 15 7" xfId="3493" xr:uid="{00000000-0005-0000-0000-0000A70D0000}"/>
    <cellStyle name="Normal 15 8" xfId="3494" xr:uid="{00000000-0005-0000-0000-0000A80D0000}"/>
    <cellStyle name="Normal 150" xfId="3495" xr:uid="{00000000-0005-0000-0000-0000A90D0000}"/>
    <cellStyle name="Normal 151" xfId="3496" xr:uid="{00000000-0005-0000-0000-0000AA0D0000}"/>
    <cellStyle name="Normal 152" xfId="3497" xr:uid="{00000000-0005-0000-0000-0000AB0D0000}"/>
    <cellStyle name="Normal 153" xfId="3498" xr:uid="{00000000-0005-0000-0000-0000AC0D0000}"/>
    <cellStyle name="Normal 154" xfId="3499" xr:uid="{00000000-0005-0000-0000-0000AD0D0000}"/>
    <cellStyle name="Normal 155" xfId="3500" xr:uid="{00000000-0005-0000-0000-0000AE0D0000}"/>
    <cellStyle name="Normal 156" xfId="3501" xr:uid="{00000000-0005-0000-0000-0000AF0D0000}"/>
    <cellStyle name="Normal 157" xfId="3502" xr:uid="{00000000-0005-0000-0000-0000B00D0000}"/>
    <cellStyle name="Normal 158" xfId="3503" xr:uid="{00000000-0005-0000-0000-0000B10D0000}"/>
    <cellStyle name="Normal 159" xfId="3504" xr:uid="{00000000-0005-0000-0000-0000B20D0000}"/>
    <cellStyle name="Normal 16" xfId="3505" xr:uid="{00000000-0005-0000-0000-0000B30D0000}"/>
    <cellStyle name="Normal 16 2" xfId="3506" xr:uid="{00000000-0005-0000-0000-0000B40D0000}"/>
    <cellStyle name="Normal 16 2 2" xfId="3507" xr:uid="{00000000-0005-0000-0000-0000B50D0000}"/>
    <cellStyle name="Normal 16 2 2 2" xfId="3508" xr:uid="{00000000-0005-0000-0000-0000B60D0000}"/>
    <cellStyle name="Normal 16 2 3" xfId="3509" xr:uid="{00000000-0005-0000-0000-0000B70D0000}"/>
    <cellStyle name="Normal 16 3" xfId="3510" xr:uid="{00000000-0005-0000-0000-0000B80D0000}"/>
    <cellStyle name="Normal 16 3 2" xfId="3511" xr:uid="{00000000-0005-0000-0000-0000B90D0000}"/>
    <cellStyle name="Normal 16 4" xfId="3512" xr:uid="{00000000-0005-0000-0000-0000BA0D0000}"/>
    <cellStyle name="Normal 16 5" xfId="3513" xr:uid="{00000000-0005-0000-0000-0000BB0D0000}"/>
    <cellStyle name="Normal 16 6" xfId="3514" xr:uid="{00000000-0005-0000-0000-0000BC0D0000}"/>
    <cellStyle name="Normal 16 7" xfId="3515" xr:uid="{00000000-0005-0000-0000-0000BD0D0000}"/>
    <cellStyle name="Normal 160" xfId="3516" xr:uid="{00000000-0005-0000-0000-0000BE0D0000}"/>
    <cellStyle name="Normal 161" xfId="3517" xr:uid="{00000000-0005-0000-0000-0000BF0D0000}"/>
    <cellStyle name="Normal 162" xfId="3518" xr:uid="{00000000-0005-0000-0000-0000C00D0000}"/>
    <cellStyle name="Normal 163" xfId="3519" xr:uid="{00000000-0005-0000-0000-0000C10D0000}"/>
    <cellStyle name="Normal 164" xfId="3520" xr:uid="{00000000-0005-0000-0000-0000C20D0000}"/>
    <cellStyle name="Normal 165" xfId="3521" xr:uid="{00000000-0005-0000-0000-0000C30D0000}"/>
    <cellStyle name="Normal 166" xfId="3522" xr:uid="{00000000-0005-0000-0000-0000C40D0000}"/>
    <cellStyle name="Normal 167" xfId="3523" xr:uid="{00000000-0005-0000-0000-0000C50D0000}"/>
    <cellStyle name="Normal 168" xfId="3524" xr:uid="{00000000-0005-0000-0000-0000C60D0000}"/>
    <cellStyle name="Normal 169" xfId="3525" xr:uid="{00000000-0005-0000-0000-0000C70D0000}"/>
    <cellStyle name="Normal 17" xfId="3526" xr:uid="{00000000-0005-0000-0000-0000C80D0000}"/>
    <cellStyle name="Normal 17 2" xfId="3527" xr:uid="{00000000-0005-0000-0000-0000C90D0000}"/>
    <cellStyle name="Normal 17 2 2" xfId="3528" xr:uid="{00000000-0005-0000-0000-0000CA0D0000}"/>
    <cellStyle name="Normal 17 2 2 2" xfId="3529" xr:uid="{00000000-0005-0000-0000-0000CB0D0000}"/>
    <cellStyle name="Normal 17 2 3" xfId="3530" xr:uid="{00000000-0005-0000-0000-0000CC0D0000}"/>
    <cellStyle name="Normal 17 3" xfId="3531" xr:uid="{00000000-0005-0000-0000-0000CD0D0000}"/>
    <cellStyle name="Normal 17 3 2" xfId="3532" xr:uid="{00000000-0005-0000-0000-0000CE0D0000}"/>
    <cellStyle name="Normal 17 4" xfId="3533" xr:uid="{00000000-0005-0000-0000-0000CF0D0000}"/>
    <cellStyle name="Normal 17 4 2" xfId="3534" xr:uid="{00000000-0005-0000-0000-0000D00D0000}"/>
    <cellStyle name="Normal 17 4 3" xfId="3535" xr:uid="{00000000-0005-0000-0000-0000D10D0000}"/>
    <cellStyle name="Normal 170" xfId="3536" xr:uid="{00000000-0005-0000-0000-0000D20D0000}"/>
    <cellStyle name="Normal 171" xfId="3537" xr:uid="{00000000-0005-0000-0000-0000D30D0000}"/>
    <cellStyle name="Normal 172" xfId="3538" xr:uid="{00000000-0005-0000-0000-0000D40D0000}"/>
    <cellStyle name="Normal 173" xfId="3539" xr:uid="{00000000-0005-0000-0000-0000D50D0000}"/>
    <cellStyle name="Normal 174" xfId="3540" xr:uid="{00000000-0005-0000-0000-0000D60D0000}"/>
    <cellStyle name="Normal 175" xfId="3541" xr:uid="{00000000-0005-0000-0000-0000D70D0000}"/>
    <cellStyle name="Normal 176" xfId="3542" xr:uid="{00000000-0005-0000-0000-0000D80D0000}"/>
    <cellStyle name="Normal 177" xfId="3543" xr:uid="{00000000-0005-0000-0000-0000D90D0000}"/>
    <cellStyle name="Normal 178" xfId="3544" xr:uid="{00000000-0005-0000-0000-0000DA0D0000}"/>
    <cellStyle name="Normal 179" xfId="3545" xr:uid="{00000000-0005-0000-0000-0000DB0D0000}"/>
    <cellStyle name="Normal 18" xfId="3546" xr:uid="{00000000-0005-0000-0000-0000DC0D0000}"/>
    <cellStyle name="Normal 18 2" xfId="3547" xr:uid="{00000000-0005-0000-0000-0000DD0D0000}"/>
    <cellStyle name="Normal 18 2 2" xfId="3548" xr:uid="{00000000-0005-0000-0000-0000DE0D0000}"/>
    <cellStyle name="Normal 18 2 3" xfId="3549" xr:uid="{00000000-0005-0000-0000-0000DF0D0000}"/>
    <cellStyle name="Normal 18 3" xfId="3550" xr:uid="{00000000-0005-0000-0000-0000E00D0000}"/>
    <cellStyle name="Normal 18 3 2" xfId="3551" xr:uid="{00000000-0005-0000-0000-0000E10D0000}"/>
    <cellStyle name="Normal 18 4" xfId="3552" xr:uid="{00000000-0005-0000-0000-0000E20D0000}"/>
    <cellStyle name="Normal 18 5" xfId="3553" xr:uid="{00000000-0005-0000-0000-0000E30D0000}"/>
    <cellStyle name="Normal 18 6" xfId="3554" xr:uid="{00000000-0005-0000-0000-0000E40D0000}"/>
    <cellStyle name="Normal 180" xfId="3555" xr:uid="{00000000-0005-0000-0000-0000E50D0000}"/>
    <cellStyle name="Normal 181" xfId="3556" xr:uid="{00000000-0005-0000-0000-0000E60D0000}"/>
    <cellStyle name="Normal 182" xfId="3557" xr:uid="{00000000-0005-0000-0000-0000E70D0000}"/>
    <cellStyle name="Normal 183" xfId="3558" xr:uid="{00000000-0005-0000-0000-0000E80D0000}"/>
    <cellStyle name="Normal 184" xfId="3559" xr:uid="{00000000-0005-0000-0000-0000E90D0000}"/>
    <cellStyle name="Normal 185" xfId="3560" xr:uid="{00000000-0005-0000-0000-0000EA0D0000}"/>
    <cellStyle name="Normal 186" xfId="3561" xr:uid="{00000000-0005-0000-0000-0000EB0D0000}"/>
    <cellStyle name="Normal 187" xfId="3562" xr:uid="{00000000-0005-0000-0000-0000EC0D0000}"/>
    <cellStyle name="Normal 188" xfId="3563" xr:uid="{00000000-0005-0000-0000-0000ED0D0000}"/>
    <cellStyle name="Normal 189" xfId="3564" xr:uid="{00000000-0005-0000-0000-0000EE0D0000}"/>
    <cellStyle name="Normal 19" xfId="3565" xr:uid="{00000000-0005-0000-0000-0000EF0D0000}"/>
    <cellStyle name="Normal 19 2" xfId="3566" xr:uid="{00000000-0005-0000-0000-0000F00D0000}"/>
    <cellStyle name="Normal 190" xfId="3567" xr:uid="{00000000-0005-0000-0000-0000F10D0000}"/>
    <cellStyle name="Normal 191" xfId="3568" xr:uid="{00000000-0005-0000-0000-0000F20D0000}"/>
    <cellStyle name="Normal 192" xfId="3569" xr:uid="{00000000-0005-0000-0000-0000F30D0000}"/>
    <cellStyle name="Normal 193" xfId="3570" xr:uid="{00000000-0005-0000-0000-0000F40D0000}"/>
    <cellStyle name="Normal 194" xfId="3571" xr:uid="{00000000-0005-0000-0000-0000F50D0000}"/>
    <cellStyle name="Normal 194 2" xfId="3572" xr:uid="{00000000-0005-0000-0000-0000F60D0000}"/>
    <cellStyle name="Normal 195" xfId="3573" xr:uid="{00000000-0005-0000-0000-0000F70D0000}"/>
    <cellStyle name="Normal 195 2" xfId="9388" xr:uid="{00000000-0005-0000-0000-0000F80D0000}"/>
    <cellStyle name="Normal 196" xfId="3574" xr:uid="{00000000-0005-0000-0000-0000F90D0000}"/>
    <cellStyle name="Normal 197" xfId="3575" xr:uid="{00000000-0005-0000-0000-0000FA0D0000}"/>
    <cellStyle name="Normal 198" xfId="3576" xr:uid="{00000000-0005-0000-0000-0000FB0D0000}"/>
    <cellStyle name="Normal 199" xfId="3577" xr:uid="{00000000-0005-0000-0000-0000FC0D0000}"/>
    <cellStyle name="Normal 199 2" xfId="9392" xr:uid="{00000000-0005-0000-0000-0000FD0D0000}"/>
    <cellStyle name="Normal 199 2 2" xfId="9420" xr:uid="{00000000-0005-0000-0000-0000FE0D0000}"/>
    <cellStyle name="Normal 199 2 2 2" xfId="9429" xr:uid="{00000000-0005-0000-0000-0000FF0D0000}"/>
    <cellStyle name="Normal 2" xfId="3" xr:uid="{00000000-0005-0000-0000-0000000E0000}"/>
    <cellStyle name="Normal 2 10" xfId="3578" xr:uid="{00000000-0005-0000-0000-0000010E0000}"/>
    <cellStyle name="Normal 2 10 2" xfId="3579" xr:uid="{00000000-0005-0000-0000-0000020E0000}"/>
    <cellStyle name="Normal 2 10 3" xfId="3580" xr:uid="{00000000-0005-0000-0000-0000030E0000}"/>
    <cellStyle name="Normal 2 10 4" xfId="3581" xr:uid="{00000000-0005-0000-0000-0000040E0000}"/>
    <cellStyle name="Normal 2 10 4 2" xfId="3582" xr:uid="{00000000-0005-0000-0000-0000050E0000}"/>
    <cellStyle name="Normal 2 10 5" xfId="3583" xr:uid="{00000000-0005-0000-0000-0000060E0000}"/>
    <cellStyle name="Normal 2 10 5 2" xfId="3584" xr:uid="{00000000-0005-0000-0000-0000070E0000}"/>
    <cellStyle name="Normal 2 10 6" xfId="3585" xr:uid="{00000000-0005-0000-0000-0000080E0000}"/>
    <cellStyle name="Normal 2 10 7" xfId="3586" xr:uid="{00000000-0005-0000-0000-0000090E0000}"/>
    <cellStyle name="Normal 2 10 8" xfId="3587" xr:uid="{00000000-0005-0000-0000-00000A0E0000}"/>
    <cellStyle name="Normal 2 10 9" xfId="9378" xr:uid="{00000000-0005-0000-0000-00000B0E0000}"/>
    <cellStyle name="Normal 2 10 9 2" xfId="9415" xr:uid="{00000000-0005-0000-0000-00000C0E0000}"/>
    <cellStyle name="Normal 2 100" xfId="3588" xr:uid="{00000000-0005-0000-0000-00000D0E0000}"/>
    <cellStyle name="Normal 2 100 2" xfId="3589" xr:uid="{00000000-0005-0000-0000-00000E0E0000}"/>
    <cellStyle name="Normal 2 101" xfId="3590" xr:uid="{00000000-0005-0000-0000-00000F0E0000}"/>
    <cellStyle name="Normal 2 101 2" xfId="3591" xr:uid="{00000000-0005-0000-0000-0000100E0000}"/>
    <cellStyle name="Normal 2 102" xfId="3592" xr:uid="{00000000-0005-0000-0000-0000110E0000}"/>
    <cellStyle name="Normal 2 102 2" xfId="3593" xr:uid="{00000000-0005-0000-0000-0000120E0000}"/>
    <cellStyle name="Normal 2 103" xfId="3594" xr:uid="{00000000-0005-0000-0000-0000130E0000}"/>
    <cellStyle name="Normal 2 103 2" xfId="3595" xr:uid="{00000000-0005-0000-0000-0000140E0000}"/>
    <cellStyle name="Normal 2 104" xfId="3596" xr:uid="{00000000-0005-0000-0000-0000150E0000}"/>
    <cellStyle name="Normal 2 105" xfId="3597" xr:uid="{00000000-0005-0000-0000-0000160E0000}"/>
    <cellStyle name="Normal 2 105 2" xfId="3598" xr:uid="{00000000-0005-0000-0000-0000170E0000}"/>
    <cellStyle name="Normal 2 106" xfId="3599" xr:uid="{00000000-0005-0000-0000-0000180E0000}"/>
    <cellStyle name="Normal 2 106 2" xfId="3600" xr:uid="{00000000-0005-0000-0000-0000190E0000}"/>
    <cellStyle name="Normal 2 107" xfId="3601" xr:uid="{00000000-0005-0000-0000-00001A0E0000}"/>
    <cellStyle name="Normal 2 107 2" xfId="3602" xr:uid="{00000000-0005-0000-0000-00001B0E0000}"/>
    <cellStyle name="Normal 2 108" xfId="3603" xr:uid="{00000000-0005-0000-0000-00001C0E0000}"/>
    <cellStyle name="Normal 2 108 2" xfId="3604" xr:uid="{00000000-0005-0000-0000-00001D0E0000}"/>
    <cellStyle name="Normal 2 109" xfId="3605" xr:uid="{00000000-0005-0000-0000-00001E0E0000}"/>
    <cellStyle name="Normal 2 109 2" xfId="3606" xr:uid="{00000000-0005-0000-0000-00001F0E0000}"/>
    <cellStyle name="Normal 2 11" xfId="3607" xr:uid="{00000000-0005-0000-0000-0000200E0000}"/>
    <cellStyle name="Normal 2 11 2" xfId="3608" xr:uid="{00000000-0005-0000-0000-0000210E0000}"/>
    <cellStyle name="Normal 2 11 3" xfId="3609" xr:uid="{00000000-0005-0000-0000-0000220E0000}"/>
    <cellStyle name="Normal 2 11 4" xfId="3610" xr:uid="{00000000-0005-0000-0000-0000230E0000}"/>
    <cellStyle name="Normal 2 11 4 2" xfId="3611" xr:uid="{00000000-0005-0000-0000-0000240E0000}"/>
    <cellStyle name="Normal 2 11 5" xfId="3612" xr:uid="{00000000-0005-0000-0000-0000250E0000}"/>
    <cellStyle name="Normal 2 11 6" xfId="3613" xr:uid="{00000000-0005-0000-0000-0000260E0000}"/>
    <cellStyle name="Normal 2 110" xfId="3614" xr:uid="{00000000-0005-0000-0000-0000270E0000}"/>
    <cellStyle name="Normal 2 110 2" xfId="3615" xr:uid="{00000000-0005-0000-0000-0000280E0000}"/>
    <cellStyle name="Normal 2 111" xfId="3616" xr:uid="{00000000-0005-0000-0000-0000290E0000}"/>
    <cellStyle name="Normal 2 111 2" xfId="3617" xr:uid="{00000000-0005-0000-0000-00002A0E0000}"/>
    <cellStyle name="Normal 2 112" xfId="3618" xr:uid="{00000000-0005-0000-0000-00002B0E0000}"/>
    <cellStyle name="Normal 2 112 2" xfId="3619" xr:uid="{00000000-0005-0000-0000-00002C0E0000}"/>
    <cellStyle name="Normal 2 113" xfId="3620" xr:uid="{00000000-0005-0000-0000-00002D0E0000}"/>
    <cellStyle name="Normal 2 113 2" xfId="3621" xr:uid="{00000000-0005-0000-0000-00002E0E0000}"/>
    <cellStyle name="Normal 2 114" xfId="3622" xr:uid="{00000000-0005-0000-0000-00002F0E0000}"/>
    <cellStyle name="Normal 2 114 2" xfId="3623" xr:uid="{00000000-0005-0000-0000-0000300E0000}"/>
    <cellStyle name="Normal 2 115" xfId="3624" xr:uid="{00000000-0005-0000-0000-0000310E0000}"/>
    <cellStyle name="Normal 2 115 2" xfId="3625" xr:uid="{00000000-0005-0000-0000-0000320E0000}"/>
    <cellStyle name="Normal 2 116" xfId="3626" xr:uid="{00000000-0005-0000-0000-0000330E0000}"/>
    <cellStyle name="Normal 2 116 2" xfId="3627" xr:uid="{00000000-0005-0000-0000-0000340E0000}"/>
    <cellStyle name="Normal 2 117" xfId="3628" xr:uid="{00000000-0005-0000-0000-0000350E0000}"/>
    <cellStyle name="Normal 2 117 2" xfId="3629" xr:uid="{00000000-0005-0000-0000-0000360E0000}"/>
    <cellStyle name="Normal 2 118" xfId="3630" xr:uid="{00000000-0005-0000-0000-0000370E0000}"/>
    <cellStyle name="Normal 2 118 2" xfId="3631" xr:uid="{00000000-0005-0000-0000-0000380E0000}"/>
    <cellStyle name="Normal 2 119" xfId="3632" xr:uid="{00000000-0005-0000-0000-0000390E0000}"/>
    <cellStyle name="Normal 2 119 2" xfId="3633" xr:uid="{00000000-0005-0000-0000-00003A0E0000}"/>
    <cellStyle name="Normal 2 12" xfId="3634" xr:uid="{00000000-0005-0000-0000-00003B0E0000}"/>
    <cellStyle name="Normal 2 12 2" xfId="3635" xr:uid="{00000000-0005-0000-0000-00003C0E0000}"/>
    <cellStyle name="Normal 2 12 2 2" xfId="3636" xr:uid="{00000000-0005-0000-0000-00003D0E0000}"/>
    <cellStyle name="Normal 2 12 3" xfId="3637" xr:uid="{00000000-0005-0000-0000-00003E0E0000}"/>
    <cellStyle name="Normal 2 12 4" xfId="3638" xr:uid="{00000000-0005-0000-0000-00003F0E0000}"/>
    <cellStyle name="Normal 2 120" xfId="3639" xr:uid="{00000000-0005-0000-0000-0000400E0000}"/>
    <cellStyle name="Normal 2 120 2" xfId="3640" xr:uid="{00000000-0005-0000-0000-0000410E0000}"/>
    <cellStyle name="Normal 2 121" xfId="3641" xr:uid="{00000000-0005-0000-0000-0000420E0000}"/>
    <cellStyle name="Normal 2 121 2" xfId="3642" xr:uid="{00000000-0005-0000-0000-0000430E0000}"/>
    <cellStyle name="Normal 2 122" xfId="3643" xr:uid="{00000000-0005-0000-0000-0000440E0000}"/>
    <cellStyle name="Normal 2 122 2" xfId="3644" xr:uid="{00000000-0005-0000-0000-0000450E0000}"/>
    <cellStyle name="Normal 2 123" xfId="3645" xr:uid="{00000000-0005-0000-0000-0000460E0000}"/>
    <cellStyle name="Normal 2 123 2" xfId="3646" xr:uid="{00000000-0005-0000-0000-0000470E0000}"/>
    <cellStyle name="Normal 2 124" xfId="3647" xr:uid="{00000000-0005-0000-0000-0000480E0000}"/>
    <cellStyle name="Normal 2 124 2" xfId="3648" xr:uid="{00000000-0005-0000-0000-0000490E0000}"/>
    <cellStyle name="Normal 2 125" xfId="3649" xr:uid="{00000000-0005-0000-0000-00004A0E0000}"/>
    <cellStyle name="Normal 2 125 2" xfId="3650" xr:uid="{00000000-0005-0000-0000-00004B0E0000}"/>
    <cellStyle name="Normal 2 126" xfId="3651" xr:uid="{00000000-0005-0000-0000-00004C0E0000}"/>
    <cellStyle name="Normal 2 126 2" xfId="3652" xr:uid="{00000000-0005-0000-0000-00004D0E0000}"/>
    <cellStyle name="Normal 2 127" xfId="3653" xr:uid="{00000000-0005-0000-0000-00004E0E0000}"/>
    <cellStyle name="Normal 2 127 2" xfId="3654" xr:uid="{00000000-0005-0000-0000-00004F0E0000}"/>
    <cellStyle name="Normal 2 128" xfId="3655" xr:uid="{00000000-0005-0000-0000-0000500E0000}"/>
    <cellStyle name="Normal 2 128 2" xfId="3656" xr:uid="{00000000-0005-0000-0000-0000510E0000}"/>
    <cellStyle name="Normal 2 129" xfId="3657" xr:uid="{00000000-0005-0000-0000-0000520E0000}"/>
    <cellStyle name="Normal 2 129 2" xfId="3658" xr:uid="{00000000-0005-0000-0000-0000530E0000}"/>
    <cellStyle name="Normal 2 13" xfId="3659" xr:uid="{00000000-0005-0000-0000-0000540E0000}"/>
    <cellStyle name="Normal 2 13 2" xfId="3660" xr:uid="{00000000-0005-0000-0000-0000550E0000}"/>
    <cellStyle name="Normal 2 13 2 2" xfId="3661" xr:uid="{00000000-0005-0000-0000-0000560E0000}"/>
    <cellStyle name="Normal 2 13 3" xfId="3662" xr:uid="{00000000-0005-0000-0000-0000570E0000}"/>
    <cellStyle name="Normal 2 13 4" xfId="3663" xr:uid="{00000000-0005-0000-0000-0000580E0000}"/>
    <cellStyle name="Normal 2 130" xfId="3664" xr:uid="{00000000-0005-0000-0000-0000590E0000}"/>
    <cellStyle name="Normal 2 130 2" xfId="3665" xr:uid="{00000000-0005-0000-0000-00005A0E0000}"/>
    <cellStyle name="Normal 2 131" xfId="3666" xr:uid="{00000000-0005-0000-0000-00005B0E0000}"/>
    <cellStyle name="Normal 2 131 2" xfId="3667" xr:uid="{00000000-0005-0000-0000-00005C0E0000}"/>
    <cellStyle name="Normal 2 132" xfId="3668" xr:uid="{00000000-0005-0000-0000-00005D0E0000}"/>
    <cellStyle name="Normal 2 132 2" xfId="3669" xr:uid="{00000000-0005-0000-0000-00005E0E0000}"/>
    <cellStyle name="Normal 2 133" xfId="3670" xr:uid="{00000000-0005-0000-0000-00005F0E0000}"/>
    <cellStyle name="Normal 2 133 2" xfId="3671" xr:uid="{00000000-0005-0000-0000-0000600E0000}"/>
    <cellStyle name="Normal 2 134" xfId="3672" xr:uid="{00000000-0005-0000-0000-0000610E0000}"/>
    <cellStyle name="Normal 2 134 2" xfId="3673" xr:uid="{00000000-0005-0000-0000-0000620E0000}"/>
    <cellStyle name="Normal 2 135" xfId="3674" xr:uid="{00000000-0005-0000-0000-0000630E0000}"/>
    <cellStyle name="Normal 2 135 2" xfId="3675" xr:uid="{00000000-0005-0000-0000-0000640E0000}"/>
    <cellStyle name="Normal 2 136" xfId="3676" xr:uid="{00000000-0005-0000-0000-0000650E0000}"/>
    <cellStyle name="Normal 2 136 2" xfId="3677" xr:uid="{00000000-0005-0000-0000-0000660E0000}"/>
    <cellStyle name="Normal 2 137" xfId="3678" xr:uid="{00000000-0005-0000-0000-0000670E0000}"/>
    <cellStyle name="Normal 2 137 2" xfId="3679" xr:uid="{00000000-0005-0000-0000-0000680E0000}"/>
    <cellStyle name="Normal 2 138" xfId="3680" xr:uid="{00000000-0005-0000-0000-0000690E0000}"/>
    <cellStyle name="Normal 2 138 2" xfId="3681" xr:uid="{00000000-0005-0000-0000-00006A0E0000}"/>
    <cellStyle name="Normal 2 139" xfId="3682" xr:uid="{00000000-0005-0000-0000-00006B0E0000}"/>
    <cellStyle name="Normal 2 139 2" xfId="3683" xr:uid="{00000000-0005-0000-0000-00006C0E0000}"/>
    <cellStyle name="Normal 2 14" xfId="3684" xr:uid="{00000000-0005-0000-0000-00006D0E0000}"/>
    <cellStyle name="Normal 2 14 2" xfId="3685" xr:uid="{00000000-0005-0000-0000-00006E0E0000}"/>
    <cellStyle name="Normal 2 14 2 2" xfId="3686" xr:uid="{00000000-0005-0000-0000-00006F0E0000}"/>
    <cellStyle name="Normal 2 14 3" xfId="3687" xr:uid="{00000000-0005-0000-0000-0000700E0000}"/>
    <cellStyle name="Normal 2 140" xfId="3688" xr:uid="{00000000-0005-0000-0000-0000710E0000}"/>
    <cellStyle name="Normal 2 140 2" xfId="3689" xr:uid="{00000000-0005-0000-0000-0000720E0000}"/>
    <cellStyle name="Normal 2 141" xfId="3690" xr:uid="{00000000-0005-0000-0000-0000730E0000}"/>
    <cellStyle name="Normal 2 142" xfId="21" xr:uid="{00000000-0005-0000-0000-0000740E0000}"/>
    <cellStyle name="Normal 2 142 2" xfId="9391" xr:uid="{00000000-0005-0000-0000-0000750E0000}"/>
    <cellStyle name="Normal 2 143" xfId="3691" xr:uid="{00000000-0005-0000-0000-0000760E0000}"/>
    <cellStyle name="Normal 2 144" xfId="3692" xr:uid="{00000000-0005-0000-0000-0000770E0000}"/>
    <cellStyle name="Normal 2 145" xfId="3693" xr:uid="{00000000-0005-0000-0000-0000780E0000}"/>
    <cellStyle name="Normal 2 15" xfId="3694" xr:uid="{00000000-0005-0000-0000-0000790E0000}"/>
    <cellStyle name="Normal 2 15 2" xfId="3695" xr:uid="{00000000-0005-0000-0000-00007A0E0000}"/>
    <cellStyle name="Normal 2 15 2 2" xfId="3696" xr:uid="{00000000-0005-0000-0000-00007B0E0000}"/>
    <cellStyle name="Normal 2 15 3" xfId="3697" xr:uid="{00000000-0005-0000-0000-00007C0E0000}"/>
    <cellStyle name="Normal 2 16" xfId="3698" xr:uid="{00000000-0005-0000-0000-00007D0E0000}"/>
    <cellStyle name="Normal 2 16 2" xfId="3699" xr:uid="{00000000-0005-0000-0000-00007E0E0000}"/>
    <cellStyle name="Normal 2 16 2 2" xfId="3700" xr:uid="{00000000-0005-0000-0000-00007F0E0000}"/>
    <cellStyle name="Normal 2 16 3" xfId="3701" xr:uid="{00000000-0005-0000-0000-0000800E0000}"/>
    <cellStyle name="Normal 2 17" xfId="3702" xr:uid="{00000000-0005-0000-0000-0000810E0000}"/>
    <cellStyle name="Normal 2 17 2" xfId="3703" xr:uid="{00000000-0005-0000-0000-0000820E0000}"/>
    <cellStyle name="Normal 2 17 2 2" xfId="3704" xr:uid="{00000000-0005-0000-0000-0000830E0000}"/>
    <cellStyle name="Normal 2 17 3" xfId="3705" xr:uid="{00000000-0005-0000-0000-0000840E0000}"/>
    <cellStyle name="Normal 2 18" xfId="3706" xr:uid="{00000000-0005-0000-0000-0000850E0000}"/>
    <cellStyle name="Normal 2 18 2" xfId="3707" xr:uid="{00000000-0005-0000-0000-0000860E0000}"/>
    <cellStyle name="Normal 2 18 2 2" xfId="3708" xr:uid="{00000000-0005-0000-0000-0000870E0000}"/>
    <cellStyle name="Normal 2 18 3" xfId="3709" xr:uid="{00000000-0005-0000-0000-0000880E0000}"/>
    <cellStyle name="Normal 2 19" xfId="3710" xr:uid="{00000000-0005-0000-0000-0000890E0000}"/>
    <cellStyle name="Normal 2 19 2" xfId="3711" xr:uid="{00000000-0005-0000-0000-00008A0E0000}"/>
    <cellStyle name="Normal 2 19 2 2" xfId="3712" xr:uid="{00000000-0005-0000-0000-00008B0E0000}"/>
    <cellStyle name="Normal 2 19 3" xfId="3713" xr:uid="{00000000-0005-0000-0000-00008C0E0000}"/>
    <cellStyle name="Normal 2 2" xfId="4" xr:uid="{00000000-0005-0000-0000-00008D0E0000}"/>
    <cellStyle name="Normal 2 2 10" xfId="3714" xr:uid="{00000000-0005-0000-0000-00008E0E0000}"/>
    <cellStyle name="Normal 2 2 10 2" xfId="3715" xr:uid="{00000000-0005-0000-0000-00008F0E0000}"/>
    <cellStyle name="Normal 2 2 10 2 2" xfId="3716" xr:uid="{00000000-0005-0000-0000-0000900E0000}"/>
    <cellStyle name="Normal 2 2 10 3" xfId="3717" xr:uid="{00000000-0005-0000-0000-0000910E0000}"/>
    <cellStyle name="Normal 2 2 100" xfId="3718" xr:uid="{00000000-0005-0000-0000-0000920E0000}"/>
    <cellStyle name="Normal 2 2 100 2" xfId="3719" xr:uid="{00000000-0005-0000-0000-0000930E0000}"/>
    <cellStyle name="Normal 2 2 101" xfId="3720" xr:uid="{00000000-0005-0000-0000-0000940E0000}"/>
    <cellStyle name="Normal 2 2 101 2" xfId="3721" xr:uid="{00000000-0005-0000-0000-0000950E0000}"/>
    <cellStyle name="Normal 2 2 102" xfId="3722" xr:uid="{00000000-0005-0000-0000-0000960E0000}"/>
    <cellStyle name="Normal 2 2 102 2" xfId="3723" xr:uid="{00000000-0005-0000-0000-0000970E0000}"/>
    <cellStyle name="Normal 2 2 103" xfId="3724" xr:uid="{00000000-0005-0000-0000-0000980E0000}"/>
    <cellStyle name="Normal 2 2 103 2" xfId="3725" xr:uid="{00000000-0005-0000-0000-0000990E0000}"/>
    <cellStyle name="Normal 2 2 104" xfId="3726" xr:uid="{00000000-0005-0000-0000-00009A0E0000}"/>
    <cellStyle name="Normal 2 2 104 2" xfId="3727" xr:uid="{00000000-0005-0000-0000-00009B0E0000}"/>
    <cellStyle name="Normal 2 2 105" xfId="3728" xr:uid="{00000000-0005-0000-0000-00009C0E0000}"/>
    <cellStyle name="Normal 2 2 105 2" xfId="3729" xr:uid="{00000000-0005-0000-0000-00009D0E0000}"/>
    <cellStyle name="Normal 2 2 106" xfId="3730" xr:uid="{00000000-0005-0000-0000-00009E0E0000}"/>
    <cellStyle name="Normal 2 2 106 2" xfId="3731" xr:uid="{00000000-0005-0000-0000-00009F0E0000}"/>
    <cellStyle name="Normal 2 2 107" xfId="3732" xr:uid="{00000000-0005-0000-0000-0000A00E0000}"/>
    <cellStyle name="Normal 2 2 107 2" xfId="3733" xr:uid="{00000000-0005-0000-0000-0000A10E0000}"/>
    <cellStyle name="Normal 2 2 108" xfId="3734" xr:uid="{00000000-0005-0000-0000-0000A20E0000}"/>
    <cellStyle name="Normal 2 2 108 2" xfId="3735" xr:uid="{00000000-0005-0000-0000-0000A30E0000}"/>
    <cellStyle name="Normal 2 2 109" xfId="3736" xr:uid="{00000000-0005-0000-0000-0000A40E0000}"/>
    <cellStyle name="Normal 2 2 109 2" xfId="3737" xr:uid="{00000000-0005-0000-0000-0000A50E0000}"/>
    <cellStyle name="Normal 2 2 11" xfId="3738" xr:uid="{00000000-0005-0000-0000-0000A60E0000}"/>
    <cellStyle name="Normal 2 2 11 2" xfId="3739" xr:uid="{00000000-0005-0000-0000-0000A70E0000}"/>
    <cellStyle name="Normal 2 2 11 2 2" xfId="3740" xr:uid="{00000000-0005-0000-0000-0000A80E0000}"/>
    <cellStyle name="Normal 2 2 11 3" xfId="3741" xr:uid="{00000000-0005-0000-0000-0000A90E0000}"/>
    <cellStyle name="Normal 2 2 110" xfId="3742" xr:uid="{00000000-0005-0000-0000-0000AA0E0000}"/>
    <cellStyle name="Normal 2 2 110 2" xfId="3743" xr:uid="{00000000-0005-0000-0000-0000AB0E0000}"/>
    <cellStyle name="Normal 2 2 111" xfId="3744" xr:uid="{00000000-0005-0000-0000-0000AC0E0000}"/>
    <cellStyle name="Normal 2 2 111 2" xfId="3745" xr:uid="{00000000-0005-0000-0000-0000AD0E0000}"/>
    <cellStyle name="Normal 2 2 112" xfId="3746" xr:uid="{00000000-0005-0000-0000-0000AE0E0000}"/>
    <cellStyle name="Normal 2 2 112 2" xfId="3747" xr:uid="{00000000-0005-0000-0000-0000AF0E0000}"/>
    <cellStyle name="Normal 2 2 113" xfId="3748" xr:uid="{00000000-0005-0000-0000-0000B00E0000}"/>
    <cellStyle name="Normal 2 2 113 2" xfId="3749" xr:uid="{00000000-0005-0000-0000-0000B10E0000}"/>
    <cellStyle name="Normal 2 2 114" xfId="3750" xr:uid="{00000000-0005-0000-0000-0000B20E0000}"/>
    <cellStyle name="Normal 2 2 114 2" xfId="3751" xr:uid="{00000000-0005-0000-0000-0000B30E0000}"/>
    <cellStyle name="Normal 2 2 115" xfId="3752" xr:uid="{00000000-0005-0000-0000-0000B40E0000}"/>
    <cellStyle name="Normal 2 2 115 2" xfId="3753" xr:uid="{00000000-0005-0000-0000-0000B50E0000}"/>
    <cellStyle name="Normal 2 2 116" xfId="3754" xr:uid="{00000000-0005-0000-0000-0000B60E0000}"/>
    <cellStyle name="Normal 2 2 116 2" xfId="3755" xr:uid="{00000000-0005-0000-0000-0000B70E0000}"/>
    <cellStyle name="Normal 2 2 117" xfId="3756" xr:uid="{00000000-0005-0000-0000-0000B80E0000}"/>
    <cellStyle name="Normal 2 2 117 2" xfId="3757" xr:uid="{00000000-0005-0000-0000-0000B90E0000}"/>
    <cellStyle name="Normal 2 2 118" xfId="3758" xr:uid="{00000000-0005-0000-0000-0000BA0E0000}"/>
    <cellStyle name="Normal 2 2 118 2" xfId="3759" xr:uid="{00000000-0005-0000-0000-0000BB0E0000}"/>
    <cellStyle name="Normal 2 2 119" xfId="3760" xr:uid="{00000000-0005-0000-0000-0000BC0E0000}"/>
    <cellStyle name="Normal 2 2 119 2" xfId="3761" xr:uid="{00000000-0005-0000-0000-0000BD0E0000}"/>
    <cellStyle name="Normal 2 2 12" xfId="3762" xr:uid="{00000000-0005-0000-0000-0000BE0E0000}"/>
    <cellStyle name="Normal 2 2 12 2" xfId="3763" xr:uid="{00000000-0005-0000-0000-0000BF0E0000}"/>
    <cellStyle name="Normal 2 2 12 2 2" xfId="3764" xr:uid="{00000000-0005-0000-0000-0000C00E0000}"/>
    <cellStyle name="Normal 2 2 12 3" xfId="3765" xr:uid="{00000000-0005-0000-0000-0000C10E0000}"/>
    <cellStyle name="Normal 2 2 120" xfId="3766" xr:uid="{00000000-0005-0000-0000-0000C20E0000}"/>
    <cellStyle name="Normal 2 2 120 2" xfId="3767" xr:uid="{00000000-0005-0000-0000-0000C30E0000}"/>
    <cellStyle name="Normal 2 2 121" xfId="3768" xr:uid="{00000000-0005-0000-0000-0000C40E0000}"/>
    <cellStyle name="Normal 2 2 121 2" xfId="3769" xr:uid="{00000000-0005-0000-0000-0000C50E0000}"/>
    <cellStyle name="Normal 2 2 122" xfId="3770" xr:uid="{00000000-0005-0000-0000-0000C60E0000}"/>
    <cellStyle name="Normal 2 2 122 2" xfId="3771" xr:uid="{00000000-0005-0000-0000-0000C70E0000}"/>
    <cellStyle name="Normal 2 2 123" xfId="3772" xr:uid="{00000000-0005-0000-0000-0000C80E0000}"/>
    <cellStyle name="Normal 2 2 123 2" xfId="3773" xr:uid="{00000000-0005-0000-0000-0000C90E0000}"/>
    <cellStyle name="Normal 2 2 124" xfId="3774" xr:uid="{00000000-0005-0000-0000-0000CA0E0000}"/>
    <cellStyle name="Normal 2 2 124 2" xfId="3775" xr:uid="{00000000-0005-0000-0000-0000CB0E0000}"/>
    <cellStyle name="Normal 2 2 125" xfId="3776" xr:uid="{00000000-0005-0000-0000-0000CC0E0000}"/>
    <cellStyle name="Normal 2 2 125 2" xfId="3777" xr:uid="{00000000-0005-0000-0000-0000CD0E0000}"/>
    <cellStyle name="Normal 2 2 126" xfId="3778" xr:uid="{00000000-0005-0000-0000-0000CE0E0000}"/>
    <cellStyle name="Normal 2 2 126 2" xfId="3779" xr:uid="{00000000-0005-0000-0000-0000CF0E0000}"/>
    <cellStyle name="Normal 2 2 127" xfId="3780" xr:uid="{00000000-0005-0000-0000-0000D00E0000}"/>
    <cellStyle name="Normal 2 2 127 2" xfId="3781" xr:uid="{00000000-0005-0000-0000-0000D10E0000}"/>
    <cellStyle name="Normal 2 2 128" xfId="3782" xr:uid="{00000000-0005-0000-0000-0000D20E0000}"/>
    <cellStyle name="Normal 2 2 128 2" xfId="3783" xr:uid="{00000000-0005-0000-0000-0000D30E0000}"/>
    <cellStyle name="Normal 2 2 129" xfId="3784" xr:uid="{00000000-0005-0000-0000-0000D40E0000}"/>
    <cellStyle name="Normal 2 2 129 2" xfId="3785" xr:uid="{00000000-0005-0000-0000-0000D50E0000}"/>
    <cellStyle name="Normal 2 2 13" xfId="3786" xr:uid="{00000000-0005-0000-0000-0000D60E0000}"/>
    <cellStyle name="Normal 2 2 13 2" xfId="3787" xr:uid="{00000000-0005-0000-0000-0000D70E0000}"/>
    <cellStyle name="Normal 2 2 13 2 2" xfId="3788" xr:uid="{00000000-0005-0000-0000-0000D80E0000}"/>
    <cellStyle name="Normal 2 2 13 3" xfId="3789" xr:uid="{00000000-0005-0000-0000-0000D90E0000}"/>
    <cellStyle name="Normal 2 2 130" xfId="3790" xr:uid="{00000000-0005-0000-0000-0000DA0E0000}"/>
    <cellStyle name="Normal 2 2 130 2" xfId="3791" xr:uid="{00000000-0005-0000-0000-0000DB0E0000}"/>
    <cellStyle name="Normal 2 2 131" xfId="3792" xr:uid="{00000000-0005-0000-0000-0000DC0E0000}"/>
    <cellStyle name="Normal 2 2 131 2" xfId="3793" xr:uid="{00000000-0005-0000-0000-0000DD0E0000}"/>
    <cellStyle name="Normal 2 2 132" xfId="3794" xr:uid="{00000000-0005-0000-0000-0000DE0E0000}"/>
    <cellStyle name="Normal 2 2 132 2" xfId="3795" xr:uid="{00000000-0005-0000-0000-0000DF0E0000}"/>
    <cellStyle name="Normal 2 2 133" xfId="3796" xr:uid="{00000000-0005-0000-0000-0000E00E0000}"/>
    <cellStyle name="Normal 2 2 133 2" xfId="3797" xr:uid="{00000000-0005-0000-0000-0000E10E0000}"/>
    <cellStyle name="Normal 2 2 134" xfId="3798" xr:uid="{00000000-0005-0000-0000-0000E20E0000}"/>
    <cellStyle name="Normal 2 2 134 2" xfId="3799" xr:uid="{00000000-0005-0000-0000-0000E30E0000}"/>
    <cellStyle name="Normal 2 2 135" xfId="3800" xr:uid="{00000000-0005-0000-0000-0000E40E0000}"/>
    <cellStyle name="Normal 2 2 135 2" xfId="3801" xr:uid="{00000000-0005-0000-0000-0000E50E0000}"/>
    <cellStyle name="Normal 2 2 136" xfId="3802" xr:uid="{00000000-0005-0000-0000-0000E60E0000}"/>
    <cellStyle name="Normal 2 2 136 2" xfId="3803" xr:uid="{00000000-0005-0000-0000-0000E70E0000}"/>
    <cellStyle name="Normal 2 2 137" xfId="3804" xr:uid="{00000000-0005-0000-0000-0000E80E0000}"/>
    <cellStyle name="Normal 2 2 137 2" xfId="3805" xr:uid="{00000000-0005-0000-0000-0000E90E0000}"/>
    <cellStyle name="Normal 2 2 138" xfId="3806" xr:uid="{00000000-0005-0000-0000-0000EA0E0000}"/>
    <cellStyle name="Normal 2 2 138 2" xfId="3807" xr:uid="{00000000-0005-0000-0000-0000EB0E0000}"/>
    <cellStyle name="Normal 2 2 139" xfId="3808" xr:uid="{00000000-0005-0000-0000-0000EC0E0000}"/>
    <cellStyle name="Normal 2 2 139 2" xfId="3809" xr:uid="{00000000-0005-0000-0000-0000ED0E0000}"/>
    <cellStyle name="Normal 2 2 14" xfId="3810" xr:uid="{00000000-0005-0000-0000-0000EE0E0000}"/>
    <cellStyle name="Normal 2 2 14 2" xfId="3811" xr:uid="{00000000-0005-0000-0000-0000EF0E0000}"/>
    <cellStyle name="Normal 2 2 14 2 2" xfId="3812" xr:uid="{00000000-0005-0000-0000-0000F00E0000}"/>
    <cellStyle name="Normal 2 2 14 3" xfId="3813" xr:uid="{00000000-0005-0000-0000-0000F10E0000}"/>
    <cellStyle name="Normal 2 2 140" xfId="3814" xr:uid="{00000000-0005-0000-0000-0000F20E0000}"/>
    <cellStyle name="Normal 2 2 140 2" xfId="3815" xr:uid="{00000000-0005-0000-0000-0000F30E0000}"/>
    <cellStyle name="Normal 2 2 141" xfId="3816" xr:uid="{00000000-0005-0000-0000-0000F40E0000}"/>
    <cellStyle name="Normal 2 2 141 2" xfId="3817" xr:uid="{00000000-0005-0000-0000-0000F50E0000}"/>
    <cellStyle name="Normal 2 2 142" xfId="3818" xr:uid="{00000000-0005-0000-0000-0000F60E0000}"/>
    <cellStyle name="Normal 2 2 142 2" xfId="3819" xr:uid="{00000000-0005-0000-0000-0000F70E0000}"/>
    <cellStyle name="Normal 2 2 143" xfId="3820" xr:uid="{00000000-0005-0000-0000-0000F80E0000}"/>
    <cellStyle name="Normal 2 2 143 2" xfId="3821" xr:uid="{00000000-0005-0000-0000-0000F90E0000}"/>
    <cellStyle name="Normal 2 2 144" xfId="3822" xr:uid="{00000000-0005-0000-0000-0000FA0E0000}"/>
    <cellStyle name="Normal 2 2 144 2" xfId="3823" xr:uid="{00000000-0005-0000-0000-0000FB0E0000}"/>
    <cellStyle name="Normal 2 2 145" xfId="3824" xr:uid="{00000000-0005-0000-0000-0000FC0E0000}"/>
    <cellStyle name="Normal 2 2 145 2" xfId="3825" xr:uid="{00000000-0005-0000-0000-0000FD0E0000}"/>
    <cellStyle name="Normal 2 2 146" xfId="3826" xr:uid="{00000000-0005-0000-0000-0000FE0E0000}"/>
    <cellStyle name="Normal 2 2 146 2" xfId="3827" xr:uid="{00000000-0005-0000-0000-0000FF0E0000}"/>
    <cellStyle name="Normal 2 2 147" xfId="3828" xr:uid="{00000000-0005-0000-0000-0000000F0000}"/>
    <cellStyle name="Normal 2 2 147 2" xfId="3829" xr:uid="{00000000-0005-0000-0000-0000010F0000}"/>
    <cellStyle name="Normal 2 2 148" xfId="3830" xr:uid="{00000000-0005-0000-0000-0000020F0000}"/>
    <cellStyle name="Normal 2 2 148 2" xfId="3831" xr:uid="{00000000-0005-0000-0000-0000030F0000}"/>
    <cellStyle name="Normal 2 2 149" xfId="3832" xr:uid="{00000000-0005-0000-0000-0000040F0000}"/>
    <cellStyle name="Normal 2 2 149 2" xfId="3833" xr:uid="{00000000-0005-0000-0000-0000050F0000}"/>
    <cellStyle name="Normal 2 2 15" xfId="3834" xr:uid="{00000000-0005-0000-0000-0000060F0000}"/>
    <cellStyle name="Normal 2 2 15 2" xfId="3835" xr:uid="{00000000-0005-0000-0000-0000070F0000}"/>
    <cellStyle name="Normal 2 2 15 2 2" xfId="3836" xr:uid="{00000000-0005-0000-0000-0000080F0000}"/>
    <cellStyle name="Normal 2 2 15 3" xfId="3837" xr:uid="{00000000-0005-0000-0000-0000090F0000}"/>
    <cellStyle name="Normal 2 2 150" xfId="3838" xr:uid="{00000000-0005-0000-0000-00000A0F0000}"/>
    <cellStyle name="Normal 2 2 150 2" xfId="3839" xr:uid="{00000000-0005-0000-0000-00000B0F0000}"/>
    <cellStyle name="Normal 2 2 151" xfId="3840" xr:uid="{00000000-0005-0000-0000-00000C0F0000}"/>
    <cellStyle name="Normal 2 2 151 2" xfId="3841" xr:uid="{00000000-0005-0000-0000-00000D0F0000}"/>
    <cellStyle name="Normal 2 2 152" xfId="3842" xr:uid="{00000000-0005-0000-0000-00000E0F0000}"/>
    <cellStyle name="Normal 2 2 152 2" xfId="3843" xr:uid="{00000000-0005-0000-0000-00000F0F0000}"/>
    <cellStyle name="Normal 2 2 153" xfId="3844" xr:uid="{00000000-0005-0000-0000-0000100F0000}"/>
    <cellStyle name="Normal 2 2 153 2" xfId="3845" xr:uid="{00000000-0005-0000-0000-0000110F0000}"/>
    <cellStyle name="Normal 2 2 154" xfId="3846" xr:uid="{00000000-0005-0000-0000-0000120F0000}"/>
    <cellStyle name="Normal 2 2 154 2" xfId="3847" xr:uid="{00000000-0005-0000-0000-0000130F0000}"/>
    <cellStyle name="Normal 2 2 155" xfId="3848" xr:uid="{00000000-0005-0000-0000-0000140F0000}"/>
    <cellStyle name="Normal 2 2 155 2" xfId="3849" xr:uid="{00000000-0005-0000-0000-0000150F0000}"/>
    <cellStyle name="Normal 2 2 155 3" xfId="3850" xr:uid="{00000000-0005-0000-0000-0000160F0000}"/>
    <cellStyle name="Normal 2 2 156" xfId="3851" xr:uid="{00000000-0005-0000-0000-0000170F0000}"/>
    <cellStyle name="Normal 2 2 157" xfId="3852" xr:uid="{00000000-0005-0000-0000-0000180F0000}"/>
    <cellStyle name="Normal 2 2 16" xfId="3853" xr:uid="{00000000-0005-0000-0000-0000190F0000}"/>
    <cellStyle name="Normal 2 2 16 2" xfId="3854" xr:uid="{00000000-0005-0000-0000-00001A0F0000}"/>
    <cellStyle name="Normal 2 2 16 2 2" xfId="3855" xr:uid="{00000000-0005-0000-0000-00001B0F0000}"/>
    <cellStyle name="Normal 2 2 16 3" xfId="3856" xr:uid="{00000000-0005-0000-0000-00001C0F0000}"/>
    <cellStyle name="Normal 2 2 17" xfId="3857" xr:uid="{00000000-0005-0000-0000-00001D0F0000}"/>
    <cellStyle name="Normal 2 2 17 2" xfId="3858" xr:uid="{00000000-0005-0000-0000-00001E0F0000}"/>
    <cellStyle name="Normal 2 2 17 2 2" xfId="3859" xr:uid="{00000000-0005-0000-0000-00001F0F0000}"/>
    <cellStyle name="Normal 2 2 17 3" xfId="3860" xr:uid="{00000000-0005-0000-0000-0000200F0000}"/>
    <cellStyle name="Normal 2 2 18" xfId="3861" xr:uid="{00000000-0005-0000-0000-0000210F0000}"/>
    <cellStyle name="Normal 2 2 18 2" xfId="3862" xr:uid="{00000000-0005-0000-0000-0000220F0000}"/>
    <cellStyle name="Normal 2 2 18 2 2" xfId="3863" xr:uid="{00000000-0005-0000-0000-0000230F0000}"/>
    <cellStyle name="Normal 2 2 18 3" xfId="3864" xr:uid="{00000000-0005-0000-0000-0000240F0000}"/>
    <cellStyle name="Normal 2 2 19" xfId="3865" xr:uid="{00000000-0005-0000-0000-0000250F0000}"/>
    <cellStyle name="Normal 2 2 19 2" xfId="3866" xr:uid="{00000000-0005-0000-0000-0000260F0000}"/>
    <cellStyle name="Normal 2 2 19 2 2" xfId="3867" xr:uid="{00000000-0005-0000-0000-0000270F0000}"/>
    <cellStyle name="Normal 2 2 19 3" xfId="3868" xr:uid="{00000000-0005-0000-0000-0000280F0000}"/>
    <cellStyle name="Normal 2 2 2" xfId="3869" xr:uid="{00000000-0005-0000-0000-0000290F0000}"/>
    <cellStyle name="Normal 2 2 2 10" xfId="3870" xr:uid="{00000000-0005-0000-0000-00002A0F0000}"/>
    <cellStyle name="Normal 2 2 2 10 2" xfId="3871" xr:uid="{00000000-0005-0000-0000-00002B0F0000}"/>
    <cellStyle name="Normal 2 2 2 10 3" xfId="3872" xr:uid="{00000000-0005-0000-0000-00002C0F0000}"/>
    <cellStyle name="Normal 2 2 2 100" xfId="3873" xr:uid="{00000000-0005-0000-0000-00002D0F0000}"/>
    <cellStyle name="Normal 2 2 2 101" xfId="3874" xr:uid="{00000000-0005-0000-0000-00002E0F0000}"/>
    <cellStyle name="Normal 2 2 2 102" xfId="3875" xr:uid="{00000000-0005-0000-0000-00002F0F0000}"/>
    <cellStyle name="Normal 2 2 2 103" xfId="3876" xr:uid="{00000000-0005-0000-0000-0000300F0000}"/>
    <cellStyle name="Normal 2 2 2 104" xfId="3877" xr:uid="{00000000-0005-0000-0000-0000310F0000}"/>
    <cellStyle name="Normal 2 2 2 105" xfId="3878" xr:uid="{00000000-0005-0000-0000-0000320F0000}"/>
    <cellStyle name="Normal 2 2 2 106" xfId="3879" xr:uid="{00000000-0005-0000-0000-0000330F0000}"/>
    <cellStyle name="Normal 2 2 2 107" xfId="3880" xr:uid="{00000000-0005-0000-0000-0000340F0000}"/>
    <cellStyle name="Normal 2 2 2 108" xfId="3881" xr:uid="{00000000-0005-0000-0000-0000350F0000}"/>
    <cellStyle name="Normal 2 2 2 109" xfId="3882" xr:uid="{00000000-0005-0000-0000-0000360F0000}"/>
    <cellStyle name="Normal 2 2 2 11" xfId="3883" xr:uid="{00000000-0005-0000-0000-0000370F0000}"/>
    <cellStyle name="Normal 2 2 2 11 2" xfId="3884" xr:uid="{00000000-0005-0000-0000-0000380F0000}"/>
    <cellStyle name="Normal 2 2 2 110" xfId="3885" xr:uid="{00000000-0005-0000-0000-0000390F0000}"/>
    <cellStyle name="Normal 2 2 2 111" xfId="3886" xr:uid="{00000000-0005-0000-0000-00003A0F0000}"/>
    <cellStyle name="Normal 2 2 2 112" xfId="3887" xr:uid="{00000000-0005-0000-0000-00003B0F0000}"/>
    <cellStyle name="Normal 2 2 2 113" xfId="3888" xr:uid="{00000000-0005-0000-0000-00003C0F0000}"/>
    <cellStyle name="Normal 2 2 2 114" xfId="3889" xr:uid="{00000000-0005-0000-0000-00003D0F0000}"/>
    <cellStyle name="Normal 2 2 2 115" xfId="3890" xr:uid="{00000000-0005-0000-0000-00003E0F0000}"/>
    <cellStyle name="Normal 2 2 2 116" xfId="3891" xr:uid="{00000000-0005-0000-0000-00003F0F0000}"/>
    <cellStyle name="Normal 2 2 2 117" xfId="3892" xr:uid="{00000000-0005-0000-0000-0000400F0000}"/>
    <cellStyle name="Normal 2 2 2 118" xfId="3893" xr:uid="{00000000-0005-0000-0000-0000410F0000}"/>
    <cellStyle name="Normal 2 2 2 119" xfId="3894" xr:uid="{00000000-0005-0000-0000-0000420F0000}"/>
    <cellStyle name="Normal 2 2 2 12" xfId="3895" xr:uid="{00000000-0005-0000-0000-0000430F0000}"/>
    <cellStyle name="Normal 2 2 2 12 2" xfId="3896" xr:uid="{00000000-0005-0000-0000-0000440F0000}"/>
    <cellStyle name="Normal 2 2 2 120" xfId="3897" xr:uid="{00000000-0005-0000-0000-0000450F0000}"/>
    <cellStyle name="Normal 2 2 2 121" xfId="3898" xr:uid="{00000000-0005-0000-0000-0000460F0000}"/>
    <cellStyle name="Normal 2 2 2 122" xfId="3899" xr:uid="{00000000-0005-0000-0000-0000470F0000}"/>
    <cellStyle name="Normal 2 2 2 123" xfId="3900" xr:uid="{00000000-0005-0000-0000-0000480F0000}"/>
    <cellStyle name="Normal 2 2 2 124" xfId="3901" xr:uid="{00000000-0005-0000-0000-0000490F0000}"/>
    <cellStyle name="Normal 2 2 2 125" xfId="3902" xr:uid="{00000000-0005-0000-0000-00004A0F0000}"/>
    <cellStyle name="Normal 2 2 2 126" xfId="3903" xr:uid="{00000000-0005-0000-0000-00004B0F0000}"/>
    <cellStyle name="Normal 2 2 2 127" xfId="3904" xr:uid="{00000000-0005-0000-0000-00004C0F0000}"/>
    <cellStyle name="Normal 2 2 2 128" xfId="3905" xr:uid="{00000000-0005-0000-0000-00004D0F0000}"/>
    <cellStyle name="Normal 2 2 2 129" xfId="3906" xr:uid="{00000000-0005-0000-0000-00004E0F0000}"/>
    <cellStyle name="Normal 2 2 2 13" xfId="3907" xr:uid="{00000000-0005-0000-0000-00004F0F0000}"/>
    <cellStyle name="Normal 2 2 2 13 2" xfId="3908" xr:uid="{00000000-0005-0000-0000-0000500F0000}"/>
    <cellStyle name="Normal 2 2 2 130" xfId="3909" xr:uid="{00000000-0005-0000-0000-0000510F0000}"/>
    <cellStyle name="Normal 2 2 2 131" xfId="3910" xr:uid="{00000000-0005-0000-0000-0000520F0000}"/>
    <cellStyle name="Normal 2 2 2 132" xfId="3911" xr:uid="{00000000-0005-0000-0000-0000530F0000}"/>
    <cellStyle name="Normal 2 2 2 133" xfId="3912" xr:uid="{00000000-0005-0000-0000-0000540F0000}"/>
    <cellStyle name="Normal 2 2 2 134" xfId="3913" xr:uid="{00000000-0005-0000-0000-0000550F0000}"/>
    <cellStyle name="Normal 2 2 2 135" xfId="3914" xr:uid="{00000000-0005-0000-0000-0000560F0000}"/>
    <cellStyle name="Normal 2 2 2 136" xfId="3915" xr:uid="{00000000-0005-0000-0000-0000570F0000}"/>
    <cellStyle name="Normal 2 2 2 137" xfId="3916" xr:uid="{00000000-0005-0000-0000-0000580F0000}"/>
    <cellStyle name="Normal 2 2 2 138" xfId="3917" xr:uid="{00000000-0005-0000-0000-0000590F0000}"/>
    <cellStyle name="Normal 2 2 2 139" xfId="3918" xr:uid="{00000000-0005-0000-0000-00005A0F0000}"/>
    <cellStyle name="Normal 2 2 2 14" xfId="3919" xr:uid="{00000000-0005-0000-0000-00005B0F0000}"/>
    <cellStyle name="Normal 2 2 2 14 2" xfId="3920" xr:uid="{00000000-0005-0000-0000-00005C0F0000}"/>
    <cellStyle name="Normal 2 2 2 140" xfId="3921" xr:uid="{00000000-0005-0000-0000-00005D0F0000}"/>
    <cellStyle name="Normal 2 2 2 141" xfId="3922" xr:uid="{00000000-0005-0000-0000-00005E0F0000}"/>
    <cellStyle name="Normal 2 2 2 142" xfId="3923" xr:uid="{00000000-0005-0000-0000-00005F0F0000}"/>
    <cellStyle name="Normal 2 2 2 143" xfId="3924" xr:uid="{00000000-0005-0000-0000-0000600F0000}"/>
    <cellStyle name="Normal 2 2 2 144" xfId="3925" xr:uid="{00000000-0005-0000-0000-0000610F0000}"/>
    <cellStyle name="Normal 2 2 2 145" xfId="3926" xr:uid="{00000000-0005-0000-0000-0000620F0000}"/>
    <cellStyle name="Normal 2 2 2 146" xfId="3927" xr:uid="{00000000-0005-0000-0000-0000630F0000}"/>
    <cellStyle name="Normal 2 2 2 147" xfId="3928" xr:uid="{00000000-0005-0000-0000-0000640F0000}"/>
    <cellStyle name="Normal 2 2 2 147 2" xfId="3929" xr:uid="{00000000-0005-0000-0000-0000650F0000}"/>
    <cellStyle name="Normal 2 2 2 148" xfId="3930" xr:uid="{00000000-0005-0000-0000-0000660F0000}"/>
    <cellStyle name="Normal 2 2 2 148 2" xfId="3931" xr:uid="{00000000-0005-0000-0000-0000670F0000}"/>
    <cellStyle name="Normal 2 2 2 149" xfId="3932" xr:uid="{00000000-0005-0000-0000-0000680F0000}"/>
    <cellStyle name="Normal 2 2 2 149 2" xfId="3933" xr:uid="{00000000-0005-0000-0000-0000690F0000}"/>
    <cellStyle name="Normal 2 2 2 15" xfId="3934" xr:uid="{00000000-0005-0000-0000-00006A0F0000}"/>
    <cellStyle name="Normal 2 2 2 15 2" xfId="3935" xr:uid="{00000000-0005-0000-0000-00006B0F0000}"/>
    <cellStyle name="Normal 2 2 2 150" xfId="3936" xr:uid="{00000000-0005-0000-0000-00006C0F0000}"/>
    <cellStyle name="Normal 2 2 2 151" xfId="3937" xr:uid="{00000000-0005-0000-0000-00006D0F0000}"/>
    <cellStyle name="Normal 2 2 2 152" xfId="3938" xr:uid="{00000000-0005-0000-0000-00006E0F0000}"/>
    <cellStyle name="Normal 2 2 2 16" xfId="3939" xr:uid="{00000000-0005-0000-0000-00006F0F0000}"/>
    <cellStyle name="Normal 2 2 2 16 2" xfId="3940" xr:uid="{00000000-0005-0000-0000-0000700F0000}"/>
    <cellStyle name="Normal 2 2 2 17" xfId="3941" xr:uid="{00000000-0005-0000-0000-0000710F0000}"/>
    <cellStyle name="Normal 2 2 2 17 2" xfId="3942" xr:uid="{00000000-0005-0000-0000-0000720F0000}"/>
    <cellStyle name="Normal 2 2 2 18" xfId="3943" xr:uid="{00000000-0005-0000-0000-0000730F0000}"/>
    <cellStyle name="Normal 2 2 2 18 2" xfId="3944" xr:uid="{00000000-0005-0000-0000-0000740F0000}"/>
    <cellStyle name="Normal 2 2 2 19" xfId="3945" xr:uid="{00000000-0005-0000-0000-0000750F0000}"/>
    <cellStyle name="Normal 2 2 2 19 2" xfId="3946" xr:uid="{00000000-0005-0000-0000-0000760F0000}"/>
    <cellStyle name="Normal 2 2 2 2" xfId="3947" xr:uid="{00000000-0005-0000-0000-0000770F0000}"/>
    <cellStyle name="Normal 2 2 2 2 10" xfId="3948" xr:uid="{00000000-0005-0000-0000-0000780F0000}"/>
    <cellStyle name="Normal 2 2 2 2 10 2" xfId="3949" xr:uid="{00000000-0005-0000-0000-0000790F0000}"/>
    <cellStyle name="Normal 2 2 2 2 10 2 2" xfId="3950" xr:uid="{00000000-0005-0000-0000-00007A0F0000}"/>
    <cellStyle name="Normal 2 2 2 2 10 3" xfId="3951" xr:uid="{00000000-0005-0000-0000-00007B0F0000}"/>
    <cellStyle name="Normal 2 2 2 2 100" xfId="3952" xr:uid="{00000000-0005-0000-0000-00007C0F0000}"/>
    <cellStyle name="Normal 2 2 2 2 100 2" xfId="3953" xr:uid="{00000000-0005-0000-0000-00007D0F0000}"/>
    <cellStyle name="Normal 2 2 2 2 101" xfId="3954" xr:uid="{00000000-0005-0000-0000-00007E0F0000}"/>
    <cellStyle name="Normal 2 2 2 2 101 2" xfId="3955" xr:uid="{00000000-0005-0000-0000-00007F0F0000}"/>
    <cellStyle name="Normal 2 2 2 2 102" xfId="3956" xr:uid="{00000000-0005-0000-0000-0000800F0000}"/>
    <cellStyle name="Normal 2 2 2 2 102 2" xfId="3957" xr:uid="{00000000-0005-0000-0000-0000810F0000}"/>
    <cellStyle name="Normal 2 2 2 2 103" xfId="3958" xr:uid="{00000000-0005-0000-0000-0000820F0000}"/>
    <cellStyle name="Normal 2 2 2 2 103 2" xfId="3959" xr:uid="{00000000-0005-0000-0000-0000830F0000}"/>
    <cellStyle name="Normal 2 2 2 2 104" xfId="3960" xr:uid="{00000000-0005-0000-0000-0000840F0000}"/>
    <cellStyle name="Normal 2 2 2 2 104 2" xfId="3961" xr:uid="{00000000-0005-0000-0000-0000850F0000}"/>
    <cellStyle name="Normal 2 2 2 2 105" xfId="3962" xr:uid="{00000000-0005-0000-0000-0000860F0000}"/>
    <cellStyle name="Normal 2 2 2 2 105 2" xfId="3963" xr:uid="{00000000-0005-0000-0000-0000870F0000}"/>
    <cellStyle name="Normal 2 2 2 2 106" xfId="3964" xr:uid="{00000000-0005-0000-0000-0000880F0000}"/>
    <cellStyle name="Normal 2 2 2 2 106 2" xfId="3965" xr:uid="{00000000-0005-0000-0000-0000890F0000}"/>
    <cellStyle name="Normal 2 2 2 2 107" xfId="3966" xr:uid="{00000000-0005-0000-0000-00008A0F0000}"/>
    <cellStyle name="Normal 2 2 2 2 107 2" xfId="3967" xr:uid="{00000000-0005-0000-0000-00008B0F0000}"/>
    <cellStyle name="Normal 2 2 2 2 108" xfId="3968" xr:uid="{00000000-0005-0000-0000-00008C0F0000}"/>
    <cellStyle name="Normal 2 2 2 2 108 2" xfId="3969" xr:uid="{00000000-0005-0000-0000-00008D0F0000}"/>
    <cellStyle name="Normal 2 2 2 2 109" xfId="3970" xr:uid="{00000000-0005-0000-0000-00008E0F0000}"/>
    <cellStyle name="Normal 2 2 2 2 109 2" xfId="3971" xr:uid="{00000000-0005-0000-0000-00008F0F0000}"/>
    <cellStyle name="Normal 2 2 2 2 11" xfId="3972" xr:uid="{00000000-0005-0000-0000-0000900F0000}"/>
    <cellStyle name="Normal 2 2 2 2 11 2" xfId="3973" xr:uid="{00000000-0005-0000-0000-0000910F0000}"/>
    <cellStyle name="Normal 2 2 2 2 11 2 2" xfId="3974" xr:uid="{00000000-0005-0000-0000-0000920F0000}"/>
    <cellStyle name="Normal 2 2 2 2 11 3" xfId="3975" xr:uid="{00000000-0005-0000-0000-0000930F0000}"/>
    <cellStyle name="Normal 2 2 2 2 110" xfId="3976" xr:uid="{00000000-0005-0000-0000-0000940F0000}"/>
    <cellStyle name="Normal 2 2 2 2 110 2" xfId="3977" xr:uid="{00000000-0005-0000-0000-0000950F0000}"/>
    <cellStyle name="Normal 2 2 2 2 111" xfId="3978" xr:uid="{00000000-0005-0000-0000-0000960F0000}"/>
    <cellStyle name="Normal 2 2 2 2 111 2" xfId="3979" xr:uid="{00000000-0005-0000-0000-0000970F0000}"/>
    <cellStyle name="Normal 2 2 2 2 112" xfId="3980" xr:uid="{00000000-0005-0000-0000-0000980F0000}"/>
    <cellStyle name="Normal 2 2 2 2 112 2" xfId="3981" xr:uid="{00000000-0005-0000-0000-0000990F0000}"/>
    <cellStyle name="Normal 2 2 2 2 113" xfId="3982" xr:uid="{00000000-0005-0000-0000-00009A0F0000}"/>
    <cellStyle name="Normal 2 2 2 2 113 2" xfId="3983" xr:uid="{00000000-0005-0000-0000-00009B0F0000}"/>
    <cellStyle name="Normal 2 2 2 2 114" xfId="3984" xr:uid="{00000000-0005-0000-0000-00009C0F0000}"/>
    <cellStyle name="Normal 2 2 2 2 114 2" xfId="3985" xr:uid="{00000000-0005-0000-0000-00009D0F0000}"/>
    <cellStyle name="Normal 2 2 2 2 115" xfId="3986" xr:uid="{00000000-0005-0000-0000-00009E0F0000}"/>
    <cellStyle name="Normal 2 2 2 2 115 2" xfId="3987" xr:uid="{00000000-0005-0000-0000-00009F0F0000}"/>
    <cellStyle name="Normal 2 2 2 2 116" xfId="3988" xr:uid="{00000000-0005-0000-0000-0000A00F0000}"/>
    <cellStyle name="Normal 2 2 2 2 116 2" xfId="3989" xr:uid="{00000000-0005-0000-0000-0000A10F0000}"/>
    <cellStyle name="Normal 2 2 2 2 117" xfId="3990" xr:uid="{00000000-0005-0000-0000-0000A20F0000}"/>
    <cellStyle name="Normal 2 2 2 2 117 2" xfId="3991" xr:uid="{00000000-0005-0000-0000-0000A30F0000}"/>
    <cellStyle name="Normal 2 2 2 2 118" xfId="3992" xr:uid="{00000000-0005-0000-0000-0000A40F0000}"/>
    <cellStyle name="Normal 2 2 2 2 118 2" xfId="3993" xr:uid="{00000000-0005-0000-0000-0000A50F0000}"/>
    <cellStyle name="Normal 2 2 2 2 119" xfId="3994" xr:uid="{00000000-0005-0000-0000-0000A60F0000}"/>
    <cellStyle name="Normal 2 2 2 2 119 2" xfId="3995" xr:uid="{00000000-0005-0000-0000-0000A70F0000}"/>
    <cellStyle name="Normal 2 2 2 2 12" xfId="3996" xr:uid="{00000000-0005-0000-0000-0000A80F0000}"/>
    <cellStyle name="Normal 2 2 2 2 12 2" xfId="3997" xr:uid="{00000000-0005-0000-0000-0000A90F0000}"/>
    <cellStyle name="Normal 2 2 2 2 12 2 2" xfId="3998" xr:uid="{00000000-0005-0000-0000-0000AA0F0000}"/>
    <cellStyle name="Normal 2 2 2 2 12 3" xfId="3999" xr:uid="{00000000-0005-0000-0000-0000AB0F0000}"/>
    <cellStyle name="Normal 2 2 2 2 120" xfId="4000" xr:uid="{00000000-0005-0000-0000-0000AC0F0000}"/>
    <cellStyle name="Normal 2 2 2 2 120 2" xfId="4001" xr:uid="{00000000-0005-0000-0000-0000AD0F0000}"/>
    <cellStyle name="Normal 2 2 2 2 121" xfId="4002" xr:uid="{00000000-0005-0000-0000-0000AE0F0000}"/>
    <cellStyle name="Normal 2 2 2 2 121 2" xfId="4003" xr:uid="{00000000-0005-0000-0000-0000AF0F0000}"/>
    <cellStyle name="Normal 2 2 2 2 122" xfId="4004" xr:uid="{00000000-0005-0000-0000-0000B00F0000}"/>
    <cellStyle name="Normal 2 2 2 2 122 2" xfId="4005" xr:uid="{00000000-0005-0000-0000-0000B10F0000}"/>
    <cellStyle name="Normal 2 2 2 2 123" xfId="4006" xr:uid="{00000000-0005-0000-0000-0000B20F0000}"/>
    <cellStyle name="Normal 2 2 2 2 123 2" xfId="4007" xr:uid="{00000000-0005-0000-0000-0000B30F0000}"/>
    <cellStyle name="Normal 2 2 2 2 124" xfId="4008" xr:uid="{00000000-0005-0000-0000-0000B40F0000}"/>
    <cellStyle name="Normal 2 2 2 2 124 2" xfId="4009" xr:uid="{00000000-0005-0000-0000-0000B50F0000}"/>
    <cellStyle name="Normal 2 2 2 2 125" xfId="4010" xr:uid="{00000000-0005-0000-0000-0000B60F0000}"/>
    <cellStyle name="Normal 2 2 2 2 125 2" xfId="4011" xr:uid="{00000000-0005-0000-0000-0000B70F0000}"/>
    <cellStyle name="Normal 2 2 2 2 126" xfId="4012" xr:uid="{00000000-0005-0000-0000-0000B80F0000}"/>
    <cellStyle name="Normal 2 2 2 2 126 2" xfId="4013" xr:uid="{00000000-0005-0000-0000-0000B90F0000}"/>
    <cellStyle name="Normal 2 2 2 2 127" xfId="4014" xr:uid="{00000000-0005-0000-0000-0000BA0F0000}"/>
    <cellStyle name="Normal 2 2 2 2 127 2" xfId="4015" xr:uid="{00000000-0005-0000-0000-0000BB0F0000}"/>
    <cellStyle name="Normal 2 2 2 2 128" xfId="4016" xr:uid="{00000000-0005-0000-0000-0000BC0F0000}"/>
    <cellStyle name="Normal 2 2 2 2 128 2" xfId="4017" xr:uid="{00000000-0005-0000-0000-0000BD0F0000}"/>
    <cellStyle name="Normal 2 2 2 2 129" xfId="4018" xr:uid="{00000000-0005-0000-0000-0000BE0F0000}"/>
    <cellStyle name="Normal 2 2 2 2 129 2" xfId="4019" xr:uid="{00000000-0005-0000-0000-0000BF0F0000}"/>
    <cellStyle name="Normal 2 2 2 2 13" xfId="4020" xr:uid="{00000000-0005-0000-0000-0000C00F0000}"/>
    <cellStyle name="Normal 2 2 2 2 13 2" xfId="4021" xr:uid="{00000000-0005-0000-0000-0000C10F0000}"/>
    <cellStyle name="Normal 2 2 2 2 13 2 2" xfId="4022" xr:uid="{00000000-0005-0000-0000-0000C20F0000}"/>
    <cellStyle name="Normal 2 2 2 2 13 3" xfId="4023" xr:uid="{00000000-0005-0000-0000-0000C30F0000}"/>
    <cellStyle name="Normal 2 2 2 2 130" xfId="4024" xr:uid="{00000000-0005-0000-0000-0000C40F0000}"/>
    <cellStyle name="Normal 2 2 2 2 130 2" xfId="4025" xr:uid="{00000000-0005-0000-0000-0000C50F0000}"/>
    <cellStyle name="Normal 2 2 2 2 131" xfId="4026" xr:uid="{00000000-0005-0000-0000-0000C60F0000}"/>
    <cellStyle name="Normal 2 2 2 2 131 2" xfId="4027" xr:uid="{00000000-0005-0000-0000-0000C70F0000}"/>
    <cellStyle name="Normal 2 2 2 2 132" xfId="4028" xr:uid="{00000000-0005-0000-0000-0000C80F0000}"/>
    <cellStyle name="Normal 2 2 2 2 132 2" xfId="4029" xr:uid="{00000000-0005-0000-0000-0000C90F0000}"/>
    <cellStyle name="Normal 2 2 2 2 133" xfId="4030" xr:uid="{00000000-0005-0000-0000-0000CA0F0000}"/>
    <cellStyle name="Normal 2 2 2 2 133 2" xfId="4031" xr:uid="{00000000-0005-0000-0000-0000CB0F0000}"/>
    <cellStyle name="Normal 2 2 2 2 134" xfId="4032" xr:uid="{00000000-0005-0000-0000-0000CC0F0000}"/>
    <cellStyle name="Normal 2 2 2 2 134 2" xfId="4033" xr:uid="{00000000-0005-0000-0000-0000CD0F0000}"/>
    <cellStyle name="Normal 2 2 2 2 135" xfId="4034" xr:uid="{00000000-0005-0000-0000-0000CE0F0000}"/>
    <cellStyle name="Normal 2 2 2 2 135 2" xfId="4035" xr:uid="{00000000-0005-0000-0000-0000CF0F0000}"/>
    <cellStyle name="Normal 2 2 2 2 136" xfId="4036" xr:uid="{00000000-0005-0000-0000-0000D00F0000}"/>
    <cellStyle name="Normal 2 2 2 2 136 2" xfId="4037" xr:uid="{00000000-0005-0000-0000-0000D10F0000}"/>
    <cellStyle name="Normal 2 2 2 2 137" xfId="4038" xr:uid="{00000000-0005-0000-0000-0000D20F0000}"/>
    <cellStyle name="Normal 2 2 2 2 137 2" xfId="4039" xr:uid="{00000000-0005-0000-0000-0000D30F0000}"/>
    <cellStyle name="Normal 2 2 2 2 138" xfId="4040" xr:uid="{00000000-0005-0000-0000-0000D40F0000}"/>
    <cellStyle name="Normal 2 2 2 2 138 2" xfId="4041" xr:uid="{00000000-0005-0000-0000-0000D50F0000}"/>
    <cellStyle name="Normal 2 2 2 2 139" xfId="4042" xr:uid="{00000000-0005-0000-0000-0000D60F0000}"/>
    <cellStyle name="Normal 2 2 2 2 139 2" xfId="4043" xr:uid="{00000000-0005-0000-0000-0000D70F0000}"/>
    <cellStyle name="Normal 2 2 2 2 14" xfId="4044" xr:uid="{00000000-0005-0000-0000-0000D80F0000}"/>
    <cellStyle name="Normal 2 2 2 2 14 2" xfId="4045" xr:uid="{00000000-0005-0000-0000-0000D90F0000}"/>
    <cellStyle name="Normal 2 2 2 2 14 2 2" xfId="4046" xr:uid="{00000000-0005-0000-0000-0000DA0F0000}"/>
    <cellStyle name="Normal 2 2 2 2 14 3" xfId="4047" xr:uid="{00000000-0005-0000-0000-0000DB0F0000}"/>
    <cellStyle name="Normal 2 2 2 2 140" xfId="4048" xr:uid="{00000000-0005-0000-0000-0000DC0F0000}"/>
    <cellStyle name="Normal 2 2 2 2 140 2" xfId="4049" xr:uid="{00000000-0005-0000-0000-0000DD0F0000}"/>
    <cellStyle name="Normal 2 2 2 2 141" xfId="4050" xr:uid="{00000000-0005-0000-0000-0000DE0F0000}"/>
    <cellStyle name="Normal 2 2 2 2 141 2" xfId="4051" xr:uid="{00000000-0005-0000-0000-0000DF0F0000}"/>
    <cellStyle name="Normal 2 2 2 2 142" xfId="4052" xr:uid="{00000000-0005-0000-0000-0000E00F0000}"/>
    <cellStyle name="Normal 2 2 2 2 142 2" xfId="4053" xr:uid="{00000000-0005-0000-0000-0000E10F0000}"/>
    <cellStyle name="Normal 2 2 2 2 143" xfId="4054" xr:uid="{00000000-0005-0000-0000-0000E20F0000}"/>
    <cellStyle name="Normal 2 2 2 2 143 2" xfId="4055" xr:uid="{00000000-0005-0000-0000-0000E30F0000}"/>
    <cellStyle name="Normal 2 2 2 2 144" xfId="4056" xr:uid="{00000000-0005-0000-0000-0000E40F0000}"/>
    <cellStyle name="Normal 2 2 2 2 145" xfId="4057" xr:uid="{00000000-0005-0000-0000-0000E50F0000}"/>
    <cellStyle name="Normal 2 2 2 2 146" xfId="4058" xr:uid="{00000000-0005-0000-0000-0000E60F0000}"/>
    <cellStyle name="Normal 2 2 2 2 147" xfId="4059" xr:uid="{00000000-0005-0000-0000-0000E70F0000}"/>
    <cellStyle name="Normal 2 2 2 2 15" xfId="4060" xr:uid="{00000000-0005-0000-0000-0000E80F0000}"/>
    <cellStyle name="Normal 2 2 2 2 15 2" xfId="4061" xr:uid="{00000000-0005-0000-0000-0000E90F0000}"/>
    <cellStyle name="Normal 2 2 2 2 15 2 2" xfId="4062" xr:uid="{00000000-0005-0000-0000-0000EA0F0000}"/>
    <cellStyle name="Normal 2 2 2 2 15 3" xfId="4063" xr:uid="{00000000-0005-0000-0000-0000EB0F0000}"/>
    <cellStyle name="Normal 2 2 2 2 16" xfId="4064" xr:uid="{00000000-0005-0000-0000-0000EC0F0000}"/>
    <cellStyle name="Normal 2 2 2 2 16 2" xfId="4065" xr:uid="{00000000-0005-0000-0000-0000ED0F0000}"/>
    <cellStyle name="Normal 2 2 2 2 16 2 2" xfId="4066" xr:uid="{00000000-0005-0000-0000-0000EE0F0000}"/>
    <cellStyle name="Normal 2 2 2 2 16 3" xfId="4067" xr:uid="{00000000-0005-0000-0000-0000EF0F0000}"/>
    <cellStyle name="Normal 2 2 2 2 17" xfId="4068" xr:uid="{00000000-0005-0000-0000-0000F00F0000}"/>
    <cellStyle name="Normal 2 2 2 2 17 2" xfId="4069" xr:uid="{00000000-0005-0000-0000-0000F10F0000}"/>
    <cellStyle name="Normal 2 2 2 2 17 2 2" xfId="4070" xr:uid="{00000000-0005-0000-0000-0000F20F0000}"/>
    <cellStyle name="Normal 2 2 2 2 17 3" xfId="4071" xr:uid="{00000000-0005-0000-0000-0000F30F0000}"/>
    <cellStyle name="Normal 2 2 2 2 18" xfId="4072" xr:uid="{00000000-0005-0000-0000-0000F40F0000}"/>
    <cellStyle name="Normal 2 2 2 2 18 2" xfId="4073" xr:uid="{00000000-0005-0000-0000-0000F50F0000}"/>
    <cellStyle name="Normal 2 2 2 2 18 2 2" xfId="4074" xr:uid="{00000000-0005-0000-0000-0000F60F0000}"/>
    <cellStyle name="Normal 2 2 2 2 18 3" xfId="4075" xr:uid="{00000000-0005-0000-0000-0000F70F0000}"/>
    <cellStyle name="Normal 2 2 2 2 19" xfId="4076" xr:uid="{00000000-0005-0000-0000-0000F80F0000}"/>
    <cellStyle name="Normal 2 2 2 2 19 2" xfId="4077" xr:uid="{00000000-0005-0000-0000-0000F90F0000}"/>
    <cellStyle name="Normal 2 2 2 2 19 2 2" xfId="4078" xr:uid="{00000000-0005-0000-0000-0000FA0F0000}"/>
    <cellStyle name="Normal 2 2 2 2 19 3" xfId="4079" xr:uid="{00000000-0005-0000-0000-0000FB0F0000}"/>
    <cellStyle name="Normal 2 2 2 2 2" xfId="4080" xr:uid="{00000000-0005-0000-0000-0000FC0F0000}"/>
    <cellStyle name="Normal 2 2 2 2 2 2" xfId="4081" xr:uid="{00000000-0005-0000-0000-0000FD0F0000}"/>
    <cellStyle name="Normal 2 2 2 2 2 2 2" xfId="4082" xr:uid="{00000000-0005-0000-0000-0000FE0F0000}"/>
    <cellStyle name="Normal 2 2 2 2 2 2 3" xfId="4083" xr:uid="{00000000-0005-0000-0000-0000FF0F0000}"/>
    <cellStyle name="Normal 2 2 2 2 2 3" xfId="4084" xr:uid="{00000000-0005-0000-0000-000000100000}"/>
    <cellStyle name="Normal 2 2 2 2 2 3 2" xfId="4085" xr:uid="{00000000-0005-0000-0000-000001100000}"/>
    <cellStyle name="Normal 2 2 2 2 2 4" xfId="4086" xr:uid="{00000000-0005-0000-0000-000002100000}"/>
    <cellStyle name="Normal 2 2 2 2 2 5" xfId="4087" xr:uid="{00000000-0005-0000-0000-000003100000}"/>
    <cellStyle name="Normal 2 2 2 2 2 6" xfId="4088" xr:uid="{00000000-0005-0000-0000-000004100000}"/>
    <cellStyle name="Normal 2 2 2 2 2 7" xfId="4089" xr:uid="{00000000-0005-0000-0000-000005100000}"/>
    <cellStyle name="Normal 2 2 2 2 20" xfId="4090" xr:uid="{00000000-0005-0000-0000-000006100000}"/>
    <cellStyle name="Normal 2 2 2 2 20 2" xfId="4091" xr:uid="{00000000-0005-0000-0000-000007100000}"/>
    <cellStyle name="Normal 2 2 2 2 20 2 2" xfId="4092" xr:uid="{00000000-0005-0000-0000-000008100000}"/>
    <cellStyle name="Normal 2 2 2 2 20 3" xfId="4093" xr:uid="{00000000-0005-0000-0000-000009100000}"/>
    <cellStyle name="Normal 2 2 2 2 21" xfId="4094" xr:uid="{00000000-0005-0000-0000-00000A100000}"/>
    <cellStyle name="Normal 2 2 2 2 21 2" xfId="4095" xr:uid="{00000000-0005-0000-0000-00000B100000}"/>
    <cellStyle name="Normal 2 2 2 2 21 2 2" xfId="4096" xr:uid="{00000000-0005-0000-0000-00000C100000}"/>
    <cellStyle name="Normal 2 2 2 2 21 3" xfId="4097" xr:uid="{00000000-0005-0000-0000-00000D100000}"/>
    <cellStyle name="Normal 2 2 2 2 22" xfId="4098" xr:uid="{00000000-0005-0000-0000-00000E100000}"/>
    <cellStyle name="Normal 2 2 2 2 22 2" xfId="4099" xr:uid="{00000000-0005-0000-0000-00000F100000}"/>
    <cellStyle name="Normal 2 2 2 2 22 2 2" xfId="4100" xr:uid="{00000000-0005-0000-0000-000010100000}"/>
    <cellStyle name="Normal 2 2 2 2 22 3" xfId="4101" xr:uid="{00000000-0005-0000-0000-000011100000}"/>
    <cellStyle name="Normal 2 2 2 2 23" xfId="4102" xr:uid="{00000000-0005-0000-0000-000012100000}"/>
    <cellStyle name="Normal 2 2 2 2 23 2" xfId="4103" xr:uid="{00000000-0005-0000-0000-000013100000}"/>
    <cellStyle name="Normal 2 2 2 2 23 2 2" xfId="4104" xr:uid="{00000000-0005-0000-0000-000014100000}"/>
    <cellStyle name="Normal 2 2 2 2 23 3" xfId="4105" xr:uid="{00000000-0005-0000-0000-000015100000}"/>
    <cellStyle name="Normal 2 2 2 2 24" xfId="4106" xr:uid="{00000000-0005-0000-0000-000016100000}"/>
    <cellStyle name="Normal 2 2 2 2 24 2" xfId="4107" xr:uid="{00000000-0005-0000-0000-000017100000}"/>
    <cellStyle name="Normal 2 2 2 2 24 2 2" xfId="4108" xr:uid="{00000000-0005-0000-0000-000018100000}"/>
    <cellStyle name="Normal 2 2 2 2 24 3" xfId="4109" xr:uid="{00000000-0005-0000-0000-000019100000}"/>
    <cellStyle name="Normal 2 2 2 2 25" xfId="4110" xr:uid="{00000000-0005-0000-0000-00001A100000}"/>
    <cellStyle name="Normal 2 2 2 2 25 2" xfId="4111" xr:uid="{00000000-0005-0000-0000-00001B100000}"/>
    <cellStyle name="Normal 2 2 2 2 25 2 2" xfId="4112" xr:uid="{00000000-0005-0000-0000-00001C100000}"/>
    <cellStyle name="Normal 2 2 2 2 25 3" xfId="4113" xr:uid="{00000000-0005-0000-0000-00001D100000}"/>
    <cellStyle name="Normal 2 2 2 2 26" xfId="4114" xr:uid="{00000000-0005-0000-0000-00001E100000}"/>
    <cellStyle name="Normal 2 2 2 2 26 2" xfId="4115" xr:uid="{00000000-0005-0000-0000-00001F100000}"/>
    <cellStyle name="Normal 2 2 2 2 26 2 2" xfId="4116" xr:uid="{00000000-0005-0000-0000-000020100000}"/>
    <cellStyle name="Normal 2 2 2 2 26 3" xfId="4117" xr:uid="{00000000-0005-0000-0000-000021100000}"/>
    <cellStyle name="Normal 2 2 2 2 27" xfId="4118" xr:uid="{00000000-0005-0000-0000-000022100000}"/>
    <cellStyle name="Normal 2 2 2 2 27 2" xfId="4119" xr:uid="{00000000-0005-0000-0000-000023100000}"/>
    <cellStyle name="Normal 2 2 2 2 27 2 2" xfId="4120" xr:uid="{00000000-0005-0000-0000-000024100000}"/>
    <cellStyle name="Normal 2 2 2 2 27 3" xfId="4121" xr:uid="{00000000-0005-0000-0000-000025100000}"/>
    <cellStyle name="Normal 2 2 2 2 28" xfId="4122" xr:uid="{00000000-0005-0000-0000-000026100000}"/>
    <cellStyle name="Normal 2 2 2 2 28 2" xfId="4123" xr:uid="{00000000-0005-0000-0000-000027100000}"/>
    <cellStyle name="Normal 2 2 2 2 28 2 2" xfId="4124" xr:uid="{00000000-0005-0000-0000-000028100000}"/>
    <cellStyle name="Normal 2 2 2 2 28 3" xfId="4125" xr:uid="{00000000-0005-0000-0000-000029100000}"/>
    <cellStyle name="Normal 2 2 2 2 29" xfId="4126" xr:uid="{00000000-0005-0000-0000-00002A100000}"/>
    <cellStyle name="Normal 2 2 2 2 29 2" xfId="4127" xr:uid="{00000000-0005-0000-0000-00002B100000}"/>
    <cellStyle name="Normal 2 2 2 2 29 2 2" xfId="4128" xr:uid="{00000000-0005-0000-0000-00002C100000}"/>
    <cellStyle name="Normal 2 2 2 2 29 3" xfId="4129" xr:uid="{00000000-0005-0000-0000-00002D100000}"/>
    <cellStyle name="Normal 2 2 2 2 3" xfId="4130" xr:uid="{00000000-0005-0000-0000-00002E100000}"/>
    <cellStyle name="Normal 2 2 2 2 3 10" xfId="4131" xr:uid="{00000000-0005-0000-0000-00002F100000}"/>
    <cellStyle name="Normal 2 2 2 2 3 11" xfId="4132" xr:uid="{00000000-0005-0000-0000-000030100000}"/>
    <cellStyle name="Normal 2 2 2 2 3 2" xfId="4133" xr:uid="{00000000-0005-0000-0000-000031100000}"/>
    <cellStyle name="Normal 2 2 2 2 3 2 2" xfId="4134" xr:uid="{00000000-0005-0000-0000-000032100000}"/>
    <cellStyle name="Normal 2 2 2 2 3 2 3" xfId="4135" xr:uid="{00000000-0005-0000-0000-000033100000}"/>
    <cellStyle name="Normal 2 2 2 2 3 3" xfId="4136" xr:uid="{00000000-0005-0000-0000-000034100000}"/>
    <cellStyle name="Normal 2 2 2 2 3 4" xfId="4137" xr:uid="{00000000-0005-0000-0000-000035100000}"/>
    <cellStyle name="Normal 2 2 2 2 3 5" xfId="4138" xr:uid="{00000000-0005-0000-0000-000036100000}"/>
    <cellStyle name="Normal 2 2 2 2 3 6" xfId="4139" xr:uid="{00000000-0005-0000-0000-000037100000}"/>
    <cellStyle name="Normal 2 2 2 2 3 7" xfId="4140" xr:uid="{00000000-0005-0000-0000-000038100000}"/>
    <cellStyle name="Normal 2 2 2 2 3 8" xfId="4141" xr:uid="{00000000-0005-0000-0000-000039100000}"/>
    <cellStyle name="Normal 2 2 2 2 3 9" xfId="4142" xr:uid="{00000000-0005-0000-0000-00003A100000}"/>
    <cellStyle name="Normal 2 2 2 2 30" xfId="4143" xr:uid="{00000000-0005-0000-0000-00003B100000}"/>
    <cellStyle name="Normal 2 2 2 2 30 2" xfId="4144" xr:uid="{00000000-0005-0000-0000-00003C100000}"/>
    <cellStyle name="Normal 2 2 2 2 30 2 2" xfId="4145" xr:uid="{00000000-0005-0000-0000-00003D100000}"/>
    <cellStyle name="Normal 2 2 2 2 30 3" xfId="4146" xr:uid="{00000000-0005-0000-0000-00003E100000}"/>
    <cellStyle name="Normal 2 2 2 2 31" xfId="4147" xr:uid="{00000000-0005-0000-0000-00003F100000}"/>
    <cellStyle name="Normal 2 2 2 2 31 2" xfId="4148" xr:uid="{00000000-0005-0000-0000-000040100000}"/>
    <cellStyle name="Normal 2 2 2 2 31 2 2" xfId="4149" xr:uid="{00000000-0005-0000-0000-000041100000}"/>
    <cellStyle name="Normal 2 2 2 2 31 3" xfId="4150" xr:uid="{00000000-0005-0000-0000-000042100000}"/>
    <cellStyle name="Normal 2 2 2 2 32" xfId="4151" xr:uid="{00000000-0005-0000-0000-000043100000}"/>
    <cellStyle name="Normal 2 2 2 2 32 2" xfId="4152" xr:uid="{00000000-0005-0000-0000-000044100000}"/>
    <cellStyle name="Normal 2 2 2 2 32 2 2" xfId="4153" xr:uid="{00000000-0005-0000-0000-000045100000}"/>
    <cellStyle name="Normal 2 2 2 2 32 3" xfId="4154" xr:uid="{00000000-0005-0000-0000-000046100000}"/>
    <cellStyle name="Normal 2 2 2 2 33" xfId="4155" xr:uid="{00000000-0005-0000-0000-000047100000}"/>
    <cellStyle name="Normal 2 2 2 2 33 2" xfId="4156" xr:uid="{00000000-0005-0000-0000-000048100000}"/>
    <cellStyle name="Normal 2 2 2 2 33 2 2" xfId="4157" xr:uid="{00000000-0005-0000-0000-000049100000}"/>
    <cellStyle name="Normal 2 2 2 2 33 3" xfId="4158" xr:uid="{00000000-0005-0000-0000-00004A100000}"/>
    <cellStyle name="Normal 2 2 2 2 34" xfId="4159" xr:uid="{00000000-0005-0000-0000-00004B100000}"/>
    <cellStyle name="Normal 2 2 2 2 34 2" xfId="4160" xr:uid="{00000000-0005-0000-0000-00004C100000}"/>
    <cellStyle name="Normal 2 2 2 2 34 2 2" xfId="4161" xr:uid="{00000000-0005-0000-0000-00004D100000}"/>
    <cellStyle name="Normal 2 2 2 2 34 3" xfId="4162" xr:uid="{00000000-0005-0000-0000-00004E100000}"/>
    <cellStyle name="Normal 2 2 2 2 35" xfId="4163" xr:uid="{00000000-0005-0000-0000-00004F100000}"/>
    <cellStyle name="Normal 2 2 2 2 35 2" xfId="4164" xr:uid="{00000000-0005-0000-0000-000050100000}"/>
    <cellStyle name="Normal 2 2 2 2 35 2 2" xfId="4165" xr:uid="{00000000-0005-0000-0000-000051100000}"/>
    <cellStyle name="Normal 2 2 2 2 35 3" xfId="4166" xr:uid="{00000000-0005-0000-0000-000052100000}"/>
    <cellStyle name="Normal 2 2 2 2 36" xfId="4167" xr:uid="{00000000-0005-0000-0000-000053100000}"/>
    <cellStyle name="Normal 2 2 2 2 36 2" xfId="4168" xr:uid="{00000000-0005-0000-0000-000054100000}"/>
    <cellStyle name="Normal 2 2 2 2 36 2 2" xfId="4169" xr:uid="{00000000-0005-0000-0000-000055100000}"/>
    <cellStyle name="Normal 2 2 2 2 36 3" xfId="4170" xr:uid="{00000000-0005-0000-0000-000056100000}"/>
    <cellStyle name="Normal 2 2 2 2 37" xfId="4171" xr:uid="{00000000-0005-0000-0000-000057100000}"/>
    <cellStyle name="Normal 2 2 2 2 37 2" xfId="4172" xr:uid="{00000000-0005-0000-0000-000058100000}"/>
    <cellStyle name="Normal 2 2 2 2 37 2 2" xfId="4173" xr:uid="{00000000-0005-0000-0000-000059100000}"/>
    <cellStyle name="Normal 2 2 2 2 37 3" xfId="4174" xr:uid="{00000000-0005-0000-0000-00005A100000}"/>
    <cellStyle name="Normal 2 2 2 2 38" xfId="4175" xr:uid="{00000000-0005-0000-0000-00005B100000}"/>
    <cellStyle name="Normal 2 2 2 2 38 2" xfId="4176" xr:uid="{00000000-0005-0000-0000-00005C100000}"/>
    <cellStyle name="Normal 2 2 2 2 38 2 2" xfId="4177" xr:uid="{00000000-0005-0000-0000-00005D100000}"/>
    <cellStyle name="Normal 2 2 2 2 38 3" xfId="4178" xr:uid="{00000000-0005-0000-0000-00005E100000}"/>
    <cellStyle name="Normal 2 2 2 2 39" xfId="4179" xr:uid="{00000000-0005-0000-0000-00005F100000}"/>
    <cellStyle name="Normal 2 2 2 2 39 2" xfId="4180" xr:uid="{00000000-0005-0000-0000-000060100000}"/>
    <cellStyle name="Normal 2 2 2 2 39 2 2" xfId="4181" xr:uid="{00000000-0005-0000-0000-000061100000}"/>
    <cellStyle name="Normal 2 2 2 2 39 3" xfId="4182" xr:uid="{00000000-0005-0000-0000-000062100000}"/>
    <cellStyle name="Normal 2 2 2 2 4" xfId="4183" xr:uid="{00000000-0005-0000-0000-000063100000}"/>
    <cellStyle name="Normal 2 2 2 2 4 2" xfId="4184" xr:uid="{00000000-0005-0000-0000-000064100000}"/>
    <cellStyle name="Normal 2 2 2 2 4 2 2" xfId="4185" xr:uid="{00000000-0005-0000-0000-000065100000}"/>
    <cellStyle name="Normal 2 2 2 2 4 3" xfId="4186" xr:uid="{00000000-0005-0000-0000-000066100000}"/>
    <cellStyle name="Normal 2 2 2 2 40" xfId="4187" xr:uid="{00000000-0005-0000-0000-000067100000}"/>
    <cellStyle name="Normal 2 2 2 2 40 2" xfId="4188" xr:uid="{00000000-0005-0000-0000-000068100000}"/>
    <cellStyle name="Normal 2 2 2 2 40 2 2" xfId="4189" xr:uid="{00000000-0005-0000-0000-000069100000}"/>
    <cellStyle name="Normal 2 2 2 2 40 3" xfId="4190" xr:uid="{00000000-0005-0000-0000-00006A100000}"/>
    <cellStyle name="Normal 2 2 2 2 41" xfId="4191" xr:uid="{00000000-0005-0000-0000-00006B100000}"/>
    <cellStyle name="Normal 2 2 2 2 41 2" xfId="4192" xr:uid="{00000000-0005-0000-0000-00006C100000}"/>
    <cellStyle name="Normal 2 2 2 2 41 2 2" xfId="4193" xr:uid="{00000000-0005-0000-0000-00006D100000}"/>
    <cellStyle name="Normal 2 2 2 2 41 3" xfId="4194" xr:uid="{00000000-0005-0000-0000-00006E100000}"/>
    <cellStyle name="Normal 2 2 2 2 42" xfId="4195" xr:uid="{00000000-0005-0000-0000-00006F100000}"/>
    <cellStyle name="Normal 2 2 2 2 42 2" xfId="4196" xr:uid="{00000000-0005-0000-0000-000070100000}"/>
    <cellStyle name="Normal 2 2 2 2 42 2 2" xfId="4197" xr:uid="{00000000-0005-0000-0000-000071100000}"/>
    <cellStyle name="Normal 2 2 2 2 42 3" xfId="4198" xr:uid="{00000000-0005-0000-0000-000072100000}"/>
    <cellStyle name="Normal 2 2 2 2 43" xfId="4199" xr:uid="{00000000-0005-0000-0000-000073100000}"/>
    <cellStyle name="Normal 2 2 2 2 43 2" xfId="4200" xr:uid="{00000000-0005-0000-0000-000074100000}"/>
    <cellStyle name="Normal 2 2 2 2 43 2 2" xfId="4201" xr:uid="{00000000-0005-0000-0000-000075100000}"/>
    <cellStyle name="Normal 2 2 2 2 43 3" xfId="4202" xr:uid="{00000000-0005-0000-0000-000076100000}"/>
    <cellStyle name="Normal 2 2 2 2 44" xfId="4203" xr:uid="{00000000-0005-0000-0000-000077100000}"/>
    <cellStyle name="Normal 2 2 2 2 44 2" xfId="4204" xr:uid="{00000000-0005-0000-0000-000078100000}"/>
    <cellStyle name="Normal 2 2 2 2 44 2 2" xfId="4205" xr:uid="{00000000-0005-0000-0000-000079100000}"/>
    <cellStyle name="Normal 2 2 2 2 44 3" xfId="4206" xr:uid="{00000000-0005-0000-0000-00007A100000}"/>
    <cellStyle name="Normal 2 2 2 2 45" xfId="4207" xr:uid="{00000000-0005-0000-0000-00007B100000}"/>
    <cellStyle name="Normal 2 2 2 2 45 2" xfId="4208" xr:uid="{00000000-0005-0000-0000-00007C100000}"/>
    <cellStyle name="Normal 2 2 2 2 45 2 2" xfId="4209" xr:uid="{00000000-0005-0000-0000-00007D100000}"/>
    <cellStyle name="Normal 2 2 2 2 45 3" xfId="4210" xr:uid="{00000000-0005-0000-0000-00007E100000}"/>
    <cellStyle name="Normal 2 2 2 2 46" xfId="4211" xr:uid="{00000000-0005-0000-0000-00007F100000}"/>
    <cellStyle name="Normal 2 2 2 2 46 2" xfId="4212" xr:uid="{00000000-0005-0000-0000-000080100000}"/>
    <cellStyle name="Normal 2 2 2 2 46 2 2" xfId="4213" xr:uid="{00000000-0005-0000-0000-000081100000}"/>
    <cellStyle name="Normal 2 2 2 2 46 3" xfId="4214" xr:uid="{00000000-0005-0000-0000-000082100000}"/>
    <cellStyle name="Normal 2 2 2 2 47" xfId="4215" xr:uid="{00000000-0005-0000-0000-000083100000}"/>
    <cellStyle name="Normal 2 2 2 2 47 2" xfId="4216" xr:uid="{00000000-0005-0000-0000-000084100000}"/>
    <cellStyle name="Normal 2 2 2 2 47 2 2" xfId="4217" xr:uid="{00000000-0005-0000-0000-000085100000}"/>
    <cellStyle name="Normal 2 2 2 2 47 3" xfId="4218" xr:uid="{00000000-0005-0000-0000-000086100000}"/>
    <cellStyle name="Normal 2 2 2 2 48" xfId="4219" xr:uid="{00000000-0005-0000-0000-000087100000}"/>
    <cellStyle name="Normal 2 2 2 2 48 2" xfId="4220" xr:uid="{00000000-0005-0000-0000-000088100000}"/>
    <cellStyle name="Normal 2 2 2 2 48 2 2" xfId="4221" xr:uid="{00000000-0005-0000-0000-000089100000}"/>
    <cellStyle name="Normal 2 2 2 2 48 3" xfId="4222" xr:uid="{00000000-0005-0000-0000-00008A100000}"/>
    <cellStyle name="Normal 2 2 2 2 49" xfId="4223" xr:uid="{00000000-0005-0000-0000-00008B100000}"/>
    <cellStyle name="Normal 2 2 2 2 49 2" xfId="4224" xr:uid="{00000000-0005-0000-0000-00008C100000}"/>
    <cellStyle name="Normal 2 2 2 2 49 2 2" xfId="4225" xr:uid="{00000000-0005-0000-0000-00008D100000}"/>
    <cellStyle name="Normal 2 2 2 2 49 3" xfId="4226" xr:uid="{00000000-0005-0000-0000-00008E100000}"/>
    <cellStyle name="Normal 2 2 2 2 5" xfId="4227" xr:uid="{00000000-0005-0000-0000-00008F100000}"/>
    <cellStyle name="Normal 2 2 2 2 5 2" xfId="4228" xr:uid="{00000000-0005-0000-0000-000090100000}"/>
    <cellStyle name="Normal 2 2 2 2 5 2 2" xfId="4229" xr:uid="{00000000-0005-0000-0000-000091100000}"/>
    <cellStyle name="Normal 2 2 2 2 5 3" xfId="4230" xr:uid="{00000000-0005-0000-0000-000092100000}"/>
    <cellStyle name="Normal 2 2 2 2 50" xfId="4231" xr:uid="{00000000-0005-0000-0000-000093100000}"/>
    <cellStyle name="Normal 2 2 2 2 50 2" xfId="4232" xr:uid="{00000000-0005-0000-0000-000094100000}"/>
    <cellStyle name="Normal 2 2 2 2 50 2 2" xfId="4233" xr:uid="{00000000-0005-0000-0000-000095100000}"/>
    <cellStyle name="Normal 2 2 2 2 50 3" xfId="4234" xr:uid="{00000000-0005-0000-0000-000096100000}"/>
    <cellStyle name="Normal 2 2 2 2 51" xfId="4235" xr:uid="{00000000-0005-0000-0000-000097100000}"/>
    <cellStyle name="Normal 2 2 2 2 51 2" xfId="4236" xr:uid="{00000000-0005-0000-0000-000098100000}"/>
    <cellStyle name="Normal 2 2 2 2 51 2 2" xfId="4237" xr:uid="{00000000-0005-0000-0000-000099100000}"/>
    <cellStyle name="Normal 2 2 2 2 51 3" xfId="4238" xr:uid="{00000000-0005-0000-0000-00009A100000}"/>
    <cellStyle name="Normal 2 2 2 2 52" xfId="4239" xr:uid="{00000000-0005-0000-0000-00009B100000}"/>
    <cellStyle name="Normal 2 2 2 2 52 2" xfId="4240" xr:uid="{00000000-0005-0000-0000-00009C100000}"/>
    <cellStyle name="Normal 2 2 2 2 52 2 2" xfId="4241" xr:uid="{00000000-0005-0000-0000-00009D100000}"/>
    <cellStyle name="Normal 2 2 2 2 52 3" xfId="4242" xr:uid="{00000000-0005-0000-0000-00009E100000}"/>
    <cellStyle name="Normal 2 2 2 2 53" xfId="4243" xr:uid="{00000000-0005-0000-0000-00009F100000}"/>
    <cellStyle name="Normal 2 2 2 2 53 2" xfId="4244" xr:uid="{00000000-0005-0000-0000-0000A0100000}"/>
    <cellStyle name="Normal 2 2 2 2 53 2 2" xfId="4245" xr:uid="{00000000-0005-0000-0000-0000A1100000}"/>
    <cellStyle name="Normal 2 2 2 2 53 3" xfId="4246" xr:uid="{00000000-0005-0000-0000-0000A2100000}"/>
    <cellStyle name="Normal 2 2 2 2 54" xfId="4247" xr:uid="{00000000-0005-0000-0000-0000A3100000}"/>
    <cellStyle name="Normal 2 2 2 2 54 2" xfId="4248" xr:uid="{00000000-0005-0000-0000-0000A4100000}"/>
    <cellStyle name="Normal 2 2 2 2 54 2 2" xfId="4249" xr:uid="{00000000-0005-0000-0000-0000A5100000}"/>
    <cellStyle name="Normal 2 2 2 2 54 3" xfId="4250" xr:uid="{00000000-0005-0000-0000-0000A6100000}"/>
    <cellStyle name="Normal 2 2 2 2 55" xfId="4251" xr:uid="{00000000-0005-0000-0000-0000A7100000}"/>
    <cellStyle name="Normal 2 2 2 2 55 2" xfId="4252" xr:uid="{00000000-0005-0000-0000-0000A8100000}"/>
    <cellStyle name="Normal 2 2 2 2 55 2 2" xfId="4253" xr:uid="{00000000-0005-0000-0000-0000A9100000}"/>
    <cellStyle name="Normal 2 2 2 2 55 3" xfId="4254" xr:uid="{00000000-0005-0000-0000-0000AA100000}"/>
    <cellStyle name="Normal 2 2 2 2 56" xfId="4255" xr:uid="{00000000-0005-0000-0000-0000AB100000}"/>
    <cellStyle name="Normal 2 2 2 2 56 2" xfId="4256" xr:uid="{00000000-0005-0000-0000-0000AC100000}"/>
    <cellStyle name="Normal 2 2 2 2 56 2 2" xfId="4257" xr:uid="{00000000-0005-0000-0000-0000AD100000}"/>
    <cellStyle name="Normal 2 2 2 2 56 3" xfId="4258" xr:uid="{00000000-0005-0000-0000-0000AE100000}"/>
    <cellStyle name="Normal 2 2 2 2 57" xfId="4259" xr:uid="{00000000-0005-0000-0000-0000AF100000}"/>
    <cellStyle name="Normal 2 2 2 2 57 2" xfId="4260" xr:uid="{00000000-0005-0000-0000-0000B0100000}"/>
    <cellStyle name="Normal 2 2 2 2 57 2 2" xfId="4261" xr:uid="{00000000-0005-0000-0000-0000B1100000}"/>
    <cellStyle name="Normal 2 2 2 2 57 3" xfId="4262" xr:uid="{00000000-0005-0000-0000-0000B2100000}"/>
    <cellStyle name="Normal 2 2 2 2 58" xfId="4263" xr:uid="{00000000-0005-0000-0000-0000B3100000}"/>
    <cellStyle name="Normal 2 2 2 2 58 2" xfId="4264" xr:uid="{00000000-0005-0000-0000-0000B4100000}"/>
    <cellStyle name="Normal 2 2 2 2 58 2 2" xfId="4265" xr:uid="{00000000-0005-0000-0000-0000B5100000}"/>
    <cellStyle name="Normal 2 2 2 2 58 3" xfId="4266" xr:uid="{00000000-0005-0000-0000-0000B6100000}"/>
    <cellStyle name="Normal 2 2 2 2 59" xfId="4267" xr:uid="{00000000-0005-0000-0000-0000B7100000}"/>
    <cellStyle name="Normal 2 2 2 2 59 2" xfId="4268" xr:uid="{00000000-0005-0000-0000-0000B8100000}"/>
    <cellStyle name="Normal 2 2 2 2 59 2 2" xfId="4269" xr:uid="{00000000-0005-0000-0000-0000B9100000}"/>
    <cellStyle name="Normal 2 2 2 2 59 3" xfId="4270" xr:uid="{00000000-0005-0000-0000-0000BA100000}"/>
    <cellStyle name="Normal 2 2 2 2 6" xfId="4271" xr:uid="{00000000-0005-0000-0000-0000BB100000}"/>
    <cellStyle name="Normal 2 2 2 2 6 2" xfId="4272" xr:uid="{00000000-0005-0000-0000-0000BC100000}"/>
    <cellStyle name="Normal 2 2 2 2 6 2 2" xfId="4273" xr:uid="{00000000-0005-0000-0000-0000BD100000}"/>
    <cellStyle name="Normal 2 2 2 2 6 3" xfId="4274" xr:uid="{00000000-0005-0000-0000-0000BE100000}"/>
    <cellStyle name="Normal 2 2 2 2 60" xfId="4275" xr:uid="{00000000-0005-0000-0000-0000BF100000}"/>
    <cellStyle name="Normal 2 2 2 2 60 2" xfId="4276" xr:uid="{00000000-0005-0000-0000-0000C0100000}"/>
    <cellStyle name="Normal 2 2 2 2 60 2 2" xfId="4277" xr:uid="{00000000-0005-0000-0000-0000C1100000}"/>
    <cellStyle name="Normal 2 2 2 2 60 3" xfId="4278" xr:uid="{00000000-0005-0000-0000-0000C2100000}"/>
    <cellStyle name="Normal 2 2 2 2 61" xfId="4279" xr:uid="{00000000-0005-0000-0000-0000C3100000}"/>
    <cellStyle name="Normal 2 2 2 2 61 2" xfId="4280" xr:uid="{00000000-0005-0000-0000-0000C4100000}"/>
    <cellStyle name="Normal 2 2 2 2 61 2 2" xfId="4281" xr:uid="{00000000-0005-0000-0000-0000C5100000}"/>
    <cellStyle name="Normal 2 2 2 2 61 3" xfId="4282" xr:uid="{00000000-0005-0000-0000-0000C6100000}"/>
    <cellStyle name="Normal 2 2 2 2 62" xfId="4283" xr:uid="{00000000-0005-0000-0000-0000C7100000}"/>
    <cellStyle name="Normal 2 2 2 2 62 2" xfId="4284" xr:uid="{00000000-0005-0000-0000-0000C8100000}"/>
    <cellStyle name="Normal 2 2 2 2 63" xfId="4285" xr:uid="{00000000-0005-0000-0000-0000C9100000}"/>
    <cellStyle name="Normal 2 2 2 2 63 2" xfId="4286" xr:uid="{00000000-0005-0000-0000-0000CA100000}"/>
    <cellStyle name="Normal 2 2 2 2 63 3" xfId="4287" xr:uid="{00000000-0005-0000-0000-0000CB100000}"/>
    <cellStyle name="Normal 2 2 2 2 64" xfId="4288" xr:uid="{00000000-0005-0000-0000-0000CC100000}"/>
    <cellStyle name="Normal 2 2 2 2 64 2" xfId="4289" xr:uid="{00000000-0005-0000-0000-0000CD100000}"/>
    <cellStyle name="Normal 2 2 2 2 65" xfId="4290" xr:uid="{00000000-0005-0000-0000-0000CE100000}"/>
    <cellStyle name="Normal 2 2 2 2 65 2" xfId="4291" xr:uid="{00000000-0005-0000-0000-0000CF100000}"/>
    <cellStyle name="Normal 2 2 2 2 66" xfId="4292" xr:uid="{00000000-0005-0000-0000-0000D0100000}"/>
    <cellStyle name="Normal 2 2 2 2 66 2" xfId="4293" xr:uid="{00000000-0005-0000-0000-0000D1100000}"/>
    <cellStyle name="Normal 2 2 2 2 67" xfId="4294" xr:uid="{00000000-0005-0000-0000-0000D2100000}"/>
    <cellStyle name="Normal 2 2 2 2 67 2" xfId="4295" xr:uid="{00000000-0005-0000-0000-0000D3100000}"/>
    <cellStyle name="Normal 2 2 2 2 68" xfId="4296" xr:uid="{00000000-0005-0000-0000-0000D4100000}"/>
    <cellStyle name="Normal 2 2 2 2 68 2" xfId="4297" xr:uid="{00000000-0005-0000-0000-0000D5100000}"/>
    <cellStyle name="Normal 2 2 2 2 69" xfId="4298" xr:uid="{00000000-0005-0000-0000-0000D6100000}"/>
    <cellStyle name="Normal 2 2 2 2 69 2" xfId="4299" xr:uid="{00000000-0005-0000-0000-0000D7100000}"/>
    <cellStyle name="Normal 2 2 2 2 7" xfId="4300" xr:uid="{00000000-0005-0000-0000-0000D8100000}"/>
    <cellStyle name="Normal 2 2 2 2 7 2" xfId="4301" xr:uid="{00000000-0005-0000-0000-0000D9100000}"/>
    <cellStyle name="Normal 2 2 2 2 7 2 2" xfId="4302" xr:uid="{00000000-0005-0000-0000-0000DA100000}"/>
    <cellStyle name="Normal 2 2 2 2 7 3" xfId="4303" xr:uid="{00000000-0005-0000-0000-0000DB100000}"/>
    <cellStyle name="Normal 2 2 2 2 70" xfId="4304" xr:uid="{00000000-0005-0000-0000-0000DC100000}"/>
    <cellStyle name="Normal 2 2 2 2 70 2" xfId="4305" xr:uid="{00000000-0005-0000-0000-0000DD100000}"/>
    <cellStyle name="Normal 2 2 2 2 71" xfId="4306" xr:uid="{00000000-0005-0000-0000-0000DE100000}"/>
    <cellStyle name="Normal 2 2 2 2 71 2" xfId="4307" xr:uid="{00000000-0005-0000-0000-0000DF100000}"/>
    <cellStyle name="Normal 2 2 2 2 72" xfId="4308" xr:uid="{00000000-0005-0000-0000-0000E0100000}"/>
    <cellStyle name="Normal 2 2 2 2 72 2" xfId="4309" xr:uid="{00000000-0005-0000-0000-0000E1100000}"/>
    <cellStyle name="Normal 2 2 2 2 73" xfId="4310" xr:uid="{00000000-0005-0000-0000-0000E2100000}"/>
    <cellStyle name="Normal 2 2 2 2 73 2" xfId="4311" xr:uid="{00000000-0005-0000-0000-0000E3100000}"/>
    <cellStyle name="Normal 2 2 2 2 74" xfId="4312" xr:uid="{00000000-0005-0000-0000-0000E4100000}"/>
    <cellStyle name="Normal 2 2 2 2 74 2" xfId="4313" xr:uid="{00000000-0005-0000-0000-0000E5100000}"/>
    <cellStyle name="Normal 2 2 2 2 75" xfId="4314" xr:uid="{00000000-0005-0000-0000-0000E6100000}"/>
    <cellStyle name="Normal 2 2 2 2 75 2" xfId="4315" xr:uid="{00000000-0005-0000-0000-0000E7100000}"/>
    <cellStyle name="Normal 2 2 2 2 76" xfId="4316" xr:uid="{00000000-0005-0000-0000-0000E8100000}"/>
    <cellStyle name="Normal 2 2 2 2 76 2" xfId="4317" xr:uid="{00000000-0005-0000-0000-0000E9100000}"/>
    <cellStyle name="Normal 2 2 2 2 77" xfId="4318" xr:uid="{00000000-0005-0000-0000-0000EA100000}"/>
    <cellStyle name="Normal 2 2 2 2 77 2" xfId="4319" xr:uid="{00000000-0005-0000-0000-0000EB100000}"/>
    <cellStyle name="Normal 2 2 2 2 78" xfId="4320" xr:uid="{00000000-0005-0000-0000-0000EC100000}"/>
    <cellStyle name="Normal 2 2 2 2 78 2" xfId="4321" xr:uid="{00000000-0005-0000-0000-0000ED100000}"/>
    <cellStyle name="Normal 2 2 2 2 79" xfId="4322" xr:uid="{00000000-0005-0000-0000-0000EE100000}"/>
    <cellStyle name="Normal 2 2 2 2 79 2" xfId="4323" xr:uid="{00000000-0005-0000-0000-0000EF100000}"/>
    <cellStyle name="Normal 2 2 2 2 8" xfId="4324" xr:uid="{00000000-0005-0000-0000-0000F0100000}"/>
    <cellStyle name="Normal 2 2 2 2 8 2" xfId="4325" xr:uid="{00000000-0005-0000-0000-0000F1100000}"/>
    <cellStyle name="Normal 2 2 2 2 8 2 2" xfId="4326" xr:uid="{00000000-0005-0000-0000-0000F2100000}"/>
    <cellStyle name="Normal 2 2 2 2 8 3" xfId="4327" xr:uid="{00000000-0005-0000-0000-0000F3100000}"/>
    <cellStyle name="Normal 2 2 2 2 80" xfId="4328" xr:uid="{00000000-0005-0000-0000-0000F4100000}"/>
    <cellStyle name="Normal 2 2 2 2 80 2" xfId="4329" xr:uid="{00000000-0005-0000-0000-0000F5100000}"/>
    <cellStyle name="Normal 2 2 2 2 81" xfId="4330" xr:uid="{00000000-0005-0000-0000-0000F6100000}"/>
    <cellStyle name="Normal 2 2 2 2 81 2" xfId="4331" xr:uid="{00000000-0005-0000-0000-0000F7100000}"/>
    <cellStyle name="Normal 2 2 2 2 82" xfId="4332" xr:uid="{00000000-0005-0000-0000-0000F8100000}"/>
    <cellStyle name="Normal 2 2 2 2 82 2" xfId="4333" xr:uid="{00000000-0005-0000-0000-0000F9100000}"/>
    <cellStyle name="Normal 2 2 2 2 83" xfId="4334" xr:uid="{00000000-0005-0000-0000-0000FA100000}"/>
    <cellStyle name="Normal 2 2 2 2 83 2" xfId="4335" xr:uid="{00000000-0005-0000-0000-0000FB100000}"/>
    <cellStyle name="Normal 2 2 2 2 84" xfId="4336" xr:uid="{00000000-0005-0000-0000-0000FC100000}"/>
    <cellStyle name="Normal 2 2 2 2 84 2" xfId="4337" xr:uid="{00000000-0005-0000-0000-0000FD100000}"/>
    <cellStyle name="Normal 2 2 2 2 85" xfId="4338" xr:uid="{00000000-0005-0000-0000-0000FE100000}"/>
    <cellStyle name="Normal 2 2 2 2 85 2" xfId="4339" xr:uid="{00000000-0005-0000-0000-0000FF100000}"/>
    <cellStyle name="Normal 2 2 2 2 86" xfId="4340" xr:uid="{00000000-0005-0000-0000-000000110000}"/>
    <cellStyle name="Normal 2 2 2 2 86 2" xfId="4341" xr:uid="{00000000-0005-0000-0000-000001110000}"/>
    <cellStyle name="Normal 2 2 2 2 87" xfId="4342" xr:uid="{00000000-0005-0000-0000-000002110000}"/>
    <cellStyle name="Normal 2 2 2 2 87 2" xfId="4343" xr:uid="{00000000-0005-0000-0000-000003110000}"/>
    <cellStyle name="Normal 2 2 2 2 88" xfId="4344" xr:uid="{00000000-0005-0000-0000-000004110000}"/>
    <cellStyle name="Normal 2 2 2 2 88 2" xfId="4345" xr:uid="{00000000-0005-0000-0000-000005110000}"/>
    <cellStyle name="Normal 2 2 2 2 89" xfId="4346" xr:uid="{00000000-0005-0000-0000-000006110000}"/>
    <cellStyle name="Normal 2 2 2 2 89 2" xfId="4347" xr:uid="{00000000-0005-0000-0000-000007110000}"/>
    <cellStyle name="Normal 2 2 2 2 9" xfId="4348" xr:uid="{00000000-0005-0000-0000-000008110000}"/>
    <cellStyle name="Normal 2 2 2 2 9 2" xfId="4349" xr:uid="{00000000-0005-0000-0000-000009110000}"/>
    <cellStyle name="Normal 2 2 2 2 9 2 2" xfId="4350" xr:uid="{00000000-0005-0000-0000-00000A110000}"/>
    <cellStyle name="Normal 2 2 2 2 9 3" xfId="4351" xr:uid="{00000000-0005-0000-0000-00000B110000}"/>
    <cellStyle name="Normal 2 2 2 2 90" xfId="4352" xr:uid="{00000000-0005-0000-0000-00000C110000}"/>
    <cellStyle name="Normal 2 2 2 2 90 2" xfId="4353" xr:uid="{00000000-0005-0000-0000-00000D110000}"/>
    <cellStyle name="Normal 2 2 2 2 91" xfId="4354" xr:uid="{00000000-0005-0000-0000-00000E110000}"/>
    <cellStyle name="Normal 2 2 2 2 91 2" xfId="4355" xr:uid="{00000000-0005-0000-0000-00000F110000}"/>
    <cellStyle name="Normal 2 2 2 2 92" xfId="4356" xr:uid="{00000000-0005-0000-0000-000010110000}"/>
    <cellStyle name="Normal 2 2 2 2 92 2" xfId="4357" xr:uid="{00000000-0005-0000-0000-000011110000}"/>
    <cellStyle name="Normal 2 2 2 2 92 3" xfId="4358" xr:uid="{00000000-0005-0000-0000-000012110000}"/>
    <cellStyle name="Normal 2 2 2 2 93" xfId="4359" xr:uid="{00000000-0005-0000-0000-000013110000}"/>
    <cellStyle name="Normal 2 2 2 2 93 2" xfId="4360" xr:uid="{00000000-0005-0000-0000-000014110000}"/>
    <cellStyle name="Normal 2 2 2 2 94" xfId="4361" xr:uid="{00000000-0005-0000-0000-000015110000}"/>
    <cellStyle name="Normal 2 2 2 2 94 2" xfId="4362" xr:uid="{00000000-0005-0000-0000-000016110000}"/>
    <cellStyle name="Normal 2 2 2 2 95" xfId="4363" xr:uid="{00000000-0005-0000-0000-000017110000}"/>
    <cellStyle name="Normal 2 2 2 2 95 2" xfId="4364" xr:uid="{00000000-0005-0000-0000-000018110000}"/>
    <cellStyle name="Normal 2 2 2 2 96" xfId="4365" xr:uid="{00000000-0005-0000-0000-000019110000}"/>
    <cellStyle name="Normal 2 2 2 2 96 2" xfId="4366" xr:uid="{00000000-0005-0000-0000-00001A110000}"/>
    <cellStyle name="Normal 2 2 2 2 97" xfId="4367" xr:uid="{00000000-0005-0000-0000-00001B110000}"/>
    <cellStyle name="Normal 2 2 2 2 97 2" xfId="4368" xr:uid="{00000000-0005-0000-0000-00001C110000}"/>
    <cellStyle name="Normal 2 2 2 2 98" xfId="4369" xr:uid="{00000000-0005-0000-0000-00001D110000}"/>
    <cellStyle name="Normal 2 2 2 2 98 2" xfId="4370" xr:uid="{00000000-0005-0000-0000-00001E110000}"/>
    <cellStyle name="Normal 2 2 2 2 99" xfId="4371" xr:uid="{00000000-0005-0000-0000-00001F110000}"/>
    <cellStyle name="Normal 2 2 2 2 99 2" xfId="4372" xr:uid="{00000000-0005-0000-0000-000020110000}"/>
    <cellStyle name="Normal 2 2 2 20" xfId="4373" xr:uid="{00000000-0005-0000-0000-000021110000}"/>
    <cellStyle name="Normal 2 2 2 20 2" xfId="4374" xr:uid="{00000000-0005-0000-0000-000022110000}"/>
    <cellStyle name="Normal 2 2 2 21" xfId="4375" xr:uid="{00000000-0005-0000-0000-000023110000}"/>
    <cellStyle name="Normal 2 2 2 21 2" xfId="4376" xr:uid="{00000000-0005-0000-0000-000024110000}"/>
    <cellStyle name="Normal 2 2 2 22" xfId="4377" xr:uid="{00000000-0005-0000-0000-000025110000}"/>
    <cellStyle name="Normal 2 2 2 22 2" xfId="4378" xr:uid="{00000000-0005-0000-0000-000026110000}"/>
    <cellStyle name="Normal 2 2 2 23" xfId="4379" xr:uid="{00000000-0005-0000-0000-000027110000}"/>
    <cellStyle name="Normal 2 2 2 23 2" xfId="4380" xr:uid="{00000000-0005-0000-0000-000028110000}"/>
    <cellStyle name="Normal 2 2 2 24" xfId="4381" xr:uid="{00000000-0005-0000-0000-000029110000}"/>
    <cellStyle name="Normal 2 2 2 24 2" xfId="4382" xr:uid="{00000000-0005-0000-0000-00002A110000}"/>
    <cellStyle name="Normal 2 2 2 25" xfId="4383" xr:uid="{00000000-0005-0000-0000-00002B110000}"/>
    <cellStyle name="Normal 2 2 2 25 2" xfId="4384" xr:uid="{00000000-0005-0000-0000-00002C110000}"/>
    <cellStyle name="Normal 2 2 2 26" xfId="4385" xr:uid="{00000000-0005-0000-0000-00002D110000}"/>
    <cellStyle name="Normal 2 2 2 26 2" xfId="4386" xr:uid="{00000000-0005-0000-0000-00002E110000}"/>
    <cellStyle name="Normal 2 2 2 27" xfId="4387" xr:uid="{00000000-0005-0000-0000-00002F110000}"/>
    <cellStyle name="Normal 2 2 2 27 2" xfId="4388" xr:uid="{00000000-0005-0000-0000-000030110000}"/>
    <cellStyle name="Normal 2 2 2 28" xfId="4389" xr:uid="{00000000-0005-0000-0000-000031110000}"/>
    <cellStyle name="Normal 2 2 2 28 2" xfId="4390" xr:uid="{00000000-0005-0000-0000-000032110000}"/>
    <cellStyle name="Normal 2 2 2 29" xfId="4391" xr:uid="{00000000-0005-0000-0000-000033110000}"/>
    <cellStyle name="Normal 2 2 2 29 2" xfId="4392" xr:uid="{00000000-0005-0000-0000-000034110000}"/>
    <cellStyle name="Normal 2 2 2 3" xfId="4393" xr:uid="{00000000-0005-0000-0000-000035110000}"/>
    <cellStyle name="Normal 2 2 2 3 2" xfId="4394" xr:uid="{00000000-0005-0000-0000-000036110000}"/>
    <cellStyle name="Normal 2 2 2 3 2 2" xfId="4395" xr:uid="{00000000-0005-0000-0000-000037110000}"/>
    <cellStyle name="Normal 2 2 2 3 2 3" xfId="4396" xr:uid="{00000000-0005-0000-0000-000038110000}"/>
    <cellStyle name="Normal 2 2 2 3 3" xfId="4397" xr:uid="{00000000-0005-0000-0000-000039110000}"/>
    <cellStyle name="Normal 2 2 2 3 3 2" xfId="4398" xr:uid="{00000000-0005-0000-0000-00003A110000}"/>
    <cellStyle name="Normal 2 2 2 3 4" xfId="4399" xr:uid="{00000000-0005-0000-0000-00003B110000}"/>
    <cellStyle name="Normal 2 2 2 3 5" xfId="4400" xr:uid="{00000000-0005-0000-0000-00003C110000}"/>
    <cellStyle name="Normal 2 2 2 3 6" xfId="4401" xr:uid="{00000000-0005-0000-0000-00003D110000}"/>
    <cellStyle name="Normal 2 2 2 3 7" xfId="4402" xr:uid="{00000000-0005-0000-0000-00003E110000}"/>
    <cellStyle name="Normal 2 2 2 30" xfId="4403" xr:uid="{00000000-0005-0000-0000-00003F110000}"/>
    <cellStyle name="Normal 2 2 2 30 2" xfId="4404" xr:uid="{00000000-0005-0000-0000-000040110000}"/>
    <cellStyle name="Normal 2 2 2 31" xfId="4405" xr:uid="{00000000-0005-0000-0000-000041110000}"/>
    <cellStyle name="Normal 2 2 2 31 2" xfId="4406" xr:uid="{00000000-0005-0000-0000-000042110000}"/>
    <cellStyle name="Normal 2 2 2 32" xfId="4407" xr:uid="{00000000-0005-0000-0000-000043110000}"/>
    <cellStyle name="Normal 2 2 2 32 2" xfId="4408" xr:uid="{00000000-0005-0000-0000-000044110000}"/>
    <cellStyle name="Normal 2 2 2 33" xfId="4409" xr:uid="{00000000-0005-0000-0000-000045110000}"/>
    <cellStyle name="Normal 2 2 2 33 2" xfId="4410" xr:uid="{00000000-0005-0000-0000-000046110000}"/>
    <cellStyle name="Normal 2 2 2 34" xfId="4411" xr:uid="{00000000-0005-0000-0000-000047110000}"/>
    <cellStyle name="Normal 2 2 2 34 2" xfId="4412" xr:uid="{00000000-0005-0000-0000-000048110000}"/>
    <cellStyle name="Normal 2 2 2 35" xfId="4413" xr:uid="{00000000-0005-0000-0000-000049110000}"/>
    <cellStyle name="Normal 2 2 2 35 2" xfId="4414" xr:uid="{00000000-0005-0000-0000-00004A110000}"/>
    <cellStyle name="Normal 2 2 2 36" xfId="4415" xr:uid="{00000000-0005-0000-0000-00004B110000}"/>
    <cellStyle name="Normal 2 2 2 36 2" xfId="4416" xr:uid="{00000000-0005-0000-0000-00004C110000}"/>
    <cellStyle name="Normal 2 2 2 37" xfId="4417" xr:uid="{00000000-0005-0000-0000-00004D110000}"/>
    <cellStyle name="Normal 2 2 2 37 2" xfId="4418" xr:uid="{00000000-0005-0000-0000-00004E110000}"/>
    <cellStyle name="Normal 2 2 2 38" xfId="4419" xr:uid="{00000000-0005-0000-0000-00004F110000}"/>
    <cellStyle name="Normal 2 2 2 38 2" xfId="4420" xr:uid="{00000000-0005-0000-0000-000050110000}"/>
    <cellStyle name="Normal 2 2 2 39" xfId="4421" xr:uid="{00000000-0005-0000-0000-000051110000}"/>
    <cellStyle name="Normal 2 2 2 39 2" xfId="4422" xr:uid="{00000000-0005-0000-0000-000052110000}"/>
    <cellStyle name="Normal 2 2 2 4" xfId="4423" xr:uid="{00000000-0005-0000-0000-000053110000}"/>
    <cellStyle name="Normal 2 2 2 4 2" xfId="4424" xr:uid="{00000000-0005-0000-0000-000054110000}"/>
    <cellStyle name="Normal 2 2 2 4 2 2" xfId="4425" xr:uid="{00000000-0005-0000-0000-000055110000}"/>
    <cellStyle name="Normal 2 2 2 4 2 3" xfId="4426" xr:uid="{00000000-0005-0000-0000-000056110000}"/>
    <cellStyle name="Normal 2 2 2 4 3" xfId="4427" xr:uid="{00000000-0005-0000-0000-000057110000}"/>
    <cellStyle name="Normal 2 2 2 4 3 2" xfId="4428" xr:uid="{00000000-0005-0000-0000-000058110000}"/>
    <cellStyle name="Normal 2 2 2 4 4" xfId="4429" xr:uid="{00000000-0005-0000-0000-000059110000}"/>
    <cellStyle name="Normal 2 2 2 4 5" xfId="4430" xr:uid="{00000000-0005-0000-0000-00005A110000}"/>
    <cellStyle name="Normal 2 2 2 4 6" xfId="4431" xr:uid="{00000000-0005-0000-0000-00005B110000}"/>
    <cellStyle name="Normal 2 2 2 4 7" xfId="4432" xr:uid="{00000000-0005-0000-0000-00005C110000}"/>
    <cellStyle name="Normal 2 2 2 40" xfId="4433" xr:uid="{00000000-0005-0000-0000-00005D110000}"/>
    <cellStyle name="Normal 2 2 2 40 2" xfId="4434" xr:uid="{00000000-0005-0000-0000-00005E110000}"/>
    <cellStyle name="Normal 2 2 2 41" xfId="4435" xr:uid="{00000000-0005-0000-0000-00005F110000}"/>
    <cellStyle name="Normal 2 2 2 41 2" xfId="4436" xr:uid="{00000000-0005-0000-0000-000060110000}"/>
    <cellStyle name="Normal 2 2 2 42" xfId="4437" xr:uid="{00000000-0005-0000-0000-000061110000}"/>
    <cellStyle name="Normal 2 2 2 42 2" xfId="4438" xr:uid="{00000000-0005-0000-0000-000062110000}"/>
    <cellStyle name="Normal 2 2 2 43" xfId="4439" xr:uid="{00000000-0005-0000-0000-000063110000}"/>
    <cellStyle name="Normal 2 2 2 43 2" xfId="4440" xr:uid="{00000000-0005-0000-0000-000064110000}"/>
    <cellStyle name="Normal 2 2 2 44" xfId="4441" xr:uid="{00000000-0005-0000-0000-000065110000}"/>
    <cellStyle name="Normal 2 2 2 44 2" xfId="4442" xr:uid="{00000000-0005-0000-0000-000066110000}"/>
    <cellStyle name="Normal 2 2 2 45" xfId="4443" xr:uid="{00000000-0005-0000-0000-000067110000}"/>
    <cellStyle name="Normal 2 2 2 45 2" xfId="4444" xr:uid="{00000000-0005-0000-0000-000068110000}"/>
    <cellStyle name="Normal 2 2 2 46" xfId="4445" xr:uid="{00000000-0005-0000-0000-000069110000}"/>
    <cellStyle name="Normal 2 2 2 46 2" xfId="4446" xr:uid="{00000000-0005-0000-0000-00006A110000}"/>
    <cellStyle name="Normal 2 2 2 47" xfId="4447" xr:uid="{00000000-0005-0000-0000-00006B110000}"/>
    <cellStyle name="Normal 2 2 2 47 2" xfId="4448" xr:uid="{00000000-0005-0000-0000-00006C110000}"/>
    <cellStyle name="Normal 2 2 2 48" xfId="4449" xr:uid="{00000000-0005-0000-0000-00006D110000}"/>
    <cellStyle name="Normal 2 2 2 48 2" xfId="4450" xr:uid="{00000000-0005-0000-0000-00006E110000}"/>
    <cellStyle name="Normal 2 2 2 49" xfId="4451" xr:uid="{00000000-0005-0000-0000-00006F110000}"/>
    <cellStyle name="Normal 2 2 2 49 2" xfId="4452" xr:uid="{00000000-0005-0000-0000-000070110000}"/>
    <cellStyle name="Normal 2 2 2 5" xfId="4453" xr:uid="{00000000-0005-0000-0000-000071110000}"/>
    <cellStyle name="Normal 2 2 2 5 10" xfId="4454" xr:uid="{00000000-0005-0000-0000-000072110000}"/>
    <cellStyle name="Normal 2 2 2 5 10 2" xfId="4455" xr:uid="{00000000-0005-0000-0000-000073110000}"/>
    <cellStyle name="Normal 2 2 2 5 11" xfId="4456" xr:uid="{00000000-0005-0000-0000-000074110000}"/>
    <cellStyle name="Normal 2 2 2 5 11 2" xfId="4457" xr:uid="{00000000-0005-0000-0000-000075110000}"/>
    <cellStyle name="Normal 2 2 2 5 12" xfId="4458" xr:uid="{00000000-0005-0000-0000-000076110000}"/>
    <cellStyle name="Normal 2 2 2 5 12 2" xfId="4459" xr:uid="{00000000-0005-0000-0000-000077110000}"/>
    <cellStyle name="Normal 2 2 2 5 13" xfId="4460" xr:uid="{00000000-0005-0000-0000-000078110000}"/>
    <cellStyle name="Normal 2 2 2 5 13 2" xfId="4461" xr:uid="{00000000-0005-0000-0000-000079110000}"/>
    <cellStyle name="Normal 2 2 2 5 14" xfId="4462" xr:uid="{00000000-0005-0000-0000-00007A110000}"/>
    <cellStyle name="Normal 2 2 2 5 14 2" xfId="4463" xr:uid="{00000000-0005-0000-0000-00007B110000}"/>
    <cellStyle name="Normal 2 2 2 5 15" xfId="4464" xr:uid="{00000000-0005-0000-0000-00007C110000}"/>
    <cellStyle name="Normal 2 2 2 5 15 2" xfId="4465" xr:uid="{00000000-0005-0000-0000-00007D110000}"/>
    <cellStyle name="Normal 2 2 2 5 16" xfId="4466" xr:uid="{00000000-0005-0000-0000-00007E110000}"/>
    <cellStyle name="Normal 2 2 2 5 16 2" xfId="4467" xr:uid="{00000000-0005-0000-0000-00007F110000}"/>
    <cellStyle name="Normal 2 2 2 5 17" xfId="4468" xr:uid="{00000000-0005-0000-0000-000080110000}"/>
    <cellStyle name="Normal 2 2 2 5 17 2" xfId="4469" xr:uid="{00000000-0005-0000-0000-000081110000}"/>
    <cellStyle name="Normal 2 2 2 5 18" xfId="4470" xr:uid="{00000000-0005-0000-0000-000082110000}"/>
    <cellStyle name="Normal 2 2 2 5 18 2" xfId="4471" xr:uid="{00000000-0005-0000-0000-000083110000}"/>
    <cellStyle name="Normal 2 2 2 5 19" xfId="4472" xr:uid="{00000000-0005-0000-0000-000084110000}"/>
    <cellStyle name="Normal 2 2 2 5 19 2" xfId="4473" xr:uid="{00000000-0005-0000-0000-000085110000}"/>
    <cellStyle name="Normal 2 2 2 5 2" xfId="4474" xr:uid="{00000000-0005-0000-0000-000086110000}"/>
    <cellStyle name="Normal 2 2 2 5 2 2" xfId="4475" xr:uid="{00000000-0005-0000-0000-000087110000}"/>
    <cellStyle name="Normal 2 2 2 5 2 2 2" xfId="4476" xr:uid="{00000000-0005-0000-0000-000088110000}"/>
    <cellStyle name="Normal 2 2 2 5 2 2 2 2" xfId="4477" xr:uid="{00000000-0005-0000-0000-000089110000}"/>
    <cellStyle name="Normal 2 2 2 5 2 2 3" xfId="4478" xr:uid="{00000000-0005-0000-0000-00008A110000}"/>
    <cellStyle name="Normal 2 2 2 5 2 3" xfId="4479" xr:uid="{00000000-0005-0000-0000-00008B110000}"/>
    <cellStyle name="Normal 2 2 2 5 2 3 2" xfId="4480" xr:uid="{00000000-0005-0000-0000-00008C110000}"/>
    <cellStyle name="Normal 2 2 2 5 2 3 2 2" xfId="4481" xr:uid="{00000000-0005-0000-0000-00008D110000}"/>
    <cellStyle name="Normal 2 2 2 5 2 3 3" xfId="4482" xr:uid="{00000000-0005-0000-0000-00008E110000}"/>
    <cellStyle name="Normal 2 2 2 5 2 4" xfId="4483" xr:uid="{00000000-0005-0000-0000-00008F110000}"/>
    <cellStyle name="Normal 2 2 2 5 2 4 2" xfId="4484" xr:uid="{00000000-0005-0000-0000-000090110000}"/>
    <cellStyle name="Normal 2 2 2 5 2 4 2 2" xfId="4485" xr:uid="{00000000-0005-0000-0000-000091110000}"/>
    <cellStyle name="Normal 2 2 2 5 2 4 3" xfId="4486" xr:uid="{00000000-0005-0000-0000-000092110000}"/>
    <cellStyle name="Normal 2 2 2 5 2 5" xfId="4487" xr:uid="{00000000-0005-0000-0000-000093110000}"/>
    <cellStyle name="Normal 2 2 2 5 2 5 2" xfId="4488" xr:uid="{00000000-0005-0000-0000-000094110000}"/>
    <cellStyle name="Normal 2 2 2 5 2 5 2 2" xfId="4489" xr:uid="{00000000-0005-0000-0000-000095110000}"/>
    <cellStyle name="Normal 2 2 2 5 2 5 3" xfId="4490" xr:uid="{00000000-0005-0000-0000-000096110000}"/>
    <cellStyle name="Normal 2 2 2 5 2 6" xfId="4491" xr:uid="{00000000-0005-0000-0000-000097110000}"/>
    <cellStyle name="Normal 2 2 2 5 2 6 2" xfId="4492" xr:uid="{00000000-0005-0000-0000-000098110000}"/>
    <cellStyle name="Normal 2 2 2 5 2 6 3" xfId="4493" xr:uid="{00000000-0005-0000-0000-000099110000}"/>
    <cellStyle name="Normal 2 2 2 5 2 7" xfId="4494" xr:uid="{00000000-0005-0000-0000-00009A110000}"/>
    <cellStyle name="Normal 2 2 2 5 2 7 2" xfId="4495" xr:uid="{00000000-0005-0000-0000-00009B110000}"/>
    <cellStyle name="Normal 2 2 2 5 2 8" xfId="4496" xr:uid="{00000000-0005-0000-0000-00009C110000}"/>
    <cellStyle name="Normal 2 2 2 5 2 9" xfId="4497" xr:uid="{00000000-0005-0000-0000-00009D110000}"/>
    <cellStyle name="Normal 2 2 2 5 20" xfId="4498" xr:uid="{00000000-0005-0000-0000-00009E110000}"/>
    <cellStyle name="Normal 2 2 2 5 20 2" xfId="4499" xr:uid="{00000000-0005-0000-0000-00009F110000}"/>
    <cellStyle name="Normal 2 2 2 5 21" xfId="4500" xr:uid="{00000000-0005-0000-0000-0000A0110000}"/>
    <cellStyle name="Normal 2 2 2 5 21 2" xfId="4501" xr:uid="{00000000-0005-0000-0000-0000A1110000}"/>
    <cellStyle name="Normal 2 2 2 5 22" xfId="4502" xr:uid="{00000000-0005-0000-0000-0000A2110000}"/>
    <cellStyle name="Normal 2 2 2 5 22 2" xfId="4503" xr:uid="{00000000-0005-0000-0000-0000A3110000}"/>
    <cellStyle name="Normal 2 2 2 5 23" xfId="4504" xr:uid="{00000000-0005-0000-0000-0000A4110000}"/>
    <cellStyle name="Normal 2 2 2 5 23 2" xfId="4505" xr:uid="{00000000-0005-0000-0000-0000A5110000}"/>
    <cellStyle name="Normal 2 2 2 5 24" xfId="4506" xr:uid="{00000000-0005-0000-0000-0000A6110000}"/>
    <cellStyle name="Normal 2 2 2 5 24 2" xfId="4507" xr:uid="{00000000-0005-0000-0000-0000A7110000}"/>
    <cellStyle name="Normal 2 2 2 5 25" xfId="4508" xr:uid="{00000000-0005-0000-0000-0000A8110000}"/>
    <cellStyle name="Normal 2 2 2 5 25 2" xfId="4509" xr:uid="{00000000-0005-0000-0000-0000A9110000}"/>
    <cellStyle name="Normal 2 2 2 5 26" xfId="4510" xr:uid="{00000000-0005-0000-0000-0000AA110000}"/>
    <cellStyle name="Normal 2 2 2 5 26 2" xfId="4511" xr:uid="{00000000-0005-0000-0000-0000AB110000}"/>
    <cellStyle name="Normal 2 2 2 5 27" xfId="4512" xr:uid="{00000000-0005-0000-0000-0000AC110000}"/>
    <cellStyle name="Normal 2 2 2 5 27 2" xfId="4513" xr:uid="{00000000-0005-0000-0000-0000AD110000}"/>
    <cellStyle name="Normal 2 2 2 5 28" xfId="4514" xr:uid="{00000000-0005-0000-0000-0000AE110000}"/>
    <cellStyle name="Normal 2 2 2 5 28 2" xfId="4515" xr:uid="{00000000-0005-0000-0000-0000AF110000}"/>
    <cellStyle name="Normal 2 2 2 5 29" xfId="4516" xr:uid="{00000000-0005-0000-0000-0000B0110000}"/>
    <cellStyle name="Normal 2 2 2 5 29 2" xfId="4517" xr:uid="{00000000-0005-0000-0000-0000B1110000}"/>
    <cellStyle name="Normal 2 2 2 5 3" xfId="4518" xr:uid="{00000000-0005-0000-0000-0000B2110000}"/>
    <cellStyle name="Normal 2 2 2 5 3 2" xfId="4519" xr:uid="{00000000-0005-0000-0000-0000B3110000}"/>
    <cellStyle name="Normal 2 2 2 5 30" xfId="4520" xr:uid="{00000000-0005-0000-0000-0000B4110000}"/>
    <cellStyle name="Normal 2 2 2 5 30 2" xfId="4521" xr:uid="{00000000-0005-0000-0000-0000B5110000}"/>
    <cellStyle name="Normal 2 2 2 5 31" xfId="4522" xr:uid="{00000000-0005-0000-0000-0000B6110000}"/>
    <cellStyle name="Normal 2 2 2 5 31 2" xfId="4523" xr:uid="{00000000-0005-0000-0000-0000B7110000}"/>
    <cellStyle name="Normal 2 2 2 5 32" xfId="4524" xr:uid="{00000000-0005-0000-0000-0000B8110000}"/>
    <cellStyle name="Normal 2 2 2 5 32 2" xfId="4525" xr:uid="{00000000-0005-0000-0000-0000B9110000}"/>
    <cellStyle name="Normal 2 2 2 5 33" xfId="4526" xr:uid="{00000000-0005-0000-0000-0000BA110000}"/>
    <cellStyle name="Normal 2 2 2 5 33 2" xfId="4527" xr:uid="{00000000-0005-0000-0000-0000BB110000}"/>
    <cellStyle name="Normal 2 2 2 5 34" xfId="4528" xr:uid="{00000000-0005-0000-0000-0000BC110000}"/>
    <cellStyle name="Normal 2 2 2 5 34 2" xfId="4529" xr:uid="{00000000-0005-0000-0000-0000BD110000}"/>
    <cellStyle name="Normal 2 2 2 5 35" xfId="4530" xr:uid="{00000000-0005-0000-0000-0000BE110000}"/>
    <cellStyle name="Normal 2 2 2 5 35 2" xfId="4531" xr:uid="{00000000-0005-0000-0000-0000BF110000}"/>
    <cellStyle name="Normal 2 2 2 5 36" xfId="4532" xr:uid="{00000000-0005-0000-0000-0000C0110000}"/>
    <cellStyle name="Normal 2 2 2 5 36 2" xfId="4533" xr:uid="{00000000-0005-0000-0000-0000C1110000}"/>
    <cellStyle name="Normal 2 2 2 5 37" xfId="4534" xr:uid="{00000000-0005-0000-0000-0000C2110000}"/>
    <cellStyle name="Normal 2 2 2 5 37 2" xfId="4535" xr:uid="{00000000-0005-0000-0000-0000C3110000}"/>
    <cellStyle name="Normal 2 2 2 5 38" xfId="4536" xr:uid="{00000000-0005-0000-0000-0000C4110000}"/>
    <cellStyle name="Normal 2 2 2 5 38 2" xfId="4537" xr:uid="{00000000-0005-0000-0000-0000C5110000}"/>
    <cellStyle name="Normal 2 2 2 5 39" xfId="4538" xr:uid="{00000000-0005-0000-0000-0000C6110000}"/>
    <cellStyle name="Normal 2 2 2 5 39 2" xfId="4539" xr:uid="{00000000-0005-0000-0000-0000C7110000}"/>
    <cellStyle name="Normal 2 2 2 5 4" xfId="4540" xr:uid="{00000000-0005-0000-0000-0000C8110000}"/>
    <cellStyle name="Normal 2 2 2 5 4 2" xfId="4541" xr:uid="{00000000-0005-0000-0000-0000C9110000}"/>
    <cellStyle name="Normal 2 2 2 5 40" xfId="4542" xr:uid="{00000000-0005-0000-0000-0000CA110000}"/>
    <cellStyle name="Normal 2 2 2 5 40 2" xfId="4543" xr:uid="{00000000-0005-0000-0000-0000CB110000}"/>
    <cellStyle name="Normal 2 2 2 5 41" xfId="4544" xr:uid="{00000000-0005-0000-0000-0000CC110000}"/>
    <cellStyle name="Normal 2 2 2 5 41 2" xfId="4545" xr:uid="{00000000-0005-0000-0000-0000CD110000}"/>
    <cellStyle name="Normal 2 2 2 5 42" xfId="4546" xr:uid="{00000000-0005-0000-0000-0000CE110000}"/>
    <cellStyle name="Normal 2 2 2 5 43" xfId="4547" xr:uid="{00000000-0005-0000-0000-0000CF110000}"/>
    <cellStyle name="Normal 2 2 2 5 44" xfId="4548" xr:uid="{00000000-0005-0000-0000-0000D0110000}"/>
    <cellStyle name="Normal 2 2 2 5 45" xfId="4549" xr:uid="{00000000-0005-0000-0000-0000D1110000}"/>
    <cellStyle name="Normal 2 2 2 5 5" xfId="4550" xr:uid="{00000000-0005-0000-0000-0000D2110000}"/>
    <cellStyle name="Normal 2 2 2 5 5 2" xfId="4551" xr:uid="{00000000-0005-0000-0000-0000D3110000}"/>
    <cellStyle name="Normal 2 2 2 5 6" xfId="4552" xr:uid="{00000000-0005-0000-0000-0000D4110000}"/>
    <cellStyle name="Normal 2 2 2 5 6 2" xfId="4553" xr:uid="{00000000-0005-0000-0000-0000D5110000}"/>
    <cellStyle name="Normal 2 2 2 5 6 3" xfId="4554" xr:uid="{00000000-0005-0000-0000-0000D6110000}"/>
    <cellStyle name="Normal 2 2 2 5 7" xfId="4555" xr:uid="{00000000-0005-0000-0000-0000D7110000}"/>
    <cellStyle name="Normal 2 2 2 5 7 2" xfId="4556" xr:uid="{00000000-0005-0000-0000-0000D8110000}"/>
    <cellStyle name="Normal 2 2 2 5 8" xfId="4557" xr:uid="{00000000-0005-0000-0000-0000D9110000}"/>
    <cellStyle name="Normal 2 2 2 5 8 2" xfId="4558" xr:uid="{00000000-0005-0000-0000-0000DA110000}"/>
    <cellStyle name="Normal 2 2 2 5 8 3" xfId="4559" xr:uid="{00000000-0005-0000-0000-0000DB110000}"/>
    <cellStyle name="Normal 2 2 2 5 9" xfId="4560" xr:uid="{00000000-0005-0000-0000-0000DC110000}"/>
    <cellStyle name="Normal 2 2 2 5 9 2" xfId="4561" xr:uid="{00000000-0005-0000-0000-0000DD110000}"/>
    <cellStyle name="Normal 2 2 2 50" xfId="4562" xr:uid="{00000000-0005-0000-0000-0000DE110000}"/>
    <cellStyle name="Normal 2 2 2 50 2" xfId="4563" xr:uid="{00000000-0005-0000-0000-0000DF110000}"/>
    <cellStyle name="Normal 2 2 2 51" xfId="4564" xr:uid="{00000000-0005-0000-0000-0000E0110000}"/>
    <cellStyle name="Normal 2 2 2 51 2" xfId="4565" xr:uid="{00000000-0005-0000-0000-0000E1110000}"/>
    <cellStyle name="Normal 2 2 2 52" xfId="4566" xr:uid="{00000000-0005-0000-0000-0000E2110000}"/>
    <cellStyle name="Normal 2 2 2 52 2" xfId="4567" xr:uid="{00000000-0005-0000-0000-0000E3110000}"/>
    <cellStyle name="Normal 2 2 2 53" xfId="4568" xr:uid="{00000000-0005-0000-0000-0000E4110000}"/>
    <cellStyle name="Normal 2 2 2 53 2" xfId="4569" xr:uid="{00000000-0005-0000-0000-0000E5110000}"/>
    <cellStyle name="Normal 2 2 2 54" xfId="4570" xr:uid="{00000000-0005-0000-0000-0000E6110000}"/>
    <cellStyle name="Normal 2 2 2 54 2" xfId="4571" xr:uid="{00000000-0005-0000-0000-0000E7110000}"/>
    <cellStyle name="Normal 2 2 2 55" xfId="4572" xr:uid="{00000000-0005-0000-0000-0000E8110000}"/>
    <cellStyle name="Normal 2 2 2 55 2" xfId="4573" xr:uid="{00000000-0005-0000-0000-0000E9110000}"/>
    <cellStyle name="Normal 2 2 2 56" xfId="4574" xr:uid="{00000000-0005-0000-0000-0000EA110000}"/>
    <cellStyle name="Normal 2 2 2 56 2" xfId="4575" xr:uid="{00000000-0005-0000-0000-0000EB110000}"/>
    <cellStyle name="Normal 2 2 2 57" xfId="4576" xr:uid="{00000000-0005-0000-0000-0000EC110000}"/>
    <cellStyle name="Normal 2 2 2 57 2" xfId="4577" xr:uid="{00000000-0005-0000-0000-0000ED110000}"/>
    <cellStyle name="Normal 2 2 2 58" xfId="4578" xr:uid="{00000000-0005-0000-0000-0000EE110000}"/>
    <cellStyle name="Normal 2 2 2 58 2" xfId="4579" xr:uid="{00000000-0005-0000-0000-0000EF110000}"/>
    <cellStyle name="Normal 2 2 2 59" xfId="4580" xr:uid="{00000000-0005-0000-0000-0000F0110000}"/>
    <cellStyle name="Normal 2 2 2 59 2" xfId="4581" xr:uid="{00000000-0005-0000-0000-0000F1110000}"/>
    <cellStyle name="Normal 2 2 2 6" xfId="4582" xr:uid="{00000000-0005-0000-0000-0000F2110000}"/>
    <cellStyle name="Normal 2 2 2 6 10" xfId="4583" xr:uid="{00000000-0005-0000-0000-0000F3110000}"/>
    <cellStyle name="Normal 2 2 2 6 10 2" xfId="4584" xr:uid="{00000000-0005-0000-0000-0000F4110000}"/>
    <cellStyle name="Normal 2 2 2 6 11" xfId="4585" xr:uid="{00000000-0005-0000-0000-0000F5110000}"/>
    <cellStyle name="Normal 2 2 2 6 11 2" xfId="4586" xr:uid="{00000000-0005-0000-0000-0000F6110000}"/>
    <cellStyle name="Normal 2 2 2 6 12" xfId="4587" xr:uid="{00000000-0005-0000-0000-0000F7110000}"/>
    <cellStyle name="Normal 2 2 2 6 12 2" xfId="4588" xr:uid="{00000000-0005-0000-0000-0000F8110000}"/>
    <cellStyle name="Normal 2 2 2 6 13" xfId="4589" xr:uid="{00000000-0005-0000-0000-0000F9110000}"/>
    <cellStyle name="Normal 2 2 2 6 13 2" xfId="4590" xr:uid="{00000000-0005-0000-0000-0000FA110000}"/>
    <cellStyle name="Normal 2 2 2 6 14" xfId="4591" xr:uid="{00000000-0005-0000-0000-0000FB110000}"/>
    <cellStyle name="Normal 2 2 2 6 14 2" xfId="4592" xr:uid="{00000000-0005-0000-0000-0000FC110000}"/>
    <cellStyle name="Normal 2 2 2 6 15" xfId="4593" xr:uid="{00000000-0005-0000-0000-0000FD110000}"/>
    <cellStyle name="Normal 2 2 2 6 15 2" xfId="4594" xr:uid="{00000000-0005-0000-0000-0000FE110000}"/>
    <cellStyle name="Normal 2 2 2 6 16" xfId="4595" xr:uid="{00000000-0005-0000-0000-0000FF110000}"/>
    <cellStyle name="Normal 2 2 2 6 16 2" xfId="4596" xr:uid="{00000000-0005-0000-0000-000000120000}"/>
    <cellStyle name="Normal 2 2 2 6 17" xfId="4597" xr:uid="{00000000-0005-0000-0000-000001120000}"/>
    <cellStyle name="Normal 2 2 2 6 17 2" xfId="4598" xr:uid="{00000000-0005-0000-0000-000002120000}"/>
    <cellStyle name="Normal 2 2 2 6 18" xfId="4599" xr:uid="{00000000-0005-0000-0000-000003120000}"/>
    <cellStyle name="Normal 2 2 2 6 18 2" xfId="4600" xr:uid="{00000000-0005-0000-0000-000004120000}"/>
    <cellStyle name="Normal 2 2 2 6 19" xfId="4601" xr:uid="{00000000-0005-0000-0000-000005120000}"/>
    <cellStyle name="Normal 2 2 2 6 19 2" xfId="4602" xr:uid="{00000000-0005-0000-0000-000006120000}"/>
    <cellStyle name="Normal 2 2 2 6 2" xfId="4603" xr:uid="{00000000-0005-0000-0000-000007120000}"/>
    <cellStyle name="Normal 2 2 2 6 2 2" xfId="4604" xr:uid="{00000000-0005-0000-0000-000008120000}"/>
    <cellStyle name="Normal 2 2 2 6 2 3" xfId="4605" xr:uid="{00000000-0005-0000-0000-000009120000}"/>
    <cellStyle name="Normal 2 2 2 6 20" xfId="4606" xr:uid="{00000000-0005-0000-0000-00000A120000}"/>
    <cellStyle name="Normal 2 2 2 6 20 2" xfId="4607" xr:uid="{00000000-0005-0000-0000-00000B120000}"/>
    <cellStyle name="Normal 2 2 2 6 21" xfId="4608" xr:uid="{00000000-0005-0000-0000-00000C120000}"/>
    <cellStyle name="Normal 2 2 2 6 21 2" xfId="4609" xr:uid="{00000000-0005-0000-0000-00000D120000}"/>
    <cellStyle name="Normal 2 2 2 6 22" xfId="4610" xr:uid="{00000000-0005-0000-0000-00000E120000}"/>
    <cellStyle name="Normal 2 2 2 6 23" xfId="4611" xr:uid="{00000000-0005-0000-0000-00000F120000}"/>
    <cellStyle name="Normal 2 2 2 6 24" xfId="4612" xr:uid="{00000000-0005-0000-0000-000010120000}"/>
    <cellStyle name="Normal 2 2 2 6 25" xfId="4613" xr:uid="{00000000-0005-0000-0000-000011120000}"/>
    <cellStyle name="Normal 2 2 2 6 3" xfId="4614" xr:uid="{00000000-0005-0000-0000-000012120000}"/>
    <cellStyle name="Normal 2 2 2 6 3 2" xfId="4615" xr:uid="{00000000-0005-0000-0000-000013120000}"/>
    <cellStyle name="Normal 2 2 2 6 4" xfId="4616" xr:uid="{00000000-0005-0000-0000-000014120000}"/>
    <cellStyle name="Normal 2 2 2 6 4 2" xfId="4617" xr:uid="{00000000-0005-0000-0000-000015120000}"/>
    <cellStyle name="Normal 2 2 2 6 4 3" xfId="4618" xr:uid="{00000000-0005-0000-0000-000016120000}"/>
    <cellStyle name="Normal 2 2 2 6 5" xfId="4619" xr:uid="{00000000-0005-0000-0000-000017120000}"/>
    <cellStyle name="Normal 2 2 2 6 5 2" xfId="4620" xr:uid="{00000000-0005-0000-0000-000018120000}"/>
    <cellStyle name="Normal 2 2 2 6 6" xfId="4621" xr:uid="{00000000-0005-0000-0000-000019120000}"/>
    <cellStyle name="Normal 2 2 2 6 6 2" xfId="4622" xr:uid="{00000000-0005-0000-0000-00001A120000}"/>
    <cellStyle name="Normal 2 2 2 6 7" xfId="4623" xr:uid="{00000000-0005-0000-0000-00001B120000}"/>
    <cellStyle name="Normal 2 2 2 6 7 2" xfId="4624" xr:uid="{00000000-0005-0000-0000-00001C120000}"/>
    <cellStyle name="Normal 2 2 2 6 8" xfId="4625" xr:uid="{00000000-0005-0000-0000-00001D120000}"/>
    <cellStyle name="Normal 2 2 2 6 8 2" xfId="4626" xr:uid="{00000000-0005-0000-0000-00001E120000}"/>
    <cellStyle name="Normal 2 2 2 6 9" xfId="4627" xr:uid="{00000000-0005-0000-0000-00001F120000}"/>
    <cellStyle name="Normal 2 2 2 6 9 2" xfId="4628" xr:uid="{00000000-0005-0000-0000-000020120000}"/>
    <cellStyle name="Normal 2 2 2 60" xfId="4629" xr:uid="{00000000-0005-0000-0000-000021120000}"/>
    <cellStyle name="Normal 2 2 2 60 2" xfId="4630" xr:uid="{00000000-0005-0000-0000-000022120000}"/>
    <cellStyle name="Normal 2 2 2 61" xfId="4631" xr:uid="{00000000-0005-0000-0000-000023120000}"/>
    <cellStyle name="Normal 2 2 2 61 2" xfId="4632" xr:uid="{00000000-0005-0000-0000-000024120000}"/>
    <cellStyle name="Normal 2 2 2 62" xfId="4633" xr:uid="{00000000-0005-0000-0000-000025120000}"/>
    <cellStyle name="Normal 2 2 2 62 2" xfId="4634" xr:uid="{00000000-0005-0000-0000-000026120000}"/>
    <cellStyle name="Normal 2 2 2 63" xfId="4635" xr:uid="{00000000-0005-0000-0000-000027120000}"/>
    <cellStyle name="Normal 2 2 2 63 2" xfId="4636" xr:uid="{00000000-0005-0000-0000-000028120000}"/>
    <cellStyle name="Normal 2 2 2 64" xfId="4637" xr:uid="{00000000-0005-0000-0000-000029120000}"/>
    <cellStyle name="Normal 2 2 2 65" xfId="4638" xr:uid="{00000000-0005-0000-0000-00002A120000}"/>
    <cellStyle name="Normal 2 2 2 66" xfId="4639" xr:uid="{00000000-0005-0000-0000-00002B120000}"/>
    <cellStyle name="Normal 2 2 2 67" xfId="4640" xr:uid="{00000000-0005-0000-0000-00002C120000}"/>
    <cellStyle name="Normal 2 2 2 68" xfId="4641" xr:uid="{00000000-0005-0000-0000-00002D120000}"/>
    <cellStyle name="Normal 2 2 2 69" xfId="4642" xr:uid="{00000000-0005-0000-0000-00002E120000}"/>
    <cellStyle name="Normal 2 2 2 7" xfId="4643" xr:uid="{00000000-0005-0000-0000-00002F120000}"/>
    <cellStyle name="Normal 2 2 2 7 2" xfId="4644" xr:uid="{00000000-0005-0000-0000-000030120000}"/>
    <cellStyle name="Normal 2 2 2 7 2 2" xfId="4645" xr:uid="{00000000-0005-0000-0000-000031120000}"/>
    <cellStyle name="Normal 2 2 2 7 2 3" xfId="4646" xr:uid="{00000000-0005-0000-0000-000032120000}"/>
    <cellStyle name="Normal 2 2 2 7 3" xfId="4647" xr:uid="{00000000-0005-0000-0000-000033120000}"/>
    <cellStyle name="Normal 2 2 2 7 4" xfId="4648" xr:uid="{00000000-0005-0000-0000-000034120000}"/>
    <cellStyle name="Normal 2 2 2 70" xfId="4649" xr:uid="{00000000-0005-0000-0000-000035120000}"/>
    <cellStyle name="Normal 2 2 2 71" xfId="4650" xr:uid="{00000000-0005-0000-0000-000036120000}"/>
    <cellStyle name="Normal 2 2 2 72" xfId="4651" xr:uid="{00000000-0005-0000-0000-000037120000}"/>
    <cellStyle name="Normal 2 2 2 73" xfId="4652" xr:uid="{00000000-0005-0000-0000-000038120000}"/>
    <cellStyle name="Normal 2 2 2 74" xfId="4653" xr:uid="{00000000-0005-0000-0000-000039120000}"/>
    <cellStyle name="Normal 2 2 2 75" xfId="4654" xr:uid="{00000000-0005-0000-0000-00003A120000}"/>
    <cellStyle name="Normal 2 2 2 76" xfId="4655" xr:uid="{00000000-0005-0000-0000-00003B120000}"/>
    <cellStyle name="Normal 2 2 2 77" xfId="4656" xr:uid="{00000000-0005-0000-0000-00003C120000}"/>
    <cellStyle name="Normal 2 2 2 78" xfId="4657" xr:uid="{00000000-0005-0000-0000-00003D120000}"/>
    <cellStyle name="Normal 2 2 2 79" xfId="4658" xr:uid="{00000000-0005-0000-0000-00003E120000}"/>
    <cellStyle name="Normal 2 2 2 8" xfId="4659" xr:uid="{00000000-0005-0000-0000-00003F120000}"/>
    <cellStyle name="Normal 2 2 2 8 2" xfId="4660" xr:uid="{00000000-0005-0000-0000-000040120000}"/>
    <cellStyle name="Normal 2 2 2 8 2 2" xfId="4661" xr:uid="{00000000-0005-0000-0000-000041120000}"/>
    <cellStyle name="Normal 2 2 2 8 3" xfId="4662" xr:uid="{00000000-0005-0000-0000-000042120000}"/>
    <cellStyle name="Normal 2 2 2 80" xfId="4663" xr:uid="{00000000-0005-0000-0000-000043120000}"/>
    <cellStyle name="Normal 2 2 2 81" xfId="4664" xr:uid="{00000000-0005-0000-0000-000044120000}"/>
    <cellStyle name="Normal 2 2 2 82" xfId="4665" xr:uid="{00000000-0005-0000-0000-000045120000}"/>
    <cellStyle name="Normal 2 2 2 83" xfId="4666" xr:uid="{00000000-0005-0000-0000-000046120000}"/>
    <cellStyle name="Normal 2 2 2 84" xfId="4667" xr:uid="{00000000-0005-0000-0000-000047120000}"/>
    <cellStyle name="Normal 2 2 2 85" xfId="4668" xr:uid="{00000000-0005-0000-0000-000048120000}"/>
    <cellStyle name="Normal 2 2 2 86" xfId="4669" xr:uid="{00000000-0005-0000-0000-000049120000}"/>
    <cellStyle name="Normal 2 2 2 87" xfId="4670" xr:uid="{00000000-0005-0000-0000-00004A120000}"/>
    <cellStyle name="Normal 2 2 2 88" xfId="4671" xr:uid="{00000000-0005-0000-0000-00004B120000}"/>
    <cellStyle name="Normal 2 2 2 89" xfId="4672" xr:uid="{00000000-0005-0000-0000-00004C120000}"/>
    <cellStyle name="Normal 2 2 2 9" xfId="4673" xr:uid="{00000000-0005-0000-0000-00004D120000}"/>
    <cellStyle name="Normal 2 2 2 9 2" xfId="4674" xr:uid="{00000000-0005-0000-0000-00004E120000}"/>
    <cellStyle name="Normal 2 2 2 9 2 2" xfId="4675" xr:uid="{00000000-0005-0000-0000-00004F120000}"/>
    <cellStyle name="Normal 2 2 2 9 3" xfId="4676" xr:uid="{00000000-0005-0000-0000-000050120000}"/>
    <cellStyle name="Normal 2 2 2 90" xfId="4677" xr:uid="{00000000-0005-0000-0000-000051120000}"/>
    <cellStyle name="Normal 2 2 2 91" xfId="4678" xr:uid="{00000000-0005-0000-0000-000052120000}"/>
    <cellStyle name="Normal 2 2 2 92" xfId="4679" xr:uid="{00000000-0005-0000-0000-000053120000}"/>
    <cellStyle name="Normal 2 2 2 93" xfId="4680" xr:uid="{00000000-0005-0000-0000-000054120000}"/>
    <cellStyle name="Normal 2 2 2 94" xfId="4681" xr:uid="{00000000-0005-0000-0000-000055120000}"/>
    <cellStyle name="Normal 2 2 2 94 2" xfId="4682" xr:uid="{00000000-0005-0000-0000-000056120000}"/>
    <cellStyle name="Normal 2 2 2 95" xfId="4683" xr:uid="{00000000-0005-0000-0000-000057120000}"/>
    <cellStyle name="Normal 2 2 2 96" xfId="4684" xr:uid="{00000000-0005-0000-0000-000058120000}"/>
    <cellStyle name="Normal 2 2 2 97" xfId="4685" xr:uid="{00000000-0005-0000-0000-000059120000}"/>
    <cellStyle name="Normal 2 2 2 98" xfId="4686" xr:uid="{00000000-0005-0000-0000-00005A120000}"/>
    <cellStyle name="Normal 2 2 2 99" xfId="4687" xr:uid="{00000000-0005-0000-0000-00005B120000}"/>
    <cellStyle name="Normal 2 2 20" xfId="4688" xr:uid="{00000000-0005-0000-0000-00005C120000}"/>
    <cellStyle name="Normal 2 2 20 2" xfId="4689" xr:uid="{00000000-0005-0000-0000-00005D120000}"/>
    <cellStyle name="Normal 2 2 20 2 2" xfId="4690" xr:uid="{00000000-0005-0000-0000-00005E120000}"/>
    <cellStyle name="Normal 2 2 20 3" xfId="4691" xr:uid="{00000000-0005-0000-0000-00005F120000}"/>
    <cellStyle name="Normal 2 2 21" xfId="4692" xr:uid="{00000000-0005-0000-0000-000060120000}"/>
    <cellStyle name="Normal 2 2 21 2" xfId="4693" xr:uid="{00000000-0005-0000-0000-000061120000}"/>
    <cellStyle name="Normal 2 2 21 2 2" xfId="4694" xr:uid="{00000000-0005-0000-0000-000062120000}"/>
    <cellStyle name="Normal 2 2 21 3" xfId="4695" xr:uid="{00000000-0005-0000-0000-000063120000}"/>
    <cellStyle name="Normal 2 2 22" xfId="4696" xr:uid="{00000000-0005-0000-0000-000064120000}"/>
    <cellStyle name="Normal 2 2 22 2" xfId="4697" xr:uid="{00000000-0005-0000-0000-000065120000}"/>
    <cellStyle name="Normal 2 2 22 2 2" xfId="4698" xr:uid="{00000000-0005-0000-0000-000066120000}"/>
    <cellStyle name="Normal 2 2 22 3" xfId="4699" xr:uid="{00000000-0005-0000-0000-000067120000}"/>
    <cellStyle name="Normal 2 2 23" xfId="4700" xr:uid="{00000000-0005-0000-0000-000068120000}"/>
    <cellStyle name="Normal 2 2 23 2" xfId="4701" xr:uid="{00000000-0005-0000-0000-000069120000}"/>
    <cellStyle name="Normal 2 2 23 2 2" xfId="4702" xr:uid="{00000000-0005-0000-0000-00006A120000}"/>
    <cellStyle name="Normal 2 2 23 3" xfId="4703" xr:uid="{00000000-0005-0000-0000-00006B120000}"/>
    <cellStyle name="Normal 2 2 24" xfId="4704" xr:uid="{00000000-0005-0000-0000-00006C120000}"/>
    <cellStyle name="Normal 2 2 24 2" xfId="4705" xr:uid="{00000000-0005-0000-0000-00006D120000}"/>
    <cellStyle name="Normal 2 2 24 2 2" xfId="4706" xr:uid="{00000000-0005-0000-0000-00006E120000}"/>
    <cellStyle name="Normal 2 2 24 3" xfId="4707" xr:uid="{00000000-0005-0000-0000-00006F120000}"/>
    <cellStyle name="Normal 2 2 25" xfId="4708" xr:uid="{00000000-0005-0000-0000-000070120000}"/>
    <cellStyle name="Normal 2 2 25 2" xfId="4709" xr:uid="{00000000-0005-0000-0000-000071120000}"/>
    <cellStyle name="Normal 2 2 25 2 2" xfId="4710" xr:uid="{00000000-0005-0000-0000-000072120000}"/>
    <cellStyle name="Normal 2 2 25 3" xfId="4711" xr:uid="{00000000-0005-0000-0000-000073120000}"/>
    <cellStyle name="Normal 2 2 26" xfId="4712" xr:uid="{00000000-0005-0000-0000-000074120000}"/>
    <cellStyle name="Normal 2 2 26 2" xfId="4713" xr:uid="{00000000-0005-0000-0000-000075120000}"/>
    <cellStyle name="Normal 2 2 26 2 2" xfId="4714" xr:uid="{00000000-0005-0000-0000-000076120000}"/>
    <cellStyle name="Normal 2 2 26 3" xfId="4715" xr:uid="{00000000-0005-0000-0000-000077120000}"/>
    <cellStyle name="Normal 2 2 27" xfId="4716" xr:uid="{00000000-0005-0000-0000-000078120000}"/>
    <cellStyle name="Normal 2 2 27 2" xfId="4717" xr:uid="{00000000-0005-0000-0000-000079120000}"/>
    <cellStyle name="Normal 2 2 27 2 2" xfId="4718" xr:uid="{00000000-0005-0000-0000-00007A120000}"/>
    <cellStyle name="Normal 2 2 27 3" xfId="4719" xr:uid="{00000000-0005-0000-0000-00007B120000}"/>
    <cellStyle name="Normal 2 2 28" xfId="4720" xr:uid="{00000000-0005-0000-0000-00007C120000}"/>
    <cellStyle name="Normal 2 2 28 2" xfId="4721" xr:uid="{00000000-0005-0000-0000-00007D120000}"/>
    <cellStyle name="Normal 2 2 28 2 2" xfId="4722" xr:uid="{00000000-0005-0000-0000-00007E120000}"/>
    <cellStyle name="Normal 2 2 28 3" xfId="4723" xr:uid="{00000000-0005-0000-0000-00007F120000}"/>
    <cellStyle name="Normal 2 2 29" xfId="4724" xr:uid="{00000000-0005-0000-0000-000080120000}"/>
    <cellStyle name="Normal 2 2 29 2" xfId="4725" xr:uid="{00000000-0005-0000-0000-000081120000}"/>
    <cellStyle name="Normal 2 2 29 2 2" xfId="4726" xr:uid="{00000000-0005-0000-0000-000082120000}"/>
    <cellStyle name="Normal 2 2 29 3" xfId="4727" xr:uid="{00000000-0005-0000-0000-000083120000}"/>
    <cellStyle name="Normal 2 2 3" xfId="4728" xr:uid="{00000000-0005-0000-0000-000084120000}"/>
    <cellStyle name="Normal 2 2 3 2" xfId="4729" xr:uid="{00000000-0005-0000-0000-000085120000}"/>
    <cellStyle name="Normal 2 2 3 2 2" xfId="4730" xr:uid="{00000000-0005-0000-0000-000086120000}"/>
    <cellStyle name="Normal 2 2 3 2 3" xfId="4731" xr:uid="{00000000-0005-0000-0000-000087120000}"/>
    <cellStyle name="Normal 2 2 3 3" xfId="4732" xr:uid="{00000000-0005-0000-0000-000088120000}"/>
    <cellStyle name="Normal 2 2 3 3 2" xfId="4733" xr:uid="{00000000-0005-0000-0000-000089120000}"/>
    <cellStyle name="Normal 2 2 3 4" xfId="4734" xr:uid="{00000000-0005-0000-0000-00008A120000}"/>
    <cellStyle name="Normal 2 2 3 5" xfId="4735" xr:uid="{00000000-0005-0000-0000-00008B120000}"/>
    <cellStyle name="Normal 2 2 3 6" xfId="4736" xr:uid="{00000000-0005-0000-0000-00008C120000}"/>
    <cellStyle name="Normal 2 2 3 7" xfId="4737" xr:uid="{00000000-0005-0000-0000-00008D120000}"/>
    <cellStyle name="Normal 2 2 30" xfId="4738" xr:uid="{00000000-0005-0000-0000-00008E120000}"/>
    <cellStyle name="Normal 2 2 30 2" xfId="4739" xr:uid="{00000000-0005-0000-0000-00008F120000}"/>
    <cellStyle name="Normal 2 2 30 2 2" xfId="4740" xr:uid="{00000000-0005-0000-0000-000090120000}"/>
    <cellStyle name="Normal 2 2 30 3" xfId="4741" xr:uid="{00000000-0005-0000-0000-000091120000}"/>
    <cellStyle name="Normal 2 2 31" xfId="4742" xr:uid="{00000000-0005-0000-0000-000092120000}"/>
    <cellStyle name="Normal 2 2 31 2" xfId="4743" xr:uid="{00000000-0005-0000-0000-000093120000}"/>
    <cellStyle name="Normal 2 2 31 2 2" xfId="4744" xr:uid="{00000000-0005-0000-0000-000094120000}"/>
    <cellStyle name="Normal 2 2 31 3" xfId="4745" xr:uid="{00000000-0005-0000-0000-000095120000}"/>
    <cellStyle name="Normal 2 2 32" xfId="4746" xr:uid="{00000000-0005-0000-0000-000096120000}"/>
    <cellStyle name="Normal 2 2 32 2" xfId="4747" xr:uid="{00000000-0005-0000-0000-000097120000}"/>
    <cellStyle name="Normal 2 2 32 2 2" xfId="4748" xr:uid="{00000000-0005-0000-0000-000098120000}"/>
    <cellStyle name="Normal 2 2 32 3" xfId="4749" xr:uid="{00000000-0005-0000-0000-000099120000}"/>
    <cellStyle name="Normal 2 2 33" xfId="4750" xr:uid="{00000000-0005-0000-0000-00009A120000}"/>
    <cellStyle name="Normal 2 2 33 2" xfId="4751" xr:uid="{00000000-0005-0000-0000-00009B120000}"/>
    <cellStyle name="Normal 2 2 33 2 2" xfId="4752" xr:uid="{00000000-0005-0000-0000-00009C120000}"/>
    <cellStyle name="Normal 2 2 33 3" xfId="4753" xr:uid="{00000000-0005-0000-0000-00009D120000}"/>
    <cellStyle name="Normal 2 2 34" xfId="4754" xr:uid="{00000000-0005-0000-0000-00009E120000}"/>
    <cellStyle name="Normal 2 2 34 2" xfId="4755" xr:uid="{00000000-0005-0000-0000-00009F120000}"/>
    <cellStyle name="Normal 2 2 34 2 2" xfId="4756" xr:uid="{00000000-0005-0000-0000-0000A0120000}"/>
    <cellStyle name="Normal 2 2 34 3" xfId="4757" xr:uid="{00000000-0005-0000-0000-0000A1120000}"/>
    <cellStyle name="Normal 2 2 35" xfId="4758" xr:uid="{00000000-0005-0000-0000-0000A2120000}"/>
    <cellStyle name="Normal 2 2 35 2" xfId="4759" xr:uid="{00000000-0005-0000-0000-0000A3120000}"/>
    <cellStyle name="Normal 2 2 35 2 2" xfId="4760" xr:uid="{00000000-0005-0000-0000-0000A4120000}"/>
    <cellStyle name="Normal 2 2 35 3" xfId="4761" xr:uid="{00000000-0005-0000-0000-0000A5120000}"/>
    <cellStyle name="Normal 2 2 36" xfId="4762" xr:uid="{00000000-0005-0000-0000-0000A6120000}"/>
    <cellStyle name="Normal 2 2 36 2" xfId="4763" xr:uid="{00000000-0005-0000-0000-0000A7120000}"/>
    <cellStyle name="Normal 2 2 36 2 2" xfId="4764" xr:uid="{00000000-0005-0000-0000-0000A8120000}"/>
    <cellStyle name="Normal 2 2 36 3" xfId="4765" xr:uid="{00000000-0005-0000-0000-0000A9120000}"/>
    <cellStyle name="Normal 2 2 37" xfId="4766" xr:uid="{00000000-0005-0000-0000-0000AA120000}"/>
    <cellStyle name="Normal 2 2 37 2" xfId="4767" xr:uid="{00000000-0005-0000-0000-0000AB120000}"/>
    <cellStyle name="Normal 2 2 37 2 2" xfId="4768" xr:uid="{00000000-0005-0000-0000-0000AC120000}"/>
    <cellStyle name="Normal 2 2 37 3" xfId="4769" xr:uid="{00000000-0005-0000-0000-0000AD120000}"/>
    <cellStyle name="Normal 2 2 38" xfId="4770" xr:uid="{00000000-0005-0000-0000-0000AE120000}"/>
    <cellStyle name="Normal 2 2 38 2" xfId="4771" xr:uid="{00000000-0005-0000-0000-0000AF120000}"/>
    <cellStyle name="Normal 2 2 38 2 2" xfId="4772" xr:uid="{00000000-0005-0000-0000-0000B0120000}"/>
    <cellStyle name="Normal 2 2 38 3" xfId="4773" xr:uid="{00000000-0005-0000-0000-0000B1120000}"/>
    <cellStyle name="Normal 2 2 39" xfId="4774" xr:uid="{00000000-0005-0000-0000-0000B2120000}"/>
    <cellStyle name="Normal 2 2 39 2" xfId="4775" xr:uid="{00000000-0005-0000-0000-0000B3120000}"/>
    <cellStyle name="Normal 2 2 39 2 2" xfId="4776" xr:uid="{00000000-0005-0000-0000-0000B4120000}"/>
    <cellStyle name="Normal 2 2 39 3" xfId="4777" xr:uid="{00000000-0005-0000-0000-0000B5120000}"/>
    <cellStyle name="Normal 2 2 4" xfId="4778" xr:uid="{00000000-0005-0000-0000-0000B6120000}"/>
    <cellStyle name="Normal 2 2 4 10" xfId="4779" xr:uid="{00000000-0005-0000-0000-0000B7120000}"/>
    <cellStyle name="Normal 2 2 4 11" xfId="4780" xr:uid="{00000000-0005-0000-0000-0000B8120000}"/>
    <cellStyle name="Normal 2 2 4 12" xfId="4781" xr:uid="{00000000-0005-0000-0000-0000B9120000}"/>
    <cellStyle name="Normal 2 2 4 13" xfId="4782" xr:uid="{00000000-0005-0000-0000-0000BA120000}"/>
    <cellStyle name="Normal 2 2 4 14" xfId="4783" xr:uid="{00000000-0005-0000-0000-0000BB120000}"/>
    <cellStyle name="Normal 2 2 4 15" xfId="4784" xr:uid="{00000000-0005-0000-0000-0000BC120000}"/>
    <cellStyle name="Normal 2 2 4 16" xfId="4785" xr:uid="{00000000-0005-0000-0000-0000BD120000}"/>
    <cellStyle name="Normal 2 2 4 17" xfId="4786" xr:uid="{00000000-0005-0000-0000-0000BE120000}"/>
    <cellStyle name="Normal 2 2 4 18" xfId="4787" xr:uid="{00000000-0005-0000-0000-0000BF120000}"/>
    <cellStyle name="Normal 2 2 4 19" xfId="4788" xr:uid="{00000000-0005-0000-0000-0000C0120000}"/>
    <cellStyle name="Normal 2 2 4 2" xfId="4789" xr:uid="{00000000-0005-0000-0000-0000C1120000}"/>
    <cellStyle name="Normal 2 2 4 2 2" xfId="4790" xr:uid="{00000000-0005-0000-0000-0000C2120000}"/>
    <cellStyle name="Normal 2 2 4 20" xfId="4791" xr:uid="{00000000-0005-0000-0000-0000C3120000}"/>
    <cellStyle name="Normal 2 2 4 21" xfId="4792" xr:uid="{00000000-0005-0000-0000-0000C4120000}"/>
    <cellStyle name="Normal 2 2 4 22" xfId="4793" xr:uid="{00000000-0005-0000-0000-0000C5120000}"/>
    <cellStyle name="Normal 2 2 4 23" xfId="4794" xr:uid="{00000000-0005-0000-0000-0000C6120000}"/>
    <cellStyle name="Normal 2 2 4 24" xfId="4795" xr:uid="{00000000-0005-0000-0000-0000C7120000}"/>
    <cellStyle name="Normal 2 2 4 25" xfId="4796" xr:uid="{00000000-0005-0000-0000-0000C8120000}"/>
    <cellStyle name="Normal 2 2 4 26" xfId="4797" xr:uid="{00000000-0005-0000-0000-0000C9120000}"/>
    <cellStyle name="Normal 2 2 4 27" xfId="4798" xr:uid="{00000000-0005-0000-0000-0000CA120000}"/>
    <cellStyle name="Normal 2 2 4 28" xfId="4799" xr:uid="{00000000-0005-0000-0000-0000CB120000}"/>
    <cellStyle name="Normal 2 2 4 29" xfId="4800" xr:uid="{00000000-0005-0000-0000-0000CC120000}"/>
    <cellStyle name="Normal 2 2 4 3" xfId="4801" xr:uid="{00000000-0005-0000-0000-0000CD120000}"/>
    <cellStyle name="Normal 2 2 4 30" xfId="4802" xr:uid="{00000000-0005-0000-0000-0000CE120000}"/>
    <cellStyle name="Normal 2 2 4 31" xfId="4803" xr:uid="{00000000-0005-0000-0000-0000CF120000}"/>
    <cellStyle name="Normal 2 2 4 32" xfId="4804" xr:uid="{00000000-0005-0000-0000-0000D0120000}"/>
    <cellStyle name="Normal 2 2 4 33" xfId="4805" xr:uid="{00000000-0005-0000-0000-0000D1120000}"/>
    <cellStyle name="Normal 2 2 4 34" xfId="4806" xr:uid="{00000000-0005-0000-0000-0000D2120000}"/>
    <cellStyle name="Normal 2 2 4 35" xfId="4807" xr:uid="{00000000-0005-0000-0000-0000D3120000}"/>
    <cellStyle name="Normal 2 2 4 36" xfId="4808" xr:uid="{00000000-0005-0000-0000-0000D4120000}"/>
    <cellStyle name="Normal 2 2 4 37" xfId="4809" xr:uid="{00000000-0005-0000-0000-0000D5120000}"/>
    <cellStyle name="Normal 2 2 4 38" xfId="4810" xr:uid="{00000000-0005-0000-0000-0000D6120000}"/>
    <cellStyle name="Normal 2 2 4 39" xfId="4811" xr:uid="{00000000-0005-0000-0000-0000D7120000}"/>
    <cellStyle name="Normal 2 2 4 4" xfId="4812" xr:uid="{00000000-0005-0000-0000-0000D8120000}"/>
    <cellStyle name="Normal 2 2 4 40" xfId="4813" xr:uid="{00000000-0005-0000-0000-0000D9120000}"/>
    <cellStyle name="Normal 2 2 4 41" xfId="4814" xr:uid="{00000000-0005-0000-0000-0000DA120000}"/>
    <cellStyle name="Normal 2 2 4 42" xfId="4815" xr:uid="{00000000-0005-0000-0000-0000DB120000}"/>
    <cellStyle name="Normal 2 2 4 43" xfId="4816" xr:uid="{00000000-0005-0000-0000-0000DC120000}"/>
    <cellStyle name="Normal 2 2 4 44" xfId="4817" xr:uid="{00000000-0005-0000-0000-0000DD120000}"/>
    <cellStyle name="Normal 2 2 4 45" xfId="4818" xr:uid="{00000000-0005-0000-0000-0000DE120000}"/>
    <cellStyle name="Normal 2 2 4 46" xfId="4819" xr:uid="{00000000-0005-0000-0000-0000DF120000}"/>
    <cellStyle name="Normal 2 2 4 47" xfId="4820" xr:uid="{00000000-0005-0000-0000-0000E0120000}"/>
    <cellStyle name="Normal 2 2 4 48" xfId="4821" xr:uid="{00000000-0005-0000-0000-0000E1120000}"/>
    <cellStyle name="Normal 2 2 4 49" xfId="4822" xr:uid="{00000000-0005-0000-0000-0000E2120000}"/>
    <cellStyle name="Normal 2 2 4 5" xfId="4823" xr:uid="{00000000-0005-0000-0000-0000E3120000}"/>
    <cellStyle name="Normal 2 2 4 50" xfId="4824" xr:uid="{00000000-0005-0000-0000-0000E4120000}"/>
    <cellStyle name="Normal 2 2 4 51" xfId="4825" xr:uid="{00000000-0005-0000-0000-0000E5120000}"/>
    <cellStyle name="Normal 2 2 4 52" xfId="4826" xr:uid="{00000000-0005-0000-0000-0000E6120000}"/>
    <cellStyle name="Normal 2 2 4 53" xfId="4827" xr:uid="{00000000-0005-0000-0000-0000E7120000}"/>
    <cellStyle name="Normal 2 2 4 54" xfId="4828" xr:uid="{00000000-0005-0000-0000-0000E8120000}"/>
    <cellStyle name="Normal 2 2 4 55" xfId="4829" xr:uid="{00000000-0005-0000-0000-0000E9120000}"/>
    <cellStyle name="Normal 2 2 4 56" xfId="4830" xr:uid="{00000000-0005-0000-0000-0000EA120000}"/>
    <cellStyle name="Normal 2 2 4 57" xfId="4831" xr:uid="{00000000-0005-0000-0000-0000EB120000}"/>
    <cellStyle name="Normal 2 2 4 58" xfId="4832" xr:uid="{00000000-0005-0000-0000-0000EC120000}"/>
    <cellStyle name="Normal 2 2 4 59" xfId="4833" xr:uid="{00000000-0005-0000-0000-0000ED120000}"/>
    <cellStyle name="Normal 2 2 4 6" xfId="4834" xr:uid="{00000000-0005-0000-0000-0000EE120000}"/>
    <cellStyle name="Normal 2 2 4 60" xfId="4835" xr:uid="{00000000-0005-0000-0000-0000EF120000}"/>
    <cellStyle name="Normal 2 2 4 61" xfId="4836" xr:uid="{00000000-0005-0000-0000-0000F0120000}"/>
    <cellStyle name="Normal 2 2 4 62" xfId="4837" xr:uid="{00000000-0005-0000-0000-0000F1120000}"/>
    <cellStyle name="Normal 2 2 4 63" xfId="4838" xr:uid="{00000000-0005-0000-0000-0000F2120000}"/>
    <cellStyle name="Normal 2 2 4 64" xfId="4839" xr:uid="{00000000-0005-0000-0000-0000F3120000}"/>
    <cellStyle name="Normal 2 2 4 65" xfId="4840" xr:uid="{00000000-0005-0000-0000-0000F4120000}"/>
    <cellStyle name="Normal 2 2 4 66" xfId="4841" xr:uid="{00000000-0005-0000-0000-0000F5120000}"/>
    <cellStyle name="Normal 2 2 4 67" xfId="4842" xr:uid="{00000000-0005-0000-0000-0000F6120000}"/>
    <cellStyle name="Normal 2 2 4 68" xfId="4843" xr:uid="{00000000-0005-0000-0000-0000F7120000}"/>
    <cellStyle name="Normal 2 2 4 69" xfId="4844" xr:uid="{00000000-0005-0000-0000-0000F8120000}"/>
    <cellStyle name="Normal 2 2 4 7" xfId="4845" xr:uid="{00000000-0005-0000-0000-0000F9120000}"/>
    <cellStyle name="Normal 2 2 4 70" xfId="4846" xr:uid="{00000000-0005-0000-0000-0000FA120000}"/>
    <cellStyle name="Normal 2 2 4 71" xfId="4847" xr:uid="{00000000-0005-0000-0000-0000FB120000}"/>
    <cellStyle name="Normal 2 2 4 72" xfId="4848" xr:uid="{00000000-0005-0000-0000-0000FC120000}"/>
    <cellStyle name="Normal 2 2 4 73" xfId="4849" xr:uid="{00000000-0005-0000-0000-0000FD120000}"/>
    <cellStyle name="Normal 2 2 4 74" xfId="4850" xr:uid="{00000000-0005-0000-0000-0000FE120000}"/>
    <cellStyle name="Normal 2 2 4 75" xfId="4851" xr:uid="{00000000-0005-0000-0000-0000FF120000}"/>
    <cellStyle name="Normal 2 2 4 76" xfId="4852" xr:uid="{00000000-0005-0000-0000-000000130000}"/>
    <cellStyle name="Normal 2 2 4 77" xfId="4853" xr:uid="{00000000-0005-0000-0000-000001130000}"/>
    <cellStyle name="Normal 2 2 4 78" xfId="4854" xr:uid="{00000000-0005-0000-0000-000002130000}"/>
    <cellStyle name="Normal 2 2 4 79" xfId="4855" xr:uid="{00000000-0005-0000-0000-000003130000}"/>
    <cellStyle name="Normal 2 2 4 8" xfId="4856" xr:uid="{00000000-0005-0000-0000-000004130000}"/>
    <cellStyle name="Normal 2 2 4 80" xfId="4857" xr:uid="{00000000-0005-0000-0000-000005130000}"/>
    <cellStyle name="Normal 2 2 4 81" xfId="4858" xr:uid="{00000000-0005-0000-0000-000006130000}"/>
    <cellStyle name="Normal 2 2 4 82" xfId="4859" xr:uid="{00000000-0005-0000-0000-000007130000}"/>
    <cellStyle name="Normal 2 2 4 83" xfId="4860" xr:uid="{00000000-0005-0000-0000-000008130000}"/>
    <cellStyle name="Normal 2 2 4 84" xfId="4861" xr:uid="{00000000-0005-0000-0000-000009130000}"/>
    <cellStyle name="Normal 2 2 4 85" xfId="4862" xr:uid="{00000000-0005-0000-0000-00000A130000}"/>
    <cellStyle name="Normal 2 2 4 86" xfId="4863" xr:uid="{00000000-0005-0000-0000-00000B130000}"/>
    <cellStyle name="Normal 2 2 4 87" xfId="4864" xr:uid="{00000000-0005-0000-0000-00000C130000}"/>
    <cellStyle name="Normal 2 2 4 88" xfId="4865" xr:uid="{00000000-0005-0000-0000-00000D130000}"/>
    <cellStyle name="Normal 2 2 4 89" xfId="4866" xr:uid="{00000000-0005-0000-0000-00000E130000}"/>
    <cellStyle name="Normal 2 2 4 9" xfId="4867" xr:uid="{00000000-0005-0000-0000-00000F130000}"/>
    <cellStyle name="Normal 2 2 4 90" xfId="4868" xr:uid="{00000000-0005-0000-0000-000010130000}"/>
    <cellStyle name="Normal 2 2 4 91" xfId="4869" xr:uid="{00000000-0005-0000-0000-000011130000}"/>
    <cellStyle name="Normal 2 2 40" xfId="4870" xr:uid="{00000000-0005-0000-0000-000012130000}"/>
    <cellStyle name="Normal 2 2 40 2" xfId="4871" xr:uid="{00000000-0005-0000-0000-000013130000}"/>
    <cellStyle name="Normal 2 2 40 2 2" xfId="4872" xr:uid="{00000000-0005-0000-0000-000014130000}"/>
    <cellStyle name="Normal 2 2 40 3" xfId="4873" xr:uid="{00000000-0005-0000-0000-000015130000}"/>
    <cellStyle name="Normal 2 2 41" xfId="4874" xr:uid="{00000000-0005-0000-0000-000016130000}"/>
    <cellStyle name="Normal 2 2 41 2" xfId="4875" xr:uid="{00000000-0005-0000-0000-000017130000}"/>
    <cellStyle name="Normal 2 2 41 2 2" xfId="4876" xr:uid="{00000000-0005-0000-0000-000018130000}"/>
    <cellStyle name="Normal 2 2 41 3" xfId="4877" xr:uid="{00000000-0005-0000-0000-000019130000}"/>
    <cellStyle name="Normal 2 2 42" xfId="4878" xr:uid="{00000000-0005-0000-0000-00001A130000}"/>
    <cellStyle name="Normal 2 2 42 2" xfId="4879" xr:uid="{00000000-0005-0000-0000-00001B130000}"/>
    <cellStyle name="Normal 2 2 42 2 2" xfId="4880" xr:uid="{00000000-0005-0000-0000-00001C130000}"/>
    <cellStyle name="Normal 2 2 42 3" xfId="4881" xr:uid="{00000000-0005-0000-0000-00001D130000}"/>
    <cellStyle name="Normal 2 2 43" xfId="4882" xr:uid="{00000000-0005-0000-0000-00001E130000}"/>
    <cellStyle name="Normal 2 2 43 2" xfId="4883" xr:uid="{00000000-0005-0000-0000-00001F130000}"/>
    <cellStyle name="Normal 2 2 43 2 2" xfId="4884" xr:uid="{00000000-0005-0000-0000-000020130000}"/>
    <cellStyle name="Normal 2 2 43 3" xfId="4885" xr:uid="{00000000-0005-0000-0000-000021130000}"/>
    <cellStyle name="Normal 2 2 44" xfId="4886" xr:uid="{00000000-0005-0000-0000-000022130000}"/>
    <cellStyle name="Normal 2 2 44 2" xfId="4887" xr:uid="{00000000-0005-0000-0000-000023130000}"/>
    <cellStyle name="Normal 2 2 44 2 2" xfId="4888" xr:uid="{00000000-0005-0000-0000-000024130000}"/>
    <cellStyle name="Normal 2 2 44 3" xfId="4889" xr:uid="{00000000-0005-0000-0000-000025130000}"/>
    <cellStyle name="Normal 2 2 45" xfId="4890" xr:uid="{00000000-0005-0000-0000-000026130000}"/>
    <cellStyle name="Normal 2 2 45 2" xfId="4891" xr:uid="{00000000-0005-0000-0000-000027130000}"/>
    <cellStyle name="Normal 2 2 45 2 2" xfId="4892" xr:uid="{00000000-0005-0000-0000-000028130000}"/>
    <cellStyle name="Normal 2 2 45 3" xfId="4893" xr:uid="{00000000-0005-0000-0000-000029130000}"/>
    <cellStyle name="Normal 2 2 46" xfId="4894" xr:uid="{00000000-0005-0000-0000-00002A130000}"/>
    <cellStyle name="Normal 2 2 46 2" xfId="4895" xr:uid="{00000000-0005-0000-0000-00002B130000}"/>
    <cellStyle name="Normal 2 2 46 2 2" xfId="4896" xr:uid="{00000000-0005-0000-0000-00002C130000}"/>
    <cellStyle name="Normal 2 2 46 3" xfId="4897" xr:uid="{00000000-0005-0000-0000-00002D130000}"/>
    <cellStyle name="Normal 2 2 47" xfId="4898" xr:uid="{00000000-0005-0000-0000-00002E130000}"/>
    <cellStyle name="Normal 2 2 47 2" xfId="4899" xr:uid="{00000000-0005-0000-0000-00002F130000}"/>
    <cellStyle name="Normal 2 2 47 2 2" xfId="4900" xr:uid="{00000000-0005-0000-0000-000030130000}"/>
    <cellStyle name="Normal 2 2 47 3" xfId="4901" xr:uid="{00000000-0005-0000-0000-000031130000}"/>
    <cellStyle name="Normal 2 2 48" xfId="4902" xr:uid="{00000000-0005-0000-0000-000032130000}"/>
    <cellStyle name="Normal 2 2 48 2" xfId="4903" xr:uid="{00000000-0005-0000-0000-000033130000}"/>
    <cellStyle name="Normal 2 2 48 2 2" xfId="4904" xr:uid="{00000000-0005-0000-0000-000034130000}"/>
    <cellStyle name="Normal 2 2 48 3" xfId="4905" xr:uid="{00000000-0005-0000-0000-000035130000}"/>
    <cellStyle name="Normal 2 2 49" xfId="4906" xr:uid="{00000000-0005-0000-0000-000036130000}"/>
    <cellStyle name="Normal 2 2 49 2" xfId="4907" xr:uid="{00000000-0005-0000-0000-000037130000}"/>
    <cellStyle name="Normal 2 2 49 2 2" xfId="4908" xr:uid="{00000000-0005-0000-0000-000038130000}"/>
    <cellStyle name="Normal 2 2 49 3" xfId="4909" xr:uid="{00000000-0005-0000-0000-000039130000}"/>
    <cellStyle name="Normal 2 2 5" xfId="4910" xr:uid="{00000000-0005-0000-0000-00003A130000}"/>
    <cellStyle name="Normal 2 2 5 10" xfId="4911" xr:uid="{00000000-0005-0000-0000-00003B130000}"/>
    <cellStyle name="Normal 2 2 5 11" xfId="4912" xr:uid="{00000000-0005-0000-0000-00003C130000}"/>
    <cellStyle name="Normal 2 2 5 12" xfId="4913" xr:uid="{00000000-0005-0000-0000-00003D130000}"/>
    <cellStyle name="Normal 2 2 5 13" xfId="4914" xr:uid="{00000000-0005-0000-0000-00003E130000}"/>
    <cellStyle name="Normal 2 2 5 14" xfId="4915" xr:uid="{00000000-0005-0000-0000-00003F130000}"/>
    <cellStyle name="Normal 2 2 5 15" xfId="4916" xr:uid="{00000000-0005-0000-0000-000040130000}"/>
    <cellStyle name="Normal 2 2 5 16" xfId="4917" xr:uid="{00000000-0005-0000-0000-000041130000}"/>
    <cellStyle name="Normal 2 2 5 17" xfId="4918" xr:uid="{00000000-0005-0000-0000-000042130000}"/>
    <cellStyle name="Normal 2 2 5 18" xfId="4919" xr:uid="{00000000-0005-0000-0000-000043130000}"/>
    <cellStyle name="Normal 2 2 5 19" xfId="4920" xr:uid="{00000000-0005-0000-0000-000044130000}"/>
    <cellStyle name="Normal 2 2 5 2" xfId="4921" xr:uid="{00000000-0005-0000-0000-000045130000}"/>
    <cellStyle name="Normal 2 2 5 2 2" xfId="4922" xr:uid="{00000000-0005-0000-0000-000046130000}"/>
    <cellStyle name="Normal 2 2 5 20" xfId="4923" xr:uid="{00000000-0005-0000-0000-000047130000}"/>
    <cellStyle name="Normal 2 2 5 21" xfId="4924" xr:uid="{00000000-0005-0000-0000-000048130000}"/>
    <cellStyle name="Normal 2 2 5 22" xfId="4925" xr:uid="{00000000-0005-0000-0000-000049130000}"/>
    <cellStyle name="Normal 2 2 5 23" xfId="4926" xr:uid="{00000000-0005-0000-0000-00004A130000}"/>
    <cellStyle name="Normal 2 2 5 24" xfId="4927" xr:uid="{00000000-0005-0000-0000-00004B130000}"/>
    <cellStyle name="Normal 2 2 5 25" xfId="4928" xr:uid="{00000000-0005-0000-0000-00004C130000}"/>
    <cellStyle name="Normal 2 2 5 26" xfId="4929" xr:uid="{00000000-0005-0000-0000-00004D130000}"/>
    <cellStyle name="Normal 2 2 5 27" xfId="4930" xr:uid="{00000000-0005-0000-0000-00004E130000}"/>
    <cellStyle name="Normal 2 2 5 28" xfId="4931" xr:uid="{00000000-0005-0000-0000-00004F130000}"/>
    <cellStyle name="Normal 2 2 5 29" xfId="4932" xr:uid="{00000000-0005-0000-0000-000050130000}"/>
    <cellStyle name="Normal 2 2 5 3" xfId="4933" xr:uid="{00000000-0005-0000-0000-000051130000}"/>
    <cellStyle name="Normal 2 2 5 30" xfId="4934" xr:uid="{00000000-0005-0000-0000-000052130000}"/>
    <cellStyle name="Normal 2 2 5 31" xfId="4935" xr:uid="{00000000-0005-0000-0000-000053130000}"/>
    <cellStyle name="Normal 2 2 5 32" xfId="4936" xr:uid="{00000000-0005-0000-0000-000054130000}"/>
    <cellStyle name="Normal 2 2 5 33" xfId="4937" xr:uid="{00000000-0005-0000-0000-000055130000}"/>
    <cellStyle name="Normal 2 2 5 34" xfId="4938" xr:uid="{00000000-0005-0000-0000-000056130000}"/>
    <cellStyle name="Normal 2 2 5 35" xfId="4939" xr:uid="{00000000-0005-0000-0000-000057130000}"/>
    <cellStyle name="Normal 2 2 5 36" xfId="4940" xr:uid="{00000000-0005-0000-0000-000058130000}"/>
    <cellStyle name="Normal 2 2 5 37" xfId="4941" xr:uid="{00000000-0005-0000-0000-000059130000}"/>
    <cellStyle name="Normal 2 2 5 38" xfId="4942" xr:uid="{00000000-0005-0000-0000-00005A130000}"/>
    <cellStyle name="Normal 2 2 5 39" xfId="4943" xr:uid="{00000000-0005-0000-0000-00005B130000}"/>
    <cellStyle name="Normal 2 2 5 4" xfId="4944" xr:uid="{00000000-0005-0000-0000-00005C130000}"/>
    <cellStyle name="Normal 2 2 5 40" xfId="4945" xr:uid="{00000000-0005-0000-0000-00005D130000}"/>
    <cellStyle name="Normal 2 2 5 41" xfId="4946" xr:uid="{00000000-0005-0000-0000-00005E130000}"/>
    <cellStyle name="Normal 2 2 5 42" xfId="4947" xr:uid="{00000000-0005-0000-0000-00005F130000}"/>
    <cellStyle name="Normal 2 2 5 43" xfId="4948" xr:uid="{00000000-0005-0000-0000-000060130000}"/>
    <cellStyle name="Normal 2 2 5 44" xfId="4949" xr:uid="{00000000-0005-0000-0000-000061130000}"/>
    <cellStyle name="Normal 2 2 5 45" xfId="4950" xr:uid="{00000000-0005-0000-0000-000062130000}"/>
    <cellStyle name="Normal 2 2 5 46" xfId="4951" xr:uid="{00000000-0005-0000-0000-000063130000}"/>
    <cellStyle name="Normal 2 2 5 47" xfId="4952" xr:uid="{00000000-0005-0000-0000-000064130000}"/>
    <cellStyle name="Normal 2 2 5 48" xfId="4953" xr:uid="{00000000-0005-0000-0000-000065130000}"/>
    <cellStyle name="Normal 2 2 5 49" xfId="4954" xr:uid="{00000000-0005-0000-0000-000066130000}"/>
    <cellStyle name="Normal 2 2 5 5" xfId="4955" xr:uid="{00000000-0005-0000-0000-000067130000}"/>
    <cellStyle name="Normal 2 2 5 50" xfId="4956" xr:uid="{00000000-0005-0000-0000-000068130000}"/>
    <cellStyle name="Normal 2 2 5 51" xfId="4957" xr:uid="{00000000-0005-0000-0000-000069130000}"/>
    <cellStyle name="Normal 2 2 5 52" xfId="4958" xr:uid="{00000000-0005-0000-0000-00006A130000}"/>
    <cellStyle name="Normal 2 2 5 53" xfId="4959" xr:uid="{00000000-0005-0000-0000-00006B130000}"/>
    <cellStyle name="Normal 2 2 5 54" xfId="4960" xr:uid="{00000000-0005-0000-0000-00006C130000}"/>
    <cellStyle name="Normal 2 2 5 55" xfId="4961" xr:uid="{00000000-0005-0000-0000-00006D130000}"/>
    <cellStyle name="Normal 2 2 5 56" xfId="4962" xr:uid="{00000000-0005-0000-0000-00006E130000}"/>
    <cellStyle name="Normal 2 2 5 57" xfId="4963" xr:uid="{00000000-0005-0000-0000-00006F130000}"/>
    <cellStyle name="Normal 2 2 5 58" xfId="4964" xr:uid="{00000000-0005-0000-0000-000070130000}"/>
    <cellStyle name="Normal 2 2 5 59" xfId="4965" xr:uid="{00000000-0005-0000-0000-000071130000}"/>
    <cellStyle name="Normal 2 2 5 6" xfId="4966" xr:uid="{00000000-0005-0000-0000-000072130000}"/>
    <cellStyle name="Normal 2 2 5 60" xfId="4967" xr:uid="{00000000-0005-0000-0000-000073130000}"/>
    <cellStyle name="Normal 2 2 5 61" xfId="4968" xr:uid="{00000000-0005-0000-0000-000074130000}"/>
    <cellStyle name="Normal 2 2 5 62" xfId="4969" xr:uid="{00000000-0005-0000-0000-000075130000}"/>
    <cellStyle name="Normal 2 2 5 63" xfId="4970" xr:uid="{00000000-0005-0000-0000-000076130000}"/>
    <cellStyle name="Normal 2 2 5 64" xfId="4971" xr:uid="{00000000-0005-0000-0000-000077130000}"/>
    <cellStyle name="Normal 2 2 5 65" xfId="4972" xr:uid="{00000000-0005-0000-0000-000078130000}"/>
    <cellStyle name="Normal 2 2 5 66" xfId="4973" xr:uid="{00000000-0005-0000-0000-000079130000}"/>
    <cellStyle name="Normal 2 2 5 67" xfId="4974" xr:uid="{00000000-0005-0000-0000-00007A130000}"/>
    <cellStyle name="Normal 2 2 5 68" xfId="4975" xr:uid="{00000000-0005-0000-0000-00007B130000}"/>
    <cellStyle name="Normal 2 2 5 69" xfId="4976" xr:uid="{00000000-0005-0000-0000-00007C130000}"/>
    <cellStyle name="Normal 2 2 5 7" xfId="4977" xr:uid="{00000000-0005-0000-0000-00007D130000}"/>
    <cellStyle name="Normal 2 2 5 70" xfId="4978" xr:uid="{00000000-0005-0000-0000-00007E130000}"/>
    <cellStyle name="Normal 2 2 5 71" xfId="4979" xr:uid="{00000000-0005-0000-0000-00007F130000}"/>
    <cellStyle name="Normal 2 2 5 72" xfId="4980" xr:uid="{00000000-0005-0000-0000-000080130000}"/>
    <cellStyle name="Normal 2 2 5 73" xfId="4981" xr:uid="{00000000-0005-0000-0000-000081130000}"/>
    <cellStyle name="Normal 2 2 5 74" xfId="4982" xr:uid="{00000000-0005-0000-0000-000082130000}"/>
    <cellStyle name="Normal 2 2 5 75" xfId="4983" xr:uid="{00000000-0005-0000-0000-000083130000}"/>
    <cellStyle name="Normal 2 2 5 76" xfId="4984" xr:uid="{00000000-0005-0000-0000-000084130000}"/>
    <cellStyle name="Normal 2 2 5 77" xfId="4985" xr:uid="{00000000-0005-0000-0000-000085130000}"/>
    <cellStyle name="Normal 2 2 5 78" xfId="4986" xr:uid="{00000000-0005-0000-0000-000086130000}"/>
    <cellStyle name="Normal 2 2 5 79" xfId="4987" xr:uid="{00000000-0005-0000-0000-000087130000}"/>
    <cellStyle name="Normal 2 2 5 8" xfId="4988" xr:uid="{00000000-0005-0000-0000-000088130000}"/>
    <cellStyle name="Normal 2 2 5 80" xfId="4989" xr:uid="{00000000-0005-0000-0000-000089130000}"/>
    <cellStyle name="Normal 2 2 5 81" xfId="4990" xr:uid="{00000000-0005-0000-0000-00008A130000}"/>
    <cellStyle name="Normal 2 2 5 82" xfId="4991" xr:uid="{00000000-0005-0000-0000-00008B130000}"/>
    <cellStyle name="Normal 2 2 5 83" xfId="4992" xr:uid="{00000000-0005-0000-0000-00008C130000}"/>
    <cellStyle name="Normal 2 2 5 84" xfId="4993" xr:uid="{00000000-0005-0000-0000-00008D130000}"/>
    <cellStyle name="Normal 2 2 5 85" xfId="4994" xr:uid="{00000000-0005-0000-0000-00008E130000}"/>
    <cellStyle name="Normal 2 2 5 86" xfId="4995" xr:uid="{00000000-0005-0000-0000-00008F130000}"/>
    <cellStyle name="Normal 2 2 5 87" xfId="4996" xr:uid="{00000000-0005-0000-0000-000090130000}"/>
    <cellStyle name="Normal 2 2 5 88" xfId="4997" xr:uid="{00000000-0005-0000-0000-000091130000}"/>
    <cellStyle name="Normal 2 2 5 89" xfId="4998" xr:uid="{00000000-0005-0000-0000-000092130000}"/>
    <cellStyle name="Normal 2 2 5 9" xfId="4999" xr:uid="{00000000-0005-0000-0000-000093130000}"/>
    <cellStyle name="Normal 2 2 5 90" xfId="5000" xr:uid="{00000000-0005-0000-0000-000094130000}"/>
    <cellStyle name="Normal 2 2 5 91" xfId="5001" xr:uid="{00000000-0005-0000-0000-000095130000}"/>
    <cellStyle name="Normal 2 2 50" xfId="5002" xr:uid="{00000000-0005-0000-0000-000096130000}"/>
    <cellStyle name="Normal 2 2 50 2" xfId="5003" xr:uid="{00000000-0005-0000-0000-000097130000}"/>
    <cellStyle name="Normal 2 2 50 2 2" xfId="5004" xr:uid="{00000000-0005-0000-0000-000098130000}"/>
    <cellStyle name="Normal 2 2 50 3" xfId="5005" xr:uid="{00000000-0005-0000-0000-000099130000}"/>
    <cellStyle name="Normal 2 2 51" xfId="5006" xr:uid="{00000000-0005-0000-0000-00009A130000}"/>
    <cellStyle name="Normal 2 2 51 2" xfId="5007" xr:uid="{00000000-0005-0000-0000-00009B130000}"/>
    <cellStyle name="Normal 2 2 51 2 2" xfId="5008" xr:uid="{00000000-0005-0000-0000-00009C130000}"/>
    <cellStyle name="Normal 2 2 51 3" xfId="5009" xr:uid="{00000000-0005-0000-0000-00009D130000}"/>
    <cellStyle name="Normal 2 2 52" xfId="5010" xr:uid="{00000000-0005-0000-0000-00009E130000}"/>
    <cellStyle name="Normal 2 2 52 2" xfId="5011" xr:uid="{00000000-0005-0000-0000-00009F130000}"/>
    <cellStyle name="Normal 2 2 52 2 2" xfId="5012" xr:uid="{00000000-0005-0000-0000-0000A0130000}"/>
    <cellStyle name="Normal 2 2 52 3" xfId="5013" xr:uid="{00000000-0005-0000-0000-0000A1130000}"/>
    <cellStyle name="Normal 2 2 53" xfId="5014" xr:uid="{00000000-0005-0000-0000-0000A2130000}"/>
    <cellStyle name="Normal 2 2 53 2" xfId="5015" xr:uid="{00000000-0005-0000-0000-0000A3130000}"/>
    <cellStyle name="Normal 2 2 53 2 2" xfId="5016" xr:uid="{00000000-0005-0000-0000-0000A4130000}"/>
    <cellStyle name="Normal 2 2 53 3" xfId="5017" xr:uid="{00000000-0005-0000-0000-0000A5130000}"/>
    <cellStyle name="Normal 2 2 54" xfId="5018" xr:uid="{00000000-0005-0000-0000-0000A6130000}"/>
    <cellStyle name="Normal 2 2 54 2" xfId="5019" xr:uid="{00000000-0005-0000-0000-0000A7130000}"/>
    <cellStyle name="Normal 2 2 54 2 2" xfId="5020" xr:uid="{00000000-0005-0000-0000-0000A8130000}"/>
    <cellStyle name="Normal 2 2 54 3" xfId="5021" xr:uid="{00000000-0005-0000-0000-0000A9130000}"/>
    <cellStyle name="Normal 2 2 55" xfId="5022" xr:uid="{00000000-0005-0000-0000-0000AA130000}"/>
    <cellStyle name="Normal 2 2 55 2" xfId="5023" xr:uid="{00000000-0005-0000-0000-0000AB130000}"/>
    <cellStyle name="Normal 2 2 55 2 2" xfId="5024" xr:uid="{00000000-0005-0000-0000-0000AC130000}"/>
    <cellStyle name="Normal 2 2 55 3" xfId="5025" xr:uid="{00000000-0005-0000-0000-0000AD130000}"/>
    <cellStyle name="Normal 2 2 56" xfId="5026" xr:uid="{00000000-0005-0000-0000-0000AE130000}"/>
    <cellStyle name="Normal 2 2 56 2" xfId="5027" xr:uid="{00000000-0005-0000-0000-0000AF130000}"/>
    <cellStyle name="Normal 2 2 56 2 2" xfId="5028" xr:uid="{00000000-0005-0000-0000-0000B0130000}"/>
    <cellStyle name="Normal 2 2 56 3" xfId="5029" xr:uid="{00000000-0005-0000-0000-0000B1130000}"/>
    <cellStyle name="Normal 2 2 57" xfId="5030" xr:uid="{00000000-0005-0000-0000-0000B2130000}"/>
    <cellStyle name="Normal 2 2 57 2" xfId="5031" xr:uid="{00000000-0005-0000-0000-0000B3130000}"/>
    <cellStyle name="Normal 2 2 57 2 2" xfId="5032" xr:uid="{00000000-0005-0000-0000-0000B4130000}"/>
    <cellStyle name="Normal 2 2 57 3" xfId="5033" xr:uid="{00000000-0005-0000-0000-0000B5130000}"/>
    <cellStyle name="Normal 2 2 58" xfId="5034" xr:uid="{00000000-0005-0000-0000-0000B6130000}"/>
    <cellStyle name="Normal 2 2 58 2" xfId="5035" xr:uid="{00000000-0005-0000-0000-0000B7130000}"/>
    <cellStyle name="Normal 2 2 58 2 2" xfId="5036" xr:uid="{00000000-0005-0000-0000-0000B8130000}"/>
    <cellStyle name="Normal 2 2 58 3" xfId="5037" xr:uid="{00000000-0005-0000-0000-0000B9130000}"/>
    <cellStyle name="Normal 2 2 59" xfId="5038" xr:uid="{00000000-0005-0000-0000-0000BA130000}"/>
    <cellStyle name="Normal 2 2 59 2" xfId="5039" xr:uid="{00000000-0005-0000-0000-0000BB130000}"/>
    <cellStyle name="Normal 2 2 59 2 2" xfId="5040" xr:uid="{00000000-0005-0000-0000-0000BC130000}"/>
    <cellStyle name="Normal 2 2 59 3" xfId="5041" xr:uid="{00000000-0005-0000-0000-0000BD130000}"/>
    <cellStyle name="Normal 2 2 6" xfId="5042" xr:uid="{00000000-0005-0000-0000-0000BE130000}"/>
    <cellStyle name="Normal 2 2 6 10" xfId="5043" xr:uid="{00000000-0005-0000-0000-0000BF130000}"/>
    <cellStyle name="Normal 2 2 6 11" xfId="5044" xr:uid="{00000000-0005-0000-0000-0000C0130000}"/>
    <cellStyle name="Normal 2 2 6 12" xfId="5045" xr:uid="{00000000-0005-0000-0000-0000C1130000}"/>
    <cellStyle name="Normal 2 2 6 13" xfId="5046" xr:uid="{00000000-0005-0000-0000-0000C2130000}"/>
    <cellStyle name="Normal 2 2 6 14" xfId="5047" xr:uid="{00000000-0005-0000-0000-0000C3130000}"/>
    <cellStyle name="Normal 2 2 6 15" xfId="5048" xr:uid="{00000000-0005-0000-0000-0000C4130000}"/>
    <cellStyle name="Normal 2 2 6 16" xfId="5049" xr:uid="{00000000-0005-0000-0000-0000C5130000}"/>
    <cellStyle name="Normal 2 2 6 17" xfId="5050" xr:uid="{00000000-0005-0000-0000-0000C6130000}"/>
    <cellStyle name="Normal 2 2 6 18" xfId="5051" xr:uid="{00000000-0005-0000-0000-0000C7130000}"/>
    <cellStyle name="Normal 2 2 6 19" xfId="5052" xr:uid="{00000000-0005-0000-0000-0000C8130000}"/>
    <cellStyle name="Normal 2 2 6 2" xfId="5053" xr:uid="{00000000-0005-0000-0000-0000C9130000}"/>
    <cellStyle name="Normal 2 2 6 2 2" xfId="5054" xr:uid="{00000000-0005-0000-0000-0000CA130000}"/>
    <cellStyle name="Normal 2 2 6 20" xfId="5055" xr:uid="{00000000-0005-0000-0000-0000CB130000}"/>
    <cellStyle name="Normal 2 2 6 21" xfId="5056" xr:uid="{00000000-0005-0000-0000-0000CC130000}"/>
    <cellStyle name="Normal 2 2 6 22" xfId="5057" xr:uid="{00000000-0005-0000-0000-0000CD130000}"/>
    <cellStyle name="Normal 2 2 6 23" xfId="5058" xr:uid="{00000000-0005-0000-0000-0000CE130000}"/>
    <cellStyle name="Normal 2 2 6 24" xfId="5059" xr:uid="{00000000-0005-0000-0000-0000CF130000}"/>
    <cellStyle name="Normal 2 2 6 25" xfId="5060" xr:uid="{00000000-0005-0000-0000-0000D0130000}"/>
    <cellStyle name="Normal 2 2 6 26" xfId="5061" xr:uid="{00000000-0005-0000-0000-0000D1130000}"/>
    <cellStyle name="Normal 2 2 6 27" xfId="5062" xr:uid="{00000000-0005-0000-0000-0000D2130000}"/>
    <cellStyle name="Normal 2 2 6 28" xfId="5063" xr:uid="{00000000-0005-0000-0000-0000D3130000}"/>
    <cellStyle name="Normal 2 2 6 29" xfId="5064" xr:uid="{00000000-0005-0000-0000-0000D4130000}"/>
    <cellStyle name="Normal 2 2 6 3" xfId="5065" xr:uid="{00000000-0005-0000-0000-0000D5130000}"/>
    <cellStyle name="Normal 2 2 6 3 2" xfId="5066" xr:uid="{00000000-0005-0000-0000-0000D6130000}"/>
    <cellStyle name="Normal 2 2 6 3 3" xfId="5067" xr:uid="{00000000-0005-0000-0000-0000D7130000}"/>
    <cellStyle name="Normal 2 2 6 30" xfId="5068" xr:uid="{00000000-0005-0000-0000-0000D8130000}"/>
    <cellStyle name="Normal 2 2 6 31" xfId="5069" xr:uid="{00000000-0005-0000-0000-0000D9130000}"/>
    <cellStyle name="Normal 2 2 6 32" xfId="5070" xr:uid="{00000000-0005-0000-0000-0000DA130000}"/>
    <cellStyle name="Normal 2 2 6 33" xfId="5071" xr:uid="{00000000-0005-0000-0000-0000DB130000}"/>
    <cellStyle name="Normal 2 2 6 34" xfId="5072" xr:uid="{00000000-0005-0000-0000-0000DC130000}"/>
    <cellStyle name="Normal 2 2 6 35" xfId="5073" xr:uid="{00000000-0005-0000-0000-0000DD130000}"/>
    <cellStyle name="Normal 2 2 6 36" xfId="5074" xr:uid="{00000000-0005-0000-0000-0000DE130000}"/>
    <cellStyle name="Normal 2 2 6 37" xfId="5075" xr:uid="{00000000-0005-0000-0000-0000DF130000}"/>
    <cellStyle name="Normal 2 2 6 38" xfId="5076" xr:uid="{00000000-0005-0000-0000-0000E0130000}"/>
    <cellStyle name="Normal 2 2 6 39" xfId="5077" xr:uid="{00000000-0005-0000-0000-0000E1130000}"/>
    <cellStyle name="Normal 2 2 6 4" xfId="5078" xr:uid="{00000000-0005-0000-0000-0000E2130000}"/>
    <cellStyle name="Normal 2 2 6 40" xfId="5079" xr:uid="{00000000-0005-0000-0000-0000E3130000}"/>
    <cellStyle name="Normal 2 2 6 41" xfId="5080" xr:uid="{00000000-0005-0000-0000-0000E4130000}"/>
    <cellStyle name="Normal 2 2 6 42" xfId="5081" xr:uid="{00000000-0005-0000-0000-0000E5130000}"/>
    <cellStyle name="Normal 2 2 6 5" xfId="5082" xr:uid="{00000000-0005-0000-0000-0000E6130000}"/>
    <cellStyle name="Normal 2 2 6 6" xfId="5083" xr:uid="{00000000-0005-0000-0000-0000E7130000}"/>
    <cellStyle name="Normal 2 2 6 7" xfId="5084" xr:uid="{00000000-0005-0000-0000-0000E8130000}"/>
    <cellStyle name="Normal 2 2 6 8" xfId="5085" xr:uid="{00000000-0005-0000-0000-0000E9130000}"/>
    <cellStyle name="Normal 2 2 6 9" xfId="5086" xr:uid="{00000000-0005-0000-0000-0000EA130000}"/>
    <cellStyle name="Normal 2 2 60" xfId="5087" xr:uid="{00000000-0005-0000-0000-0000EB130000}"/>
    <cellStyle name="Normal 2 2 60 2" xfId="5088" xr:uid="{00000000-0005-0000-0000-0000EC130000}"/>
    <cellStyle name="Normal 2 2 60 2 2" xfId="5089" xr:uid="{00000000-0005-0000-0000-0000ED130000}"/>
    <cellStyle name="Normal 2 2 60 3" xfId="5090" xr:uid="{00000000-0005-0000-0000-0000EE130000}"/>
    <cellStyle name="Normal 2 2 61" xfId="5091" xr:uid="{00000000-0005-0000-0000-0000EF130000}"/>
    <cellStyle name="Normal 2 2 61 2" xfId="5092" xr:uid="{00000000-0005-0000-0000-0000F0130000}"/>
    <cellStyle name="Normal 2 2 61 2 2" xfId="5093" xr:uid="{00000000-0005-0000-0000-0000F1130000}"/>
    <cellStyle name="Normal 2 2 61 3" xfId="5094" xr:uid="{00000000-0005-0000-0000-0000F2130000}"/>
    <cellStyle name="Normal 2 2 62" xfId="5095" xr:uid="{00000000-0005-0000-0000-0000F3130000}"/>
    <cellStyle name="Normal 2 2 62 2" xfId="5096" xr:uid="{00000000-0005-0000-0000-0000F4130000}"/>
    <cellStyle name="Normal 2 2 62 2 2" xfId="5097" xr:uid="{00000000-0005-0000-0000-0000F5130000}"/>
    <cellStyle name="Normal 2 2 62 3" xfId="5098" xr:uid="{00000000-0005-0000-0000-0000F6130000}"/>
    <cellStyle name="Normal 2 2 63" xfId="5099" xr:uid="{00000000-0005-0000-0000-0000F7130000}"/>
    <cellStyle name="Normal 2 2 63 2" xfId="5100" xr:uid="{00000000-0005-0000-0000-0000F8130000}"/>
    <cellStyle name="Normal 2 2 63 2 2" xfId="5101" xr:uid="{00000000-0005-0000-0000-0000F9130000}"/>
    <cellStyle name="Normal 2 2 63 3" xfId="5102" xr:uid="{00000000-0005-0000-0000-0000FA130000}"/>
    <cellStyle name="Normal 2 2 64" xfId="5103" xr:uid="{00000000-0005-0000-0000-0000FB130000}"/>
    <cellStyle name="Normal 2 2 64 2" xfId="5104" xr:uid="{00000000-0005-0000-0000-0000FC130000}"/>
    <cellStyle name="Normal 2 2 64 2 2" xfId="5105" xr:uid="{00000000-0005-0000-0000-0000FD130000}"/>
    <cellStyle name="Normal 2 2 64 3" xfId="5106" xr:uid="{00000000-0005-0000-0000-0000FE130000}"/>
    <cellStyle name="Normal 2 2 65" xfId="5107" xr:uid="{00000000-0005-0000-0000-0000FF130000}"/>
    <cellStyle name="Normal 2 2 65 2" xfId="5108" xr:uid="{00000000-0005-0000-0000-000000140000}"/>
    <cellStyle name="Normal 2 2 66" xfId="5109" xr:uid="{00000000-0005-0000-0000-000001140000}"/>
    <cellStyle name="Normal 2 2 66 2" xfId="5110" xr:uid="{00000000-0005-0000-0000-000002140000}"/>
    <cellStyle name="Normal 2 2 67" xfId="5111" xr:uid="{00000000-0005-0000-0000-000003140000}"/>
    <cellStyle name="Normal 2 2 67 2" xfId="5112" xr:uid="{00000000-0005-0000-0000-000004140000}"/>
    <cellStyle name="Normal 2 2 68" xfId="5113" xr:uid="{00000000-0005-0000-0000-000005140000}"/>
    <cellStyle name="Normal 2 2 68 2" xfId="5114" xr:uid="{00000000-0005-0000-0000-000006140000}"/>
    <cellStyle name="Normal 2 2 69" xfId="5115" xr:uid="{00000000-0005-0000-0000-000007140000}"/>
    <cellStyle name="Normal 2 2 69 2" xfId="5116" xr:uid="{00000000-0005-0000-0000-000008140000}"/>
    <cellStyle name="Normal 2 2 7" xfId="5117" xr:uid="{00000000-0005-0000-0000-000009140000}"/>
    <cellStyle name="Normal 2 2 7 10" xfId="5118" xr:uid="{00000000-0005-0000-0000-00000A140000}"/>
    <cellStyle name="Normal 2 2 7 11" xfId="5119" xr:uid="{00000000-0005-0000-0000-00000B140000}"/>
    <cellStyle name="Normal 2 2 7 12" xfId="5120" xr:uid="{00000000-0005-0000-0000-00000C140000}"/>
    <cellStyle name="Normal 2 2 7 13" xfId="5121" xr:uid="{00000000-0005-0000-0000-00000D140000}"/>
    <cellStyle name="Normal 2 2 7 14" xfId="5122" xr:uid="{00000000-0005-0000-0000-00000E140000}"/>
    <cellStyle name="Normal 2 2 7 15" xfId="5123" xr:uid="{00000000-0005-0000-0000-00000F140000}"/>
    <cellStyle name="Normal 2 2 7 16" xfId="5124" xr:uid="{00000000-0005-0000-0000-000010140000}"/>
    <cellStyle name="Normal 2 2 7 17" xfId="5125" xr:uid="{00000000-0005-0000-0000-000011140000}"/>
    <cellStyle name="Normal 2 2 7 18" xfId="5126" xr:uid="{00000000-0005-0000-0000-000012140000}"/>
    <cellStyle name="Normal 2 2 7 19" xfId="5127" xr:uid="{00000000-0005-0000-0000-000013140000}"/>
    <cellStyle name="Normal 2 2 7 2" xfId="5128" xr:uid="{00000000-0005-0000-0000-000014140000}"/>
    <cellStyle name="Normal 2 2 7 2 2" xfId="5129" xr:uid="{00000000-0005-0000-0000-000015140000}"/>
    <cellStyle name="Normal 2 2 7 20" xfId="5130" xr:uid="{00000000-0005-0000-0000-000016140000}"/>
    <cellStyle name="Normal 2 2 7 21" xfId="5131" xr:uid="{00000000-0005-0000-0000-000017140000}"/>
    <cellStyle name="Normal 2 2 7 22" xfId="5132" xr:uid="{00000000-0005-0000-0000-000018140000}"/>
    <cellStyle name="Normal 2 2 7 3" xfId="5133" xr:uid="{00000000-0005-0000-0000-000019140000}"/>
    <cellStyle name="Normal 2 2 7 3 2" xfId="5134" xr:uid="{00000000-0005-0000-0000-00001A140000}"/>
    <cellStyle name="Normal 2 2 7 3 3" xfId="5135" xr:uid="{00000000-0005-0000-0000-00001B140000}"/>
    <cellStyle name="Normal 2 2 7 4" xfId="5136" xr:uid="{00000000-0005-0000-0000-00001C140000}"/>
    <cellStyle name="Normal 2 2 7 5" xfId="5137" xr:uid="{00000000-0005-0000-0000-00001D140000}"/>
    <cellStyle name="Normal 2 2 7 6" xfId="5138" xr:uid="{00000000-0005-0000-0000-00001E140000}"/>
    <cellStyle name="Normal 2 2 7 7" xfId="5139" xr:uid="{00000000-0005-0000-0000-00001F140000}"/>
    <cellStyle name="Normal 2 2 7 8" xfId="5140" xr:uid="{00000000-0005-0000-0000-000020140000}"/>
    <cellStyle name="Normal 2 2 7 9" xfId="5141" xr:uid="{00000000-0005-0000-0000-000021140000}"/>
    <cellStyle name="Normal 2 2 70" xfId="5142" xr:uid="{00000000-0005-0000-0000-000022140000}"/>
    <cellStyle name="Normal 2 2 70 2" xfId="5143" xr:uid="{00000000-0005-0000-0000-000023140000}"/>
    <cellStyle name="Normal 2 2 71" xfId="5144" xr:uid="{00000000-0005-0000-0000-000024140000}"/>
    <cellStyle name="Normal 2 2 71 2" xfId="5145" xr:uid="{00000000-0005-0000-0000-000025140000}"/>
    <cellStyle name="Normal 2 2 72" xfId="5146" xr:uid="{00000000-0005-0000-0000-000026140000}"/>
    <cellStyle name="Normal 2 2 72 2" xfId="5147" xr:uid="{00000000-0005-0000-0000-000027140000}"/>
    <cellStyle name="Normal 2 2 73" xfId="5148" xr:uid="{00000000-0005-0000-0000-000028140000}"/>
    <cellStyle name="Normal 2 2 73 2" xfId="5149" xr:uid="{00000000-0005-0000-0000-000029140000}"/>
    <cellStyle name="Normal 2 2 74" xfId="5150" xr:uid="{00000000-0005-0000-0000-00002A140000}"/>
    <cellStyle name="Normal 2 2 74 2" xfId="5151" xr:uid="{00000000-0005-0000-0000-00002B140000}"/>
    <cellStyle name="Normal 2 2 75" xfId="5152" xr:uid="{00000000-0005-0000-0000-00002C140000}"/>
    <cellStyle name="Normal 2 2 75 2" xfId="5153" xr:uid="{00000000-0005-0000-0000-00002D140000}"/>
    <cellStyle name="Normal 2 2 76" xfId="5154" xr:uid="{00000000-0005-0000-0000-00002E140000}"/>
    <cellStyle name="Normal 2 2 76 2" xfId="5155" xr:uid="{00000000-0005-0000-0000-00002F140000}"/>
    <cellStyle name="Normal 2 2 77" xfId="5156" xr:uid="{00000000-0005-0000-0000-000030140000}"/>
    <cellStyle name="Normal 2 2 77 2" xfId="5157" xr:uid="{00000000-0005-0000-0000-000031140000}"/>
    <cellStyle name="Normal 2 2 78" xfId="5158" xr:uid="{00000000-0005-0000-0000-000032140000}"/>
    <cellStyle name="Normal 2 2 78 2" xfId="5159" xr:uid="{00000000-0005-0000-0000-000033140000}"/>
    <cellStyle name="Normal 2 2 79" xfId="5160" xr:uid="{00000000-0005-0000-0000-000034140000}"/>
    <cellStyle name="Normal 2 2 79 2" xfId="5161" xr:uid="{00000000-0005-0000-0000-000035140000}"/>
    <cellStyle name="Normal 2 2 8" xfId="5162" xr:uid="{00000000-0005-0000-0000-000036140000}"/>
    <cellStyle name="Normal 2 2 8 2" xfId="5163" xr:uid="{00000000-0005-0000-0000-000037140000}"/>
    <cellStyle name="Normal 2 2 8 2 2" xfId="5164" xr:uid="{00000000-0005-0000-0000-000038140000}"/>
    <cellStyle name="Normal 2 2 8 2 3" xfId="5165" xr:uid="{00000000-0005-0000-0000-000039140000}"/>
    <cellStyle name="Normal 2 2 8 3" xfId="5166" xr:uid="{00000000-0005-0000-0000-00003A140000}"/>
    <cellStyle name="Normal 2 2 8 4" xfId="5167" xr:uid="{00000000-0005-0000-0000-00003B140000}"/>
    <cellStyle name="Normal 2 2 8 5" xfId="5168" xr:uid="{00000000-0005-0000-0000-00003C140000}"/>
    <cellStyle name="Normal 2 2 80" xfId="5169" xr:uid="{00000000-0005-0000-0000-00003D140000}"/>
    <cellStyle name="Normal 2 2 80 2" xfId="5170" xr:uid="{00000000-0005-0000-0000-00003E140000}"/>
    <cellStyle name="Normal 2 2 81" xfId="5171" xr:uid="{00000000-0005-0000-0000-00003F140000}"/>
    <cellStyle name="Normal 2 2 81 2" xfId="5172" xr:uid="{00000000-0005-0000-0000-000040140000}"/>
    <cellStyle name="Normal 2 2 82" xfId="5173" xr:uid="{00000000-0005-0000-0000-000041140000}"/>
    <cellStyle name="Normal 2 2 82 2" xfId="5174" xr:uid="{00000000-0005-0000-0000-000042140000}"/>
    <cellStyle name="Normal 2 2 83" xfId="5175" xr:uid="{00000000-0005-0000-0000-000043140000}"/>
    <cellStyle name="Normal 2 2 83 2" xfId="5176" xr:uid="{00000000-0005-0000-0000-000044140000}"/>
    <cellStyle name="Normal 2 2 84" xfId="5177" xr:uid="{00000000-0005-0000-0000-000045140000}"/>
    <cellStyle name="Normal 2 2 84 2" xfId="5178" xr:uid="{00000000-0005-0000-0000-000046140000}"/>
    <cellStyle name="Normal 2 2 85" xfId="5179" xr:uid="{00000000-0005-0000-0000-000047140000}"/>
    <cellStyle name="Normal 2 2 85 2" xfId="5180" xr:uid="{00000000-0005-0000-0000-000048140000}"/>
    <cellStyle name="Normal 2 2 86" xfId="5181" xr:uid="{00000000-0005-0000-0000-000049140000}"/>
    <cellStyle name="Normal 2 2 86 2" xfId="5182" xr:uid="{00000000-0005-0000-0000-00004A140000}"/>
    <cellStyle name="Normal 2 2 87" xfId="5183" xr:uid="{00000000-0005-0000-0000-00004B140000}"/>
    <cellStyle name="Normal 2 2 87 2" xfId="5184" xr:uid="{00000000-0005-0000-0000-00004C140000}"/>
    <cellStyle name="Normal 2 2 88" xfId="5185" xr:uid="{00000000-0005-0000-0000-00004D140000}"/>
    <cellStyle name="Normal 2 2 88 2" xfId="5186" xr:uid="{00000000-0005-0000-0000-00004E140000}"/>
    <cellStyle name="Normal 2 2 89" xfId="5187" xr:uid="{00000000-0005-0000-0000-00004F140000}"/>
    <cellStyle name="Normal 2 2 89 2" xfId="5188" xr:uid="{00000000-0005-0000-0000-000050140000}"/>
    <cellStyle name="Normal 2 2 9" xfId="5189" xr:uid="{00000000-0005-0000-0000-000051140000}"/>
    <cellStyle name="Normal 2 2 9 2" xfId="5190" xr:uid="{00000000-0005-0000-0000-000052140000}"/>
    <cellStyle name="Normal 2 2 9 2 2" xfId="5191" xr:uid="{00000000-0005-0000-0000-000053140000}"/>
    <cellStyle name="Normal 2 2 9 3" xfId="5192" xr:uid="{00000000-0005-0000-0000-000054140000}"/>
    <cellStyle name="Normal 2 2 90" xfId="5193" xr:uid="{00000000-0005-0000-0000-000055140000}"/>
    <cellStyle name="Normal 2 2 90 2" xfId="5194" xr:uid="{00000000-0005-0000-0000-000056140000}"/>
    <cellStyle name="Normal 2 2 91" xfId="5195" xr:uid="{00000000-0005-0000-0000-000057140000}"/>
    <cellStyle name="Normal 2 2 91 2" xfId="5196" xr:uid="{00000000-0005-0000-0000-000058140000}"/>
    <cellStyle name="Normal 2 2 92" xfId="5197" xr:uid="{00000000-0005-0000-0000-000059140000}"/>
    <cellStyle name="Normal 2 2 92 2" xfId="5198" xr:uid="{00000000-0005-0000-0000-00005A140000}"/>
    <cellStyle name="Normal 2 2 93" xfId="5199" xr:uid="{00000000-0005-0000-0000-00005B140000}"/>
    <cellStyle name="Normal 2 2 93 2" xfId="5200" xr:uid="{00000000-0005-0000-0000-00005C140000}"/>
    <cellStyle name="Normal 2 2 94" xfId="5201" xr:uid="{00000000-0005-0000-0000-00005D140000}"/>
    <cellStyle name="Normal 2 2 94 2" xfId="5202" xr:uid="{00000000-0005-0000-0000-00005E140000}"/>
    <cellStyle name="Normal 2 2 95" xfId="5203" xr:uid="{00000000-0005-0000-0000-00005F140000}"/>
    <cellStyle name="Normal 2 2 95 2" xfId="5204" xr:uid="{00000000-0005-0000-0000-000060140000}"/>
    <cellStyle name="Normal 2 2 96" xfId="5205" xr:uid="{00000000-0005-0000-0000-000061140000}"/>
    <cellStyle name="Normal 2 2 96 2" xfId="5206" xr:uid="{00000000-0005-0000-0000-000062140000}"/>
    <cellStyle name="Normal 2 2 97" xfId="5207" xr:uid="{00000000-0005-0000-0000-000063140000}"/>
    <cellStyle name="Normal 2 2 97 2" xfId="5208" xr:uid="{00000000-0005-0000-0000-000064140000}"/>
    <cellStyle name="Normal 2 2 98" xfId="5209" xr:uid="{00000000-0005-0000-0000-000065140000}"/>
    <cellStyle name="Normal 2 2 98 2" xfId="5210" xr:uid="{00000000-0005-0000-0000-000066140000}"/>
    <cellStyle name="Normal 2 2 99" xfId="5211" xr:uid="{00000000-0005-0000-0000-000067140000}"/>
    <cellStyle name="Normal 2 2 99 2" xfId="5212" xr:uid="{00000000-0005-0000-0000-000068140000}"/>
    <cellStyle name="Normal 2 20" xfId="5213" xr:uid="{00000000-0005-0000-0000-000069140000}"/>
    <cellStyle name="Normal 2 20 2" xfId="5214" xr:uid="{00000000-0005-0000-0000-00006A140000}"/>
    <cellStyle name="Normal 2 20 2 2" xfId="5215" xr:uid="{00000000-0005-0000-0000-00006B140000}"/>
    <cellStyle name="Normal 2 20 3" xfId="5216" xr:uid="{00000000-0005-0000-0000-00006C140000}"/>
    <cellStyle name="Normal 2 21" xfId="5217" xr:uid="{00000000-0005-0000-0000-00006D140000}"/>
    <cellStyle name="Normal 2 21 2" xfId="5218" xr:uid="{00000000-0005-0000-0000-00006E140000}"/>
    <cellStyle name="Normal 2 21 2 2" xfId="5219" xr:uid="{00000000-0005-0000-0000-00006F140000}"/>
    <cellStyle name="Normal 2 21 3" xfId="5220" xr:uid="{00000000-0005-0000-0000-000070140000}"/>
    <cellStyle name="Normal 2 22" xfId="5221" xr:uid="{00000000-0005-0000-0000-000071140000}"/>
    <cellStyle name="Normal 2 22 2" xfId="5222" xr:uid="{00000000-0005-0000-0000-000072140000}"/>
    <cellStyle name="Normal 2 22 2 2" xfId="5223" xr:uid="{00000000-0005-0000-0000-000073140000}"/>
    <cellStyle name="Normal 2 22 3" xfId="5224" xr:uid="{00000000-0005-0000-0000-000074140000}"/>
    <cellStyle name="Normal 2 23" xfId="5225" xr:uid="{00000000-0005-0000-0000-000075140000}"/>
    <cellStyle name="Normal 2 23 2" xfId="5226" xr:uid="{00000000-0005-0000-0000-000076140000}"/>
    <cellStyle name="Normal 2 23 2 2" xfId="5227" xr:uid="{00000000-0005-0000-0000-000077140000}"/>
    <cellStyle name="Normal 2 23 3" xfId="5228" xr:uid="{00000000-0005-0000-0000-000078140000}"/>
    <cellStyle name="Normal 2 24" xfId="5229" xr:uid="{00000000-0005-0000-0000-000079140000}"/>
    <cellStyle name="Normal 2 24 2" xfId="5230" xr:uid="{00000000-0005-0000-0000-00007A140000}"/>
    <cellStyle name="Normal 2 24 2 2" xfId="5231" xr:uid="{00000000-0005-0000-0000-00007B140000}"/>
    <cellStyle name="Normal 2 24 3" xfId="5232" xr:uid="{00000000-0005-0000-0000-00007C140000}"/>
    <cellStyle name="Normal 2 25" xfId="5233" xr:uid="{00000000-0005-0000-0000-00007D140000}"/>
    <cellStyle name="Normal 2 25 2" xfId="5234" xr:uid="{00000000-0005-0000-0000-00007E140000}"/>
    <cellStyle name="Normal 2 25 2 2" xfId="5235" xr:uid="{00000000-0005-0000-0000-00007F140000}"/>
    <cellStyle name="Normal 2 25 3" xfId="5236" xr:uid="{00000000-0005-0000-0000-000080140000}"/>
    <cellStyle name="Normal 2 26" xfId="5237" xr:uid="{00000000-0005-0000-0000-000081140000}"/>
    <cellStyle name="Normal 2 26 2" xfId="5238" xr:uid="{00000000-0005-0000-0000-000082140000}"/>
    <cellStyle name="Normal 2 26 2 2" xfId="5239" xr:uid="{00000000-0005-0000-0000-000083140000}"/>
    <cellStyle name="Normal 2 26 3" xfId="5240" xr:uid="{00000000-0005-0000-0000-000084140000}"/>
    <cellStyle name="Normal 2 27" xfId="5241" xr:uid="{00000000-0005-0000-0000-000085140000}"/>
    <cellStyle name="Normal 2 27 2" xfId="5242" xr:uid="{00000000-0005-0000-0000-000086140000}"/>
    <cellStyle name="Normal 2 27 2 2" xfId="5243" xr:uid="{00000000-0005-0000-0000-000087140000}"/>
    <cellStyle name="Normal 2 27 3" xfId="5244" xr:uid="{00000000-0005-0000-0000-000088140000}"/>
    <cellStyle name="Normal 2 28" xfId="5245" xr:uid="{00000000-0005-0000-0000-000089140000}"/>
    <cellStyle name="Normal 2 28 2" xfId="5246" xr:uid="{00000000-0005-0000-0000-00008A140000}"/>
    <cellStyle name="Normal 2 28 2 2" xfId="5247" xr:uid="{00000000-0005-0000-0000-00008B140000}"/>
    <cellStyle name="Normal 2 28 3" xfId="5248" xr:uid="{00000000-0005-0000-0000-00008C140000}"/>
    <cellStyle name="Normal 2 29" xfId="5249" xr:uid="{00000000-0005-0000-0000-00008D140000}"/>
    <cellStyle name="Normal 2 29 2" xfId="5250" xr:uid="{00000000-0005-0000-0000-00008E140000}"/>
    <cellStyle name="Normal 2 29 2 2" xfId="5251" xr:uid="{00000000-0005-0000-0000-00008F140000}"/>
    <cellStyle name="Normal 2 29 3" xfId="5252" xr:uid="{00000000-0005-0000-0000-000090140000}"/>
    <cellStyle name="Normal 2 3" xfId="16" xr:uid="{00000000-0005-0000-0000-000091140000}"/>
    <cellStyle name="Normal 2 3 10" xfId="5253" xr:uid="{00000000-0005-0000-0000-000092140000}"/>
    <cellStyle name="Normal 2 3 100" xfId="5254" xr:uid="{00000000-0005-0000-0000-000093140000}"/>
    <cellStyle name="Normal 2 3 101" xfId="5255" xr:uid="{00000000-0005-0000-0000-000094140000}"/>
    <cellStyle name="Normal 2 3 102" xfId="5256" xr:uid="{00000000-0005-0000-0000-000095140000}"/>
    <cellStyle name="Normal 2 3 103" xfId="5257" xr:uid="{00000000-0005-0000-0000-000096140000}"/>
    <cellStyle name="Normal 2 3 104" xfId="5258" xr:uid="{00000000-0005-0000-0000-000097140000}"/>
    <cellStyle name="Normal 2 3 105" xfId="5259" xr:uid="{00000000-0005-0000-0000-000098140000}"/>
    <cellStyle name="Normal 2 3 106" xfId="5260" xr:uid="{00000000-0005-0000-0000-000099140000}"/>
    <cellStyle name="Normal 2 3 107" xfId="5261" xr:uid="{00000000-0005-0000-0000-00009A140000}"/>
    <cellStyle name="Normal 2 3 108" xfId="5262" xr:uid="{00000000-0005-0000-0000-00009B140000}"/>
    <cellStyle name="Normal 2 3 109" xfId="5263" xr:uid="{00000000-0005-0000-0000-00009C140000}"/>
    <cellStyle name="Normal 2 3 11" xfId="5264" xr:uid="{00000000-0005-0000-0000-00009D140000}"/>
    <cellStyle name="Normal 2 3 110" xfId="5265" xr:uid="{00000000-0005-0000-0000-00009E140000}"/>
    <cellStyle name="Normal 2 3 111" xfId="5266" xr:uid="{00000000-0005-0000-0000-00009F140000}"/>
    <cellStyle name="Normal 2 3 112" xfId="5267" xr:uid="{00000000-0005-0000-0000-0000A0140000}"/>
    <cellStyle name="Normal 2 3 113" xfId="5268" xr:uid="{00000000-0005-0000-0000-0000A1140000}"/>
    <cellStyle name="Normal 2 3 114" xfId="5269" xr:uid="{00000000-0005-0000-0000-0000A2140000}"/>
    <cellStyle name="Normal 2 3 115" xfId="5270" xr:uid="{00000000-0005-0000-0000-0000A3140000}"/>
    <cellStyle name="Normal 2 3 116" xfId="5271" xr:uid="{00000000-0005-0000-0000-0000A4140000}"/>
    <cellStyle name="Normal 2 3 117" xfId="5272" xr:uid="{00000000-0005-0000-0000-0000A5140000}"/>
    <cellStyle name="Normal 2 3 118" xfId="5273" xr:uid="{00000000-0005-0000-0000-0000A6140000}"/>
    <cellStyle name="Normal 2 3 119" xfId="5274" xr:uid="{00000000-0005-0000-0000-0000A7140000}"/>
    <cellStyle name="Normal 2 3 12" xfId="5275" xr:uid="{00000000-0005-0000-0000-0000A8140000}"/>
    <cellStyle name="Normal 2 3 120" xfId="5276" xr:uid="{00000000-0005-0000-0000-0000A9140000}"/>
    <cellStyle name="Normal 2 3 121" xfId="5277" xr:uid="{00000000-0005-0000-0000-0000AA140000}"/>
    <cellStyle name="Normal 2 3 122" xfId="5278" xr:uid="{00000000-0005-0000-0000-0000AB140000}"/>
    <cellStyle name="Normal 2 3 123" xfId="5279" xr:uid="{00000000-0005-0000-0000-0000AC140000}"/>
    <cellStyle name="Normal 2 3 124" xfId="5280" xr:uid="{00000000-0005-0000-0000-0000AD140000}"/>
    <cellStyle name="Normal 2 3 125" xfId="5281" xr:uid="{00000000-0005-0000-0000-0000AE140000}"/>
    <cellStyle name="Normal 2 3 126" xfId="5282" xr:uid="{00000000-0005-0000-0000-0000AF140000}"/>
    <cellStyle name="Normal 2 3 127" xfId="5283" xr:uid="{00000000-0005-0000-0000-0000B0140000}"/>
    <cellStyle name="Normal 2 3 128" xfId="5284" xr:uid="{00000000-0005-0000-0000-0000B1140000}"/>
    <cellStyle name="Normal 2 3 129" xfId="5285" xr:uid="{00000000-0005-0000-0000-0000B2140000}"/>
    <cellStyle name="Normal 2 3 13" xfId="5286" xr:uid="{00000000-0005-0000-0000-0000B3140000}"/>
    <cellStyle name="Normal 2 3 130" xfId="5287" xr:uid="{00000000-0005-0000-0000-0000B4140000}"/>
    <cellStyle name="Normal 2 3 131" xfId="5288" xr:uid="{00000000-0005-0000-0000-0000B5140000}"/>
    <cellStyle name="Normal 2 3 132" xfId="5289" xr:uid="{00000000-0005-0000-0000-0000B6140000}"/>
    <cellStyle name="Normal 2 3 133" xfId="5290" xr:uid="{00000000-0005-0000-0000-0000B7140000}"/>
    <cellStyle name="Normal 2 3 134" xfId="5291" xr:uid="{00000000-0005-0000-0000-0000B8140000}"/>
    <cellStyle name="Normal 2 3 135" xfId="5292" xr:uid="{00000000-0005-0000-0000-0000B9140000}"/>
    <cellStyle name="Normal 2 3 136" xfId="5293" xr:uid="{00000000-0005-0000-0000-0000BA140000}"/>
    <cellStyle name="Normal 2 3 137" xfId="5294" xr:uid="{00000000-0005-0000-0000-0000BB140000}"/>
    <cellStyle name="Normal 2 3 138" xfId="5295" xr:uid="{00000000-0005-0000-0000-0000BC140000}"/>
    <cellStyle name="Normal 2 3 139" xfId="5296" xr:uid="{00000000-0005-0000-0000-0000BD140000}"/>
    <cellStyle name="Normal 2 3 14" xfId="5297" xr:uid="{00000000-0005-0000-0000-0000BE140000}"/>
    <cellStyle name="Normal 2 3 140" xfId="5298" xr:uid="{00000000-0005-0000-0000-0000BF140000}"/>
    <cellStyle name="Normal 2 3 141" xfId="5299" xr:uid="{00000000-0005-0000-0000-0000C0140000}"/>
    <cellStyle name="Normal 2 3 142" xfId="5300" xr:uid="{00000000-0005-0000-0000-0000C1140000}"/>
    <cellStyle name="Normal 2 3 143" xfId="5301" xr:uid="{00000000-0005-0000-0000-0000C2140000}"/>
    <cellStyle name="Normal 2 3 144" xfId="5302" xr:uid="{00000000-0005-0000-0000-0000C3140000}"/>
    <cellStyle name="Normal 2 3 15" xfId="5303" xr:uid="{00000000-0005-0000-0000-0000C4140000}"/>
    <cellStyle name="Normal 2 3 16" xfId="5304" xr:uid="{00000000-0005-0000-0000-0000C5140000}"/>
    <cellStyle name="Normal 2 3 17" xfId="5305" xr:uid="{00000000-0005-0000-0000-0000C6140000}"/>
    <cellStyle name="Normal 2 3 18" xfId="5306" xr:uid="{00000000-0005-0000-0000-0000C7140000}"/>
    <cellStyle name="Normal 2 3 19" xfId="5307" xr:uid="{00000000-0005-0000-0000-0000C8140000}"/>
    <cellStyle name="Normal 2 3 2" xfId="5308" xr:uid="{00000000-0005-0000-0000-0000C9140000}"/>
    <cellStyle name="Normal 2 3 2 2" xfId="5309" xr:uid="{00000000-0005-0000-0000-0000CA140000}"/>
    <cellStyle name="Normal 2 3 2 2 10" xfId="5310" xr:uid="{00000000-0005-0000-0000-0000CB140000}"/>
    <cellStyle name="Normal 2 3 2 2 2" xfId="5311" xr:uid="{00000000-0005-0000-0000-0000CC140000}"/>
    <cellStyle name="Normal 2 3 2 2 3" xfId="5312" xr:uid="{00000000-0005-0000-0000-0000CD140000}"/>
    <cellStyle name="Normal 2 3 2 2 4" xfId="5313" xr:uid="{00000000-0005-0000-0000-0000CE140000}"/>
    <cellStyle name="Normal 2 3 2 2 5" xfId="5314" xr:uid="{00000000-0005-0000-0000-0000CF140000}"/>
    <cellStyle name="Normal 2 3 2 2 6" xfId="5315" xr:uid="{00000000-0005-0000-0000-0000D0140000}"/>
    <cellStyle name="Normal 2 3 2 2 7" xfId="5316" xr:uid="{00000000-0005-0000-0000-0000D1140000}"/>
    <cellStyle name="Normal 2 3 2 2 8" xfId="5317" xr:uid="{00000000-0005-0000-0000-0000D2140000}"/>
    <cellStyle name="Normal 2 3 2 2 9" xfId="5318" xr:uid="{00000000-0005-0000-0000-0000D3140000}"/>
    <cellStyle name="Normal 2 3 2 3" xfId="5319" xr:uid="{00000000-0005-0000-0000-0000D4140000}"/>
    <cellStyle name="Normal 2 3 2 3 2" xfId="5320" xr:uid="{00000000-0005-0000-0000-0000D5140000}"/>
    <cellStyle name="Normal 2 3 2 4" xfId="5321" xr:uid="{00000000-0005-0000-0000-0000D6140000}"/>
    <cellStyle name="Normal 2 3 2 4 2" xfId="5322" xr:uid="{00000000-0005-0000-0000-0000D7140000}"/>
    <cellStyle name="Normal 2 3 2 5" xfId="5323" xr:uid="{00000000-0005-0000-0000-0000D8140000}"/>
    <cellStyle name="Normal 2 3 2 5 2" xfId="5324" xr:uid="{00000000-0005-0000-0000-0000D9140000}"/>
    <cellStyle name="Normal 2 3 2 6" xfId="5325" xr:uid="{00000000-0005-0000-0000-0000DA140000}"/>
    <cellStyle name="Normal 2 3 2 6 2" xfId="5326" xr:uid="{00000000-0005-0000-0000-0000DB140000}"/>
    <cellStyle name="Normal 2 3 2 7" xfId="5327" xr:uid="{00000000-0005-0000-0000-0000DC140000}"/>
    <cellStyle name="Normal 2 3 2 7 2" xfId="5328" xr:uid="{00000000-0005-0000-0000-0000DD140000}"/>
    <cellStyle name="Normal 2 3 2 8" xfId="5329" xr:uid="{00000000-0005-0000-0000-0000DE140000}"/>
    <cellStyle name="Normal 2 3 2 8 2" xfId="5330" xr:uid="{00000000-0005-0000-0000-0000DF140000}"/>
    <cellStyle name="Normal 2 3 2 9" xfId="5331" xr:uid="{00000000-0005-0000-0000-0000E0140000}"/>
    <cellStyle name="Normal 2 3 2 9 2" xfId="5332" xr:uid="{00000000-0005-0000-0000-0000E1140000}"/>
    <cellStyle name="Normal 2 3 20" xfId="5333" xr:uid="{00000000-0005-0000-0000-0000E2140000}"/>
    <cellStyle name="Normal 2 3 21" xfId="5334" xr:uid="{00000000-0005-0000-0000-0000E3140000}"/>
    <cellStyle name="Normal 2 3 22" xfId="5335" xr:uid="{00000000-0005-0000-0000-0000E4140000}"/>
    <cellStyle name="Normal 2 3 23" xfId="5336" xr:uid="{00000000-0005-0000-0000-0000E5140000}"/>
    <cellStyle name="Normal 2 3 24" xfId="5337" xr:uid="{00000000-0005-0000-0000-0000E6140000}"/>
    <cellStyle name="Normal 2 3 25" xfId="5338" xr:uid="{00000000-0005-0000-0000-0000E7140000}"/>
    <cellStyle name="Normal 2 3 26" xfId="5339" xr:uid="{00000000-0005-0000-0000-0000E8140000}"/>
    <cellStyle name="Normal 2 3 27" xfId="5340" xr:uid="{00000000-0005-0000-0000-0000E9140000}"/>
    <cellStyle name="Normal 2 3 28" xfId="5341" xr:uid="{00000000-0005-0000-0000-0000EA140000}"/>
    <cellStyle name="Normal 2 3 29" xfId="5342" xr:uid="{00000000-0005-0000-0000-0000EB140000}"/>
    <cellStyle name="Normal 2 3 3" xfId="5343" xr:uid="{00000000-0005-0000-0000-0000EC140000}"/>
    <cellStyle name="Normal 2 3 3 2" xfId="5344" xr:uid="{00000000-0005-0000-0000-0000ED140000}"/>
    <cellStyle name="Normal 2 3 3 2 2" xfId="5345" xr:uid="{00000000-0005-0000-0000-0000EE140000}"/>
    <cellStyle name="Normal 2 3 3 2 3" xfId="5346" xr:uid="{00000000-0005-0000-0000-0000EF140000}"/>
    <cellStyle name="Normal 2 3 3 3" xfId="5347" xr:uid="{00000000-0005-0000-0000-0000F0140000}"/>
    <cellStyle name="Normal 2 3 3 4" xfId="5348" xr:uid="{00000000-0005-0000-0000-0000F1140000}"/>
    <cellStyle name="Normal 2 3 30" xfId="5349" xr:uid="{00000000-0005-0000-0000-0000F2140000}"/>
    <cellStyle name="Normal 2 3 31" xfId="5350" xr:uid="{00000000-0005-0000-0000-0000F3140000}"/>
    <cellStyle name="Normal 2 3 32" xfId="5351" xr:uid="{00000000-0005-0000-0000-0000F4140000}"/>
    <cellStyle name="Normal 2 3 33" xfId="5352" xr:uid="{00000000-0005-0000-0000-0000F5140000}"/>
    <cellStyle name="Normal 2 3 34" xfId="5353" xr:uid="{00000000-0005-0000-0000-0000F6140000}"/>
    <cellStyle name="Normal 2 3 35" xfId="5354" xr:uid="{00000000-0005-0000-0000-0000F7140000}"/>
    <cellStyle name="Normal 2 3 36" xfId="5355" xr:uid="{00000000-0005-0000-0000-0000F8140000}"/>
    <cellStyle name="Normal 2 3 37" xfId="5356" xr:uid="{00000000-0005-0000-0000-0000F9140000}"/>
    <cellStyle name="Normal 2 3 38" xfId="5357" xr:uid="{00000000-0005-0000-0000-0000FA140000}"/>
    <cellStyle name="Normal 2 3 39" xfId="5358" xr:uid="{00000000-0005-0000-0000-0000FB140000}"/>
    <cellStyle name="Normal 2 3 4" xfId="5359" xr:uid="{00000000-0005-0000-0000-0000FC140000}"/>
    <cellStyle name="Normal 2 3 4 2" xfId="5360" xr:uid="{00000000-0005-0000-0000-0000FD140000}"/>
    <cellStyle name="Normal 2 3 40" xfId="5361" xr:uid="{00000000-0005-0000-0000-0000FE140000}"/>
    <cellStyle name="Normal 2 3 41" xfId="5362" xr:uid="{00000000-0005-0000-0000-0000FF140000}"/>
    <cellStyle name="Normal 2 3 42" xfId="5363" xr:uid="{00000000-0005-0000-0000-000000150000}"/>
    <cellStyle name="Normal 2 3 43" xfId="5364" xr:uid="{00000000-0005-0000-0000-000001150000}"/>
    <cellStyle name="Normal 2 3 44" xfId="5365" xr:uid="{00000000-0005-0000-0000-000002150000}"/>
    <cellStyle name="Normal 2 3 45" xfId="5366" xr:uid="{00000000-0005-0000-0000-000003150000}"/>
    <cellStyle name="Normal 2 3 46" xfId="5367" xr:uid="{00000000-0005-0000-0000-000004150000}"/>
    <cellStyle name="Normal 2 3 47" xfId="5368" xr:uid="{00000000-0005-0000-0000-000005150000}"/>
    <cellStyle name="Normal 2 3 48" xfId="5369" xr:uid="{00000000-0005-0000-0000-000006150000}"/>
    <cellStyle name="Normal 2 3 49" xfId="5370" xr:uid="{00000000-0005-0000-0000-000007150000}"/>
    <cellStyle name="Normal 2 3 5" xfId="5371" xr:uid="{00000000-0005-0000-0000-000008150000}"/>
    <cellStyle name="Normal 2 3 50" xfId="5372" xr:uid="{00000000-0005-0000-0000-000009150000}"/>
    <cellStyle name="Normal 2 3 51" xfId="5373" xr:uid="{00000000-0005-0000-0000-00000A150000}"/>
    <cellStyle name="Normal 2 3 52" xfId="5374" xr:uid="{00000000-0005-0000-0000-00000B150000}"/>
    <cellStyle name="Normal 2 3 53" xfId="5375" xr:uid="{00000000-0005-0000-0000-00000C150000}"/>
    <cellStyle name="Normal 2 3 54" xfId="5376" xr:uid="{00000000-0005-0000-0000-00000D150000}"/>
    <cellStyle name="Normal 2 3 55" xfId="5377" xr:uid="{00000000-0005-0000-0000-00000E150000}"/>
    <cellStyle name="Normal 2 3 56" xfId="5378" xr:uid="{00000000-0005-0000-0000-00000F150000}"/>
    <cellStyle name="Normal 2 3 57" xfId="5379" xr:uid="{00000000-0005-0000-0000-000010150000}"/>
    <cellStyle name="Normal 2 3 58" xfId="5380" xr:uid="{00000000-0005-0000-0000-000011150000}"/>
    <cellStyle name="Normal 2 3 59" xfId="5381" xr:uid="{00000000-0005-0000-0000-000012150000}"/>
    <cellStyle name="Normal 2 3 6" xfId="5382" xr:uid="{00000000-0005-0000-0000-000013150000}"/>
    <cellStyle name="Normal 2 3 60" xfId="5383" xr:uid="{00000000-0005-0000-0000-000014150000}"/>
    <cellStyle name="Normal 2 3 61" xfId="5384" xr:uid="{00000000-0005-0000-0000-000015150000}"/>
    <cellStyle name="Normal 2 3 62" xfId="5385" xr:uid="{00000000-0005-0000-0000-000016150000}"/>
    <cellStyle name="Normal 2 3 63" xfId="5386" xr:uid="{00000000-0005-0000-0000-000017150000}"/>
    <cellStyle name="Normal 2 3 64" xfId="5387" xr:uid="{00000000-0005-0000-0000-000018150000}"/>
    <cellStyle name="Normal 2 3 65" xfId="5388" xr:uid="{00000000-0005-0000-0000-000019150000}"/>
    <cellStyle name="Normal 2 3 66" xfId="5389" xr:uid="{00000000-0005-0000-0000-00001A150000}"/>
    <cellStyle name="Normal 2 3 67" xfId="5390" xr:uid="{00000000-0005-0000-0000-00001B150000}"/>
    <cellStyle name="Normal 2 3 68" xfId="5391" xr:uid="{00000000-0005-0000-0000-00001C150000}"/>
    <cellStyle name="Normal 2 3 69" xfId="5392" xr:uid="{00000000-0005-0000-0000-00001D150000}"/>
    <cellStyle name="Normal 2 3 7" xfId="5393" xr:uid="{00000000-0005-0000-0000-00001E150000}"/>
    <cellStyle name="Normal 2 3 70" xfId="5394" xr:uid="{00000000-0005-0000-0000-00001F150000}"/>
    <cellStyle name="Normal 2 3 71" xfId="5395" xr:uid="{00000000-0005-0000-0000-000020150000}"/>
    <cellStyle name="Normal 2 3 72" xfId="5396" xr:uid="{00000000-0005-0000-0000-000021150000}"/>
    <cellStyle name="Normal 2 3 73" xfId="5397" xr:uid="{00000000-0005-0000-0000-000022150000}"/>
    <cellStyle name="Normal 2 3 74" xfId="5398" xr:uid="{00000000-0005-0000-0000-000023150000}"/>
    <cellStyle name="Normal 2 3 75" xfId="5399" xr:uid="{00000000-0005-0000-0000-000024150000}"/>
    <cellStyle name="Normal 2 3 76" xfId="5400" xr:uid="{00000000-0005-0000-0000-000025150000}"/>
    <cellStyle name="Normal 2 3 77" xfId="5401" xr:uid="{00000000-0005-0000-0000-000026150000}"/>
    <cellStyle name="Normal 2 3 78" xfId="5402" xr:uid="{00000000-0005-0000-0000-000027150000}"/>
    <cellStyle name="Normal 2 3 79" xfId="5403" xr:uid="{00000000-0005-0000-0000-000028150000}"/>
    <cellStyle name="Normal 2 3 8" xfId="5404" xr:uid="{00000000-0005-0000-0000-000029150000}"/>
    <cellStyle name="Normal 2 3 80" xfId="5405" xr:uid="{00000000-0005-0000-0000-00002A150000}"/>
    <cellStyle name="Normal 2 3 81" xfId="5406" xr:uid="{00000000-0005-0000-0000-00002B150000}"/>
    <cellStyle name="Normal 2 3 82" xfId="5407" xr:uid="{00000000-0005-0000-0000-00002C150000}"/>
    <cellStyle name="Normal 2 3 83" xfId="5408" xr:uid="{00000000-0005-0000-0000-00002D150000}"/>
    <cellStyle name="Normal 2 3 84" xfId="5409" xr:uid="{00000000-0005-0000-0000-00002E150000}"/>
    <cellStyle name="Normal 2 3 85" xfId="5410" xr:uid="{00000000-0005-0000-0000-00002F150000}"/>
    <cellStyle name="Normal 2 3 86" xfId="5411" xr:uid="{00000000-0005-0000-0000-000030150000}"/>
    <cellStyle name="Normal 2 3 87" xfId="5412" xr:uid="{00000000-0005-0000-0000-000031150000}"/>
    <cellStyle name="Normal 2 3 88" xfId="5413" xr:uid="{00000000-0005-0000-0000-000032150000}"/>
    <cellStyle name="Normal 2 3 89" xfId="5414" xr:uid="{00000000-0005-0000-0000-000033150000}"/>
    <cellStyle name="Normal 2 3 9" xfId="5415" xr:uid="{00000000-0005-0000-0000-000034150000}"/>
    <cellStyle name="Normal 2 3 90" xfId="5416" xr:uid="{00000000-0005-0000-0000-000035150000}"/>
    <cellStyle name="Normal 2 3 91" xfId="5417" xr:uid="{00000000-0005-0000-0000-000036150000}"/>
    <cellStyle name="Normal 2 3 92" xfId="5418" xr:uid="{00000000-0005-0000-0000-000037150000}"/>
    <cellStyle name="Normal 2 3 93" xfId="5419" xr:uid="{00000000-0005-0000-0000-000038150000}"/>
    <cellStyle name="Normal 2 3 94" xfId="5420" xr:uid="{00000000-0005-0000-0000-000039150000}"/>
    <cellStyle name="Normal 2 3 95" xfId="5421" xr:uid="{00000000-0005-0000-0000-00003A150000}"/>
    <cellStyle name="Normal 2 3 96" xfId="5422" xr:uid="{00000000-0005-0000-0000-00003B150000}"/>
    <cellStyle name="Normal 2 3 96 2" xfId="5423" xr:uid="{00000000-0005-0000-0000-00003C150000}"/>
    <cellStyle name="Normal 2 3 97" xfId="5424" xr:uid="{00000000-0005-0000-0000-00003D150000}"/>
    <cellStyle name="Normal 2 3 98" xfId="5425" xr:uid="{00000000-0005-0000-0000-00003E150000}"/>
    <cellStyle name="Normal 2 3 99" xfId="5426" xr:uid="{00000000-0005-0000-0000-00003F150000}"/>
    <cellStyle name="Normal 2 30" xfId="5427" xr:uid="{00000000-0005-0000-0000-000040150000}"/>
    <cellStyle name="Normal 2 30 2" xfId="5428" xr:uid="{00000000-0005-0000-0000-000041150000}"/>
    <cellStyle name="Normal 2 30 2 2" xfId="5429" xr:uid="{00000000-0005-0000-0000-000042150000}"/>
    <cellStyle name="Normal 2 30 3" xfId="5430" xr:uid="{00000000-0005-0000-0000-000043150000}"/>
    <cellStyle name="Normal 2 31" xfId="5431" xr:uid="{00000000-0005-0000-0000-000044150000}"/>
    <cellStyle name="Normal 2 31 2" xfId="5432" xr:uid="{00000000-0005-0000-0000-000045150000}"/>
    <cellStyle name="Normal 2 31 2 2" xfId="5433" xr:uid="{00000000-0005-0000-0000-000046150000}"/>
    <cellStyle name="Normal 2 31 3" xfId="5434" xr:uid="{00000000-0005-0000-0000-000047150000}"/>
    <cellStyle name="Normal 2 32" xfId="5435" xr:uid="{00000000-0005-0000-0000-000048150000}"/>
    <cellStyle name="Normal 2 32 2" xfId="5436" xr:uid="{00000000-0005-0000-0000-000049150000}"/>
    <cellStyle name="Normal 2 32 2 2" xfId="5437" xr:uid="{00000000-0005-0000-0000-00004A150000}"/>
    <cellStyle name="Normal 2 32 3" xfId="5438" xr:uid="{00000000-0005-0000-0000-00004B150000}"/>
    <cellStyle name="Normal 2 33" xfId="5439" xr:uid="{00000000-0005-0000-0000-00004C150000}"/>
    <cellStyle name="Normal 2 33 2" xfId="5440" xr:uid="{00000000-0005-0000-0000-00004D150000}"/>
    <cellStyle name="Normal 2 33 2 2" xfId="5441" xr:uid="{00000000-0005-0000-0000-00004E150000}"/>
    <cellStyle name="Normal 2 33 3" xfId="5442" xr:uid="{00000000-0005-0000-0000-00004F150000}"/>
    <cellStyle name="Normal 2 34" xfId="5443" xr:uid="{00000000-0005-0000-0000-000050150000}"/>
    <cellStyle name="Normal 2 34 2" xfId="5444" xr:uid="{00000000-0005-0000-0000-000051150000}"/>
    <cellStyle name="Normal 2 34 2 2" xfId="5445" xr:uid="{00000000-0005-0000-0000-000052150000}"/>
    <cellStyle name="Normal 2 34 3" xfId="5446" xr:uid="{00000000-0005-0000-0000-000053150000}"/>
    <cellStyle name="Normal 2 35" xfId="5447" xr:uid="{00000000-0005-0000-0000-000054150000}"/>
    <cellStyle name="Normal 2 35 2" xfId="5448" xr:uid="{00000000-0005-0000-0000-000055150000}"/>
    <cellStyle name="Normal 2 35 2 2" xfId="5449" xr:uid="{00000000-0005-0000-0000-000056150000}"/>
    <cellStyle name="Normal 2 35 3" xfId="5450" xr:uid="{00000000-0005-0000-0000-000057150000}"/>
    <cellStyle name="Normal 2 36" xfId="5451" xr:uid="{00000000-0005-0000-0000-000058150000}"/>
    <cellStyle name="Normal 2 36 2" xfId="5452" xr:uid="{00000000-0005-0000-0000-000059150000}"/>
    <cellStyle name="Normal 2 36 2 2" xfId="5453" xr:uid="{00000000-0005-0000-0000-00005A150000}"/>
    <cellStyle name="Normal 2 36 3" xfId="5454" xr:uid="{00000000-0005-0000-0000-00005B150000}"/>
    <cellStyle name="Normal 2 37" xfId="5455" xr:uid="{00000000-0005-0000-0000-00005C150000}"/>
    <cellStyle name="Normal 2 37 2" xfId="5456" xr:uid="{00000000-0005-0000-0000-00005D150000}"/>
    <cellStyle name="Normal 2 37 2 2" xfId="5457" xr:uid="{00000000-0005-0000-0000-00005E150000}"/>
    <cellStyle name="Normal 2 37 3" xfId="5458" xr:uid="{00000000-0005-0000-0000-00005F150000}"/>
    <cellStyle name="Normal 2 38" xfId="5459" xr:uid="{00000000-0005-0000-0000-000060150000}"/>
    <cellStyle name="Normal 2 38 2" xfId="5460" xr:uid="{00000000-0005-0000-0000-000061150000}"/>
    <cellStyle name="Normal 2 38 2 2" xfId="5461" xr:uid="{00000000-0005-0000-0000-000062150000}"/>
    <cellStyle name="Normal 2 38 3" xfId="5462" xr:uid="{00000000-0005-0000-0000-000063150000}"/>
    <cellStyle name="Normal 2 39" xfId="5463" xr:uid="{00000000-0005-0000-0000-000064150000}"/>
    <cellStyle name="Normal 2 39 2" xfId="5464" xr:uid="{00000000-0005-0000-0000-000065150000}"/>
    <cellStyle name="Normal 2 39 2 2" xfId="5465" xr:uid="{00000000-0005-0000-0000-000066150000}"/>
    <cellStyle name="Normal 2 39 3" xfId="5466" xr:uid="{00000000-0005-0000-0000-000067150000}"/>
    <cellStyle name="Normal 2 4" xfId="5467" xr:uid="{00000000-0005-0000-0000-000068150000}"/>
    <cellStyle name="Normal 2 4 10" xfId="5468" xr:uid="{00000000-0005-0000-0000-000069150000}"/>
    <cellStyle name="Normal 2 4 11" xfId="5469" xr:uid="{00000000-0005-0000-0000-00006A150000}"/>
    <cellStyle name="Normal 2 4 12" xfId="5470" xr:uid="{00000000-0005-0000-0000-00006B150000}"/>
    <cellStyle name="Normal 2 4 13" xfId="5471" xr:uid="{00000000-0005-0000-0000-00006C150000}"/>
    <cellStyle name="Normal 2 4 2" xfId="5472" xr:uid="{00000000-0005-0000-0000-00006D150000}"/>
    <cellStyle name="Normal 2 4 2 2" xfId="5473" xr:uid="{00000000-0005-0000-0000-00006E150000}"/>
    <cellStyle name="Normal 2 4 2 2 2" xfId="5474" xr:uid="{00000000-0005-0000-0000-00006F150000}"/>
    <cellStyle name="Normal 2 4 2 2 2 2" xfId="5475" xr:uid="{00000000-0005-0000-0000-000070150000}"/>
    <cellStyle name="Normal 2 4 2 2 2 2 2" xfId="5476" xr:uid="{00000000-0005-0000-0000-000071150000}"/>
    <cellStyle name="Normal 2 4 2 2 2 3" xfId="5477" xr:uid="{00000000-0005-0000-0000-000072150000}"/>
    <cellStyle name="Normal 2 4 2 2 3" xfId="5478" xr:uid="{00000000-0005-0000-0000-000073150000}"/>
    <cellStyle name="Normal 2 4 2 2 3 2" xfId="5479" xr:uid="{00000000-0005-0000-0000-000074150000}"/>
    <cellStyle name="Normal 2 4 2 2 3 2 2" xfId="5480" xr:uid="{00000000-0005-0000-0000-000075150000}"/>
    <cellStyle name="Normal 2 4 2 2 3 3" xfId="5481" xr:uid="{00000000-0005-0000-0000-000076150000}"/>
    <cellStyle name="Normal 2 4 2 2 4" xfId="5482" xr:uid="{00000000-0005-0000-0000-000077150000}"/>
    <cellStyle name="Normal 2 4 2 2 4 2" xfId="5483" xr:uid="{00000000-0005-0000-0000-000078150000}"/>
    <cellStyle name="Normal 2 4 2 2 4 2 2" xfId="5484" xr:uid="{00000000-0005-0000-0000-000079150000}"/>
    <cellStyle name="Normal 2 4 2 2 4 3" xfId="5485" xr:uid="{00000000-0005-0000-0000-00007A150000}"/>
    <cellStyle name="Normal 2 4 2 2 5" xfId="5486" xr:uid="{00000000-0005-0000-0000-00007B150000}"/>
    <cellStyle name="Normal 2 4 2 2 5 2" xfId="5487" xr:uid="{00000000-0005-0000-0000-00007C150000}"/>
    <cellStyle name="Normal 2 4 2 2 5 2 2" xfId="5488" xr:uid="{00000000-0005-0000-0000-00007D150000}"/>
    <cellStyle name="Normal 2 4 2 2 5 3" xfId="5489" xr:uid="{00000000-0005-0000-0000-00007E150000}"/>
    <cellStyle name="Normal 2 4 2 3" xfId="5490" xr:uid="{00000000-0005-0000-0000-00007F150000}"/>
    <cellStyle name="Normal 2 4 2 4" xfId="5491" xr:uid="{00000000-0005-0000-0000-000080150000}"/>
    <cellStyle name="Normal 2 4 2 5" xfId="5492" xr:uid="{00000000-0005-0000-0000-000081150000}"/>
    <cellStyle name="Normal 2 4 2 6" xfId="5493" xr:uid="{00000000-0005-0000-0000-000082150000}"/>
    <cellStyle name="Normal 2 4 2 6 2" xfId="5494" xr:uid="{00000000-0005-0000-0000-000083150000}"/>
    <cellStyle name="Normal 2 4 2 7" xfId="5495" xr:uid="{00000000-0005-0000-0000-000084150000}"/>
    <cellStyle name="Normal 2 4 2 8" xfId="5496" xr:uid="{00000000-0005-0000-0000-000085150000}"/>
    <cellStyle name="Normal 2 4 3" xfId="5497" xr:uid="{00000000-0005-0000-0000-000086150000}"/>
    <cellStyle name="Normal 2 4 3 2" xfId="5498" xr:uid="{00000000-0005-0000-0000-000087150000}"/>
    <cellStyle name="Normal 2 4 3 2 2" xfId="5499" xr:uid="{00000000-0005-0000-0000-000088150000}"/>
    <cellStyle name="Normal 2 4 3 3" xfId="5500" xr:uid="{00000000-0005-0000-0000-000089150000}"/>
    <cellStyle name="Normal 2 4 3 4" xfId="5501" xr:uid="{00000000-0005-0000-0000-00008A150000}"/>
    <cellStyle name="Normal 2 4 3 5" xfId="5502" xr:uid="{00000000-0005-0000-0000-00008B150000}"/>
    <cellStyle name="Normal 2 4 4" xfId="5503" xr:uid="{00000000-0005-0000-0000-00008C150000}"/>
    <cellStyle name="Normal 2 4 4 2" xfId="5504" xr:uid="{00000000-0005-0000-0000-00008D150000}"/>
    <cellStyle name="Normal 2 4 4 2 2" xfId="5505" xr:uid="{00000000-0005-0000-0000-00008E150000}"/>
    <cellStyle name="Normal 2 4 4 3" xfId="5506" xr:uid="{00000000-0005-0000-0000-00008F150000}"/>
    <cellStyle name="Normal 2 4 5" xfId="5507" xr:uid="{00000000-0005-0000-0000-000090150000}"/>
    <cellStyle name="Normal 2 4 5 2" xfId="5508" xr:uid="{00000000-0005-0000-0000-000091150000}"/>
    <cellStyle name="Normal 2 4 5 2 2" xfId="5509" xr:uid="{00000000-0005-0000-0000-000092150000}"/>
    <cellStyle name="Normal 2 4 5 3" xfId="5510" xr:uid="{00000000-0005-0000-0000-000093150000}"/>
    <cellStyle name="Normal 2 4 6" xfId="5511" xr:uid="{00000000-0005-0000-0000-000094150000}"/>
    <cellStyle name="Normal 2 4 6 2" xfId="5512" xr:uid="{00000000-0005-0000-0000-000095150000}"/>
    <cellStyle name="Normal 2 4 6 2 2" xfId="5513" xr:uid="{00000000-0005-0000-0000-000096150000}"/>
    <cellStyle name="Normal 2 4 6 3" xfId="5514" xr:uid="{00000000-0005-0000-0000-000097150000}"/>
    <cellStyle name="Normal 2 4 7" xfId="5515" xr:uid="{00000000-0005-0000-0000-000098150000}"/>
    <cellStyle name="Normal 2 4 7 2" xfId="5516" xr:uid="{00000000-0005-0000-0000-000099150000}"/>
    <cellStyle name="Normal 2 4 7 2 2" xfId="5517" xr:uid="{00000000-0005-0000-0000-00009A150000}"/>
    <cellStyle name="Normal 2 4 7 3" xfId="5518" xr:uid="{00000000-0005-0000-0000-00009B150000}"/>
    <cellStyle name="Normal 2 4 7 4" xfId="5519" xr:uid="{00000000-0005-0000-0000-00009C150000}"/>
    <cellStyle name="Normal 2 4 8" xfId="5520" xr:uid="{00000000-0005-0000-0000-00009D150000}"/>
    <cellStyle name="Normal 2 4 8 2" xfId="5521" xr:uid="{00000000-0005-0000-0000-00009E150000}"/>
    <cellStyle name="Normal 2 4 9" xfId="5522" xr:uid="{00000000-0005-0000-0000-00009F150000}"/>
    <cellStyle name="Normal 2 40" xfId="5523" xr:uid="{00000000-0005-0000-0000-0000A0150000}"/>
    <cellStyle name="Normal 2 40 2" xfId="5524" xr:uid="{00000000-0005-0000-0000-0000A1150000}"/>
    <cellStyle name="Normal 2 40 2 2" xfId="5525" xr:uid="{00000000-0005-0000-0000-0000A2150000}"/>
    <cellStyle name="Normal 2 40 3" xfId="5526" xr:uid="{00000000-0005-0000-0000-0000A3150000}"/>
    <cellStyle name="Normal 2 41" xfId="5527" xr:uid="{00000000-0005-0000-0000-0000A4150000}"/>
    <cellStyle name="Normal 2 41 2" xfId="5528" xr:uid="{00000000-0005-0000-0000-0000A5150000}"/>
    <cellStyle name="Normal 2 41 2 2" xfId="5529" xr:uid="{00000000-0005-0000-0000-0000A6150000}"/>
    <cellStyle name="Normal 2 41 3" xfId="5530" xr:uid="{00000000-0005-0000-0000-0000A7150000}"/>
    <cellStyle name="Normal 2 42" xfId="5531" xr:uid="{00000000-0005-0000-0000-0000A8150000}"/>
    <cellStyle name="Normal 2 42 2" xfId="5532" xr:uid="{00000000-0005-0000-0000-0000A9150000}"/>
    <cellStyle name="Normal 2 42 2 2" xfId="5533" xr:uid="{00000000-0005-0000-0000-0000AA150000}"/>
    <cellStyle name="Normal 2 42 3" xfId="5534" xr:uid="{00000000-0005-0000-0000-0000AB150000}"/>
    <cellStyle name="Normal 2 43" xfId="5535" xr:uid="{00000000-0005-0000-0000-0000AC150000}"/>
    <cellStyle name="Normal 2 43 2" xfId="5536" xr:uid="{00000000-0005-0000-0000-0000AD150000}"/>
    <cellStyle name="Normal 2 43 2 2" xfId="5537" xr:uid="{00000000-0005-0000-0000-0000AE150000}"/>
    <cellStyle name="Normal 2 43 3" xfId="5538" xr:uid="{00000000-0005-0000-0000-0000AF150000}"/>
    <cellStyle name="Normal 2 44" xfId="5539" xr:uid="{00000000-0005-0000-0000-0000B0150000}"/>
    <cellStyle name="Normal 2 44 2" xfId="5540" xr:uid="{00000000-0005-0000-0000-0000B1150000}"/>
    <cellStyle name="Normal 2 44 2 2" xfId="5541" xr:uid="{00000000-0005-0000-0000-0000B2150000}"/>
    <cellStyle name="Normal 2 44 3" xfId="5542" xr:uid="{00000000-0005-0000-0000-0000B3150000}"/>
    <cellStyle name="Normal 2 45" xfId="5543" xr:uid="{00000000-0005-0000-0000-0000B4150000}"/>
    <cellStyle name="Normal 2 45 2" xfId="5544" xr:uid="{00000000-0005-0000-0000-0000B5150000}"/>
    <cellStyle name="Normal 2 45 2 2" xfId="5545" xr:uid="{00000000-0005-0000-0000-0000B6150000}"/>
    <cellStyle name="Normal 2 45 3" xfId="5546" xr:uid="{00000000-0005-0000-0000-0000B7150000}"/>
    <cellStyle name="Normal 2 46" xfId="5547" xr:uid="{00000000-0005-0000-0000-0000B8150000}"/>
    <cellStyle name="Normal 2 46 2" xfId="5548" xr:uid="{00000000-0005-0000-0000-0000B9150000}"/>
    <cellStyle name="Normal 2 46 2 2" xfId="5549" xr:uid="{00000000-0005-0000-0000-0000BA150000}"/>
    <cellStyle name="Normal 2 46 3" xfId="5550" xr:uid="{00000000-0005-0000-0000-0000BB150000}"/>
    <cellStyle name="Normal 2 47" xfId="5551" xr:uid="{00000000-0005-0000-0000-0000BC150000}"/>
    <cellStyle name="Normal 2 47 2" xfId="5552" xr:uid="{00000000-0005-0000-0000-0000BD150000}"/>
    <cellStyle name="Normal 2 47 2 2" xfId="5553" xr:uid="{00000000-0005-0000-0000-0000BE150000}"/>
    <cellStyle name="Normal 2 47 3" xfId="5554" xr:uid="{00000000-0005-0000-0000-0000BF150000}"/>
    <cellStyle name="Normal 2 48" xfId="5555" xr:uid="{00000000-0005-0000-0000-0000C0150000}"/>
    <cellStyle name="Normal 2 48 2" xfId="5556" xr:uid="{00000000-0005-0000-0000-0000C1150000}"/>
    <cellStyle name="Normal 2 48 2 2" xfId="5557" xr:uid="{00000000-0005-0000-0000-0000C2150000}"/>
    <cellStyle name="Normal 2 48 3" xfId="5558" xr:uid="{00000000-0005-0000-0000-0000C3150000}"/>
    <cellStyle name="Normal 2 49" xfId="5559" xr:uid="{00000000-0005-0000-0000-0000C4150000}"/>
    <cellStyle name="Normal 2 49 2" xfId="5560" xr:uid="{00000000-0005-0000-0000-0000C5150000}"/>
    <cellStyle name="Normal 2 49 2 2" xfId="5561" xr:uid="{00000000-0005-0000-0000-0000C6150000}"/>
    <cellStyle name="Normal 2 49 3" xfId="5562" xr:uid="{00000000-0005-0000-0000-0000C7150000}"/>
    <cellStyle name="Normal 2 5" xfId="5563" xr:uid="{00000000-0005-0000-0000-0000C8150000}"/>
    <cellStyle name="Normal 2 5 10" xfId="5564" xr:uid="{00000000-0005-0000-0000-0000C9150000}"/>
    <cellStyle name="Normal 2 5 11" xfId="5565" xr:uid="{00000000-0005-0000-0000-0000CA150000}"/>
    <cellStyle name="Normal 2 5 12" xfId="5566" xr:uid="{00000000-0005-0000-0000-0000CB150000}"/>
    <cellStyle name="Normal 2 5 13" xfId="5567" xr:uid="{00000000-0005-0000-0000-0000CC150000}"/>
    <cellStyle name="Normal 2 5 2" xfId="5568" xr:uid="{00000000-0005-0000-0000-0000CD150000}"/>
    <cellStyle name="Normal 2 5 2 2" xfId="5569" xr:uid="{00000000-0005-0000-0000-0000CE150000}"/>
    <cellStyle name="Normal 2 5 2 2 2" xfId="5570" xr:uid="{00000000-0005-0000-0000-0000CF150000}"/>
    <cellStyle name="Normal 2 5 2 2 2 2" xfId="5571" xr:uid="{00000000-0005-0000-0000-0000D0150000}"/>
    <cellStyle name="Normal 2 5 2 2 2 2 2" xfId="5572" xr:uid="{00000000-0005-0000-0000-0000D1150000}"/>
    <cellStyle name="Normal 2 5 2 2 2 3" xfId="5573" xr:uid="{00000000-0005-0000-0000-0000D2150000}"/>
    <cellStyle name="Normal 2 5 2 2 3" xfId="5574" xr:uid="{00000000-0005-0000-0000-0000D3150000}"/>
    <cellStyle name="Normal 2 5 2 2 3 2" xfId="5575" xr:uid="{00000000-0005-0000-0000-0000D4150000}"/>
    <cellStyle name="Normal 2 5 2 2 3 2 2" xfId="5576" xr:uid="{00000000-0005-0000-0000-0000D5150000}"/>
    <cellStyle name="Normal 2 5 2 2 3 3" xfId="5577" xr:uid="{00000000-0005-0000-0000-0000D6150000}"/>
    <cellStyle name="Normal 2 5 2 2 4" xfId="5578" xr:uid="{00000000-0005-0000-0000-0000D7150000}"/>
    <cellStyle name="Normal 2 5 2 2 4 2" xfId="5579" xr:uid="{00000000-0005-0000-0000-0000D8150000}"/>
    <cellStyle name="Normal 2 5 2 2 4 2 2" xfId="5580" xr:uid="{00000000-0005-0000-0000-0000D9150000}"/>
    <cellStyle name="Normal 2 5 2 2 4 3" xfId="5581" xr:uid="{00000000-0005-0000-0000-0000DA150000}"/>
    <cellStyle name="Normal 2 5 2 2 5" xfId="5582" xr:uid="{00000000-0005-0000-0000-0000DB150000}"/>
    <cellStyle name="Normal 2 5 2 2 5 2" xfId="5583" xr:uid="{00000000-0005-0000-0000-0000DC150000}"/>
    <cellStyle name="Normal 2 5 2 2 5 2 2" xfId="5584" xr:uid="{00000000-0005-0000-0000-0000DD150000}"/>
    <cellStyle name="Normal 2 5 2 2 5 3" xfId="5585" xr:uid="{00000000-0005-0000-0000-0000DE150000}"/>
    <cellStyle name="Normal 2 5 2 3" xfId="5586" xr:uid="{00000000-0005-0000-0000-0000DF150000}"/>
    <cellStyle name="Normal 2 5 2 4" xfId="5587" xr:uid="{00000000-0005-0000-0000-0000E0150000}"/>
    <cellStyle name="Normal 2 5 2 5" xfId="5588" xr:uid="{00000000-0005-0000-0000-0000E1150000}"/>
    <cellStyle name="Normal 2 5 2 6" xfId="5589" xr:uid="{00000000-0005-0000-0000-0000E2150000}"/>
    <cellStyle name="Normal 2 5 2 6 2" xfId="5590" xr:uid="{00000000-0005-0000-0000-0000E3150000}"/>
    <cellStyle name="Normal 2 5 2 7" xfId="5591" xr:uid="{00000000-0005-0000-0000-0000E4150000}"/>
    <cellStyle name="Normal 2 5 2 8" xfId="5592" xr:uid="{00000000-0005-0000-0000-0000E5150000}"/>
    <cellStyle name="Normal 2 5 3" xfId="5593" xr:uid="{00000000-0005-0000-0000-0000E6150000}"/>
    <cellStyle name="Normal 2 5 3 2" xfId="5594" xr:uid="{00000000-0005-0000-0000-0000E7150000}"/>
    <cellStyle name="Normal 2 5 3 2 2" xfId="5595" xr:uid="{00000000-0005-0000-0000-0000E8150000}"/>
    <cellStyle name="Normal 2 5 3 3" xfId="5596" xr:uid="{00000000-0005-0000-0000-0000E9150000}"/>
    <cellStyle name="Normal 2 5 3 4" xfId="5597" xr:uid="{00000000-0005-0000-0000-0000EA150000}"/>
    <cellStyle name="Normal 2 5 3 5" xfId="5598" xr:uid="{00000000-0005-0000-0000-0000EB150000}"/>
    <cellStyle name="Normal 2 5 4" xfId="5599" xr:uid="{00000000-0005-0000-0000-0000EC150000}"/>
    <cellStyle name="Normal 2 5 4 2" xfId="5600" xr:uid="{00000000-0005-0000-0000-0000ED150000}"/>
    <cellStyle name="Normal 2 5 4 2 2" xfId="5601" xr:uid="{00000000-0005-0000-0000-0000EE150000}"/>
    <cellStyle name="Normal 2 5 4 3" xfId="5602" xr:uid="{00000000-0005-0000-0000-0000EF150000}"/>
    <cellStyle name="Normal 2 5 5" xfId="5603" xr:uid="{00000000-0005-0000-0000-0000F0150000}"/>
    <cellStyle name="Normal 2 5 5 2" xfId="5604" xr:uid="{00000000-0005-0000-0000-0000F1150000}"/>
    <cellStyle name="Normal 2 5 5 2 2" xfId="5605" xr:uid="{00000000-0005-0000-0000-0000F2150000}"/>
    <cellStyle name="Normal 2 5 5 3" xfId="5606" xr:uid="{00000000-0005-0000-0000-0000F3150000}"/>
    <cellStyle name="Normal 2 5 6" xfId="5607" xr:uid="{00000000-0005-0000-0000-0000F4150000}"/>
    <cellStyle name="Normal 2 5 6 2" xfId="5608" xr:uid="{00000000-0005-0000-0000-0000F5150000}"/>
    <cellStyle name="Normal 2 5 6 2 2" xfId="5609" xr:uid="{00000000-0005-0000-0000-0000F6150000}"/>
    <cellStyle name="Normal 2 5 6 3" xfId="5610" xr:uid="{00000000-0005-0000-0000-0000F7150000}"/>
    <cellStyle name="Normal 2 5 7" xfId="5611" xr:uid="{00000000-0005-0000-0000-0000F8150000}"/>
    <cellStyle name="Normal 2 5 7 2" xfId="5612" xr:uid="{00000000-0005-0000-0000-0000F9150000}"/>
    <cellStyle name="Normal 2 5 7 2 2" xfId="5613" xr:uid="{00000000-0005-0000-0000-0000FA150000}"/>
    <cellStyle name="Normal 2 5 7 3" xfId="5614" xr:uid="{00000000-0005-0000-0000-0000FB150000}"/>
    <cellStyle name="Normal 2 5 7 4" xfId="5615" xr:uid="{00000000-0005-0000-0000-0000FC150000}"/>
    <cellStyle name="Normal 2 5 8" xfId="5616" xr:uid="{00000000-0005-0000-0000-0000FD150000}"/>
    <cellStyle name="Normal 2 5 8 2" xfId="5617" xr:uid="{00000000-0005-0000-0000-0000FE150000}"/>
    <cellStyle name="Normal 2 5 9" xfId="5618" xr:uid="{00000000-0005-0000-0000-0000FF150000}"/>
    <cellStyle name="Normal 2 50" xfId="5619" xr:uid="{00000000-0005-0000-0000-000000160000}"/>
    <cellStyle name="Normal 2 50 2" xfId="5620" xr:uid="{00000000-0005-0000-0000-000001160000}"/>
    <cellStyle name="Normal 2 50 2 2" xfId="5621" xr:uid="{00000000-0005-0000-0000-000002160000}"/>
    <cellStyle name="Normal 2 50 3" xfId="5622" xr:uid="{00000000-0005-0000-0000-000003160000}"/>
    <cellStyle name="Normal 2 51" xfId="5623" xr:uid="{00000000-0005-0000-0000-000004160000}"/>
    <cellStyle name="Normal 2 51 2" xfId="5624" xr:uid="{00000000-0005-0000-0000-000005160000}"/>
    <cellStyle name="Normal 2 51 2 2" xfId="5625" xr:uid="{00000000-0005-0000-0000-000006160000}"/>
    <cellStyle name="Normal 2 51 3" xfId="5626" xr:uid="{00000000-0005-0000-0000-000007160000}"/>
    <cellStyle name="Normal 2 52" xfId="5627" xr:uid="{00000000-0005-0000-0000-000008160000}"/>
    <cellStyle name="Normal 2 52 2" xfId="5628" xr:uid="{00000000-0005-0000-0000-000009160000}"/>
    <cellStyle name="Normal 2 52 2 2" xfId="5629" xr:uid="{00000000-0005-0000-0000-00000A160000}"/>
    <cellStyle name="Normal 2 52 3" xfId="5630" xr:uid="{00000000-0005-0000-0000-00000B160000}"/>
    <cellStyle name="Normal 2 53" xfId="5631" xr:uid="{00000000-0005-0000-0000-00000C160000}"/>
    <cellStyle name="Normal 2 53 2" xfId="5632" xr:uid="{00000000-0005-0000-0000-00000D160000}"/>
    <cellStyle name="Normal 2 53 2 2" xfId="5633" xr:uid="{00000000-0005-0000-0000-00000E160000}"/>
    <cellStyle name="Normal 2 53 3" xfId="5634" xr:uid="{00000000-0005-0000-0000-00000F160000}"/>
    <cellStyle name="Normal 2 54" xfId="5635" xr:uid="{00000000-0005-0000-0000-000010160000}"/>
    <cellStyle name="Normal 2 54 2" xfId="5636" xr:uid="{00000000-0005-0000-0000-000011160000}"/>
    <cellStyle name="Normal 2 54 2 2" xfId="5637" xr:uid="{00000000-0005-0000-0000-000012160000}"/>
    <cellStyle name="Normal 2 54 3" xfId="5638" xr:uid="{00000000-0005-0000-0000-000013160000}"/>
    <cellStyle name="Normal 2 55" xfId="5639" xr:uid="{00000000-0005-0000-0000-000014160000}"/>
    <cellStyle name="Normal 2 55 2" xfId="5640" xr:uid="{00000000-0005-0000-0000-000015160000}"/>
    <cellStyle name="Normal 2 55 2 2" xfId="5641" xr:uid="{00000000-0005-0000-0000-000016160000}"/>
    <cellStyle name="Normal 2 55 3" xfId="5642" xr:uid="{00000000-0005-0000-0000-000017160000}"/>
    <cellStyle name="Normal 2 56" xfId="5643" xr:uid="{00000000-0005-0000-0000-000018160000}"/>
    <cellStyle name="Normal 2 56 2" xfId="5644" xr:uid="{00000000-0005-0000-0000-000019160000}"/>
    <cellStyle name="Normal 2 56 2 2" xfId="5645" xr:uid="{00000000-0005-0000-0000-00001A160000}"/>
    <cellStyle name="Normal 2 56 3" xfId="5646" xr:uid="{00000000-0005-0000-0000-00001B160000}"/>
    <cellStyle name="Normal 2 57" xfId="5647" xr:uid="{00000000-0005-0000-0000-00001C160000}"/>
    <cellStyle name="Normal 2 57 2" xfId="5648" xr:uid="{00000000-0005-0000-0000-00001D160000}"/>
    <cellStyle name="Normal 2 57 2 2" xfId="5649" xr:uid="{00000000-0005-0000-0000-00001E160000}"/>
    <cellStyle name="Normal 2 57 3" xfId="5650" xr:uid="{00000000-0005-0000-0000-00001F160000}"/>
    <cellStyle name="Normal 2 58" xfId="5651" xr:uid="{00000000-0005-0000-0000-000020160000}"/>
    <cellStyle name="Normal 2 58 2" xfId="5652" xr:uid="{00000000-0005-0000-0000-000021160000}"/>
    <cellStyle name="Normal 2 58 2 2" xfId="5653" xr:uid="{00000000-0005-0000-0000-000022160000}"/>
    <cellStyle name="Normal 2 58 3" xfId="5654" xr:uid="{00000000-0005-0000-0000-000023160000}"/>
    <cellStyle name="Normal 2 59" xfId="5655" xr:uid="{00000000-0005-0000-0000-000024160000}"/>
    <cellStyle name="Normal 2 59 2" xfId="5656" xr:uid="{00000000-0005-0000-0000-000025160000}"/>
    <cellStyle name="Normal 2 59 2 2" xfId="5657" xr:uid="{00000000-0005-0000-0000-000026160000}"/>
    <cellStyle name="Normal 2 59 3" xfId="5658" xr:uid="{00000000-0005-0000-0000-000027160000}"/>
    <cellStyle name="Normal 2 6" xfId="5659" xr:uid="{00000000-0005-0000-0000-000028160000}"/>
    <cellStyle name="Normal 2 6 10" xfId="5660" xr:uid="{00000000-0005-0000-0000-000029160000}"/>
    <cellStyle name="Normal 2 6 2" xfId="5661" xr:uid="{00000000-0005-0000-0000-00002A160000}"/>
    <cellStyle name="Normal 2 6 2 2" xfId="5662" xr:uid="{00000000-0005-0000-0000-00002B160000}"/>
    <cellStyle name="Normal 2 6 2 3" xfId="5663" xr:uid="{00000000-0005-0000-0000-00002C160000}"/>
    <cellStyle name="Normal 2 6 2 4" xfId="5664" xr:uid="{00000000-0005-0000-0000-00002D160000}"/>
    <cellStyle name="Normal 2 6 3" xfId="5665" xr:uid="{00000000-0005-0000-0000-00002E160000}"/>
    <cellStyle name="Normal 2 6 3 2" xfId="5666" xr:uid="{00000000-0005-0000-0000-00002F160000}"/>
    <cellStyle name="Normal 2 6 3 3" xfId="5667" xr:uid="{00000000-0005-0000-0000-000030160000}"/>
    <cellStyle name="Normal 2 6 4" xfId="5668" xr:uid="{00000000-0005-0000-0000-000031160000}"/>
    <cellStyle name="Normal 2 6 4 2" xfId="5669" xr:uid="{00000000-0005-0000-0000-000032160000}"/>
    <cellStyle name="Normal 2 6 5" xfId="5670" xr:uid="{00000000-0005-0000-0000-000033160000}"/>
    <cellStyle name="Normal 2 6 5 2" xfId="5671" xr:uid="{00000000-0005-0000-0000-000034160000}"/>
    <cellStyle name="Normal 2 6 6" xfId="5672" xr:uid="{00000000-0005-0000-0000-000035160000}"/>
    <cellStyle name="Normal 2 6 6 2" xfId="5673" xr:uid="{00000000-0005-0000-0000-000036160000}"/>
    <cellStyle name="Normal 2 6 6 3" xfId="5674" xr:uid="{00000000-0005-0000-0000-000037160000}"/>
    <cellStyle name="Normal 2 6 7" xfId="5675" xr:uid="{00000000-0005-0000-0000-000038160000}"/>
    <cellStyle name="Normal 2 6 8" xfId="5676" xr:uid="{00000000-0005-0000-0000-000039160000}"/>
    <cellStyle name="Normal 2 6 9" xfId="5677" xr:uid="{00000000-0005-0000-0000-00003A160000}"/>
    <cellStyle name="Normal 2 60" xfId="5678" xr:uid="{00000000-0005-0000-0000-00003B160000}"/>
    <cellStyle name="Normal 2 60 2" xfId="5679" xr:uid="{00000000-0005-0000-0000-00003C160000}"/>
    <cellStyle name="Normal 2 60 2 2" xfId="5680" xr:uid="{00000000-0005-0000-0000-00003D160000}"/>
    <cellStyle name="Normal 2 60 3" xfId="5681" xr:uid="{00000000-0005-0000-0000-00003E160000}"/>
    <cellStyle name="Normal 2 61" xfId="5682" xr:uid="{00000000-0005-0000-0000-00003F160000}"/>
    <cellStyle name="Normal 2 61 2" xfId="5683" xr:uid="{00000000-0005-0000-0000-000040160000}"/>
    <cellStyle name="Normal 2 61 2 2" xfId="5684" xr:uid="{00000000-0005-0000-0000-000041160000}"/>
    <cellStyle name="Normal 2 61 3" xfId="5685" xr:uid="{00000000-0005-0000-0000-000042160000}"/>
    <cellStyle name="Normal 2 62" xfId="5686" xr:uid="{00000000-0005-0000-0000-000043160000}"/>
    <cellStyle name="Normal 2 62 2" xfId="5687" xr:uid="{00000000-0005-0000-0000-000044160000}"/>
    <cellStyle name="Normal 2 62 2 2" xfId="5688" xr:uid="{00000000-0005-0000-0000-000045160000}"/>
    <cellStyle name="Normal 2 62 3" xfId="5689" xr:uid="{00000000-0005-0000-0000-000046160000}"/>
    <cellStyle name="Normal 2 63" xfId="5690" xr:uid="{00000000-0005-0000-0000-000047160000}"/>
    <cellStyle name="Normal 2 63 2" xfId="5691" xr:uid="{00000000-0005-0000-0000-000048160000}"/>
    <cellStyle name="Normal 2 63 2 2" xfId="5692" xr:uid="{00000000-0005-0000-0000-000049160000}"/>
    <cellStyle name="Normal 2 63 3" xfId="5693" xr:uid="{00000000-0005-0000-0000-00004A160000}"/>
    <cellStyle name="Normal 2 64" xfId="5694" xr:uid="{00000000-0005-0000-0000-00004B160000}"/>
    <cellStyle name="Normal 2 64 2" xfId="5695" xr:uid="{00000000-0005-0000-0000-00004C160000}"/>
    <cellStyle name="Normal 2 64 2 2" xfId="5696" xr:uid="{00000000-0005-0000-0000-00004D160000}"/>
    <cellStyle name="Normal 2 64 3" xfId="5697" xr:uid="{00000000-0005-0000-0000-00004E160000}"/>
    <cellStyle name="Normal 2 65" xfId="5698" xr:uid="{00000000-0005-0000-0000-00004F160000}"/>
    <cellStyle name="Normal 2 66" xfId="5699" xr:uid="{00000000-0005-0000-0000-000050160000}"/>
    <cellStyle name="Normal 2 67" xfId="5700" xr:uid="{00000000-0005-0000-0000-000051160000}"/>
    <cellStyle name="Normal 2 68" xfId="5701" xr:uid="{00000000-0005-0000-0000-000052160000}"/>
    <cellStyle name="Normal 2 69" xfId="5702" xr:uid="{00000000-0005-0000-0000-000053160000}"/>
    <cellStyle name="Normal 2 7" xfId="5703" xr:uid="{00000000-0005-0000-0000-000054160000}"/>
    <cellStyle name="Normal 2 7 10" xfId="5704" xr:uid="{00000000-0005-0000-0000-000055160000}"/>
    <cellStyle name="Normal 2 7 11" xfId="5705" xr:uid="{00000000-0005-0000-0000-000056160000}"/>
    <cellStyle name="Normal 2 7 12" xfId="5706" xr:uid="{00000000-0005-0000-0000-000057160000}"/>
    <cellStyle name="Normal 2 7 13" xfId="5707" xr:uid="{00000000-0005-0000-0000-000058160000}"/>
    <cellStyle name="Normal 2 7 2" xfId="5708" xr:uid="{00000000-0005-0000-0000-000059160000}"/>
    <cellStyle name="Normal 2 7 2 2" xfId="5709" xr:uid="{00000000-0005-0000-0000-00005A160000}"/>
    <cellStyle name="Normal 2 7 2 3" xfId="5710" xr:uid="{00000000-0005-0000-0000-00005B160000}"/>
    <cellStyle name="Normal 2 7 2 4" xfId="5711" xr:uid="{00000000-0005-0000-0000-00005C160000}"/>
    <cellStyle name="Normal 2 7 2 5" xfId="5712" xr:uid="{00000000-0005-0000-0000-00005D160000}"/>
    <cellStyle name="Normal 2 7 3" xfId="5713" xr:uid="{00000000-0005-0000-0000-00005E160000}"/>
    <cellStyle name="Normal 2 7 3 2" xfId="5714" xr:uid="{00000000-0005-0000-0000-00005F160000}"/>
    <cellStyle name="Normal 2 7 3 3" xfId="5715" xr:uid="{00000000-0005-0000-0000-000060160000}"/>
    <cellStyle name="Normal 2 7 4" xfId="5716" xr:uid="{00000000-0005-0000-0000-000061160000}"/>
    <cellStyle name="Normal 2 7 4 2" xfId="5717" xr:uid="{00000000-0005-0000-0000-000062160000}"/>
    <cellStyle name="Normal 2 7 5" xfId="5718" xr:uid="{00000000-0005-0000-0000-000063160000}"/>
    <cellStyle name="Normal 2 7 6" xfId="5719" xr:uid="{00000000-0005-0000-0000-000064160000}"/>
    <cellStyle name="Normal 2 7 7" xfId="5720" xr:uid="{00000000-0005-0000-0000-000065160000}"/>
    <cellStyle name="Normal 2 7 8" xfId="5721" xr:uid="{00000000-0005-0000-0000-000066160000}"/>
    <cellStyle name="Normal 2 7 9" xfId="5722" xr:uid="{00000000-0005-0000-0000-000067160000}"/>
    <cellStyle name="Normal 2 70" xfId="5723" xr:uid="{00000000-0005-0000-0000-000068160000}"/>
    <cellStyle name="Normal 2 71" xfId="5724" xr:uid="{00000000-0005-0000-0000-000069160000}"/>
    <cellStyle name="Normal 2 71 2" xfId="5725" xr:uid="{00000000-0005-0000-0000-00006A160000}"/>
    <cellStyle name="Normal 2 72" xfId="5726" xr:uid="{00000000-0005-0000-0000-00006B160000}"/>
    <cellStyle name="Normal 2 72 2" xfId="5727" xr:uid="{00000000-0005-0000-0000-00006C160000}"/>
    <cellStyle name="Normal 2 73" xfId="5728" xr:uid="{00000000-0005-0000-0000-00006D160000}"/>
    <cellStyle name="Normal 2 74" xfId="5729" xr:uid="{00000000-0005-0000-0000-00006E160000}"/>
    <cellStyle name="Normal 2 74 2" xfId="5730" xr:uid="{00000000-0005-0000-0000-00006F160000}"/>
    <cellStyle name="Normal 2 75" xfId="5731" xr:uid="{00000000-0005-0000-0000-000070160000}"/>
    <cellStyle name="Normal 2 75 2" xfId="5732" xr:uid="{00000000-0005-0000-0000-000071160000}"/>
    <cellStyle name="Normal 2 76" xfId="5733" xr:uid="{00000000-0005-0000-0000-000072160000}"/>
    <cellStyle name="Normal 2 76 2" xfId="5734" xr:uid="{00000000-0005-0000-0000-000073160000}"/>
    <cellStyle name="Normal 2 77" xfId="5735" xr:uid="{00000000-0005-0000-0000-000074160000}"/>
    <cellStyle name="Normal 2 77 2" xfId="5736" xr:uid="{00000000-0005-0000-0000-000075160000}"/>
    <cellStyle name="Normal 2 78" xfId="5737" xr:uid="{00000000-0005-0000-0000-000076160000}"/>
    <cellStyle name="Normal 2 78 2" xfId="5738" xr:uid="{00000000-0005-0000-0000-000077160000}"/>
    <cellStyle name="Normal 2 79" xfId="5739" xr:uid="{00000000-0005-0000-0000-000078160000}"/>
    <cellStyle name="Normal 2 79 2" xfId="5740" xr:uid="{00000000-0005-0000-0000-000079160000}"/>
    <cellStyle name="Normal 2 8" xfId="5741" xr:uid="{00000000-0005-0000-0000-00007A160000}"/>
    <cellStyle name="Normal 2 8 2" xfId="5742" xr:uid="{00000000-0005-0000-0000-00007B160000}"/>
    <cellStyle name="Normal 2 8 2 2" xfId="5743" xr:uid="{00000000-0005-0000-0000-00007C160000}"/>
    <cellStyle name="Normal 2 8 2 3" xfId="5744" xr:uid="{00000000-0005-0000-0000-00007D160000}"/>
    <cellStyle name="Normal 2 8 3" xfId="5745" xr:uid="{00000000-0005-0000-0000-00007E160000}"/>
    <cellStyle name="Normal 2 8 4" xfId="5746" xr:uid="{00000000-0005-0000-0000-00007F160000}"/>
    <cellStyle name="Normal 2 8 4 2" xfId="5747" xr:uid="{00000000-0005-0000-0000-000080160000}"/>
    <cellStyle name="Normal 2 8 5" xfId="5748" xr:uid="{00000000-0005-0000-0000-000081160000}"/>
    <cellStyle name="Normal 2 8 6" xfId="5749" xr:uid="{00000000-0005-0000-0000-000082160000}"/>
    <cellStyle name="Normal 2 8 7" xfId="5750" xr:uid="{00000000-0005-0000-0000-000083160000}"/>
    <cellStyle name="Normal 2 8 8" xfId="5751" xr:uid="{00000000-0005-0000-0000-000084160000}"/>
    <cellStyle name="Normal 2 80" xfId="5752" xr:uid="{00000000-0005-0000-0000-000085160000}"/>
    <cellStyle name="Normal 2 80 2" xfId="5753" xr:uid="{00000000-0005-0000-0000-000086160000}"/>
    <cellStyle name="Normal 2 81" xfId="5754" xr:uid="{00000000-0005-0000-0000-000087160000}"/>
    <cellStyle name="Normal 2 81 2" xfId="5755" xr:uid="{00000000-0005-0000-0000-000088160000}"/>
    <cellStyle name="Normal 2 82" xfId="5756" xr:uid="{00000000-0005-0000-0000-000089160000}"/>
    <cellStyle name="Normal 2 82 2" xfId="5757" xr:uid="{00000000-0005-0000-0000-00008A160000}"/>
    <cellStyle name="Normal 2 83" xfId="5758" xr:uid="{00000000-0005-0000-0000-00008B160000}"/>
    <cellStyle name="Normal 2 83 2" xfId="5759" xr:uid="{00000000-0005-0000-0000-00008C160000}"/>
    <cellStyle name="Normal 2 84" xfId="5760" xr:uid="{00000000-0005-0000-0000-00008D160000}"/>
    <cellStyle name="Normal 2 84 2" xfId="5761" xr:uid="{00000000-0005-0000-0000-00008E160000}"/>
    <cellStyle name="Normal 2 85" xfId="5762" xr:uid="{00000000-0005-0000-0000-00008F160000}"/>
    <cellStyle name="Normal 2 85 2" xfId="5763" xr:uid="{00000000-0005-0000-0000-000090160000}"/>
    <cellStyle name="Normal 2 86" xfId="5764" xr:uid="{00000000-0005-0000-0000-000091160000}"/>
    <cellStyle name="Normal 2 86 2" xfId="5765" xr:uid="{00000000-0005-0000-0000-000092160000}"/>
    <cellStyle name="Normal 2 87" xfId="5766" xr:uid="{00000000-0005-0000-0000-000093160000}"/>
    <cellStyle name="Normal 2 87 2" xfId="5767" xr:uid="{00000000-0005-0000-0000-000094160000}"/>
    <cellStyle name="Normal 2 88" xfId="5768" xr:uid="{00000000-0005-0000-0000-000095160000}"/>
    <cellStyle name="Normal 2 89" xfId="5769" xr:uid="{00000000-0005-0000-0000-000096160000}"/>
    <cellStyle name="Normal 2 9" xfId="5770" xr:uid="{00000000-0005-0000-0000-000097160000}"/>
    <cellStyle name="Normal 2 9 2" xfId="5771" xr:uid="{00000000-0005-0000-0000-000098160000}"/>
    <cellStyle name="Normal 2 9 3" xfId="5772" xr:uid="{00000000-0005-0000-0000-000099160000}"/>
    <cellStyle name="Normal 2 9 4" xfId="5773" xr:uid="{00000000-0005-0000-0000-00009A160000}"/>
    <cellStyle name="Normal 2 9 4 2" xfId="5774" xr:uid="{00000000-0005-0000-0000-00009B160000}"/>
    <cellStyle name="Normal 2 9 5" xfId="5775" xr:uid="{00000000-0005-0000-0000-00009C160000}"/>
    <cellStyle name="Normal 2 9 6" xfId="5776" xr:uid="{00000000-0005-0000-0000-00009D160000}"/>
    <cellStyle name="Normal 2 90" xfId="5777" xr:uid="{00000000-0005-0000-0000-00009E160000}"/>
    <cellStyle name="Normal 2 90 2" xfId="5778" xr:uid="{00000000-0005-0000-0000-00009F160000}"/>
    <cellStyle name="Normal 2 91" xfId="5779" xr:uid="{00000000-0005-0000-0000-0000A0160000}"/>
    <cellStyle name="Normal 2 91 2" xfId="5780" xr:uid="{00000000-0005-0000-0000-0000A1160000}"/>
    <cellStyle name="Normal 2 92" xfId="5781" xr:uid="{00000000-0005-0000-0000-0000A2160000}"/>
    <cellStyle name="Normal 2 92 2" xfId="5782" xr:uid="{00000000-0005-0000-0000-0000A3160000}"/>
    <cellStyle name="Normal 2 93" xfId="5783" xr:uid="{00000000-0005-0000-0000-0000A4160000}"/>
    <cellStyle name="Normal 2 93 2" xfId="5784" xr:uid="{00000000-0005-0000-0000-0000A5160000}"/>
    <cellStyle name="Normal 2 94" xfId="5785" xr:uid="{00000000-0005-0000-0000-0000A6160000}"/>
    <cellStyle name="Normal 2 94 2" xfId="5786" xr:uid="{00000000-0005-0000-0000-0000A7160000}"/>
    <cellStyle name="Normal 2 95" xfId="5787" xr:uid="{00000000-0005-0000-0000-0000A8160000}"/>
    <cellStyle name="Normal 2 95 2" xfId="5788" xr:uid="{00000000-0005-0000-0000-0000A9160000}"/>
    <cellStyle name="Normal 2 95 3" xfId="5789" xr:uid="{00000000-0005-0000-0000-0000AA160000}"/>
    <cellStyle name="Normal 2 96" xfId="5790" xr:uid="{00000000-0005-0000-0000-0000AB160000}"/>
    <cellStyle name="Normal 2 96 2" xfId="5791" xr:uid="{00000000-0005-0000-0000-0000AC160000}"/>
    <cellStyle name="Normal 2 97" xfId="5792" xr:uid="{00000000-0005-0000-0000-0000AD160000}"/>
    <cellStyle name="Normal 2 97 2" xfId="5793" xr:uid="{00000000-0005-0000-0000-0000AE160000}"/>
    <cellStyle name="Normal 2 98" xfId="5794" xr:uid="{00000000-0005-0000-0000-0000AF160000}"/>
    <cellStyle name="Normal 2 98 2" xfId="5795" xr:uid="{00000000-0005-0000-0000-0000B0160000}"/>
    <cellStyle name="Normal 2 99" xfId="5796" xr:uid="{00000000-0005-0000-0000-0000B1160000}"/>
    <cellStyle name="Normal 2 99 2" xfId="5797" xr:uid="{00000000-0005-0000-0000-0000B2160000}"/>
    <cellStyle name="Normal 20" xfId="5798" xr:uid="{00000000-0005-0000-0000-0000B3160000}"/>
    <cellStyle name="Normal 20 2" xfId="5799" xr:uid="{00000000-0005-0000-0000-0000B4160000}"/>
    <cellStyle name="Normal 20 2 2" xfId="5800" xr:uid="{00000000-0005-0000-0000-0000B5160000}"/>
    <cellStyle name="Normal 20 2 3" xfId="5801" xr:uid="{00000000-0005-0000-0000-0000B6160000}"/>
    <cellStyle name="Normal 20 3" xfId="5802" xr:uid="{00000000-0005-0000-0000-0000B7160000}"/>
    <cellStyle name="Normal 20 4" xfId="5803" xr:uid="{00000000-0005-0000-0000-0000B8160000}"/>
    <cellStyle name="Normal 200" xfId="5804" xr:uid="{00000000-0005-0000-0000-0000B9160000}"/>
    <cellStyle name="Normal 201" xfId="5805" xr:uid="{00000000-0005-0000-0000-0000BA160000}"/>
    <cellStyle name="Normal 201 2" xfId="5806" xr:uid="{00000000-0005-0000-0000-0000BB160000}"/>
    <cellStyle name="Normal 202" xfId="5807" xr:uid="{00000000-0005-0000-0000-0000BC160000}"/>
    <cellStyle name="Normal 203" xfId="5808" xr:uid="{00000000-0005-0000-0000-0000BD160000}"/>
    <cellStyle name="Normal 204" xfId="5809" xr:uid="{00000000-0005-0000-0000-0000BE160000}"/>
    <cellStyle name="Normal 205" xfId="5810" xr:uid="{00000000-0005-0000-0000-0000BF160000}"/>
    <cellStyle name="Normal 206" xfId="5811" xr:uid="{00000000-0005-0000-0000-0000C0160000}"/>
    <cellStyle name="Normal 207" xfId="5812" xr:uid="{00000000-0005-0000-0000-0000C1160000}"/>
    <cellStyle name="Normal 208" xfId="5813" xr:uid="{00000000-0005-0000-0000-0000C2160000}"/>
    <cellStyle name="Normal 209" xfId="5814" xr:uid="{00000000-0005-0000-0000-0000C3160000}"/>
    <cellStyle name="Normal 21" xfId="5815" xr:uid="{00000000-0005-0000-0000-0000C4160000}"/>
    <cellStyle name="Normal 21 2" xfId="5816" xr:uid="{00000000-0005-0000-0000-0000C5160000}"/>
    <cellStyle name="Normal 21 2 2" xfId="5817" xr:uid="{00000000-0005-0000-0000-0000C6160000}"/>
    <cellStyle name="Normal 21 2 3" xfId="5818" xr:uid="{00000000-0005-0000-0000-0000C7160000}"/>
    <cellStyle name="Normal 21 3" xfId="5819" xr:uid="{00000000-0005-0000-0000-0000C8160000}"/>
    <cellStyle name="Normal 21 4" xfId="5820" xr:uid="{00000000-0005-0000-0000-0000C9160000}"/>
    <cellStyle name="Normal 210" xfId="5821" xr:uid="{00000000-0005-0000-0000-0000CA160000}"/>
    <cellStyle name="Normal 211" xfId="5822" xr:uid="{00000000-0005-0000-0000-0000CB160000}"/>
    <cellStyle name="Normal 212" xfId="5823" xr:uid="{00000000-0005-0000-0000-0000CC160000}"/>
    <cellStyle name="Normal 213" xfId="5824" xr:uid="{00000000-0005-0000-0000-0000CD160000}"/>
    <cellStyle name="Normal 214" xfId="5825" xr:uid="{00000000-0005-0000-0000-0000CE160000}"/>
    <cellStyle name="Normal 215" xfId="5826" xr:uid="{00000000-0005-0000-0000-0000CF160000}"/>
    <cellStyle name="Normal 216" xfId="5827" xr:uid="{00000000-0005-0000-0000-0000D0160000}"/>
    <cellStyle name="Normal 217" xfId="5828" xr:uid="{00000000-0005-0000-0000-0000D1160000}"/>
    <cellStyle name="Normal 218" xfId="5829" xr:uid="{00000000-0005-0000-0000-0000D2160000}"/>
    <cellStyle name="Normal 219" xfId="5830" xr:uid="{00000000-0005-0000-0000-0000D3160000}"/>
    <cellStyle name="Normal 22" xfId="5831" xr:uid="{00000000-0005-0000-0000-0000D4160000}"/>
    <cellStyle name="Normal 22 2" xfId="5832" xr:uid="{00000000-0005-0000-0000-0000D5160000}"/>
    <cellStyle name="Normal 22 2 2" xfId="5833" xr:uid="{00000000-0005-0000-0000-0000D6160000}"/>
    <cellStyle name="Normal 22 2 3" xfId="5834" xr:uid="{00000000-0005-0000-0000-0000D7160000}"/>
    <cellStyle name="Normal 22 3" xfId="5835" xr:uid="{00000000-0005-0000-0000-0000D8160000}"/>
    <cellStyle name="Normal 22 4" xfId="5836" xr:uid="{00000000-0005-0000-0000-0000D9160000}"/>
    <cellStyle name="Normal 220" xfId="5837" xr:uid="{00000000-0005-0000-0000-0000DA160000}"/>
    <cellStyle name="Normal 221" xfId="5838" xr:uid="{00000000-0005-0000-0000-0000DB160000}"/>
    <cellStyle name="Normal 222" xfId="5839" xr:uid="{00000000-0005-0000-0000-0000DC160000}"/>
    <cellStyle name="Normal 223" xfId="5840" xr:uid="{00000000-0005-0000-0000-0000DD160000}"/>
    <cellStyle name="Normal 224" xfId="5841" xr:uid="{00000000-0005-0000-0000-0000DE160000}"/>
    <cellStyle name="Normal 225" xfId="5842" xr:uid="{00000000-0005-0000-0000-0000DF160000}"/>
    <cellStyle name="Normal 226" xfId="5843" xr:uid="{00000000-0005-0000-0000-0000E0160000}"/>
    <cellStyle name="Normal 227" xfId="5844" xr:uid="{00000000-0005-0000-0000-0000E1160000}"/>
    <cellStyle name="Normal 228" xfId="5845" xr:uid="{00000000-0005-0000-0000-0000E2160000}"/>
    <cellStyle name="Normal 229" xfId="5846" xr:uid="{00000000-0005-0000-0000-0000E3160000}"/>
    <cellStyle name="Normal 23" xfId="5847" xr:uid="{00000000-0005-0000-0000-0000E4160000}"/>
    <cellStyle name="Normal 23 2" xfId="5848" xr:uid="{00000000-0005-0000-0000-0000E5160000}"/>
    <cellStyle name="Normal 23 2 2" xfId="5849" xr:uid="{00000000-0005-0000-0000-0000E6160000}"/>
    <cellStyle name="Normal 23 2 3" xfId="5850" xr:uid="{00000000-0005-0000-0000-0000E7160000}"/>
    <cellStyle name="Normal 23 3" xfId="5851" xr:uid="{00000000-0005-0000-0000-0000E8160000}"/>
    <cellStyle name="Normal 230" xfId="5852" xr:uid="{00000000-0005-0000-0000-0000E9160000}"/>
    <cellStyle name="Normal 231" xfId="5853" xr:uid="{00000000-0005-0000-0000-0000EA160000}"/>
    <cellStyle name="Normal 232" xfId="5854" xr:uid="{00000000-0005-0000-0000-0000EB160000}"/>
    <cellStyle name="Normal 233" xfId="5855" xr:uid="{00000000-0005-0000-0000-0000EC160000}"/>
    <cellStyle name="Normal 234" xfId="5856" xr:uid="{00000000-0005-0000-0000-0000ED160000}"/>
    <cellStyle name="Normal 234 2" xfId="5857" xr:uid="{00000000-0005-0000-0000-0000EE160000}"/>
    <cellStyle name="Normal 235" xfId="5858" xr:uid="{00000000-0005-0000-0000-0000EF160000}"/>
    <cellStyle name="Normal 236" xfId="5859" xr:uid="{00000000-0005-0000-0000-0000F0160000}"/>
    <cellStyle name="Normal 237" xfId="5860" xr:uid="{00000000-0005-0000-0000-0000F1160000}"/>
    <cellStyle name="Normal 238" xfId="5861" xr:uid="{00000000-0005-0000-0000-0000F2160000}"/>
    <cellStyle name="Normal 239" xfId="5862" xr:uid="{00000000-0005-0000-0000-0000F3160000}"/>
    <cellStyle name="Normal 24" xfId="5863" xr:uid="{00000000-0005-0000-0000-0000F4160000}"/>
    <cellStyle name="Normal 24 2" xfId="5864" xr:uid="{00000000-0005-0000-0000-0000F5160000}"/>
    <cellStyle name="Normal 24 2 2" xfId="5865" xr:uid="{00000000-0005-0000-0000-0000F6160000}"/>
    <cellStyle name="Normal 24 2 3" xfId="5866" xr:uid="{00000000-0005-0000-0000-0000F7160000}"/>
    <cellStyle name="Normal 24 3" xfId="5867" xr:uid="{00000000-0005-0000-0000-0000F8160000}"/>
    <cellStyle name="Normal 240" xfId="5868" xr:uid="{00000000-0005-0000-0000-0000F9160000}"/>
    <cellStyle name="Normal 241" xfId="5869" xr:uid="{00000000-0005-0000-0000-0000FA160000}"/>
    <cellStyle name="Normal 242" xfId="5870" xr:uid="{00000000-0005-0000-0000-0000FB160000}"/>
    <cellStyle name="Normal 243" xfId="5871" xr:uid="{00000000-0005-0000-0000-0000FC160000}"/>
    <cellStyle name="Normal 244" xfId="9376" xr:uid="{00000000-0005-0000-0000-0000FD160000}"/>
    <cellStyle name="Normal 245" xfId="9382" xr:uid="{00000000-0005-0000-0000-0000FE160000}"/>
    <cellStyle name="Normal 246" xfId="9387" xr:uid="{00000000-0005-0000-0000-0000FF160000}"/>
    <cellStyle name="Normal 246 2" xfId="9396" xr:uid="{00000000-0005-0000-0000-000000170000}"/>
    <cellStyle name="Normal 247" xfId="9389" xr:uid="{00000000-0005-0000-0000-000001170000}"/>
    <cellStyle name="Normal 247 2" xfId="9421" xr:uid="{00000000-0005-0000-0000-000002170000}"/>
    <cellStyle name="Normal 247 2 2" xfId="9430" xr:uid="{00000000-0005-0000-0000-000003170000}"/>
    <cellStyle name="Normal 248" xfId="9418" xr:uid="{00000000-0005-0000-0000-000004170000}"/>
    <cellStyle name="Normal 248 2" xfId="9427" xr:uid="{00000000-0005-0000-0000-000005170000}"/>
    <cellStyle name="Normal 249" xfId="9434" xr:uid="{00000000-0005-0000-0000-000006170000}"/>
    <cellStyle name="Normal 25" xfId="5872" xr:uid="{00000000-0005-0000-0000-000007170000}"/>
    <cellStyle name="Normal 25 2" xfId="5873" xr:uid="{00000000-0005-0000-0000-000008170000}"/>
    <cellStyle name="Normal 25 2 2" xfId="5874" xr:uid="{00000000-0005-0000-0000-000009170000}"/>
    <cellStyle name="Normal 25 2 3" xfId="5875" xr:uid="{00000000-0005-0000-0000-00000A170000}"/>
    <cellStyle name="Normal 25 3" xfId="5876" xr:uid="{00000000-0005-0000-0000-00000B170000}"/>
    <cellStyle name="Normal 250" xfId="9439" xr:uid="{00000000-0005-0000-0000-00000C170000}"/>
    <cellStyle name="Normal 250 2" xfId="9442" xr:uid="{00000000-0005-0000-0000-00000D170000}"/>
    <cellStyle name="Normal 251" xfId="9440" xr:uid="{00000000-0005-0000-0000-00000E170000}"/>
    <cellStyle name="Normal 252" xfId="9443" xr:uid="{00000000-0005-0000-0000-00000F170000}"/>
    <cellStyle name="Normal 26" xfId="5877" xr:uid="{00000000-0005-0000-0000-000010170000}"/>
    <cellStyle name="Normal 26 2" xfId="5878" xr:uid="{00000000-0005-0000-0000-000011170000}"/>
    <cellStyle name="Normal 26 2 2" xfId="5879" xr:uid="{00000000-0005-0000-0000-000012170000}"/>
    <cellStyle name="Normal 26 2 3" xfId="5880" xr:uid="{00000000-0005-0000-0000-000013170000}"/>
    <cellStyle name="Normal 26 3" xfId="5881" xr:uid="{00000000-0005-0000-0000-000014170000}"/>
    <cellStyle name="Normal 27" xfId="5882" xr:uid="{00000000-0005-0000-0000-000015170000}"/>
    <cellStyle name="Normal 27 2" xfId="5883" xr:uid="{00000000-0005-0000-0000-000016170000}"/>
    <cellStyle name="Normal 27 2 2" xfId="5884" xr:uid="{00000000-0005-0000-0000-000017170000}"/>
    <cellStyle name="Normal 27 2 3" xfId="5885" xr:uid="{00000000-0005-0000-0000-000018170000}"/>
    <cellStyle name="Normal 27 3" xfId="5886" xr:uid="{00000000-0005-0000-0000-000019170000}"/>
    <cellStyle name="Normal 28" xfId="5887" xr:uid="{00000000-0005-0000-0000-00001A170000}"/>
    <cellStyle name="Normal 28 2" xfId="5888" xr:uid="{00000000-0005-0000-0000-00001B170000}"/>
    <cellStyle name="Normal 28 2 2" xfId="5889" xr:uid="{00000000-0005-0000-0000-00001C170000}"/>
    <cellStyle name="Normal 28 2 3" xfId="5890" xr:uid="{00000000-0005-0000-0000-00001D170000}"/>
    <cellStyle name="Normal 28 3" xfId="5891" xr:uid="{00000000-0005-0000-0000-00001E170000}"/>
    <cellStyle name="Normal 29" xfId="5892" xr:uid="{00000000-0005-0000-0000-00001F170000}"/>
    <cellStyle name="Normal 29 2" xfId="5893" xr:uid="{00000000-0005-0000-0000-000020170000}"/>
    <cellStyle name="Normal 3" xfId="11" xr:uid="{00000000-0005-0000-0000-000021170000}"/>
    <cellStyle name="Normal 3 10" xfId="5894" xr:uid="{00000000-0005-0000-0000-000022170000}"/>
    <cellStyle name="Normal 3 10 2" xfId="5895" xr:uid="{00000000-0005-0000-0000-000023170000}"/>
    <cellStyle name="Normal 3 10 3" xfId="5896" xr:uid="{00000000-0005-0000-0000-000024170000}"/>
    <cellStyle name="Normal 3 10 4" xfId="5897" xr:uid="{00000000-0005-0000-0000-000025170000}"/>
    <cellStyle name="Normal 3 10 4 2" xfId="5898" xr:uid="{00000000-0005-0000-0000-000026170000}"/>
    <cellStyle name="Normal 3 10 5" xfId="5899" xr:uid="{00000000-0005-0000-0000-000027170000}"/>
    <cellStyle name="Normal 3 100" xfId="5900" xr:uid="{00000000-0005-0000-0000-000028170000}"/>
    <cellStyle name="Normal 3 101" xfId="5901" xr:uid="{00000000-0005-0000-0000-000029170000}"/>
    <cellStyle name="Normal 3 102" xfId="5902" xr:uid="{00000000-0005-0000-0000-00002A170000}"/>
    <cellStyle name="Normal 3 103" xfId="5903" xr:uid="{00000000-0005-0000-0000-00002B170000}"/>
    <cellStyle name="Normal 3 104" xfId="5904" xr:uid="{00000000-0005-0000-0000-00002C170000}"/>
    <cellStyle name="Normal 3 105" xfId="5905" xr:uid="{00000000-0005-0000-0000-00002D170000}"/>
    <cellStyle name="Normal 3 106" xfId="5906" xr:uid="{00000000-0005-0000-0000-00002E170000}"/>
    <cellStyle name="Normal 3 107" xfId="5907" xr:uid="{00000000-0005-0000-0000-00002F170000}"/>
    <cellStyle name="Normal 3 107 2" xfId="5908" xr:uid="{00000000-0005-0000-0000-000030170000}"/>
    <cellStyle name="Normal 3 108" xfId="5909" xr:uid="{00000000-0005-0000-0000-000031170000}"/>
    <cellStyle name="Normal 3 109" xfId="5910" xr:uid="{00000000-0005-0000-0000-000032170000}"/>
    <cellStyle name="Normal 3 109 2" xfId="5911" xr:uid="{00000000-0005-0000-0000-000033170000}"/>
    <cellStyle name="Normal 3 11" xfId="5912" xr:uid="{00000000-0005-0000-0000-000034170000}"/>
    <cellStyle name="Normal 3 11 2" xfId="5913" xr:uid="{00000000-0005-0000-0000-000035170000}"/>
    <cellStyle name="Normal 3 11 3" xfId="5914" xr:uid="{00000000-0005-0000-0000-000036170000}"/>
    <cellStyle name="Normal 3 11 4" xfId="5915" xr:uid="{00000000-0005-0000-0000-000037170000}"/>
    <cellStyle name="Normal 3 11 4 2" xfId="5916" xr:uid="{00000000-0005-0000-0000-000038170000}"/>
    <cellStyle name="Normal 3 11 5" xfId="5917" xr:uid="{00000000-0005-0000-0000-000039170000}"/>
    <cellStyle name="Normal 3 110" xfId="5918" xr:uid="{00000000-0005-0000-0000-00003A170000}"/>
    <cellStyle name="Normal 3 110 2" xfId="5919" xr:uid="{00000000-0005-0000-0000-00003B170000}"/>
    <cellStyle name="Normal 3 110 3" xfId="5920" xr:uid="{00000000-0005-0000-0000-00003C170000}"/>
    <cellStyle name="Normal 3 111" xfId="5921" xr:uid="{00000000-0005-0000-0000-00003D170000}"/>
    <cellStyle name="Normal 3 112" xfId="5922" xr:uid="{00000000-0005-0000-0000-00003E170000}"/>
    <cellStyle name="Normal 3 113" xfId="5923" xr:uid="{00000000-0005-0000-0000-00003F170000}"/>
    <cellStyle name="Normal 3 114" xfId="5924" xr:uid="{00000000-0005-0000-0000-000040170000}"/>
    <cellStyle name="Normal 3 12" xfId="5925" xr:uid="{00000000-0005-0000-0000-000041170000}"/>
    <cellStyle name="Normal 3 12 2" xfId="5926" xr:uid="{00000000-0005-0000-0000-000042170000}"/>
    <cellStyle name="Normal 3 12 3" xfId="5927" xr:uid="{00000000-0005-0000-0000-000043170000}"/>
    <cellStyle name="Normal 3 12 4" xfId="5928" xr:uid="{00000000-0005-0000-0000-000044170000}"/>
    <cellStyle name="Normal 3 13" xfId="5929" xr:uid="{00000000-0005-0000-0000-000045170000}"/>
    <cellStyle name="Normal 3 13 2" xfId="5930" xr:uid="{00000000-0005-0000-0000-000046170000}"/>
    <cellStyle name="Normal 3 13 3" xfId="5931" xr:uid="{00000000-0005-0000-0000-000047170000}"/>
    <cellStyle name="Normal 3 13 4" xfId="5932" xr:uid="{00000000-0005-0000-0000-000048170000}"/>
    <cellStyle name="Normal 3 14" xfId="5933" xr:uid="{00000000-0005-0000-0000-000049170000}"/>
    <cellStyle name="Normal 3 14 2" xfId="5934" xr:uid="{00000000-0005-0000-0000-00004A170000}"/>
    <cellStyle name="Normal 3 14 3" xfId="5935" xr:uid="{00000000-0005-0000-0000-00004B170000}"/>
    <cellStyle name="Normal 3 14 4" xfId="5936" xr:uid="{00000000-0005-0000-0000-00004C170000}"/>
    <cellStyle name="Normal 3 15" xfId="5937" xr:uid="{00000000-0005-0000-0000-00004D170000}"/>
    <cellStyle name="Normal 3 15 2" xfId="5938" xr:uid="{00000000-0005-0000-0000-00004E170000}"/>
    <cellStyle name="Normal 3 15 3" xfId="5939" xr:uid="{00000000-0005-0000-0000-00004F170000}"/>
    <cellStyle name="Normal 3 15 4" xfId="5940" xr:uid="{00000000-0005-0000-0000-000050170000}"/>
    <cellStyle name="Normal 3 16" xfId="5941" xr:uid="{00000000-0005-0000-0000-000051170000}"/>
    <cellStyle name="Normal 3 16 2" xfId="5942" xr:uid="{00000000-0005-0000-0000-000052170000}"/>
    <cellStyle name="Normal 3 16 3" xfId="5943" xr:uid="{00000000-0005-0000-0000-000053170000}"/>
    <cellStyle name="Normal 3 16 4" xfId="5944" xr:uid="{00000000-0005-0000-0000-000054170000}"/>
    <cellStyle name="Normal 3 17" xfId="5945" xr:uid="{00000000-0005-0000-0000-000055170000}"/>
    <cellStyle name="Normal 3 17 2" xfId="5946" xr:uid="{00000000-0005-0000-0000-000056170000}"/>
    <cellStyle name="Normal 3 17 3" xfId="5947" xr:uid="{00000000-0005-0000-0000-000057170000}"/>
    <cellStyle name="Normal 3 17 4" xfId="5948" xr:uid="{00000000-0005-0000-0000-000058170000}"/>
    <cellStyle name="Normal 3 18" xfId="5949" xr:uid="{00000000-0005-0000-0000-000059170000}"/>
    <cellStyle name="Normal 3 18 2" xfId="5950" xr:uid="{00000000-0005-0000-0000-00005A170000}"/>
    <cellStyle name="Normal 3 18 3" xfId="5951" xr:uid="{00000000-0005-0000-0000-00005B170000}"/>
    <cellStyle name="Normal 3 18 4" xfId="5952" xr:uid="{00000000-0005-0000-0000-00005C170000}"/>
    <cellStyle name="Normal 3 19" xfId="5953" xr:uid="{00000000-0005-0000-0000-00005D170000}"/>
    <cellStyle name="Normal 3 19 2" xfId="5954" xr:uid="{00000000-0005-0000-0000-00005E170000}"/>
    <cellStyle name="Normal 3 19 3" xfId="5955" xr:uid="{00000000-0005-0000-0000-00005F170000}"/>
    <cellStyle name="Normal 3 19 4" xfId="5956" xr:uid="{00000000-0005-0000-0000-000060170000}"/>
    <cellStyle name="Normal 3 2" xfId="17" xr:uid="{00000000-0005-0000-0000-000061170000}"/>
    <cellStyle name="Normal 3 2 10" xfId="5957" xr:uid="{00000000-0005-0000-0000-000062170000}"/>
    <cellStyle name="Normal 3 2 10 2" xfId="5958" xr:uid="{00000000-0005-0000-0000-000063170000}"/>
    <cellStyle name="Normal 3 2 10 2 2" xfId="5959" xr:uid="{00000000-0005-0000-0000-000064170000}"/>
    <cellStyle name="Normal 3 2 10 3" xfId="5960" xr:uid="{00000000-0005-0000-0000-000065170000}"/>
    <cellStyle name="Normal 3 2 10 4" xfId="5961" xr:uid="{00000000-0005-0000-0000-000066170000}"/>
    <cellStyle name="Normal 3 2 11" xfId="5962" xr:uid="{00000000-0005-0000-0000-000067170000}"/>
    <cellStyle name="Normal 3 2 11 2" xfId="5963" xr:uid="{00000000-0005-0000-0000-000068170000}"/>
    <cellStyle name="Normal 3 2 11 2 2" xfId="5964" xr:uid="{00000000-0005-0000-0000-000069170000}"/>
    <cellStyle name="Normal 3 2 11 3" xfId="5965" xr:uid="{00000000-0005-0000-0000-00006A170000}"/>
    <cellStyle name="Normal 3 2 11 4" xfId="5966" xr:uid="{00000000-0005-0000-0000-00006B170000}"/>
    <cellStyle name="Normal 3 2 11 5" xfId="5967" xr:uid="{00000000-0005-0000-0000-00006C170000}"/>
    <cellStyle name="Normal 3 2 12" xfId="5968" xr:uid="{00000000-0005-0000-0000-00006D170000}"/>
    <cellStyle name="Normal 3 2 12 2" xfId="5969" xr:uid="{00000000-0005-0000-0000-00006E170000}"/>
    <cellStyle name="Normal 3 2 12 2 2" xfId="5970" xr:uid="{00000000-0005-0000-0000-00006F170000}"/>
    <cellStyle name="Normal 3 2 12 3" xfId="5971" xr:uid="{00000000-0005-0000-0000-000070170000}"/>
    <cellStyle name="Normal 3 2 13" xfId="5972" xr:uid="{00000000-0005-0000-0000-000071170000}"/>
    <cellStyle name="Normal 3 2 13 2" xfId="5973" xr:uid="{00000000-0005-0000-0000-000072170000}"/>
    <cellStyle name="Normal 3 2 13 2 2" xfId="5974" xr:uid="{00000000-0005-0000-0000-000073170000}"/>
    <cellStyle name="Normal 3 2 13 3" xfId="5975" xr:uid="{00000000-0005-0000-0000-000074170000}"/>
    <cellStyle name="Normal 3 2 14" xfId="5976" xr:uid="{00000000-0005-0000-0000-000075170000}"/>
    <cellStyle name="Normal 3 2 14 2" xfId="5977" xr:uid="{00000000-0005-0000-0000-000076170000}"/>
    <cellStyle name="Normal 3 2 14 2 2" xfId="5978" xr:uid="{00000000-0005-0000-0000-000077170000}"/>
    <cellStyle name="Normal 3 2 14 3" xfId="5979" xr:uid="{00000000-0005-0000-0000-000078170000}"/>
    <cellStyle name="Normal 3 2 15" xfId="5980" xr:uid="{00000000-0005-0000-0000-000079170000}"/>
    <cellStyle name="Normal 3 2 15 2" xfId="5981" xr:uid="{00000000-0005-0000-0000-00007A170000}"/>
    <cellStyle name="Normal 3 2 15 2 2" xfId="5982" xr:uid="{00000000-0005-0000-0000-00007B170000}"/>
    <cellStyle name="Normal 3 2 15 3" xfId="5983" xr:uid="{00000000-0005-0000-0000-00007C170000}"/>
    <cellStyle name="Normal 3 2 16" xfId="5984" xr:uid="{00000000-0005-0000-0000-00007D170000}"/>
    <cellStyle name="Normal 3 2 16 2" xfId="5985" xr:uid="{00000000-0005-0000-0000-00007E170000}"/>
    <cellStyle name="Normal 3 2 16 2 2" xfId="5986" xr:uid="{00000000-0005-0000-0000-00007F170000}"/>
    <cellStyle name="Normal 3 2 16 3" xfId="5987" xr:uid="{00000000-0005-0000-0000-000080170000}"/>
    <cellStyle name="Normal 3 2 17" xfId="5988" xr:uid="{00000000-0005-0000-0000-000081170000}"/>
    <cellStyle name="Normal 3 2 17 2" xfId="5989" xr:uid="{00000000-0005-0000-0000-000082170000}"/>
    <cellStyle name="Normal 3 2 17 2 2" xfId="5990" xr:uid="{00000000-0005-0000-0000-000083170000}"/>
    <cellStyle name="Normal 3 2 17 3" xfId="5991" xr:uid="{00000000-0005-0000-0000-000084170000}"/>
    <cellStyle name="Normal 3 2 18" xfId="5992" xr:uid="{00000000-0005-0000-0000-000085170000}"/>
    <cellStyle name="Normal 3 2 18 2" xfId="5993" xr:uid="{00000000-0005-0000-0000-000086170000}"/>
    <cellStyle name="Normal 3 2 19" xfId="5994" xr:uid="{00000000-0005-0000-0000-000087170000}"/>
    <cellStyle name="Normal 3 2 19 2" xfId="5995" xr:uid="{00000000-0005-0000-0000-000088170000}"/>
    <cellStyle name="Normal 3 2 2" xfId="5996" xr:uid="{00000000-0005-0000-0000-000089170000}"/>
    <cellStyle name="Normal 3 2 2 10" xfId="5997" xr:uid="{00000000-0005-0000-0000-00008A170000}"/>
    <cellStyle name="Normal 3 2 2 11" xfId="5998" xr:uid="{00000000-0005-0000-0000-00008B170000}"/>
    <cellStyle name="Normal 3 2 2 12" xfId="5999" xr:uid="{00000000-0005-0000-0000-00008C170000}"/>
    <cellStyle name="Normal 3 2 2 13" xfId="6000" xr:uid="{00000000-0005-0000-0000-00008D170000}"/>
    <cellStyle name="Normal 3 2 2 14" xfId="6001" xr:uid="{00000000-0005-0000-0000-00008E170000}"/>
    <cellStyle name="Normal 3 2 2 15" xfId="6002" xr:uid="{00000000-0005-0000-0000-00008F170000}"/>
    <cellStyle name="Normal 3 2 2 16" xfId="6003" xr:uid="{00000000-0005-0000-0000-000090170000}"/>
    <cellStyle name="Normal 3 2 2 17" xfId="6004" xr:uid="{00000000-0005-0000-0000-000091170000}"/>
    <cellStyle name="Normal 3 2 2 18" xfId="6005" xr:uid="{00000000-0005-0000-0000-000092170000}"/>
    <cellStyle name="Normal 3 2 2 2" xfId="6006" xr:uid="{00000000-0005-0000-0000-000093170000}"/>
    <cellStyle name="Normal 3 2 2 2 10" xfId="6007" xr:uid="{00000000-0005-0000-0000-000094170000}"/>
    <cellStyle name="Normal 3 2 2 2 10 2" xfId="6008" xr:uid="{00000000-0005-0000-0000-000095170000}"/>
    <cellStyle name="Normal 3 2 2 2 10 2 2" xfId="6009" xr:uid="{00000000-0005-0000-0000-000096170000}"/>
    <cellStyle name="Normal 3 2 2 2 10 3" xfId="6010" xr:uid="{00000000-0005-0000-0000-000097170000}"/>
    <cellStyle name="Normal 3 2 2 2 11" xfId="6011" xr:uid="{00000000-0005-0000-0000-000098170000}"/>
    <cellStyle name="Normal 3 2 2 2 11 2" xfId="6012" xr:uid="{00000000-0005-0000-0000-000099170000}"/>
    <cellStyle name="Normal 3 2 2 2 11 2 2" xfId="6013" xr:uid="{00000000-0005-0000-0000-00009A170000}"/>
    <cellStyle name="Normal 3 2 2 2 11 3" xfId="6014" xr:uid="{00000000-0005-0000-0000-00009B170000}"/>
    <cellStyle name="Normal 3 2 2 2 12" xfId="6015" xr:uid="{00000000-0005-0000-0000-00009C170000}"/>
    <cellStyle name="Normal 3 2 2 2 12 2" xfId="6016" xr:uid="{00000000-0005-0000-0000-00009D170000}"/>
    <cellStyle name="Normal 3 2 2 2 12 2 2" xfId="6017" xr:uid="{00000000-0005-0000-0000-00009E170000}"/>
    <cellStyle name="Normal 3 2 2 2 12 3" xfId="6018" xr:uid="{00000000-0005-0000-0000-00009F170000}"/>
    <cellStyle name="Normal 3 2 2 2 13" xfId="6019" xr:uid="{00000000-0005-0000-0000-0000A0170000}"/>
    <cellStyle name="Normal 3 2 2 2 13 2" xfId="6020" xr:uid="{00000000-0005-0000-0000-0000A1170000}"/>
    <cellStyle name="Normal 3 2 2 2 13 2 2" xfId="6021" xr:uid="{00000000-0005-0000-0000-0000A2170000}"/>
    <cellStyle name="Normal 3 2 2 2 13 3" xfId="6022" xr:uid="{00000000-0005-0000-0000-0000A3170000}"/>
    <cellStyle name="Normal 3 2 2 2 14" xfId="6023" xr:uid="{00000000-0005-0000-0000-0000A4170000}"/>
    <cellStyle name="Normal 3 2 2 2 14 2" xfId="6024" xr:uid="{00000000-0005-0000-0000-0000A5170000}"/>
    <cellStyle name="Normal 3 2 2 2 14 2 2" xfId="6025" xr:uid="{00000000-0005-0000-0000-0000A6170000}"/>
    <cellStyle name="Normal 3 2 2 2 14 3" xfId="6026" xr:uid="{00000000-0005-0000-0000-0000A7170000}"/>
    <cellStyle name="Normal 3 2 2 2 15" xfId="6027" xr:uid="{00000000-0005-0000-0000-0000A8170000}"/>
    <cellStyle name="Normal 3 2 2 2 15 2" xfId="6028" xr:uid="{00000000-0005-0000-0000-0000A9170000}"/>
    <cellStyle name="Normal 3 2 2 2 15 2 2" xfId="6029" xr:uid="{00000000-0005-0000-0000-0000AA170000}"/>
    <cellStyle name="Normal 3 2 2 2 15 3" xfId="6030" xr:uid="{00000000-0005-0000-0000-0000AB170000}"/>
    <cellStyle name="Normal 3 2 2 2 16" xfId="6031" xr:uid="{00000000-0005-0000-0000-0000AC170000}"/>
    <cellStyle name="Normal 3 2 2 2 16 2" xfId="6032" xr:uid="{00000000-0005-0000-0000-0000AD170000}"/>
    <cellStyle name="Normal 3 2 2 2 17" xfId="6033" xr:uid="{00000000-0005-0000-0000-0000AE170000}"/>
    <cellStyle name="Normal 3 2 2 2 17 2" xfId="6034" xr:uid="{00000000-0005-0000-0000-0000AF170000}"/>
    <cellStyle name="Normal 3 2 2 2 2" xfId="6035" xr:uid="{00000000-0005-0000-0000-0000B0170000}"/>
    <cellStyle name="Normal 3 2 2 2 2 2" xfId="6036" xr:uid="{00000000-0005-0000-0000-0000B1170000}"/>
    <cellStyle name="Normal 3 2 2 2 2 2 2" xfId="6037" xr:uid="{00000000-0005-0000-0000-0000B2170000}"/>
    <cellStyle name="Normal 3 2 2 2 2 2 2 2" xfId="6038" xr:uid="{00000000-0005-0000-0000-0000B3170000}"/>
    <cellStyle name="Normal 3 2 2 2 2 2 2 2 2" xfId="6039" xr:uid="{00000000-0005-0000-0000-0000B4170000}"/>
    <cellStyle name="Normal 3 2 2 2 2 2 2 3" xfId="6040" xr:uid="{00000000-0005-0000-0000-0000B5170000}"/>
    <cellStyle name="Normal 3 2 2 2 2 2 3" xfId="6041" xr:uid="{00000000-0005-0000-0000-0000B6170000}"/>
    <cellStyle name="Normal 3 2 2 2 2 2 3 2" xfId="6042" xr:uid="{00000000-0005-0000-0000-0000B7170000}"/>
    <cellStyle name="Normal 3 2 2 2 2 2 3 2 2" xfId="6043" xr:uid="{00000000-0005-0000-0000-0000B8170000}"/>
    <cellStyle name="Normal 3 2 2 2 2 2 3 3" xfId="6044" xr:uid="{00000000-0005-0000-0000-0000B9170000}"/>
    <cellStyle name="Normal 3 2 2 2 2 2 4" xfId="6045" xr:uid="{00000000-0005-0000-0000-0000BA170000}"/>
    <cellStyle name="Normal 3 2 2 2 2 2 4 2" xfId="6046" xr:uid="{00000000-0005-0000-0000-0000BB170000}"/>
    <cellStyle name="Normal 3 2 2 2 2 2 4 2 2" xfId="6047" xr:uid="{00000000-0005-0000-0000-0000BC170000}"/>
    <cellStyle name="Normal 3 2 2 2 2 2 4 3" xfId="6048" xr:uid="{00000000-0005-0000-0000-0000BD170000}"/>
    <cellStyle name="Normal 3 2 2 2 2 2 5" xfId="6049" xr:uid="{00000000-0005-0000-0000-0000BE170000}"/>
    <cellStyle name="Normal 3 2 2 2 2 2 5 2" xfId="6050" xr:uid="{00000000-0005-0000-0000-0000BF170000}"/>
    <cellStyle name="Normal 3 2 2 2 2 2 5 2 2" xfId="6051" xr:uid="{00000000-0005-0000-0000-0000C0170000}"/>
    <cellStyle name="Normal 3 2 2 2 2 2 5 3" xfId="6052" xr:uid="{00000000-0005-0000-0000-0000C1170000}"/>
    <cellStyle name="Normal 3 2 2 2 2 3" xfId="6053" xr:uid="{00000000-0005-0000-0000-0000C2170000}"/>
    <cellStyle name="Normal 3 2 2 2 2 4" xfId="6054" xr:uid="{00000000-0005-0000-0000-0000C3170000}"/>
    <cellStyle name="Normal 3 2 2 2 2 5" xfId="6055" xr:uid="{00000000-0005-0000-0000-0000C4170000}"/>
    <cellStyle name="Normal 3 2 2 2 2 6" xfId="6056" xr:uid="{00000000-0005-0000-0000-0000C5170000}"/>
    <cellStyle name="Normal 3 2 2 2 2 6 2" xfId="6057" xr:uid="{00000000-0005-0000-0000-0000C6170000}"/>
    <cellStyle name="Normal 3 2 2 2 2 7" xfId="6058" xr:uid="{00000000-0005-0000-0000-0000C7170000}"/>
    <cellStyle name="Normal 3 2 2 2 3" xfId="6059" xr:uid="{00000000-0005-0000-0000-0000C8170000}"/>
    <cellStyle name="Normal 3 2 2 2 3 2" xfId="6060" xr:uid="{00000000-0005-0000-0000-0000C9170000}"/>
    <cellStyle name="Normal 3 2 2 2 3 2 2" xfId="6061" xr:uid="{00000000-0005-0000-0000-0000CA170000}"/>
    <cellStyle name="Normal 3 2 2 2 3 3" xfId="6062" xr:uid="{00000000-0005-0000-0000-0000CB170000}"/>
    <cellStyle name="Normal 3 2 2 2 4" xfId="6063" xr:uid="{00000000-0005-0000-0000-0000CC170000}"/>
    <cellStyle name="Normal 3 2 2 2 4 2" xfId="6064" xr:uid="{00000000-0005-0000-0000-0000CD170000}"/>
    <cellStyle name="Normal 3 2 2 2 4 2 2" xfId="6065" xr:uid="{00000000-0005-0000-0000-0000CE170000}"/>
    <cellStyle name="Normal 3 2 2 2 4 3" xfId="6066" xr:uid="{00000000-0005-0000-0000-0000CF170000}"/>
    <cellStyle name="Normal 3 2 2 2 5" xfId="6067" xr:uid="{00000000-0005-0000-0000-0000D0170000}"/>
    <cellStyle name="Normal 3 2 2 2 5 2" xfId="6068" xr:uid="{00000000-0005-0000-0000-0000D1170000}"/>
    <cellStyle name="Normal 3 2 2 2 5 2 2" xfId="6069" xr:uid="{00000000-0005-0000-0000-0000D2170000}"/>
    <cellStyle name="Normal 3 2 2 2 5 3" xfId="6070" xr:uid="{00000000-0005-0000-0000-0000D3170000}"/>
    <cellStyle name="Normal 3 2 2 2 6" xfId="6071" xr:uid="{00000000-0005-0000-0000-0000D4170000}"/>
    <cellStyle name="Normal 3 2 2 2 6 2" xfId="6072" xr:uid="{00000000-0005-0000-0000-0000D5170000}"/>
    <cellStyle name="Normal 3 2 2 2 6 2 2" xfId="6073" xr:uid="{00000000-0005-0000-0000-0000D6170000}"/>
    <cellStyle name="Normal 3 2 2 2 6 3" xfId="6074" xr:uid="{00000000-0005-0000-0000-0000D7170000}"/>
    <cellStyle name="Normal 3 2 2 2 7" xfId="6075" xr:uid="{00000000-0005-0000-0000-0000D8170000}"/>
    <cellStyle name="Normal 3 2 2 2 7 2" xfId="6076" xr:uid="{00000000-0005-0000-0000-0000D9170000}"/>
    <cellStyle name="Normal 3 2 2 2 7 2 2" xfId="6077" xr:uid="{00000000-0005-0000-0000-0000DA170000}"/>
    <cellStyle name="Normal 3 2 2 2 7 3" xfId="6078" xr:uid="{00000000-0005-0000-0000-0000DB170000}"/>
    <cellStyle name="Normal 3 2 2 2 8" xfId="6079" xr:uid="{00000000-0005-0000-0000-0000DC170000}"/>
    <cellStyle name="Normal 3 2 2 2 8 2" xfId="6080" xr:uid="{00000000-0005-0000-0000-0000DD170000}"/>
    <cellStyle name="Normal 3 2 2 2 8 2 2" xfId="6081" xr:uid="{00000000-0005-0000-0000-0000DE170000}"/>
    <cellStyle name="Normal 3 2 2 2 8 3" xfId="6082" xr:uid="{00000000-0005-0000-0000-0000DF170000}"/>
    <cellStyle name="Normal 3 2 2 2 9" xfId="6083" xr:uid="{00000000-0005-0000-0000-0000E0170000}"/>
    <cellStyle name="Normal 3 2 2 2 9 2" xfId="6084" xr:uid="{00000000-0005-0000-0000-0000E1170000}"/>
    <cellStyle name="Normal 3 2 2 2 9 2 2" xfId="6085" xr:uid="{00000000-0005-0000-0000-0000E2170000}"/>
    <cellStyle name="Normal 3 2 2 2 9 3" xfId="6086" xr:uid="{00000000-0005-0000-0000-0000E3170000}"/>
    <cellStyle name="Normal 3 2 2 3" xfId="6087" xr:uid="{00000000-0005-0000-0000-0000E4170000}"/>
    <cellStyle name="Normal 3 2 2 3 2" xfId="6088" xr:uid="{00000000-0005-0000-0000-0000E5170000}"/>
    <cellStyle name="Normal 3 2 2 3 3" xfId="6089" xr:uid="{00000000-0005-0000-0000-0000E6170000}"/>
    <cellStyle name="Normal 3 2 2 3 3 2" xfId="6090" xr:uid="{00000000-0005-0000-0000-0000E7170000}"/>
    <cellStyle name="Normal 3 2 2 3 4" xfId="6091" xr:uid="{00000000-0005-0000-0000-0000E8170000}"/>
    <cellStyle name="Normal 3 2 2 4" xfId="6092" xr:uid="{00000000-0005-0000-0000-0000E9170000}"/>
    <cellStyle name="Normal 3 2 2 4 2" xfId="6093" xr:uid="{00000000-0005-0000-0000-0000EA170000}"/>
    <cellStyle name="Normal 3 2 2 5" xfId="6094" xr:uid="{00000000-0005-0000-0000-0000EB170000}"/>
    <cellStyle name="Normal 3 2 2 6" xfId="6095" xr:uid="{00000000-0005-0000-0000-0000EC170000}"/>
    <cellStyle name="Normal 3 2 2 7" xfId="6096" xr:uid="{00000000-0005-0000-0000-0000ED170000}"/>
    <cellStyle name="Normal 3 2 2 8" xfId="6097" xr:uid="{00000000-0005-0000-0000-0000EE170000}"/>
    <cellStyle name="Normal 3 2 2 9" xfId="6098" xr:uid="{00000000-0005-0000-0000-0000EF170000}"/>
    <cellStyle name="Normal 3 2 20" xfId="6099" xr:uid="{00000000-0005-0000-0000-0000F0170000}"/>
    <cellStyle name="Normal 3 2 21" xfId="6100" xr:uid="{00000000-0005-0000-0000-0000F1170000}"/>
    <cellStyle name="Normal 3 2 22" xfId="6101" xr:uid="{00000000-0005-0000-0000-0000F2170000}"/>
    <cellStyle name="Normal 3 2 3" xfId="6102" xr:uid="{00000000-0005-0000-0000-0000F3170000}"/>
    <cellStyle name="Normal 3 2 3 2" xfId="6103" xr:uid="{00000000-0005-0000-0000-0000F4170000}"/>
    <cellStyle name="Normal 3 2 3 2 2" xfId="6104" xr:uid="{00000000-0005-0000-0000-0000F5170000}"/>
    <cellStyle name="Normal 3 2 3 3" xfId="6105" xr:uid="{00000000-0005-0000-0000-0000F6170000}"/>
    <cellStyle name="Normal 3 2 4" xfId="6106" xr:uid="{00000000-0005-0000-0000-0000F7170000}"/>
    <cellStyle name="Normal 3 2 4 2" xfId="6107" xr:uid="{00000000-0005-0000-0000-0000F8170000}"/>
    <cellStyle name="Normal 3 2 4 2 2" xfId="6108" xr:uid="{00000000-0005-0000-0000-0000F9170000}"/>
    <cellStyle name="Normal 3 2 4 3" xfId="6109" xr:uid="{00000000-0005-0000-0000-0000FA170000}"/>
    <cellStyle name="Normal 3 2 5" xfId="6110" xr:uid="{00000000-0005-0000-0000-0000FB170000}"/>
    <cellStyle name="Normal 3 2 5 2" xfId="6111" xr:uid="{00000000-0005-0000-0000-0000FC170000}"/>
    <cellStyle name="Normal 3 2 5 2 2" xfId="6112" xr:uid="{00000000-0005-0000-0000-0000FD170000}"/>
    <cellStyle name="Normal 3 2 5 3" xfId="6113" xr:uid="{00000000-0005-0000-0000-0000FE170000}"/>
    <cellStyle name="Normal 3 2 6" xfId="6114" xr:uid="{00000000-0005-0000-0000-0000FF170000}"/>
    <cellStyle name="Normal 3 2 6 2" xfId="6115" xr:uid="{00000000-0005-0000-0000-000000180000}"/>
    <cellStyle name="Normal 3 2 6 2 2" xfId="6116" xr:uid="{00000000-0005-0000-0000-000001180000}"/>
    <cellStyle name="Normal 3 2 6 3" xfId="6117" xr:uid="{00000000-0005-0000-0000-000002180000}"/>
    <cellStyle name="Normal 3 2 7" xfId="6118" xr:uid="{00000000-0005-0000-0000-000003180000}"/>
    <cellStyle name="Normal 3 2 7 2" xfId="6119" xr:uid="{00000000-0005-0000-0000-000004180000}"/>
    <cellStyle name="Normal 3 2 7 2 2" xfId="6120" xr:uid="{00000000-0005-0000-0000-000005180000}"/>
    <cellStyle name="Normal 3 2 7 3" xfId="6121" xr:uid="{00000000-0005-0000-0000-000006180000}"/>
    <cellStyle name="Normal 3 2 8" xfId="6122" xr:uid="{00000000-0005-0000-0000-000007180000}"/>
    <cellStyle name="Normal 3 2 8 2" xfId="6123" xr:uid="{00000000-0005-0000-0000-000008180000}"/>
    <cellStyle name="Normal 3 2 8 2 2" xfId="6124" xr:uid="{00000000-0005-0000-0000-000009180000}"/>
    <cellStyle name="Normal 3 2 8 3" xfId="6125" xr:uid="{00000000-0005-0000-0000-00000A180000}"/>
    <cellStyle name="Normal 3 2 9" xfId="6126" xr:uid="{00000000-0005-0000-0000-00000B180000}"/>
    <cellStyle name="Normal 3 2 9 2" xfId="6127" xr:uid="{00000000-0005-0000-0000-00000C180000}"/>
    <cellStyle name="Normal 3 2 9 2 2" xfId="6128" xr:uid="{00000000-0005-0000-0000-00000D180000}"/>
    <cellStyle name="Normal 3 2 9 3" xfId="6129" xr:uid="{00000000-0005-0000-0000-00000E180000}"/>
    <cellStyle name="Normal 3 20" xfId="6130" xr:uid="{00000000-0005-0000-0000-00000F180000}"/>
    <cellStyle name="Normal 3 20 2" xfId="6131" xr:uid="{00000000-0005-0000-0000-000010180000}"/>
    <cellStyle name="Normal 3 20 3" xfId="6132" xr:uid="{00000000-0005-0000-0000-000011180000}"/>
    <cellStyle name="Normal 3 20 4" xfId="6133" xr:uid="{00000000-0005-0000-0000-000012180000}"/>
    <cellStyle name="Normal 3 21" xfId="6134" xr:uid="{00000000-0005-0000-0000-000013180000}"/>
    <cellStyle name="Normal 3 21 2" xfId="6135" xr:uid="{00000000-0005-0000-0000-000014180000}"/>
    <cellStyle name="Normal 3 21 3" xfId="6136" xr:uid="{00000000-0005-0000-0000-000015180000}"/>
    <cellStyle name="Normal 3 22" xfId="6137" xr:uid="{00000000-0005-0000-0000-000016180000}"/>
    <cellStyle name="Normal 3 22 2" xfId="6138" xr:uid="{00000000-0005-0000-0000-000017180000}"/>
    <cellStyle name="Normal 3 23" xfId="6139" xr:uid="{00000000-0005-0000-0000-000018180000}"/>
    <cellStyle name="Normal 3 24" xfId="6140" xr:uid="{00000000-0005-0000-0000-000019180000}"/>
    <cellStyle name="Normal 3 25" xfId="6141" xr:uid="{00000000-0005-0000-0000-00001A180000}"/>
    <cellStyle name="Normal 3 26" xfId="6142" xr:uid="{00000000-0005-0000-0000-00001B180000}"/>
    <cellStyle name="Normal 3 27" xfId="6143" xr:uid="{00000000-0005-0000-0000-00001C180000}"/>
    <cellStyle name="Normal 3 28" xfId="6144" xr:uid="{00000000-0005-0000-0000-00001D180000}"/>
    <cellStyle name="Normal 3 29" xfId="6145" xr:uid="{00000000-0005-0000-0000-00001E180000}"/>
    <cellStyle name="Normal 3 3" xfId="6146" xr:uid="{00000000-0005-0000-0000-00001F180000}"/>
    <cellStyle name="Normal 3 3 2" xfId="6147" xr:uid="{00000000-0005-0000-0000-000020180000}"/>
    <cellStyle name="Normal 3 3 2 2" xfId="6148" xr:uid="{00000000-0005-0000-0000-000021180000}"/>
    <cellStyle name="Normal 3 3 2 2 2" xfId="6149" xr:uid="{00000000-0005-0000-0000-000022180000}"/>
    <cellStyle name="Normal 3 3 2 2 2 2" xfId="6150" xr:uid="{00000000-0005-0000-0000-000023180000}"/>
    <cellStyle name="Normal 3 3 2 2 3" xfId="6151" xr:uid="{00000000-0005-0000-0000-000024180000}"/>
    <cellStyle name="Normal 3 3 2 2 4" xfId="6152" xr:uid="{00000000-0005-0000-0000-000025180000}"/>
    <cellStyle name="Normal 3 3 2 2 5" xfId="6153" xr:uid="{00000000-0005-0000-0000-000026180000}"/>
    <cellStyle name="Normal 3 3 2 2 6" xfId="6154" xr:uid="{00000000-0005-0000-0000-000027180000}"/>
    <cellStyle name="Normal 3 3 2 2 6 2" xfId="6155" xr:uid="{00000000-0005-0000-0000-000028180000}"/>
    <cellStyle name="Normal 3 3 2 2 7" xfId="6156" xr:uid="{00000000-0005-0000-0000-000029180000}"/>
    <cellStyle name="Normal 3 3 2 3" xfId="6157" xr:uid="{00000000-0005-0000-0000-00002A180000}"/>
    <cellStyle name="Normal 3 3 2 3 2" xfId="6158" xr:uid="{00000000-0005-0000-0000-00002B180000}"/>
    <cellStyle name="Normal 3 3 2 3 2 2" xfId="6159" xr:uid="{00000000-0005-0000-0000-00002C180000}"/>
    <cellStyle name="Normal 3 3 2 3 3" xfId="6160" xr:uid="{00000000-0005-0000-0000-00002D180000}"/>
    <cellStyle name="Normal 3 3 2 4" xfId="6161" xr:uid="{00000000-0005-0000-0000-00002E180000}"/>
    <cellStyle name="Normal 3 3 2 4 2" xfId="6162" xr:uid="{00000000-0005-0000-0000-00002F180000}"/>
    <cellStyle name="Normal 3 3 2 4 2 2" xfId="6163" xr:uid="{00000000-0005-0000-0000-000030180000}"/>
    <cellStyle name="Normal 3 3 2 4 3" xfId="6164" xr:uid="{00000000-0005-0000-0000-000031180000}"/>
    <cellStyle name="Normal 3 3 2 5" xfId="6165" xr:uid="{00000000-0005-0000-0000-000032180000}"/>
    <cellStyle name="Normal 3 3 2 5 2" xfId="6166" xr:uid="{00000000-0005-0000-0000-000033180000}"/>
    <cellStyle name="Normal 3 3 2 5 2 2" xfId="6167" xr:uid="{00000000-0005-0000-0000-000034180000}"/>
    <cellStyle name="Normal 3 3 2 5 3" xfId="6168" xr:uid="{00000000-0005-0000-0000-000035180000}"/>
    <cellStyle name="Normal 3 3 2 6" xfId="6169" xr:uid="{00000000-0005-0000-0000-000036180000}"/>
    <cellStyle name="Normal 3 3 2 6 2" xfId="6170" xr:uid="{00000000-0005-0000-0000-000037180000}"/>
    <cellStyle name="Normal 3 3 2 6 3" xfId="6171" xr:uid="{00000000-0005-0000-0000-000038180000}"/>
    <cellStyle name="Normal 3 3 3" xfId="6172" xr:uid="{00000000-0005-0000-0000-000039180000}"/>
    <cellStyle name="Normal 3 3 3 2" xfId="6173" xr:uid="{00000000-0005-0000-0000-00003A180000}"/>
    <cellStyle name="Normal 3 3 3 3" xfId="6174" xr:uid="{00000000-0005-0000-0000-00003B180000}"/>
    <cellStyle name="Normal 3 3 3 3 2" xfId="6175" xr:uid="{00000000-0005-0000-0000-00003C180000}"/>
    <cellStyle name="Normal 3 3 3 4" xfId="6176" xr:uid="{00000000-0005-0000-0000-00003D180000}"/>
    <cellStyle name="Normal 3 3 4" xfId="6177" xr:uid="{00000000-0005-0000-0000-00003E180000}"/>
    <cellStyle name="Normal 3 3 4 2" xfId="6178" xr:uid="{00000000-0005-0000-0000-00003F180000}"/>
    <cellStyle name="Normal 3 3 5" xfId="6179" xr:uid="{00000000-0005-0000-0000-000040180000}"/>
    <cellStyle name="Normal 3 3 6" xfId="6180" xr:uid="{00000000-0005-0000-0000-000041180000}"/>
    <cellStyle name="Normal 3 3 7" xfId="6181" xr:uid="{00000000-0005-0000-0000-000042180000}"/>
    <cellStyle name="Normal 3 3 8" xfId="6182" xr:uid="{00000000-0005-0000-0000-000043180000}"/>
    <cellStyle name="Normal 3 3 9" xfId="6183" xr:uid="{00000000-0005-0000-0000-000044180000}"/>
    <cellStyle name="Normal 3 30" xfId="6184" xr:uid="{00000000-0005-0000-0000-000045180000}"/>
    <cellStyle name="Normal 3 31" xfId="6185" xr:uid="{00000000-0005-0000-0000-000046180000}"/>
    <cellStyle name="Normal 3 32" xfId="6186" xr:uid="{00000000-0005-0000-0000-000047180000}"/>
    <cellStyle name="Normal 3 33" xfId="6187" xr:uid="{00000000-0005-0000-0000-000048180000}"/>
    <cellStyle name="Normal 3 34" xfId="6188" xr:uid="{00000000-0005-0000-0000-000049180000}"/>
    <cellStyle name="Normal 3 35" xfId="6189" xr:uid="{00000000-0005-0000-0000-00004A180000}"/>
    <cellStyle name="Normal 3 36" xfId="6190" xr:uid="{00000000-0005-0000-0000-00004B180000}"/>
    <cellStyle name="Normal 3 37" xfId="6191" xr:uid="{00000000-0005-0000-0000-00004C180000}"/>
    <cellStyle name="Normal 3 38" xfId="6192" xr:uid="{00000000-0005-0000-0000-00004D180000}"/>
    <cellStyle name="Normal 3 39" xfId="6193" xr:uid="{00000000-0005-0000-0000-00004E180000}"/>
    <cellStyle name="Normal 3 4" xfId="6194" xr:uid="{00000000-0005-0000-0000-00004F180000}"/>
    <cellStyle name="Normal 3 4 10" xfId="6195" xr:uid="{00000000-0005-0000-0000-000050180000}"/>
    <cellStyle name="Normal 3 4 11" xfId="6196" xr:uid="{00000000-0005-0000-0000-000051180000}"/>
    <cellStyle name="Normal 3 4 2" xfId="6197" xr:uid="{00000000-0005-0000-0000-000052180000}"/>
    <cellStyle name="Normal 3 4 2 2" xfId="6198" xr:uid="{00000000-0005-0000-0000-000053180000}"/>
    <cellStyle name="Normal 3 4 3" xfId="6199" xr:uid="{00000000-0005-0000-0000-000054180000}"/>
    <cellStyle name="Normal 3 4 3 2" xfId="6200" xr:uid="{00000000-0005-0000-0000-000055180000}"/>
    <cellStyle name="Normal 3 4 4" xfId="6201" xr:uid="{00000000-0005-0000-0000-000056180000}"/>
    <cellStyle name="Normal 3 4 5" xfId="6202" xr:uid="{00000000-0005-0000-0000-000057180000}"/>
    <cellStyle name="Normal 3 4 6" xfId="6203" xr:uid="{00000000-0005-0000-0000-000058180000}"/>
    <cellStyle name="Normal 3 4 7" xfId="6204" xr:uid="{00000000-0005-0000-0000-000059180000}"/>
    <cellStyle name="Normal 3 4 8" xfId="6205" xr:uid="{00000000-0005-0000-0000-00005A180000}"/>
    <cellStyle name="Normal 3 4 9" xfId="6206" xr:uid="{00000000-0005-0000-0000-00005B180000}"/>
    <cellStyle name="Normal 3 40" xfId="6207" xr:uid="{00000000-0005-0000-0000-00005C180000}"/>
    <cellStyle name="Normal 3 41" xfId="6208" xr:uid="{00000000-0005-0000-0000-00005D180000}"/>
    <cellStyle name="Normal 3 42" xfId="6209" xr:uid="{00000000-0005-0000-0000-00005E180000}"/>
    <cellStyle name="Normal 3 43" xfId="6210" xr:uid="{00000000-0005-0000-0000-00005F180000}"/>
    <cellStyle name="Normal 3 43 2" xfId="6211" xr:uid="{00000000-0005-0000-0000-000060180000}"/>
    <cellStyle name="Normal 3 44" xfId="6212" xr:uid="{00000000-0005-0000-0000-000061180000}"/>
    <cellStyle name="Normal 3 44 2" xfId="6213" xr:uid="{00000000-0005-0000-0000-000062180000}"/>
    <cellStyle name="Normal 3 45" xfId="6214" xr:uid="{00000000-0005-0000-0000-000063180000}"/>
    <cellStyle name="Normal 3 46" xfId="6215" xr:uid="{00000000-0005-0000-0000-000064180000}"/>
    <cellStyle name="Normal 3 47" xfId="6216" xr:uid="{00000000-0005-0000-0000-000065180000}"/>
    <cellStyle name="Normal 3 48" xfId="6217" xr:uid="{00000000-0005-0000-0000-000066180000}"/>
    <cellStyle name="Normal 3 49" xfId="6218" xr:uid="{00000000-0005-0000-0000-000067180000}"/>
    <cellStyle name="Normal 3 5" xfId="6219" xr:uid="{00000000-0005-0000-0000-000068180000}"/>
    <cellStyle name="Normal 3 5 10" xfId="6220" xr:uid="{00000000-0005-0000-0000-000069180000}"/>
    <cellStyle name="Normal 3 5 11" xfId="6221" xr:uid="{00000000-0005-0000-0000-00006A180000}"/>
    <cellStyle name="Normal 3 5 12" xfId="6222" xr:uid="{00000000-0005-0000-0000-00006B180000}"/>
    <cellStyle name="Normal 3 5 13" xfId="6223" xr:uid="{00000000-0005-0000-0000-00006C180000}"/>
    <cellStyle name="Normal 3 5 14" xfId="6224" xr:uid="{00000000-0005-0000-0000-00006D180000}"/>
    <cellStyle name="Normal 3 5 15" xfId="6225" xr:uid="{00000000-0005-0000-0000-00006E180000}"/>
    <cellStyle name="Normal 3 5 16" xfId="6226" xr:uid="{00000000-0005-0000-0000-00006F180000}"/>
    <cellStyle name="Normal 3 5 16 2" xfId="6227" xr:uid="{00000000-0005-0000-0000-000070180000}"/>
    <cellStyle name="Normal 3 5 17" xfId="6228" xr:uid="{00000000-0005-0000-0000-000071180000}"/>
    <cellStyle name="Normal 3 5 18" xfId="6229" xr:uid="{00000000-0005-0000-0000-000072180000}"/>
    <cellStyle name="Normal 3 5 2" xfId="6230" xr:uid="{00000000-0005-0000-0000-000073180000}"/>
    <cellStyle name="Normal 3 5 2 2" xfId="6231" xr:uid="{00000000-0005-0000-0000-000074180000}"/>
    <cellStyle name="Normal 3 5 2 2 2" xfId="6232" xr:uid="{00000000-0005-0000-0000-000075180000}"/>
    <cellStyle name="Normal 3 5 2 2 2 2" xfId="6233" xr:uid="{00000000-0005-0000-0000-000076180000}"/>
    <cellStyle name="Normal 3 5 2 2 3" xfId="6234" xr:uid="{00000000-0005-0000-0000-000077180000}"/>
    <cellStyle name="Normal 3 5 2 2 4" xfId="6235" xr:uid="{00000000-0005-0000-0000-000078180000}"/>
    <cellStyle name="Normal 3 5 2 2 5" xfId="6236" xr:uid="{00000000-0005-0000-0000-000079180000}"/>
    <cellStyle name="Normal 3 5 2 3" xfId="6237" xr:uid="{00000000-0005-0000-0000-00007A180000}"/>
    <cellStyle name="Normal 3 5 2 4" xfId="6238" xr:uid="{00000000-0005-0000-0000-00007B180000}"/>
    <cellStyle name="Normal 3 5 2 5" xfId="6239" xr:uid="{00000000-0005-0000-0000-00007C180000}"/>
    <cellStyle name="Normal 3 5 3" xfId="6240" xr:uid="{00000000-0005-0000-0000-00007D180000}"/>
    <cellStyle name="Normal 3 5 3 2" xfId="6241" xr:uid="{00000000-0005-0000-0000-00007E180000}"/>
    <cellStyle name="Normal 3 5 3 3" xfId="6242" xr:uid="{00000000-0005-0000-0000-00007F180000}"/>
    <cellStyle name="Normal 3 5 3 4" xfId="6243" xr:uid="{00000000-0005-0000-0000-000080180000}"/>
    <cellStyle name="Normal 3 5 4" xfId="6244" xr:uid="{00000000-0005-0000-0000-000081180000}"/>
    <cellStyle name="Normal 3 5 4 2" xfId="6245" xr:uid="{00000000-0005-0000-0000-000082180000}"/>
    <cellStyle name="Normal 3 5 5" xfId="6246" xr:uid="{00000000-0005-0000-0000-000083180000}"/>
    <cellStyle name="Normal 3 5 6" xfId="6247" xr:uid="{00000000-0005-0000-0000-000084180000}"/>
    <cellStyle name="Normal 3 5 7" xfId="6248" xr:uid="{00000000-0005-0000-0000-000085180000}"/>
    <cellStyle name="Normal 3 5 8" xfId="6249" xr:uid="{00000000-0005-0000-0000-000086180000}"/>
    <cellStyle name="Normal 3 5 9" xfId="6250" xr:uid="{00000000-0005-0000-0000-000087180000}"/>
    <cellStyle name="Normal 3 50" xfId="6251" xr:uid="{00000000-0005-0000-0000-000088180000}"/>
    <cellStyle name="Normal 3 51" xfId="6252" xr:uid="{00000000-0005-0000-0000-000089180000}"/>
    <cellStyle name="Normal 3 52" xfId="6253" xr:uid="{00000000-0005-0000-0000-00008A180000}"/>
    <cellStyle name="Normal 3 53" xfId="6254" xr:uid="{00000000-0005-0000-0000-00008B180000}"/>
    <cellStyle name="Normal 3 54" xfId="6255" xr:uid="{00000000-0005-0000-0000-00008C180000}"/>
    <cellStyle name="Normal 3 55" xfId="6256" xr:uid="{00000000-0005-0000-0000-00008D180000}"/>
    <cellStyle name="Normal 3 56" xfId="6257" xr:uid="{00000000-0005-0000-0000-00008E180000}"/>
    <cellStyle name="Normal 3 57" xfId="6258" xr:uid="{00000000-0005-0000-0000-00008F180000}"/>
    <cellStyle name="Normal 3 58" xfId="6259" xr:uid="{00000000-0005-0000-0000-000090180000}"/>
    <cellStyle name="Normal 3 59" xfId="6260" xr:uid="{00000000-0005-0000-0000-000091180000}"/>
    <cellStyle name="Normal 3 6" xfId="6261" xr:uid="{00000000-0005-0000-0000-000092180000}"/>
    <cellStyle name="Normal 3 6 2" xfId="6262" xr:uid="{00000000-0005-0000-0000-000093180000}"/>
    <cellStyle name="Normal 3 6 3" xfId="6263" xr:uid="{00000000-0005-0000-0000-000094180000}"/>
    <cellStyle name="Normal 3 6 4" xfId="6264" xr:uid="{00000000-0005-0000-0000-000095180000}"/>
    <cellStyle name="Normal 3 6 4 2" xfId="6265" xr:uid="{00000000-0005-0000-0000-000096180000}"/>
    <cellStyle name="Normal 3 6 5" xfId="6266" xr:uid="{00000000-0005-0000-0000-000097180000}"/>
    <cellStyle name="Normal 3 60" xfId="6267" xr:uid="{00000000-0005-0000-0000-000098180000}"/>
    <cellStyle name="Normal 3 61" xfId="6268" xr:uid="{00000000-0005-0000-0000-000099180000}"/>
    <cellStyle name="Normal 3 62" xfId="6269" xr:uid="{00000000-0005-0000-0000-00009A180000}"/>
    <cellStyle name="Normal 3 63" xfId="6270" xr:uid="{00000000-0005-0000-0000-00009B180000}"/>
    <cellStyle name="Normal 3 64" xfId="6271" xr:uid="{00000000-0005-0000-0000-00009C180000}"/>
    <cellStyle name="Normal 3 65" xfId="6272" xr:uid="{00000000-0005-0000-0000-00009D180000}"/>
    <cellStyle name="Normal 3 66" xfId="6273" xr:uid="{00000000-0005-0000-0000-00009E180000}"/>
    <cellStyle name="Normal 3 67" xfId="6274" xr:uid="{00000000-0005-0000-0000-00009F180000}"/>
    <cellStyle name="Normal 3 68" xfId="6275" xr:uid="{00000000-0005-0000-0000-0000A0180000}"/>
    <cellStyle name="Normal 3 69" xfId="6276" xr:uid="{00000000-0005-0000-0000-0000A1180000}"/>
    <cellStyle name="Normal 3 7" xfId="6277" xr:uid="{00000000-0005-0000-0000-0000A2180000}"/>
    <cellStyle name="Normal 3 70" xfId="6278" xr:uid="{00000000-0005-0000-0000-0000A3180000}"/>
    <cellStyle name="Normal 3 71" xfId="6279" xr:uid="{00000000-0005-0000-0000-0000A4180000}"/>
    <cellStyle name="Normal 3 72" xfId="6280" xr:uid="{00000000-0005-0000-0000-0000A5180000}"/>
    <cellStyle name="Normal 3 73" xfId="6281" xr:uid="{00000000-0005-0000-0000-0000A6180000}"/>
    <cellStyle name="Normal 3 74" xfId="6282" xr:uid="{00000000-0005-0000-0000-0000A7180000}"/>
    <cellStyle name="Normal 3 75" xfId="6283" xr:uid="{00000000-0005-0000-0000-0000A8180000}"/>
    <cellStyle name="Normal 3 76" xfId="6284" xr:uid="{00000000-0005-0000-0000-0000A9180000}"/>
    <cellStyle name="Normal 3 77" xfId="6285" xr:uid="{00000000-0005-0000-0000-0000AA180000}"/>
    <cellStyle name="Normal 3 78" xfId="6286" xr:uid="{00000000-0005-0000-0000-0000AB180000}"/>
    <cellStyle name="Normal 3 79" xfId="6287" xr:uid="{00000000-0005-0000-0000-0000AC180000}"/>
    <cellStyle name="Normal 3 8" xfId="6288" xr:uid="{00000000-0005-0000-0000-0000AD180000}"/>
    <cellStyle name="Normal 3 8 2" xfId="6289" xr:uid="{00000000-0005-0000-0000-0000AE180000}"/>
    <cellStyle name="Normal 3 8 3" xfId="6290" xr:uid="{00000000-0005-0000-0000-0000AF180000}"/>
    <cellStyle name="Normal 3 8 4" xfId="6291" xr:uid="{00000000-0005-0000-0000-0000B0180000}"/>
    <cellStyle name="Normal 3 8 4 2" xfId="6292" xr:uid="{00000000-0005-0000-0000-0000B1180000}"/>
    <cellStyle name="Normal 3 8 5" xfId="6293" xr:uid="{00000000-0005-0000-0000-0000B2180000}"/>
    <cellStyle name="Normal 3 80" xfId="6294" xr:uid="{00000000-0005-0000-0000-0000B3180000}"/>
    <cellStyle name="Normal 3 81" xfId="6295" xr:uid="{00000000-0005-0000-0000-0000B4180000}"/>
    <cellStyle name="Normal 3 82" xfId="6296" xr:uid="{00000000-0005-0000-0000-0000B5180000}"/>
    <cellStyle name="Normal 3 83" xfId="6297" xr:uid="{00000000-0005-0000-0000-0000B6180000}"/>
    <cellStyle name="Normal 3 84" xfId="6298" xr:uid="{00000000-0005-0000-0000-0000B7180000}"/>
    <cellStyle name="Normal 3 85" xfId="6299" xr:uid="{00000000-0005-0000-0000-0000B8180000}"/>
    <cellStyle name="Normal 3 86" xfId="6300" xr:uid="{00000000-0005-0000-0000-0000B9180000}"/>
    <cellStyle name="Normal 3 87" xfId="6301" xr:uid="{00000000-0005-0000-0000-0000BA180000}"/>
    <cellStyle name="Normal 3 88" xfId="6302" xr:uid="{00000000-0005-0000-0000-0000BB180000}"/>
    <cellStyle name="Normal 3 89" xfId="6303" xr:uid="{00000000-0005-0000-0000-0000BC180000}"/>
    <cellStyle name="Normal 3 9" xfId="6304" xr:uid="{00000000-0005-0000-0000-0000BD180000}"/>
    <cellStyle name="Normal 3 9 2" xfId="6305" xr:uid="{00000000-0005-0000-0000-0000BE180000}"/>
    <cellStyle name="Normal 3 9 3" xfId="6306" xr:uid="{00000000-0005-0000-0000-0000BF180000}"/>
    <cellStyle name="Normal 3 9 4" xfId="6307" xr:uid="{00000000-0005-0000-0000-0000C0180000}"/>
    <cellStyle name="Normal 3 9 4 2" xfId="6308" xr:uid="{00000000-0005-0000-0000-0000C1180000}"/>
    <cellStyle name="Normal 3 9 5" xfId="6309" xr:uid="{00000000-0005-0000-0000-0000C2180000}"/>
    <cellStyle name="Normal 3 90" xfId="6310" xr:uid="{00000000-0005-0000-0000-0000C3180000}"/>
    <cellStyle name="Normal 3 91" xfId="6311" xr:uid="{00000000-0005-0000-0000-0000C4180000}"/>
    <cellStyle name="Normal 3 92" xfId="6312" xr:uid="{00000000-0005-0000-0000-0000C5180000}"/>
    <cellStyle name="Normal 3 93" xfId="6313" xr:uid="{00000000-0005-0000-0000-0000C6180000}"/>
    <cellStyle name="Normal 3 94" xfId="6314" xr:uid="{00000000-0005-0000-0000-0000C7180000}"/>
    <cellStyle name="Normal 3 95" xfId="6315" xr:uid="{00000000-0005-0000-0000-0000C8180000}"/>
    <cellStyle name="Normal 3 96" xfId="6316" xr:uid="{00000000-0005-0000-0000-0000C9180000}"/>
    <cellStyle name="Normal 3 97" xfId="6317" xr:uid="{00000000-0005-0000-0000-0000CA180000}"/>
    <cellStyle name="Normal 3 98" xfId="6318" xr:uid="{00000000-0005-0000-0000-0000CB180000}"/>
    <cellStyle name="Normal 3 99" xfId="6319" xr:uid="{00000000-0005-0000-0000-0000CC180000}"/>
    <cellStyle name="Normal 30" xfId="6320" xr:uid="{00000000-0005-0000-0000-0000CD180000}"/>
    <cellStyle name="Normal 31" xfId="6321" xr:uid="{00000000-0005-0000-0000-0000CE180000}"/>
    <cellStyle name="Normal 31 2" xfId="6322" xr:uid="{00000000-0005-0000-0000-0000CF180000}"/>
    <cellStyle name="Normal 31 3" xfId="6323" xr:uid="{00000000-0005-0000-0000-0000D0180000}"/>
    <cellStyle name="Normal 32" xfId="6324" xr:uid="{00000000-0005-0000-0000-0000D1180000}"/>
    <cellStyle name="Normal 32 2" xfId="6325" xr:uid="{00000000-0005-0000-0000-0000D2180000}"/>
    <cellStyle name="Normal 33" xfId="6326" xr:uid="{00000000-0005-0000-0000-0000D3180000}"/>
    <cellStyle name="Normal 34" xfId="6327" xr:uid="{00000000-0005-0000-0000-0000D4180000}"/>
    <cellStyle name="Normal 35" xfId="6328" xr:uid="{00000000-0005-0000-0000-0000D5180000}"/>
    <cellStyle name="Normal 36" xfId="6329" xr:uid="{00000000-0005-0000-0000-0000D6180000}"/>
    <cellStyle name="Normal 37" xfId="6330" xr:uid="{00000000-0005-0000-0000-0000D7180000}"/>
    <cellStyle name="Normal 38" xfId="6331" xr:uid="{00000000-0005-0000-0000-0000D8180000}"/>
    <cellStyle name="Normal 39" xfId="6332" xr:uid="{00000000-0005-0000-0000-0000D9180000}"/>
    <cellStyle name="Normal 4" xfId="14" xr:uid="{00000000-0005-0000-0000-0000DA180000}"/>
    <cellStyle name="Normal 4 10" xfId="6333" xr:uid="{00000000-0005-0000-0000-0000DB180000}"/>
    <cellStyle name="Normal 4 10 2" xfId="6334" xr:uid="{00000000-0005-0000-0000-0000DC180000}"/>
    <cellStyle name="Normal 4 10 3" xfId="6335" xr:uid="{00000000-0005-0000-0000-0000DD180000}"/>
    <cellStyle name="Normal 4 100" xfId="6336" xr:uid="{00000000-0005-0000-0000-0000DE180000}"/>
    <cellStyle name="Normal 4 101" xfId="6337" xr:uid="{00000000-0005-0000-0000-0000DF180000}"/>
    <cellStyle name="Normal 4 102" xfId="6338" xr:uid="{00000000-0005-0000-0000-0000E0180000}"/>
    <cellStyle name="Normal 4 103" xfId="6339" xr:uid="{00000000-0005-0000-0000-0000E1180000}"/>
    <cellStyle name="Normal 4 104" xfId="6340" xr:uid="{00000000-0005-0000-0000-0000E2180000}"/>
    <cellStyle name="Normal 4 105" xfId="6341" xr:uid="{00000000-0005-0000-0000-0000E3180000}"/>
    <cellStyle name="Normal 4 106" xfId="6342" xr:uid="{00000000-0005-0000-0000-0000E4180000}"/>
    <cellStyle name="Normal 4 107" xfId="6343" xr:uid="{00000000-0005-0000-0000-0000E5180000}"/>
    <cellStyle name="Normal 4 108" xfId="6344" xr:uid="{00000000-0005-0000-0000-0000E6180000}"/>
    <cellStyle name="Normal 4 109" xfId="6345" xr:uid="{00000000-0005-0000-0000-0000E7180000}"/>
    <cellStyle name="Normal 4 11" xfId="6346" xr:uid="{00000000-0005-0000-0000-0000E8180000}"/>
    <cellStyle name="Normal 4 11 2" xfId="6347" xr:uid="{00000000-0005-0000-0000-0000E9180000}"/>
    <cellStyle name="Normal 4 11 3" xfId="6348" xr:uid="{00000000-0005-0000-0000-0000EA180000}"/>
    <cellStyle name="Normal 4 110" xfId="6349" xr:uid="{00000000-0005-0000-0000-0000EB180000}"/>
    <cellStyle name="Normal 4 111" xfId="6350" xr:uid="{00000000-0005-0000-0000-0000EC180000}"/>
    <cellStyle name="Normal 4 112" xfId="6351" xr:uid="{00000000-0005-0000-0000-0000ED180000}"/>
    <cellStyle name="Normal 4 113" xfId="6352" xr:uid="{00000000-0005-0000-0000-0000EE180000}"/>
    <cellStyle name="Normal 4 114" xfId="6353" xr:uid="{00000000-0005-0000-0000-0000EF180000}"/>
    <cellStyle name="Normal 4 115" xfId="6354" xr:uid="{00000000-0005-0000-0000-0000F0180000}"/>
    <cellStyle name="Normal 4 116" xfId="6355" xr:uid="{00000000-0005-0000-0000-0000F1180000}"/>
    <cellStyle name="Normal 4 117" xfId="6356" xr:uid="{00000000-0005-0000-0000-0000F2180000}"/>
    <cellStyle name="Normal 4 118" xfId="6357" xr:uid="{00000000-0005-0000-0000-0000F3180000}"/>
    <cellStyle name="Normal 4 119" xfId="6358" xr:uid="{00000000-0005-0000-0000-0000F4180000}"/>
    <cellStyle name="Normal 4 12" xfId="6359" xr:uid="{00000000-0005-0000-0000-0000F5180000}"/>
    <cellStyle name="Normal 4 12 2" xfId="6360" xr:uid="{00000000-0005-0000-0000-0000F6180000}"/>
    <cellStyle name="Normal 4 120" xfId="6361" xr:uid="{00000000-0005-0000-0000-0000F7180000}"/>
    <cellStyle name="Normal 4 121" xfId="6362" xr:uid="{00000000-0005-0000-0000-0000F8180000}"/>
    <cellStyle name="Normal 4 122" xfId="6363" xr:uid="{00000000-0005-0000-0000-0000F9180000}"/>
    <cellStyle name="Normal 4 123" xfId="6364" xr:uid="{00000000-0005-0000-0000-0000FA180000}"/>
    <cellStyle name="Normal 4 124" xfId="6365" xr:uid="{00000000-0005-0000-0000-0000FB180000}"/>
    <cellStyle name="Normal 4 125" xfId="6366" xr:uid="{00000000-0005-0000-0000-0000FC180000}"/>
    <cellStyle name="Normal 4 126" xfId="6367" xr:uid="{00000000-0005-0000-0000-0000FD180000}"/>
    <cellStyle name="Normal 4 127" xfId="6368" xr:uid="{00000000-0005-0000-0000-0000FE180000}"/>
    <cellStyle name="Normal 4 128" xfId="6369" xr:uid="{00000000-0005-0000-0000-0000FF180000}"/>
    <cellStyle name="Normal 4 129" xfId="6370" xr:uid="{00000000-0005-0000-0000-000000190000}"/>
    <cellStyle name="Normal 4 13" xfId="6371" xr:uid="{00000000-0005-0000-0000-000001190000}"/>
    <cellStyle name="Normal 4 13 2" xfId="6372" xr:uid="{00000000-0005-0000-0000-000002190000}"/>
    <cellStyle name="Normal 4 130" xfId="6373" xr:uid="{00000000-0005-0000-0000-000003190000}"/>
    <cellStyle name="Normal 4 131" xfId="6374" xr:uid="{00000000-0005-0000-0000-000004190000}"/>
    <cellStyle name="Normal 4 132" xfId="6375" xr:uid="{00000000-0005-0000-0000-000005190000}"/>
    <cellStyle name="Normal 4 133" xfId="6376" xr:uid="{00000000-0005-0000-0000-000006190000}"/>
    <cellStyle name="Normal 4 134" xfId="6377" xr:uid="{00000000-0005-0000-0000-000007190000}"/>
    <cellStyle name="Normal 4 135" xfId="6378" xr:uid="{00000000-0005-0000-0000-000008190000}"/>
    <cellStyle name="Normal 4 136" xfId="6379" xr:uid="{00000000-0005-0000-0000-000009190000}"/>
    <cellStyle name="Normal 4 137" xfId="6380" xr:uid="{00000000-0005-0000-0000-00000A190000}"/>
    <cellStyle name="Normal 4 138" xfId="6381" xr:uid="{00000000-0005-0000-0000-00000B190000}"/>
    <cellStyle name="Normal 4 139" xfId="6382" xr:uid="{00000000-0005-0000-0000-00000C190000}"/>
    <cellStyle name="Normal 4 14" xfId="6383" xr:uid="{00000000-0005-0000-0000-00000D190000}"/>
    <cellStyle name="Normal 4 14 2" xfId="6384" xr:uid="{00000000-0005-0000-0000-00000E190000}"/>
    <cellStyle name="Normal 4 140" xfId="6385" xr:uid="{00000000-0005-0000-0000-00000F190000}"/>
    <cellStyle name="Normal 4 141" xfId="6386" xr:uid="{00000000-0005-0000-0000-000010190000}"/>
    <cellStyle name="Normal 4 142" xfId="6387" xr:uid="{00000000-0005-0000-0000-000011190000}"/>
    <cellStyle name="Normal 4 143" xfId="6388" xr:uid="{00000000-0005-0000-0000-000012190000}"/>
    <cellStyle name="Normal 4 144" xfId="6389" xr:uid="{00000000-0005-0000-0000-000013190000}"/>
    <cellStyle name="Normal 4 145" xfId="6390" xr:uid="{00000000-0005-0000-0000-000014190000}"/>
    <cellStyle name="Normal 4 146" xfId="6391" xr:uid="{00000000-0005-0000-0000-000015190000}"/>
    <cellStyle name="Normal 4 147" xfId="6392" xr:uid="{00000000-0005-0000-0000-000016190000}"/>
    <cellStyle name="Normal 4 148" xfId="6393" xr:uid="{00000000-0005-0000-0000-000017190000}"/>
    <cellStyle name="Normal 4 149" xfId="6394" xr:uid="{00000000-0005-0000-0000-000018190000}"/>
    <cellStyle name="Normal 4 15" xfId="6395" xr:uid="{00000000-0005-0000-0000-000019190000}"/>
    <cellStyle name="Normal 4 15 2" xfId="6396" xr:uid="{00000000-0005-0000-0000-00001A190000}"/>
    <cellStyle name="Normal 4 150" xfId="6397" xr:uid="{00000000-0005-0000-0000-00001B190000}"/>
    <cellStyle name="Normal 4 151" xfId="6398" xr:uid="{00000000-0005-0000-0000-00001C190000}"/>
    <cellStyle name="Normal 4 152" xfId="6399" xr:uid="{00000000-0005-0000-0000-00001D190000}"/>
    <cellStyle name="Normal 4 153" xfId="6400" xr:uid="{00000000-0005-0000-0000-00001E190000}"/>
    <cellStyle name="Normal 4 154" xfId="6401" xr:uid="{00000000-0005-0000-0000-00001F190000}"/>
    <cellStyle name="Normal 4 155" xfId="6402" xr:uid="{00000000-0005-0000-0000-000020190000}"/>
    <cellStyle name="Normal 4 156" xfId="6403" xr:uid="{00000000-0005-0000-0000-000021190000}"/>
    <cellStyle name="Normal 4 157" xfId="6404" xr:uid="{00000000-0005-0000-0000-000022190000}"/>
    <cellStyle name="Normal 4 158" xfId="6405" xr:uid="{00000000-0005-0000-0000-000023190000}"/>
    <cellStyle name="Normal 4 159" xfId="6406" xr:uid="{00000000-0005-0000-0000-000024190000}"/>
    <cellStyle name="Normal 4 16" xfId="6407" xr:uid="{00000000-0005-0000-0000-000025190000}"/>
    <cellStyle name="Normal 4 16 2" xfId="6408" xr:uid="{00000000-0005-0000-0000-000026190000}"/>
    <cellStyle name="Normal 4 17" xfId="6409" xr:uid="{00000000-0005-0000-0000-000027190000}"/>
    <cellStyle name="Normal 4 17 2" xfId="6410" xr:uid="{00000000-0005-0000-0000-000028190000}"/>
    <cellStyle name="Normal 4 18" xfId="6411" xr:uid="{00000000-0005-0000-0000-000029190000}"/>
    <cellStyle name="Normal 4 18 2" xfId="6412" xr:uid="{00000000-0005-0000-0000-00002A190000}"/>
    <cellStyle name="Normal 4 19" xfId="6413" xr:uid="{00000000-0005-0000-0000-00002B190000}"/>
    <cellStyle name="Normal 4 19 2" xfId="6414" xr:uid="{00000000-0005-0000-0000-00002C190000}"/>
    <cellStyle name="Normal 4 2" xfId="6415" xr:uid="{00000000-0005-0000-0000-00002D190000}"/>
    <cellStyle name="Normal 4 2 10" xfId="6416" xr:uid="{00000000-0005-0000-0000-00002E190000}"/>
    <cellStyle name="Normal 4 2 11" xfId="6417" xr:uid="{00000000-0005-0000-0000-00002F190000}"/>
    <cellStyle name="Normal 4 2 12" xfId="6418" xr:uid="{00000000-0005-0000-0000-000030190000}"/>
    <cellStyle name="Normal 4 2 13" xfId="6419" xr:uid="{00000000-0005-0000-0000-000031190000}"/>
    <cellStyle name="Normal 4 2 14" xfId="6420" xr:uid="{00000000-0005-0000-0000-000032190000}"/>
    <cellStyle name="Normal 4 2 15" xfId="6421" xr:uid="{00000000-0005-0000-0000-000033190000}"/>
    <cellStyle name="Normal 4 2 16" xfId="6422" xr:uid="{00000000-0005-0000-0000-000034190000}"/>
    <cellStyle name="Normal 4 2 17" xfId="6423" xr:uid="{00000000-0005-0000-0000-000035190000}"/>
    <cellStyle name="Normal 4 2 18" xfId="6424" xr:uid="{00000000-0005-0000-0000-000036190000}"/>
    <cellStyle name="Normal 4 2 2" xfId="6425" xr:uid="{00000000-0005-0000-0000-000037190000}"/>
    <cellStyle name="Normal 4 2 2 10" xfId="6426" xr:uid="{00000000-0005-0000-0000-000038190000}"/>
    <cellStyle name="Normal 4 2 2 11" xfId="6427" xr:uid="{00000000-0005-0000-0000-000039190000}"/>
    <cellStyle name="Normal 4 2 2 2" xfId="6428" xr:uid="{00000000-0005-0000-0000-00003A190000}"/>
    <cellStyle name="Normal 4 2 2 2 2" xfId="6429" xr:uid="{00000000-0005-0000-0000-00003B190000}"/>
    <cellStyle name="Normal 4 2 2 3" xfId="6430" xr:uid="{00000000-0005-0000-0000-00003C190000}"/>
    <cellStyle name="Normal 4 2 2 4" xfId="6431" xr:uid="{00000000-0005-0000-0000-00003D190000}"/>
    <cellStyle name="Normal 4 2 2 5" xfId="6432" xr:uid="{00000000-0005-0000-0000-00003E190000}"/>
    <cellStyle name="Normal 4 2 2 6" xfId="6433" xr:uid="{00000000-0005-0000-0000-00003F190000}"/>
    <cellStyle name="Normal 4 2 2 7" xfId="6434" xr:uid="{00000000-0005-0000-0000-000040190000}"/>
    <cellStyle name="Normal 4 2 2 8" xfId="6435" xr:uid="{00000000-0005-0000-0000-000041190000}"/>
    <cellStyle name="Normal 4 2 2 9" xfId="6436" xr:uid="{00000000-0005-0000-0000-000042190000}"/>
    <cellStyle name="Normal 4 2 3" xfId="6437" xr:uid="{00000000-0005-0000-0000-000043190000}"/>
    <cellStyle name="Normal 4 2 4" xfId="6438" xr:uid="{00000000-0005-0000-0000-000044190000}"/>
    <cellStyle name="Normal 4 2 5" xfId="6439" xr:uid="{00000000-0005-0000-0000-000045190000}"/>
    <cellStyle name="Normal 4 2 5 2" xfId="6440" xr:uid="{00000000-0005-0000-0000-000046190000}"/>
    <cellStyle name="Normal 4 2 6" xfId="6441" xr:uid="{00000000-0005-0000-0000-000047190000}"/>
    <cellStyle name="Normal 4 2 7" xfId="6442" xr:uid="{00000000-0005-0000-0000-000048190000}"/>
    <cellStyle name="Normal 4 2 8" xfId="6443" xr:uid="{00000000-0005-0000-0000-000049190000}"/>
    <cellStyle name="Normal 4 2 9" xfId="6444" xr:uid="{00000000-0005-0000-0000-00004A190000}"/>
    <cellStyle name="Normal 4 20" xfId="6445" xr:uid="{00000000-0005-0000-0000-00004B190000}"/>
    <cellStyle name="Normal 4 20 2" xfId="6446" xr:uid="{00000000-0005-0000-0000-00004C190000}"/>
    <cellStyle name="Normal 4 21" xfId="6447" xr:uid="{00000000-0005-0000-0000-00004D190000}"/>
    <cellStyle name="Normal 4 21 2" xfId="6448" xr:uid="{00000000-0005-0000-0000-00004E190000}"/>
    <cellStyle name="Normal 4 22" xfId="6449" xr:uid="{00000000-0005-0000-0000-00004F190000}"/>
    <cellStyle name="Normal 4 22 2" xfId="6450" xr:uid="{00000000-0005-0000-0000-000050190000}"/>
    <cellStyle name="Normal 4 23" xfId="6451" xr:uid="{00000000-0005-0000-0000-000051190000}"/>
    <cellStyle name="Normal 4 23 2" xfId="6452" xr:uid="{00000000-0005-0000-0000-000052190000}"/>
    <cellStyle name="Normal 4 24" xfId="6453" xr:uid="{00000000-0005-0000-0000-000053190000}"/>
    <cellStyle name="Normal 4 24 2" xfId="6454" xr:uid="{00000000-0005-0000-0000-000054190000}"/>
    <cellStyle name="Normal 4 25" xfId="6455" xr:uid="{00000000-0005-0000-0000-000055190000}"/>
    <cellStyle name="Normal 4 25 2" xfId="6456" xr:uid="{00000000-0005-0000-0000-000056190000}"/>
    <cellStyle name="Normal 4 26" xfId="6457" xr:uid="{00000000-0005-0000-0000-000057190000}"/>
    <cellStyle name="Normal 4 26 2" xfId="6458" xr:uid="{00000000-0005-0000-0000-000058190000}"/>
    <cellStyle name="Normal 4 27" xfId="6459" xr:uid="{00000000-0005-0000-0000-000059190000}"/>
    <cellStyle name="Normal 4 27 2" xfId="6460" xr:uid="{00000000-0005-0000-0000-00005A190000}"/>
    <cellStyle name="Normal 4 28" xfId="6461" xr:uid="{00000000-0005-0000-0000-00005B190000}"/>
    <cellStyle name="Normal 4 28 2" xfId="6462" xr:uid="{00000000-0005-0000-0000-00005C190000}"/>
    <cellStyle name="Normal 4 29" xfId="6463" xr:uid="{00000000-0005-0000-0000-00005D190000}"/>
    <cellStyle name="Normal 4 29 2" xfId="6464" xr:uid="{00000000-0005-0000-0000-00005E190000}"/>
    <cellStyle name="Normal 4 3" xfId="6465" xr:uid="{00000000-0005-0000-0000-00005F190000}"/>
    <cellStyle name="Normal 4 3 10" xfId="6466" xr:uid="{00000000-0005-0000-0000-000060190000}"/>
    <cellStyle name="Normal 4 3 11" xfId="6467" xr:uid="{00000000-0005-0000-0000-000061190000}"/>
    <cellStyle name="Normal 4 3 2" xfId="6468" xr:uid="{00000000-0005-0000-0000-000062190000}"/>
    <cellStyle name="Normal 4 3 2 2" xfId="6469" xr:uid="{00000000-0005-0000-0000-000063190000}"/>
    <cellStyle name="Normal 4 3 3" xfId="6470" xr:uid="{00000000-0005-0000-0000-000064190000}"/>
    <cellStyle name="Normal 4 3 3 2" xfId="6471" xr:uid="{00000000-0005-0000-0000-000065190000}"/>
    <cellStyle name="Normal 4 3 4" xfId="6472" xr:uid="{00000000-0005-0000-0000-000066190000}"/>
    <cellStyle name="Normal 4 3 5" xfId="6473" xr:uid="{00000000-0005-0000-0000-000067190000}"/>
    <cellStyle name="Normal 4 3 6" xfId="6474" xr:uid="{00000000-0005-0000-0000-000068190000}"/>
    <cellStyle name="Normal 4 3 7" xfId="6475" xr:uid="{00000000-0005-0000-0000-000069190000}"/>
    <cellStyle name="Normal 4 3 8" xfId="6476" xr:uid="{00000000-0005-0000-0000-00006A190000}"/>
    <cellStyle name="Normal 4 3 9" xfId="6477" xr:uid="{00000000-0005-0000-0000-00006B190000}"/>
    <cellStyle name="Normal 4 30" xfId="6478" xr:uid="{00000000-0005-0000-0000-00006C190000}"/>
    <cellStyle name="Normal 4 30 2" xfId="6479" xr:uid="{00000000-0005-0000-0000-00006D190000}"/>
    <cellStyle name="Normal 4 31" xfId="6480" xr:uid="{00000000-0005-0000-0000-00006E190000}"/>
    <cellStyle name="Normal 4 31 2" xfId="6481" xr:uid="{00000000-0005-0000-0000-00006F190000}"/>
    <cellStyle name="Normal 4 32" xfId="6482" xr:uid="{00000000-0005-0000-0000-000070190000}"/>
    <cellStyle name="Normal 4 32 2" xfId="6483" xr:uid="{00000000-0005-0000-0000-000071190000}"/>
    <cellStyle name="Normal 4 33" xfId="6484" xr:uid="{00000000-0005-0000-0000-000072190000}"/>
    <cellStyle name="Normal 4 33 2" xfId="6485" xr:uid="{00000000-0005-0000-0000-000073190000}"/>
    <cellStyle name="Normal 4 34" xfId="6486" xr:uid="{00000000-0005-0000-0000-000074190000}"/>
    <cellStyle name="Normal 4 34 2" xfId="6487" xr:uid="{00000000-0005-0000-0000-000075190000}"/>
    <cellStyle name="Normal 4 35" xfId="6488" xr:uid="{00000000-0005-0000-0000-000076190000}"/>
    <cellStyle name="Normal 4 35 2" xfId="6489" xr:uid="{00000000-0005-0000-0000-000077190000}"/>
    <cellStyle name="Normal 4 36" xfId="6490" xr:uid="{00000000-0005-0000-0000-000078190000}"/>
    <cellStyle name="Normal 4 36 2" xfId="6491" xr:uid="{00000000-0005-0000-0000-000079190000}"/>
    <cellStyle name="Normal 4 37" xfId="6492" xr:uid="{00000000-0005-0000-0000-00007A190000}"/>
    <cellStyle name="Normal 4 37 2" xfId="6493" xr:uid="{00000000-0005-0000-0000-00007B190000}"/>
    <cellStyle name="Normal 4 38" xfId="6494" xr:uid="{00000000-0005-0000-0000-00007C190000}"/>
    <cellStyle name="Normal 4 38 2" xfId="6495" xr:uid="{00000000-0005-0000-0000-00007D190000}"/>
    <cellStyle name="Normal 4 39" xfId="6496" xr:uid="{00000000-0005-0000-0000-00007E190000}"/>
    <cellStyle name="Normal 4 39 2" xfId="6497" xr:uid="{00000000-0005-0000-0000-00007F190000}"/>
    <cellStyle name="Normal 4 4" xfId="6498" xr:uid="{00000000-0005-0000-0000-000080190000}"/>
    <cellStyle name="Normal 4 4 2" xfId="6499" xr:uid="{00000000-0005-0000-0000-000081190000}"/>
    <cellStyle name="Normal 4 4 2 2" xfId="6500" xr:uid="{00000000-0005-0000-0000-000082190000}"/>
    <cellStyle name="Normal 4 4 2 3" xfId="6501" xr:uid="{00000000-0005-0000-0000-000083190000}"/>
    <cellStyle name="Normal 4 4 2 4" xfId="6502" xr:uid="{00000000-0005-0000-0000-000084190000}"/>
    <cellStyle name="Normal 4 4 2 5" xfId="6503" xr:uid="{00000000-0005-0000-0000-000085190000}"/>
    <cellStyle name="Normal 4 4 3" xfId="6504" xr:uid="{00000000-0005-0000-0000-000086190000}"/>
    <cellStyle name="Normal 4 4 4" xfId="6505" xr:uid="{00000000-0005-0000-0000-000087190000}"/>
    <cellStyle name="Normal 4 4 4 2" xfId="6506" xr:uid="{00000000-0005-0000-0000-000088190000}"/>
    <cellStyle name="Normal 4 4 5" xfId="6507" xr:uid="{00000000-0005-0000-0000-000089190000}"/>
    <cellStyle name="Normal 4 4 6" xfId="6508" xr:uid="{00000000-0005-0000-0000-00008A190000}"/>
    <cellStyle name="Normal 4 4 6 2" xfId="6509" xr:uid="{00000000-0005-0000-0000-00008B190000}"/>
    <cellStyle name="Normal 4 4 7" xfId="9402" xr:uid="{00000000-0005-0000-0000-00008C190000}"/>
    <cellStyle name="Normal 4 40" xfId="6510" xr:uid="{00000000-0005-0000-0000-00008D190000}"/>
    <cellStyle name="Normal 4 40 2" xfId="6511" xr:uid="{00000000-0005-0000-0000-00008E190000}"/>
    <cellStyle name="Normal 4 41" xfId="6512" xr:uid="{00000000-0005-0000-0000-00008F190000}"/>
    <cellStyle name="Normal 4 41 2" xfId="6513" xr:uid="{00000000-0005-0000-0000-000090190000}"/>
    <cellStyle name="Normal 4 42" xfId="6514" xr:uid="{00000000-0005-0000-0000-000091190000}"/>
    <cellStyle name="Normal 4 42 2" xfId="6515" xr:uid="{00000000-0005-0000-0000-000092190000}"/>
    <cellStyle name="Normal 4 43" xfId="6516" xr:uid="{00000000-0005-0000-0000-000093190000}"/>
    <cellStyle name="Normal 4 43 2" xfId="6517" xr:uid="{00000000-0005-0000-0000-000094190000}"/>
    <cellStyle name="Normal 4 44" xfId="6518" xr:uid="{00000000-0005-0000-0000-000095190000}"/>
    <cellStyle name="Normal 4 44 2" xfId="6519" xr:uid="{00000000-0005-0000-0000-000096190000}"/>
    <cellStyle name="Normal 4 45" xfId="6520" xr:uid="{00000000-0005-0000-0000-000097190000}"/>
    <cellStyle name="Normal 4 45 2" xfId="6521" xr:uid="{00000000-0005-0000-0000-000098190000}"/>
    <cellStyle name="Normal 4 46" xfId="6522" xr:uid="{00000000-0005-0000-0000-000099190000}"/>
    <cellStyle name="Normal 4 46 2" xfId="6523" xr:uid="{00000000-0005-0000-0000-00009A190000}"/>
    <cellStyle name="Normal 4 47" xfId="6524" xr:uid="{00000000-0005-0000-0000-00009B190000}"/>
    <cellStyle name="Normal 4 47 2" xfId="6525" xr:uid="{00000000-0005-0000-0000-00009C190000}"/>
    <cellStyle name="Normal 4 48" xfId="6526" xr:uid="{00000000-0005-0000-0000-00009D190000}"/>
    <cellStyle name="Normal 4 48 2" xfId="6527" xr:uid="{00000000-0005-0000-0000-00009E190000}"/>
    <cellStyle name="Normal 4 49" xfId="6528" xr:uid="{00000000-0005-0000-0000-00009F190000}"/>
    <cellStyle name="Normal 4 49 2" xfId="6529" xr:uid="{00000000-0005-0000-0000-0000A0190000}"/>
    <cellStyle name="Normal 4 5" xfId="6530" xr:uid="{00000000-0005-0000-0000-0000A1190000}"/>
    <cellStyle name="Normal 4 5 2" xfId="6531" xr:uid="{00000000-0005-0000-0000-0000A2190000}"/>
    <cellStyle name="Normal 4 5 2 2" xfId="6532" xr:uid="{00000000-0005-0000-0000-0000A3190000}"/>
    <cellStyle name="Normal 4 5 2 3" xfId="6533" xr:uid="{00000000-0005-0000-0000-0000A4190000}"/>
    <cellStyle name="Normal 4 5 3" xfId="6534" xr:uid="{00000000-0005-0000-0000-0000A5190000}"/>
    <cellStyle name="Normal 4 5 4" xfId="6535" xr:uid="{00000000-0005-0000-0000-0000A6190000}"/>
    <cellStyle name="Normal 4 5 5" xfId="6536" xr:uid="{00000000-0005-0000-0000-0000A7190000}"/>
    <cellStyle name="Normal 4 50" xfId="6537" xr:uid="{00000000-0005-0000-0000-0000A8190000}"/>
    <cellStyle name="Normal 4 50 2" xfId="6538" xr:uid="{00000000-0005-0000-0000-0000A9190000}"/>
    <cellStyle name="Normal 4 51" xfId="6539" xr:uid="{00000000-0005-0000-0000-0000AA190000}"/>
    <cellStyle name="Normal 4 51 2" xfId="6540" xr:uid="{00000000-0005-0000-0000-0000AB190000}"/>
    <cellStyle name="Normal 4 52" xfId="6541" xr:uid="{00000000-0005-0000-0000-0000AC190000}"/>
    <cellStyle name="Normal 4 52 2" xfId="6542" xr:uid="{00000000-0005-0000-0000-0000AD190000}"/>
    <cellStyle name="Normal 4 53" xfId="6543" xr:uid="{00000000-0005-0000-0000-0000AE190000}"/>
    <cellStyle name="Normal 4 53 2" xfId="6544" xr:uid="{00000000-0005-0000-0000-0000AF190000}"/>
    <cellStyle name="Normal 4 54" xfId="6545" xr:uid="{00000000-0005-0000-0000-0000B0190000}"/>
    <cellStyle name="Normal 4 54 2" xfId="6546" xr:uid="{00000000-0005-0000-0000-0000B1190000}"/>
    <cellStyle name="Normal 4 55" xfId="6547" xr:uid="{00000000-0005-0000-0000-0000B2190000}"/>
    <cellStyle name="Normal 4 55 2" xfId="6548" xr:uid="{00000000-0005-0000-0000-0000B3190000}"/>
    <cellStyle name="Normal 4 56" xfId="6549" xr:uid="{00000000-0005-0000-0000-0000B4190000}"/>
    <cellStyle name="Normal 4 56 2" xfId="6550" xr:uid="{00000000-0005-0000-0000-0000B5190000}"/>
    <cellStyle name="Normal 4 57" xfId="6551" xr:uid="{00000000-0005-0000-0000-0000B6190000}"/>
    <cellStyle name="Normal 4 57 2" xfId="6552" xr:uid="{00000000-0005-0000-0000-0000B7190000}"/>
    <cellStyle name="Normal 4 58" xfId="6553" xr:uid="{00000000-0005-0000-0000-0000B8190000}"/>
    <cellStyle name="Normal 4 58 2" xfId="6554" xr:uid="{00000000-0005-0000-0000-0000B9190000}"/>
    <cellStyle name="Normal 4 59" xfId="6555" xr:uid="{00000000-0005-0000-0000-0000BA190000}"/>
    <cellStyle name="Normal 4 59 2" xfId="6556" xr:uid="{00000000-0005-0000-0000-0000BB190000}"/>
    <cellStyle name="Normal 4 6" xfId="6557" xr:uid="{00000000-0005-0000-0000-0000BC190000}"/>
    <cellStyle name="Normal 4 6 2" xfId="6558" xr:uid="{00000000-0005-0000-0000-0000BD190000}"/>
    <cellStyle name="Normal 4 6 2 2" xfId="6559" xr:uid="{00000000-0005-0000-0000-0000BE190000}"/>
    <cellStyle name="Normal 4 6 2 3" xfId="6560" xr:uid="{00000000-0005-0000-0000-0000BF190000}"/>
    <cellStyle name="Normal 4 6 3" xfId="6561" xr:uid="{00000000-0005-0000-0000-0000C0190000}"/>
    <cellStyle name="Normal 4 6 4" xfId="6562" xr:uid="{00000000-0005-0000-0000-0000C1190000}"/>
    <cellStyle name="Normal 4 6 5" xfId="6563" xr:uid="{00000000-0005-0000-0000-0000C2190000}"/>
    <cellStyle name="Normal 4 60" xfId="6564" xr:uid="{00000000-0005-0000-0000-0000C3190000}"/>
    <cellStyle name="Normal 4 60 2" xfId="6565" xr:uid="{00000000-0005-0000-0000-0000C4190000}"/>
    <cellStyle name="Normal 4 61" xfId="6566" xr:uid="{00000000-0005-0000-0000-0000C5190000}"/>
    <cellStyle name="Normal 4 61 2" xfId="6567" xr:uid="{00000000-0005-0000-0000-0000C6190000}"/>
    <cellStyle name="Normal 4 62" xfId="6568" xr:uid="{00000000-0005-0000-0000-0000C7190000}"/>
    <cellStyle name="Normal 4 63" xfId="6569" xr:uid="{00000000-0005-0000-0000-0000C8190000}"/>
    <cellStyle name="Normal 4 64" xfId="6570" xr:uid="{00000000-0005-0000-0000-0000C9190000}"/>
    <cellStyle name="Normal 4 65" xfId="6571" xr:uid="{00000000-0005-0000-0000-0000CA190000}"/>
    <cellStyle name="Normal 4 66" xfId="6572" xr:uid="{00000000-0005-0000-0000-0000CB190000}"/>
    <cellStyle name="Normal 4 67" xfId="6573" xr:uid="{00000000-0005-0000-0000-0000CC190000}"/>
    <cellStyle name="Normal 4 68" xfId="6574" xr:uid="{00000000-0005-0000-0000-0000CD190000}"/>
    <cellStyle name="Normal 4 69" xfId="6575" xr:uid="{00000000-0005-0000-0000-0000CE190000}"/>
    <cellStyle name="Normal 4 7" xfId="6576" xr:uid="{00000000-0005-0000-0000-0000CF190000}"/>
    <cellStyle name="Normal 4 7 2" xfId="6577" xr:uid="{00000000-0005-0000-0000-0000D0190000}"/>
    <cellStyle name="Normal 4 7 2 2" xfId="6578" xr:uid="{00000000-0005-0000-0000-0000D1190000}"/>
    <cellStyle name="Normal 4 7 2 3" xfId="6579" xr:uid="{00000000-0005-0000-0000-0000D2190000}"/>
    <cellStyle name="Normal 4 7 3" xfId="6580" xr:uid="{00000000-0005-0000-0000-0000D3190000}"/>
    <cellStyle name="Normal 4 7 4" xfId="6581" xr:uid="{00000000-0005-0000-0000-0000D4190000}"/>
    <cellStyle name="Normal 4 7 5" xfId="6582" xr:uid="{00000000-0005-0000-0000-0000D5190000}"/>
    <cellStyle name="Normal 4 70" xfId="6583" xr:uid="{00000000-0005-0000-0000-0000D6190000}"/>
    <cellStyle name="Normal 4 71" xfId="6584" xr:uid="{00000000-0005-0000-0000-0000D7190000}"/>
    <cellStyle name="Normal 4 72" xfId="6585" xr:uid="{00000000-0005-0000-0000-0000D8190000}"/>
    <cellStyle name="Normal 4 73" xfId="6586" xr:uid="{00000000-0005-0000-0000-0000D9190000}"/>
    <cellStyle name="Normal 4 74" xfId="6587" xr:uid="{00000000-0005-0000-0000-0000DA190000}"/>
    <cellStyle name="Normal 4 75" xfId="6588" xr:uid="{00000000-0005-0000-0000-0000DB190000}"/>
    <cellStyle name="Normal 4 76" xfId="6589" xr:uid="{00000000-0005-0000-0000-0000DC190000}"/>
    <cellStyle name="Normal 4 77" xfId="6590" xr:uid="{00000000-0005-0000-0000-0000DD190000}"/>
    <cellStyle name="Normal 4 78" xfId="6591" xr:uid="{00000000-0005-0000-0000-0000DE190000}"/>
    <cellStyle name="Normal 4 79" xfId="6592" xr:uid="{00000000-0005-0000-0000-0000DF190000}"/>
    <cellStyle name="Normal 4 8" xfId="6593" xr:uid="{00000000-0005-0000-0000-0000E0190000}"/>
    <cellStyle name="Normal 4 8 2" xfId="6594" xr:uid="{00000000-0005-0000-0000-0000E1190000}"/>
    <cellStyle name="Normal 4 8 2 2" xfId="6595" xr:uid="{00000000-0005-0000-0000-0000E2190000}"/>
    <cellStyle name="Normal 4 8 2 3" xfId="6596" xr:uid="{00000000-0005-0000-0000-0000E3190000}"/>
    <cellStyle name="Normal 4 8 3" xfId="6597" xr:uid="{00000000-0005-0000-0000-0000E4190000}"/>
    <cellStyle name="Normal 4 8 4" xfId="6598" xr:uid="{00000000-0005-0000-0000-0000E5190000}"/>
    <cellStyle name="Normal 4 8 5" xfId="6599" xr:uid="{00000000-0005-0000-0000-0000E6190000}"/>
    <cellStyle name="Normal 4 80" xfId="6600" xr:uid="{00000000-0005-0000-0000-0000E7190000}"/>
    <cellStyle name="Normal 4 81" xfId="6601" xr:uid="{00000000-0005-0000-0000-0000E8190000}"/>
    <cellStyle name="Normal 4 82" xfId="6602" xr:uid="{00000000-0005-0000-0000-0000E9190000}"/>
    <cellStyle name="Normal 4 83" xfId="6603" xr:uid="{00000000-0005-0000-0000-0000EA190000}"/>
    <cellStyle name="Normal 4 84" xfId="6604" xr:uid="{00000000-0005-0000-0000-0000EB190000}"/>
    <cellStyle name="Normal 4 85" xfId="6605" xr:uid="{00000000-0005-0000-0000-0000EC190000}"/>
    <cellStyle name="Normal 4 86" xfId="6606" xr:uid="{00000000-0005-0000-0000-0000ED190000}"/>
    <cellStyle name="Normal 4 87" xfId="6607" xr:uid="{00000000-0005-0000-0000-0000EE190000}"/>
    <cellStyle name="Normal 4 88" xfId="6608" xr:uid="{00000000-0005-0000-0000-0000EF190000}"/>
    <cellStyle name="Normal 4 89" xfId="6609" xr:uid="{00000000-0005-0000-0000-0000F0190000}"/>
    <cellStyle name="Normal 4 9" xfId="6610" xr:uid="{00000000-0005-0000-0000-0000F1190000}"/>
    <cellStyle name="Normal 4 9 2" xfId="6611" xr:uid="{00000000-0005-0000-0000-0000F2190000}"/>
    <cellStyle name="Normal 4 9 3" xfId="6612" xr:uid="{00000000-0005-0000-0000-0000F3190000}"/>
    <cellStyle name="Normal 4 90" xfId="6613" xr:uid="{00000000-0005-0000-0000-0000F4190000}"/>
    <cellStyle name="Normal 4 91" xfId="6614" xr:uid="{00000000-0005-0000-0000-0000F5190000}"/>
    <cellStyle name="Normal 4 92" xfId="6615" xr:uid="{00000000-0005-0000-0000-0000F6190000}"/>
    <cellStyle name="Normal 4 93" xfId="6616" xr:uid="{00000000-0005-0000-0000-0000F7190000}"/>
    <cellStyle name="Normal 4 94" xfId="6617" xr:uid="{00000000-0005-0000-0000-0000F8190000}"/>
    <cellStyle name="Normal 4 95" xfId="6618" xr:uid="{00000000-0005-0000-0000-0000F9190000}"/>
    <cellStyle name="Normal 4 96" xfId="6619" xr:uid="{00000000-0005-0000-0000-0000FA190000}"/>
    <cellStyle name="Normal 4 97" xfId="6620" xr:uid="{00000000-0005-0000-0000-0000FB190000}"/>
    <cellStyle name="Normal 4 98" xfId="6621" xr:uid="{00000000-0005-0000-0000-0000FC190000}"/>
    <cellStyle name="Normal 4 99" xfId="6622" xr:uid="{00000000-0005-0000-0000-0000FD190000}"/>
    <cellStyle name="Normal 40" xfId="6623" xr:uid="{00000000-0005-0000-0000-0000FE190000}"/>
    <cellStyle name="Normal 41" xfId="18" xr:uid="{00000000-0005-0000-0000-0000FF190000}"/>
    <cellStyle name="Normal 42" xfId="6624" xr:uid="{00000000-0005-0000-0000-0000001A0000}"/>
    <cellStyle name="Normal 42 2" xfId="6625" xr:uid="{00000000-0005-0000-0000-0000011A0000}"/>
    <cellStyle name="Normal 42 3" xfId="6626" xr:uid="{00000000-0005-0000-0000-0000021A0000}"/>
    <cellStyle name="Normal 43" xfId="6627" xr:uid="{00000000-0005-0000-0000-0000031A0000}"/>
    <cellStyle name="Normal 43 2" xfId="6628" xr:uid="{00000000-0005-0000-0000-0000041A0000}"/>
    <cellStyle name="Normal 43 2 2" xfId="6629" xr:uid="{00000000-0005-0000-0000-0000051A0000}"/>
    <cellStyle name="Normal 44" xfId="6630" xr:uid="{00000000-0005-0000-0000-0000061A0000}"/>
    <cellStyle name="Normal 45" xfId="6631" xr:uid="{00000000-0005-0000-0000-0000071A0000}"/>
    <cellStyle name="Normal 46" xfId="6632" xr:uid="{00000000-0005-0000-0000-0000081A0000}"/>
    <cellStyle name="Normal 47" xfId="6633" xr:uid="{00000000-0005-0000-0000-0000091A0000}"/>
    <cellStyle name="Normal 48" xfId="6634" xr:uid="{00000000-0005-0000-0000-00000A1A0000}"/>
    <cellStyle name="Normal 49" xfId="6635" xr:uid="{00000000-0005-0000-0000-00000B1A0000}"/>
    <cellStyle name="Normal 5" xfId="6636" xr:uid="{00000000-0005-0000-0000-00000C1A0000}"/>
    <cellStyle name="Normal 5 10" xfId="6637" xr:uid="{00000000-0005-0000-0000-00000D1A0000}"/>
    <cellStyle name="Normal 5 10 2" xfId="6638" xr:uid="{00000000-0005-0000-0000-00000E1A0000}"/>
    <cellStyle name="Normal 5 10 2 2" xfId="6639" xr:uid="{00000000-0005-0000-0000-00000F1A0000}"/>
    <cellStyle name="Normal 5 10 3" xfId="6640" xr:uid="{00000000-0005-0000-0000-0000101A0000}"/>
    <cellStyle name="Normal 5 100" xfId="6641" xr:uid="{00000000-0005-0000-0000-0000111A0000}"/>
    <cellStyle name="Normal 5 100 2" xfId="6642" xr:uid="{00000000-0005-0000-0000-0000121A0000}"/>
    <cellStyle name="Normal 5 101" xfId="6643" xr:uid="{00000000-0005-0000-0000-0000131A0000}"/>
    <cellStyle name="Normal 5 102" xfId="6644" xr:uid="{00000000-0005-0000-0000-0000141A0000}"/>
    <cellStyle name="Normal 5 103" xfId="6645" xr:uid="{00000000-0005-0000-0000-0000151A0000}"/>
    <cellStyle name="Normal 5 104" xfId="6646" xr:uid="{00000000-0005-0000-0000-0000161A0000}"/>
    <cellStyle name="Normal 5 105" xfId="6647" xr:uid="{00000000-0005-0000-0000-0000171A0000}"/>
    <cellStyle name="Normal 5 106" xfId="6648" xr:uid="{00000000-0005-0000-0000-0000181A0000}"/>
    <cellStyle name="Normal 5 107" xfId="6649" xr:uid="{00000000-0005-0000-0000-0000191A0000}"/>
    <cellStyle name="Normal 5 107 2" xfId="6650" xr:uid="{00000000-0005-0000-0000-00001A1A0000}"/>
    <cellStyle name="Normal 5 108" xfId="6651" xr:uid="{00000000-0005-0000-0000-00001B1A0000}"/>
    <cellStyle name="Normal 5 108 2" xfId="6652" xr:uid="{00000000-0005-0000-0000-00001C1A0000}"/>
    <cellStyle name="Normal 5 109" xfId="6653" xr:uid="{00000000-0005-0000-0000-00001D1A0000}"/>
    <cellStyle name="Normal 5 109 2" xfId="6654" xr:uid="{00000000-0005-0000-0000-00001E1A0000}"/>
    <cellStyle name="Normal 5 11" xfId="6655" xr:uid="{00000000-0005-0000-0000-00001F1A0000}"/>
    <cellStyle name="Normal 5 11 2" xfId="6656" xr:uid="{00000000-0005-0000-0000-0000201A0000}"/>
    <cellStyle name="Normal 5 11 2 2" xfId="6657" xr:uid="{00000000-0005-0000-0000-0000211A0000}"/>
    <cellStyle name="Normal 5 11 3" xfId="6658" xr:uid="{00000000-0005-0000-0000-0000221A0000}"/>
    <cellStyle name="Normal 5 110" xfId="6659" xr:uid="{00000000-0005-0000-0000-0000231A0000}"/>
    <cellStyle name="Normal 5 110 2" xfId="6660" xr:uid="{00000000-0005-0000-0000-0000241A0000}"/>
    <cellStyle name="Normal 5 111" xfId="6661" xr:uid="{00000000-0005-0000-0000-0000251A0000}"/>
    <cellStyle name="Normal 5 111 2" xfId="6662" xr:uid="{00000000-0005-0000-0000-0000261A0000}"/>
    <cellStyle name="Normal 5 112" xfId="6663" xr:uid="{00000000-0005-0000-0000-0000271A0000}"/>
    <cellStyle name="Normal 5 112 2" xfId="6664" xr:uid="{00000000-0005-0000-0000-0000281A0000}"/>
    <cellStyle name="Normal 5 113" xfId="6665" xr:uid="{00000000-0005-0000-0000-0000291A0000}"/>
    <cellStyle name="Normal 5 113 2" xfId="6666" xr:uid="{00000000-0005-0000-0000-00002A1A0000}"/>
    <cellStyle name="Normal 5 114" xfId="6667" xr:uid="{00000000-0005-0000-0000-00002B1A0000}"/>
    <cellStyle name="Normal 5 114 2" xfId="6668" xr:uid="{00000000-0005-0000-0000-00002C1A0000}"/>
    <cellStyle name="Normal 5 115" xfId="6669" xr:uid="{00000000-0005-0000-0000-00002D1A0000}"/>
    <cellStyle name="Normal 5 115 2" xfId="6670" xr:uid="{00000000-0005-0000-0000-00002E1A0000}"/>
    <cellStyle name="Normal 5 116" xfId="6671" xr:uid="{00000000-0005-0000-0000-00002F1A0000}"/>
    <cellStyle name="Normal 5 116 2" xfId="6672" xr:uid="{00000000-0005-0000-0000-0000301A0000}"/>
    <cellStyle name="Normal 5 117" xfId="6673" xr:uid="{00000000-0005-0000-0000-0000311A0000}"/>
    <cellStyle name="Normal 5 117 2" xfId="6674" xr:uid="{00000000-0005-0000-0000-0000321A0000}"/>
    <cellStyle name="Normal 5 118" xfId="6675" xr:uid="{00000000-0005-0000-0000-0000331A0000}"/>
    <cellStyle name="Normal 5 118 2" xfId="6676" xr:uid="{00000000-0005-0000-0000-0000341A0000}"/>
    <cellStyle name="Normal 5 119" xfId="6677" xr:uid="{00000000-0005-0000-0000-0000351A0000}"/>
    <cellStyle name="Normal 5 12" xfId="6678" xr:uid="{00000000-0005-0000-0000-0000361A0000}"/>
    <cellStyle name="Normal 5 12 2" xfId="6679" xr:uid="{00000000-0005-0000-0000-0000371A0000}"/>
    <cellStyle name="Normal 5 12 2 2" xfId="6680" xr:uid="{00000000-0005-0000-0000-0000381A0000}"/>
    <cellStyle name="Normal 5 12 3" xfId="6681" xr:uid="{00000000-0005-0000-0000-0000391A0000}"/>
    <cellStyle name="Normal 5 120" xfId="6682" xr:uid="{00000000-0005-0000-0000-00003A1A0000}"/>
    <cellStyle name="Normal 5 121" xfId="6683" xr:uid="{00000000-0005-0000-0000-00003B1A0000}"/>
    <cellStyle name="Normal 5 122" xfId="6684" xr:uid="{00000000-0005-0000-0000-00003C1A0000}"/>
    <cellStyle name="Normal 5 123" xfId="6685" xr:uid="{00000000-0005-0000-0000-00003D1A0000}"/>
    <cellStyle name="Normal 5 123 2" xfId="6686" xr:uid="{00000000-0005-0000-0000-00003E1A0000}"/>
    <cellStyle name="Normal 5 124" xfId="6687" xr:uid="{00000000-0005-0000-0000-00003F1A0000}"/>
    <cellStyle name="Normal 5 124 2" xfId="6688" xr:uid="{00000000-0005-0000-0000-0000401A0000}"/>
    <cellStyle name="Normal 5 125" xfId="6689" xr:uid="{00000000-0005-0000-0000-0000411A0000}"/>
    <cellStyle name="Normal 5 125 2" xfId="6690" xr:uid="{00000000-0005-0000-0000-0000421A0000}"/>
    <cellStyle name="Normal 5 126" xfId="6691" xr:uid="{00000000-0005-0000-0000-0000431A0000}"/>
    <cellStyle name="Normal 5 126 2" xfId="6692" xr:uid="{00000000-0005-0000-0000-0000441A0000}"/>
    <cellStyle name="Normal 5 127" xfId="6693" xr:uid="{00000000-0005-0000-0000-0000451A0000}"/>
    <cellStyle name="Normal 5 127 2" xfId="6694" xr:uid="{00000000-0005-0000-0000-0000461A0000}"/>
    <cellStyle name="Normal 5 128" xfId="6695" xr:uid="{00000000-0005-0000-0000-0000471A0000}"/>
    <cellStyle name="Normal 5 128 2" xfId="6696" xr:uid="{00000000-0005-0000-0000-0000481A0000}"/>
    <cellStyle name="Normal 5 129" xfId="6697" xr:uid="{00000000-0005-0000-0000-0000491A0000}"/>
    <cellStyle name="Normal 5 129 2" xfId="6698" xr:uid="{00000000-0005-0000-0000-00004A1A0000}"/>
    <cellStyle name="Normal 5 13" xfId="6699" xr:uid="{00000000-0005-0000-0000-00004B1A0000}"/>
    <cellStyle name="Normal 5 13 2" xfId="6700" xr:uid="{00000000-0005-0000-0000-00004C1A0000}"/>
    <cellStyle name="Normal 5 13 2 2" xfId="6701" xr:uid="{00000000-0005-0000-0000-00004D1A0000}"/>
    <cellStyle name="Normal 5 13 3" xfId="6702" xr:uid="{00000000-0005-0000-0000-00004E1A0000}"/>
    <cellStyle name="Normal 5 130" xfId="6703" xr:uid="{00000000-0005-0000-0000-00004F1A0000}"/>
    <cellStyle name="Normal 5 130 2" xfId="6704" xr:uid="{00000000-0005-0000-0000-0000501A0000}"/>
    <cellStyle name="Normal 5 131" xfId="6705" xr:uid="{00000000-0005-0000-0000-0000511A0000}"/>
    <cellStyle name="Normal 5 131 2" xfId="6706" xr:uid="{00000000-0005-0000-0000-0000521A0000}"/>
    <cellStyle name="Normal 5 132" xfId="6707" xr:uid="{00000000-0005-0000-0000-0000531A0000}"/>
    <cellStyle name="Normal 5 132 2" xfId="6708" xr:uid="{00000000-0005-0000-0000-0000541A0000}"/>
    <cellStyle name="Normal 5 133" xfId="6709" xr:uid="{00000000-0005-0000-0000-0000551A0000}"/>
    <cellStyle name="Normal 5 133 2" xfId="6710" xr:uid="{00000000-0005-0000-0000-0000561A0000}"/>
    <cellStyle name="Normal 5 134" xfId="6711" xr:uid="{00000000-0005-0000-0000-0000571A0000}"/>
    <cellStyle name="Normal 5 134 2" xfId="6712" xr:uid="{00000000-0005-0000-0000-0000581A0000}"/>
    <cellStyle name="Normal 5 135" xfId="6713" xr:uid="{00000000-0005-0000-0000-0000591A0000}"/>
    <cellStyle name="Normal 5 135 2" xfId="6714" xr:uid="{00000000-0005-0000-0000-00005A1A0000}"/>
    <cellStyle name="Normal 5 136" xfId="6715" xr:uid="{00000000-0005-0000-0000-00005B1A0000}"/>
    <cellStyle name="Normal 5 136 2" xfId="6716" xr:uid="{00000000-0005-0000-0000-00005C1A0000}"/>
    <cellStyle name="Normal 5 137" xfId="6717" xr:uid="{00000000-0005-0000-0000-00005D1A0000}"/>
    <cellStyle name="Normal 5 137 2" xfId="6718" xr:uid="{00000000-0005-0000-0000-00005E1A0000}"/>
    <cellStyle name="Normal 5 138" xfId="6719" xr:uid="{00000000-0005-0000-0000-00005F1A0000}"/>
    <cellStyle name="Normal 5 138 2" xfId="6720" xr:uid="{00000000-0005-0000-0000-0000601A0000}"/>
    <cellStyle name="Normal 5 139" xfId="6721" xr:uid="{00000000-0005-0000-0000-0000611A0000}"/>
    <cellStyle name="Normal 5 139 2" xfId="6722" xr:uid="{00000000-0005-0000-0000-0000621A0000}"/>
    <cellStyle name="Normal 5 14" xfId="6723" xr:uid="{00000000-0005-0000-0000-0000631A0000}"/>
    <cellStyle name="Normal 5 14 2" xfId="6724" xr:uid="{00000000-0005-0000-0000-0000641A0000}"/>
    <cellStyle name="Normal 5 14 2 2" xfId="6725" xr:uid="{00000000-0005-0000-0000-0000651A0000}"/>
    <cellStyle name="Normal 5 14 3" xfId="6726" xr:uid="{00000000-0005-0000-0000-0000661A0000}"/>
    <cellStyle name="Normal 5 140" xfId="6727" xr:uid="{00000000-0005-0000-0000-0000671A0000}"/>
    <cellStyle name="Normal 5 140 2" xfId="6728" xr:uid="{00000000-0005-0000-0000-0000681A0000}"/>
    <cellStyle name="Normal 5 141" xfId="6729" xr:uid="{00000000-0005-0000-0000-0000691A0000}"/>
    <cellStyle name="Normal 5 141 2" xfId="6730" xr:uid="{00000000-0005-0000-0000-00006A1A0000}"/>
    <cellStyle name="Normal 5 142" xfId="6731" xr:uid="{00000000-0005-0000-0000-00006B1A0000}"/>
    <cellStyle name="Normal 5 142 2" xfId="6732" xr:uid="{00000000-0005-0000-0000-00006C1A0000}"/>
    <cellStyle name="Normal 5 143" xfId="6733" xr:uid="{00000000-0005-0000-0000-00006D1A0000}"/>
    <cellStyle name="Normal 5 143 2" xfId="6734" xr:uid="{00000000-0005-0000-0000-00006E1A0000}"/>
    <cellStyle name="Normal 5 144" xfId="6735" xr:uid="{00000000-0005-0000-0000-00006F1A0000}"/>
    <cellStyle name="Normal 5 144 2" xfId="6736" xr:uid="{00000000-0005-0000-0000-0000701A0000}"/>
    <cellStyle name="Normal 5 145" xfId="6737" xr:uid="{00000000-0005-0000-0000-0000711A0000}"/>
    <cellStyle name="Normal 5 146" xfId="6738" xr:uid="{00000000-0005-0000-0000-0000721A0000}"/>
    <cellStyle name="Normal 5 147" xfId="6739" xr:uid="{00000000-0005-0000-0000-0000731A0000}"/>
    <cellStyle name="Normal 5 147 2" xfId="6740" xr:uid="{00000000-0005-0000-0000-0000741A0000}"/>
    <cellStyle name="Normal 5 148" xfId="6741" xr:uid="{00000000-0005-0000-0000-0000751A0000}"/>
    <cellStyle name="Normal 5 148 2" xfId="6742" xr:uid="{00000000-0005-0000-0000-0000761A0000}"/>
    <cellStyle name="Normal 5 149" xfId="6743" xr:uid="{00000000-0005-0000-0000-0000771A0000}"/>
    <cellStyle name="Normal 5 149 2" xfId="6744" xr:uid="{00000000-0005-0000-0000-0000781A0000}"/>
    <cellStyle name="Normal 5 15" xfId="6745" xr:uid="{00000000-0005-0000-0000-0000791A0000}"/>
    <cellStyle name="Normal 5 15 2" xfId="6746" xr:uid="{00000000-0005-0000-0000-00007A1A0000}"/>
    <cellStyle name="Normal 5 15 2 2" xfId="6747" xr:uid="{00000000-0005-0000-0000-00007B1A0000}"/>
    <cellStyle name="Normal 5 15 3" xfId="6748" xr:uid="{00000000-0005-0000-0000-00007C1A0000}"/>
    <cellStyle name="Normal 5 150" xfId="6749" xr:uid="{00000000-0005-0000-0000-00007D1A0000}"/>
    <cellStyle name="Normal 5 150 2" xfId="6750" xr:uid="{00000000-0005-0000-0000-00007E1A0000}"/>
    <cellStyle name="Normal 5 151" xfId="6751" xr:uid="{00000000-0005-0000-0000-00007F1A0000}"/>
    <cellStyle name="Normal 5 151 2" xfId="6752" xr:uid="{00000000-0005-0000-0000-0000801A0000}"/>
    <cellStyle name="Normal 5 152" xfId="6753" xr:uid="{00000000-0005-0000-0000-0000811A0000}"/>
    <cellStyle name="Normal 5 152 2" xfId="6754" xr:uid="{00000000-0005-0000-0000-0000821A0000}"/>
    <cellStyle name="Normal 5 153" xfId="6755" xr:uid="{00000000-0005-0000-0000-0000831A0000}"/>
    <cellStyle name="Normal 5 154" xfId="6756" xr:uid="{00000000-0005-0000-0000-0000841A0000}"/>
    <cellStyle name="Normal 5 155" xfId="6757" xr:uid="{00000000-0005-0000-0000-0000851A0000}"/>
    <cellStyle name="Normal 5 156" xfId="6758" xr:uid="{00000000-0005-0000-0000-0000861A0000}"/>
    <cellStyle name="Normal 5 157" xfId="6759" xr:uid="{00000000-0005-0000-0000-0000871A0000}"/>
    <cellStyle name="Normal 5 158" xfId="6760" xr:uid="{00000000-0005-0000-0000-0000881A0000}"/>
    <cellStyle name="Normal 5 159" xfId="6761" xr:uid="{00000000-0005-0000-0000-0000891A0000}"/>
    <cellStyle name="Normal 5 16" xfId="6762" xr:uid="{00000000-0005-0000-0000-00008A1A0000}"/>
    <cellStyle name="Normal 5 16 2" xfId="6763" xr:uid="{00000000-0005-0000-0000-00008B1A0000}"/>
    <cellStyle name="Normal 5 16 2 2" xfId="6764" xr:uid="{00000000-0005-0000-0000-00008C1A0000}"/>
    <cellStyle name="Normal 5 16 3" xfId="6765" xr:uid="{00000000-0005-0000-0000-00008D1A0000}"/>
    <cellStyle name="Normal 5 17" xfId="6766" xr:uid="{00000000-0005-0000-0000-00008E1A0000}"/>
    <cellStyle name="Normal 5 17 2" xfId="6767" xr:uid="{00000000-0005-0000-0000-00008F1A0000}"/>
    <cellStyle name="Normal 5 17 2 2" xfId="6768" xr:uid="{00000000-0005-0000-0000-0000901A0000}"/>
    <cellStyle name="Normal 5 17 3" xfId="6769" xr:uid="{00000000-0005-0000-0000-0000911A0000}"/>
    <cellStyle name="Normal 5 18" xfId="6770" xr:uid="{00000000-0005-0000-0000-0000921A0000}"/>
    <cellStyle name="Normal 5 18 2" xfId="6771" xr:uid="{00000000-0005-0000-0000-0000931A0000}"/>
    <cellStyle name="Normal 5 18 2 2" xfId="6772" xr:uid="{00000000-0005-0000-0000-0000941A0000}"/>
    <cellStyle name="Normal 5 18 3" xfId="6773" xr:uid="{00000000-0005-0000-0000-0000951A0000}"/>
    <cellStyle name="Normal 5 19" xfId="6774" xr:uid="{00000000-0005-0000-0000-0000961A0000}"/>
    <cellStyle name="Normal 5 19 2" xfId="6775" xr:uid="{00000000-0005-0000-0000-0000971A0000}"/>
    <cellStyle name="Normal 5 19 2 2" xfId="6776" xr:uid="{00000000-0005-0000-0000-0000981A0000}"/>
    <cellStyle name="Normal 5 19 3" xfId="6777" xr:uid="{00000000-0005-0000-0000-0000991A0000}"/>
    <cellStyle name="Normal 5 2" xfId="6778" xr:uid="{00000000-0005-0000-0000-00009A1A0000}"/>
    <cellStyle name="Normal 5 2 2" xfId="6779" xr:uid="{00000000-0005-0000-0000-00009B1A0000}"/>
    <cellStyle name="Normal 5 2 2 2" xfId="6780" xr:uid="{00000000-0005-0000-0000-00009C1A0000}"/>
    <cellStyle name="Normal 5 2 2 3" xfId="6781" xr:uid="{00000000-0005-0000-0000-00009D1A0000}"/>
    <cellStyle name="Normal 5 2 3" xfId="6782" xr:uid="{00000000-0005-0000-0000-00009E1A0000}"/>
    <cellStyle name="Normal 5 2 3 2" xfId="6783" xr:uid="{00000000-0005-0000-0000-00009F1A0000}"/>
    <cellStyle name="Normal 5 2 4" xfId="6784" xr:uid="{00000000-0005-0000-0000-0000A01A0000}"/>
    <cellStyle name="Normal 5 2 5" xfId="6785" xr:uid="{00000000-0005-0000-0000-0000A11A0000}"/>
    <cellStyle name="Normal 5 2 6" xfId="6786" xr:uid="{00000000-0005-0000-0000-0000A21A0000}"/>
    <cellStyle name="Normal 5 2 7" xfId="6787" xr:uid="{00000000-0005-0000-0000-0000A31A0000}"/>
    <cellStyle name="Normal 5 20" xfId="6788" xr:uid="{00000000-0005-0000-0000-0000A41A0000}"/>
    <cellStyle name="Normal 5 20 2" xfId="6789" xr:uid="{00000000-0005-0000-0000-0000A51A0000}"/>
    <cellStyle name="Normal 5 20 2 2" xfId="6790" xr:uid="{00000000-0005-0000-0000-0000A61A0000}"/>
    <cellStyle name="Normal 5 20 3" xfId="6791" xr:uid="{00000000-0005-0000-0000-0000A71A0000}"/>
    <cellStyle name="Normal 5 21" xfId="6792" xr:uid="{00000000-0005-0000-0000-0000A81A0000}"/>
    <cellStyle name="Normal 5 21 2" xfId="6793" xr:uid="{00000000-0005-0000-0000-0000A91A0000}"/>
    <cellStyle name="Normal 5 21 2 2" xfId="6794" xr:uid="{00000000-0005-0000-0000-0000AA1A0000}"/>
    <cellStyle name="Normal 5 21 3" xfId="6795" xr:uid="{00000000-0005-0000-0000-0000AB1A0000}"/>
    <cellStyle name="Normal 5 22" xfId="6796" xr:uid="{00000000-0005-0000-0000-0000AC1A0000}"/>
    <cellStyle name="Normal 5 22 2" xfId="6797" xr:uid="{00000000-0005-0000-0000-0000AD1A0000}"/>
    <cellStyle name="Normal 5 22 2 2" xfId="6798" xr:uid="{00000000-0005-0000-0000-0000AE1A0000}"/>
    <cellStyle name="Normal 5 22 3" xfId="6799" xr:uid="{00000000-0005-0000-0000-0000AF1A0000}"/>
    <cellStyle name="Normal 5 23" xfId="6800" xr:uid="{00000000-0005-0000-0000-0000B01A0000}"/>
    <cellStyle name="Normal 5 23 2" xfId="6801" xr:uid="{00000000-0005-0000-0000-0000B11A0000}"/>
    <cellStyle name="Normal 5 23 2 2" xfId="6802" xr:uid="{00000000-0005-0000-0000-0000B21A0000}"/>
    <cellStyle name="Normal 5 23 3" xfId="6803" xr:uid="{00000000-0005-0000-0000-0000B31A0000}"/>
    <cellStyle name="Normal 5 24" xfId="6804" xr:uid="{00000000-0005-0000-0000-0000B41A0000}"/>
    <cellStyle name="Normal 5 24 2" xfId="6805" xr:uid="{00000000-0005-0000-0000-0000B51A0000}"/>
    <cellStyle name="Normal 5 24 2 2" xfId="6806" xr:uid="{00000000-0005-0000-0000-0000B61A0000}"/>
    <cellStyle name="Normal 5 24 3" xfId="6807" xr:uid="{00000000-0005-0000-0000-0000B71A0000}"/>
    <cellStyle name="Normal 5 25" xfId="6808" xr:uid="{00000000-0005-0000-0000-0000B81A0000}"/>
    <cellStyle name="Normal 5 25 2" xfId="6809" xr:uid="{00000000-0005-0000-0000-0000B91A0000}"/>
    <cellStyle name="Normal 5 25 2 2" xfId="6810" xr:uid="{00000000-0005-0000-0000-0000BA1A0000}"/>
    <cellStyle name="Normal 5 25 3" xfId="6811" xr:uid="{00000000-0005-0000-0000-0000BB1A0000}"/>
    <cellStyle name="Normal 5 26" xfId="6812" xr:uid="{00000000-0005-0000-0000-0000BC1A0000}"/>
    <cellStyle name="Normal 5 26 2" xfId="6813" xr:uid="{00000000-0005-0000-0000-0000BD1A0000}"/>
    <cellStyle name="Normal 5 26 2 2" xfId="6814" xr:uid="{00000000-0005-0000-0000-0000BE1A0000}"/>
    <cellStyle name="Normal 5 26 3" xfId="6815" xr:uid="{00000000-0005-0000-0000-0000BF1A0000}"/>
    <cellStyle name="Normal 5 27" xfId="6816" xr:uid="{00000000-0005-0000-0000-0000C01A0000}"/>
    <cellStyle name="Normal 5 27 2" xfId="6817" xr:uid="{00000000-0005-0000-0000-0000C11A0000}"/>
    <cellStyle name="Normal 5 27 2 2" xfId="6818" xr:uid="{00000000-0005-0000-0000-0000C21A0000}"/>
    <cellStyle name="Normal 5 27 3" xfId="6819" xr:uid="{00000000-0005-0000-0000-0000C31A0000}"/>
    <cellStyle name="Normal 5 28" xfId="6820" xr:uid="{00000000-0005-0000-0000-0000C41A0000}"/>
    <cellStyle name="Normal 5 28 2" xfId="6821" xr:uid="{00000000-0005-0000-0000-0000C51A0000}"/>
    <cellStyle name="Normal 5 28 2 2" xfId="6822" xr:uid="{00000000-0005-0000-0000-0000C61A0000}"/>
    <cellStyle name="Normal 5 28 3" xfId="6823" xr:uid="{00000000-0005-0000-0000-0000C71A0000}"/>
    <cellStyle name="Normal 5 29" xfId="6824" xr:uid="{00000000-0005-0000-0000-0000C81A0000}"/>
    <cellStyle name="Normal 5 29 2" xfId="6825" xr:uid="{00000000-0005-0000-0000-0000C91A0000}"/>
    <cellStyle name="Normal 5 29 2 2" xfId="6826" xr:uid="{00000000-0005-0000-0000-0000CA1A0000}"/>
    <cellStyle name="Normal 5 29 3" xfId="6827" xr:uid="{00000000-0005-0000-0000-0000CB1A0000}"/>
    <cellStyle name="Normal 5 3" xfId="6828" xr:uid="{00000000-0005-0000-0000-0000CC1A0000}"/>
    <cellStyle name="Normal 5 3 10" xfId="6829" xr:uid="{00000000-0005-0000-0000-0000CD1A0000}"/>
    <cellStyle name="Normal 5 3 11" xfId="6830" xr:uid="{00000000-0005-0000-0000-0000CE1A0000}"/>
    <cellStyle name="Normal 5 3 2" xfId="6831" xr:uid="{00000000-0005-0000-0000-0000CF1A0000}"/>
    <cellStyle name="Normal 5 3 2 2" xfId="6832" xr:uid="{00000000-0005-0000-0000-0000D01A0000}"/>
    <cellStyle name="Normal 5 3 2 2 2" xfId="6833" xr:uid="{00000000-0005-0000-0000-0000D11A0000}"/>
    <cellStyle name="Normal 5 3 2 2 2 2" xfId="6834" xr:uid="{00000000-0005-0000-0000-0000D21A0000}"/>
    <cellStyle name="Normal 5 3 2 2 3" xfId="6835" xr:uid="{00000000-0005-0000-0000-0000D31A0000}"/>
    <cellStyle name="Normal 5 3 2 3" xfId="6836" xr:uid="{00000000-0005-0000-0000-0000D41A0000}"/>
    <cellStyle name="Normal 5 3 2 3 2" xfId="6837" xr:uid="{00000000-0005-0000-0000-0000D51A0000}"/>
    <cellStyle name="Normal 5 3 2 3 2 2" xfId="6838" xr:uid="{00000000-0005-0000-0000-0000D61A0000}"/>
    <cellStyle name="Normal 5 3 2 3 3" xfId="6839" xr:uid="{00000000-0005-0000-0000-0000D71A0000}"/>
    <cellStyle name="Normal 5 3 2 4" xfId="6840" xr:uid="{00000000-0005-0000-0000-0000D81A0000}"/>
    <cellStyle name="Normal 5 3 2 4 2" xfId="6841" xr:uid="{00000000-0005-0000-0000-0000D91A0000}"/>
    <cellStyle name="Normal 5 3 2 4 2 2" xfId="6842" xr:uid="{00000000-0005-0000-0000-0000DA1A0000}"/>
    <cellStyle name="Normal 5 3 2 4 3" xfId="6843" xr:uid="{00000000-0005-0000-0000-0000DB1A0000}"/>
    <cellStyle name="Normal 5 3 2 5" xfId="6844" xr:uid="{00000000-0005-0000-0000-0000DC1A0000}"/>
    <cellStyle name="Normal 5 3 2 5 2" xfId="6845" xr:uid="{00000000-0005-0000-0000-0000DD1A0000}"/>
    <cellStyle name="Normal 5 3 2 5 2 2" xfId="6846" xr:uid="{00000000-0005-0000-0000-0000DE1A0000}"/>
    <cellStyle name="Normal 5 3 2 5 3" xfId="6847" xr:uid="{00000000-0005-0000-0000-0000DF1A0000}"/>
    <cellStyle name="Normal 5 3 2 6" xfId="6848" xr:uid="{00000000-0005-0000-0000-0000E01A0000}"/>
    <cellStyle name="Normal 5 3 2 6 2" xfId="6849" xr:uid="{00000000-0005-0000-0000-0000E11A0000}"/>
    <cellStyle name="Normal 5 3 2 7" xfId="6850" xr:uid="{00000000-0005-0000-0000-0000E21A0000}"/>
    <cellStyle name="Normal 5 3 3" xfId="6851" xr:uid="{00000000-0005-0000-0000-0000E31A0000}"/>
    <cellStyle name="Normal 5 3 3 2" xfId="6852" xr:uid="{00000000-0005-0000-0000-0000E41A0000}"/>
    <cellStyle name="Normal 5 3 3 2 2" xfId="6853" xr:uid="{00000000-0005-0000-0000-0000E51A0000}"/>
    <cellStyle name="Normal 5 3 3 3" xfId="6854" xr:uid="{00000000-0005-0000-0000-0000E61A0000}"/>
    <cellStyle name="Normal 5 3 4" xfId="6855" xr:uid="{00000000-0005-0000-0000-0000E71A0000}"/>
    <cellStyle name="Normal 5 3 4 2" xfId="6856" xr:uid="{00000000-0005-0000-0000-0000E81A0000}"/>
    <cellStyle name="Normal 5 3 4 2 2" xfId="6857" xr:uid="{00000000-0005-0000-0000-0000E91A0000}"/>
    <cellStyle name="Normal 5 3 4 3" xfId="6858" xr:uid="{00000000-0005-0000-0000-0000EA1A0000}"/>
    <cellStyle name="Normal 5 3 5" xfId="6859" xr:uid="{00000000-0005-0000-0000-0000EB1A0000}"/>
    <cellStyle name="Normal 5 3 5 2" xfId="6860" xr:uid="{00000000-0005-0000-0000-0000EC1A0000}"/>
    <cellStyle name="Normal 5 3 5 2 2" xfId="6861" xr:uid="{00000000-0005-0000-0000-0000ED1A0000}"/>
    <cellStyle name="Normal 5 3 5 3" xfId="6862" xr:uid="{00000000-0005-0000-0000-0000EE1A0000}"/>
    <cellStyle name="Normal 5 3 6" xfId="6863" xr:uid="{00000000-0005-0000-0000-0000EF1A0000}"/>
    <cellStyle name="Normal 5 3 6 2" xfId="6864" xr:uid="{00000000-0005-0000-0000-0000F01A0000}"/>
    <cellStyle name="Normal 5 3 6 3" xfId="6865" xr:uid="{00000000-0005-0000-0000-0000F11A0000}"/>
    <cellStyle name="Normal 5 3 7" xfId="6866" xr:uid="{00000000-0005-0000-0000-0000F21A0000}"/>
    <cellStyle name="Normal 5 3 8" xfId="6867" xr:uid="{00000000-0005-0000-0000-0000F31A0000}"/>
    <cellStyle name="Normal 5 3 9" xfId="6868" xr:uid="{00000000-0005-0000-0000-0000F41A0000}"/>
    <cellStyle name="Normal 5 30" xfId="6869" xr:uid="{00000000-0005-0000-0000-0000F51A0000}"/>
    <cellStyle name="Normal 5 30 2" xfId="6870" xr:uid="{00000000-0005-0000-0000-0000F61A0000}"/>
    <cellStyle name="Normal 5 30 2 2" xfId="6871" xr:uid="{00000000-0005-0000-0000-0000F71A0000}"/>
    <cellStyle name="Normal 5 30 3" xfId="6872" xr:uid="{00000000-0005-0000-0000-0000F81A0000}"/>
    <cellStyle name="Normal 5 31" xfId="6873" xr:uid="{00000000-0005-0000-0000-0000F91A0000}"/>
    <cellStyle name="Normal 5 31 2" xfId="6874" xr:uid="{00000000-0005-0000-0000-0000FA1A0000}"/>
    <cellStyle name="Normal 5 31 2 2" xfId="6875" xr:uid="{00000000-0005-0000-0000-0000FB1A0000}"/>
    <cellStyle name="Normal 5 31 3" xfId="6876" xr:uid="{00000000-0005-0000-0000-0000FC1A0000}"/>
    <cellStyle name="Normal 5 32" xfId="6877" xr:uid="{00000000-0005-0000-0000-0000FD1A0000}"/>
    <cellStyle name="Normal 5 32 2" xfId="6878" xr:uid="{00000000-0005-0000-0000-0000FE1A0000}"/>
    <cellStyle name="Normal 5 32 2 2" xfId="6879" xr:uid="{00000000-0005-0000-0000-0000FF1A0000}"/>
    <cellStyle name="Normal 5 32 3" xfId="6880" xr:uid="{00000000-0005-0000-0000-0000001B0000}"/>
    <cellStyle name="Normal 5 33" xfId="6881" xr:uid="{00000000-0005-0000-0000-0000011B0000}"/>
    <cellStyle name="Normal 5 33 2" xfId="6882" xr:uid="{00000000-0005-0000-0000-0000021B0000}"/>
    <cellStyle name="Normal 5 33 2 2" xfId="6883" xr:uid="{00000000-0005-0000-0000-0000031B0000}"/>
    <cellStyle name="Normal 5 33 3" xfId="6884" xr:uid="{00000000-0005-0000-0000-0000041B0000}"/>
    <cellStyle name="Normal 5 34" xfId="6885" xr:uid="{00000000-0005-0000-0000-0000051B0000}"/>
    <cellStyle name="Normal 5 34 2" xfId="6886" xr:uid="{00000000-0005-0000-0000-0000061B0000}"/>
    <cellStyle name="Normal 5 34 2 2" xfId="6887" xr:uid="{00000000-0005-0000-0000-0000071B0000}"/>
    <cellStyle name="Normal 5 34 3" xfId="6888" xr:uid="{00000000-0005-0000-0000-0000081B0000}"/>
    <cellStyle name="Normal 5 35" xfId="6889" xr:uid="{00000000-0005-0000-0000-0000091B0000}"/>
    <cellStyle name="Normal 5 35 2" xfId="6890" xr:uid="{00000000-0005-0000-0000-00000A1B0000}"/>
    <cellStyle name="Normal 5 35 2 2" xfId="6891" xr:uid="{00000000-0005-0000-0000-00000B1B0000}"/>
    <cellStyle name="Normal 5 35 3" xfId="6892" xr:uid="{00000000-0005-0000-0000-00000C1B0000}"/>
    <cellStyle name="Normal 5 36" xfId="6893" xr:uid="{00000000-0005-0000-0000-00000D1B0000}"/>
    <cellStyle name="Normal 5 36 2" xfId="6894" xr:uid="{00000000-0005-0000-0000-00000E1B0000}"/>
    <cellStyle name="Normal 5 36 2 2" xfId="6895" xr:uid="{00000000-0005-0000-0000-00000F1B0000}"/>
    <cellStyle name="Normal 5 36 3" xfId="6896" xr:uid="{00000000-0005-0000-0000-0000101B0000}"/>
    <cellStyle name="Normal 5 37" xfId="6897" xr:uid="{00000000-0005-0000-0000-0000111B0000}"/>
    <cellStyle name="Normal 5 37 2" xfId="6898" xr:uid="{00000000-0005-0000-0000-0000121B0000}"/>
    <cellStyle name="Normal 5 37 2 2" xfId="6899" xr:uid="{00000000-0005-0000-0000-0000131B0000}"/>
    <cellStyle name="Normal 5 37 3" xfId="6900" xr:uid="{00000000-0005-0000-0000-0000141B0000}"/>
    <cellStyle name="Normal 5 38" xfId="6901" xr:uid="{00000000-0005-0000-0000-0000151B0000}"/>
    <cellStyle name="Normal 5 38 2" xfId="6902" xr:uid="{00000000-0005-0000-0000-0000161B0000}"/>
    <cellStyle name="Normal 5 38 2 2" xfId="6903" xr:uid="{00000000-0005-0000-0000-0000171B0000}"/>
    <cellStyle name="Normal 5 38 3" xfId="6904" xr:uid="{00000000-0005-0000-0000-0000181B0000}"/>
    <cellStyle name="Normal 5 39" xfId="6905" xr:uid="{00000000-0005-0000-0000-0000191B0000}"/>
    <cellStyle name="Normal 5 39 2" xfId="6906" xr:uid="{00000000-0005-0000-0000-00001A1B0000}"/>
    <cellStyle name="Normal 5 39 2 2" xfId="6907" xr:uid="{00000000-0005-0000-0000-00001B1B0000}"/>
    <cellStyle name="Normal 5 39 3" xfId="6908" xr:uid="{00000000-0005-0000-0000-00001C1B0000}"/>
    <cellStyle name="Normal 5 4" xfId="6909" xr:uid="{00000000-0005-0000-0000-00001D1B0000}"/>
    <cellStyle name="Normal 5 4 2" xfId="6910" xr:uid="{00000000-0005-0000-0000-00001E1B0000}"/>
    <cellStyle name="Normal 5 4 2 2" xfId="6911" xr:uid="{00000000-0005-0000-0000-00001F1B0000}"/>
    <cellStyle name="Normal 5 4 2 3" xfId="6912" xr:uid="{00000000-0005-0000-0000-0000201B0000}"/>
    <cellStyle name="Normal 5 4 3" xfId="6913" xr:uid="{00000000-0005-0000-0000-0000211B0000}"/>
    <cellStyle name="Normal 5 4 3 2" xfId="6914" xr:uid="{00000000-0005-0000-0000-0000221B0000}"/>
    <cellStyle name="Normal 5 40" xfId="6915" xr:uid="{00000000-0005-0000-0000-0000231B0000}"/>
    <cellStyle name="Normal 5 40 2" xfId="6916" xr:uid="{00000000-0005-0000-0000-0000241B0000}"/>
    <cellStyle name="Normal 5 40 2 2" xfId="6917" xr:uid="{00000000-0005-0000-0000-0000251B0000}"/>
    <cellStyle name="Normal 5 40 3" xfId="6918" xr:uid="{00000000-0005-0000-0000-0000261B0000}"/>
    <cellStyle name="Normal 5 41" xfId="6919" xr:uid="{00000000-0005-0000-0000-0000271B0000}"/>
    <cellStyle name="Normal 5 41 2" xfId="6920" xr:uid="{00000000-0005-0000-0000-0000281B0000}"/>
    <cellStyle name="Normal 5 41 2 2" xfId="6921" xr:uid="{00000000-0005-0000-0000-0000291B0000}"/>
    <cellStyle name="Normal 5 41 3" xfId="6922" xr:uid="{00000000-0005-0000-0000-00002A1B0000}"/>
    <cellStyle name="Normal 5 42" xfId="6923" xr:uid="{00000000-0005-0000-0000-00002B1B0000}"/>
    <cellStyle name="Normal 5 42 2" xfId="6924" xr:uid="{00000000-0005-0000-0000-00002C1B0000}"/>
    <cellStyle name="Normal 5 42 2 2" xfId="6925" xr:uid="{00000000-0005-0000-0000-00002D1B0000}"/>
    <cellStyle name="Normal 5 42 3" xfId="6926" xr:uid="{00000000-0005-0000-0000-00002E1B0000}"/>
    <cellStyle name="Normal 5 43" xfId="6927" xr:uid="{00000000-0005-0000-0000-00002F1B0000}"/>
    <cellStyle name="Normal 5 43 2" xfId="6928" xr:uid="{00000000-0005-0000-0000-0000301B0000}"/>
    <cellStyle name="Normal 5 43 2 2" xfId="6929" xr:uid="{00000000-0005-0000-0000-0000311B0000}"/>
    <cellStyle name="Normal 5 43 3" xfId="6930" xr:uid="{00000000-0005-0000-0000-0000321B0000}"/>
    <cellStyle name="Normal 5 44" xfId="6931" xr:uid="{00000000-0005-0000-0000-0000331B0000}"/>
    <cellStyle name="Normal 5 44 2" xfId="6932" xr:uid="{00000000-0005-0000-0000-0000341B0000}"/>
    <cellStyle name="Normal 5 44 2 2" xfId="6933" xr:uid="{00000000-0005-0000-0000-0000351B0000}"/>
    <cellStyle name="Normal 5 44 3" xfId="6934" xr:uid="{00000000-0005-0000-0000-0000361B0000}"/>
    <cellStyle name="Normal 5 45" xfId="6935" xr:uid="{00000000-0005-0000-0000-0000371B0000}"/>
    <cellStyle name="Normal 5 45 2" xfId="6936" xr:uid="{00000000-0005-0000-0000-0000381B0000}"/>
    <cellStyle name="Normal 5 45 2 2" xfId="6937" xr:uid="{00000000-0005-0000-0000-0000391B0000}"/>
    <cellStyle name="Normal 5 45 3" xfId="6938" xr:uid="{00000000-0005-0000-0000-00003A1B0000}"/>
    <cellStyle name="Normal 5 46" xfId="6939" xr:uid="{00000000-0005-0000-0000-00003B1B0000}"/>
    <cellStyle name="Normal 5 46 2" xfId="6940" xr:uid="{00000000-0005-0000-0000-00003C1B0000}"/>
    <cellStyle name="Normal 5 46 2 2" xfId="6941" xr:uid="{00000000-0005-0000-0000-00003D1B0000}"/>
    <cellStyle name="Normal 5 46 3" xfId="6942" xr:uid="{00000000-0005-0000-0000-00003E1B0000}"/>
    <cellStyle name="Normal 5 47" xfId="6943" xr:uid="{00000000-0005-0000-0000-00003F1B0000}"/>
    <cellStyle name="Normal 5 47 2" xfId="6944" xr:uid="{00000000-0005-0000-0000-0000401B0000}"/>
    <cellStyle name="Normal 5 47 2 2" xfId="6945" xr:uid="{00000000-0005-0000-0000-0000411B0000}"/>
    <cellStyle name="Normal 5 47 3" xfId="6946" xr:uid="{00000000-0005-0000-0000-0000421B0000}"/>
    <cellStyle name="Normal 5 48" xfId="6947" xr:uid="{00000000-0005-0000-0000-0000431B0000}"/>
    <cellStyle name="Normal 5 48 2" xfId="6948" xr:uid="{00000000-0005-0000-0000-0000441B0000}"/>
    <cellStyle name="Normal 5 48 2 2" xfId="6949" xr:uid="{00000000-0005-0000-0000-0000451B0000}"/>
    <cellStyle name="Normal 5 48 3" xfId="6950" xr:uid="{00000000-0005-0000-0000-0000461B0000}"/>
    <cellStyle name="Normal 5 49" xfId="6951" xr:uid="{00000000-0005-0000-0000-0000471B0000}"/>
    <cellStyle name="Normal 5 49 2" xfId="6952" xr:uid="{00000000-0005-0000-0000-0000481B0000}"/>
    <cellStyle name="Normal 5 49 2 2" xfId="6953" xr:uid="{00000000-0005-0000-0000-0000491B0000}"/>
    <cellStyle name="Normal 5 49 3" xfId="6954" xr:uid="{00000000-0005-0000-0000-00004A1B0000}"/>
    <cellStyle name="Normal 5 5" xfId="6955" xr:uid="{00000000-0005-0000-0000-00004B1B0000}"/>
    <cellStyle name="Normal 5 5 2" xfId="6956" xr:uid="{00000000-0005-0000-0000-00004C1B0000}"/>
    <cellStyle name="Normal 5 5 2 2" xfId="6957" xr:uid="{00000000-0005-0000-0000-00004D1B0000}"/>
    <cellStyle name="Normal 5 5 2 3" xfId="6958" xr:uid="{00000000-0005-0000-0000-00004E1B0000}"/>
    <cellStyle name="Normal 5 5 3" xfId="6959" xr:uid="{00000000-0005-0000-0000-00004F1B0000}"/>
    <cellStyle name="Normal 5 5 3 2" xfId="6960" xr:uid="{00000000-0005-0000-0000-0000501B0000}"/>
    <cellStyle name="Normal 5 50" xfId="6961" xr:uid="{00000000-0005-0000-0000-0000511B0000}"/>
    <cellStyle name="Normal 5 50 2" xfId="6962" xr:uid="{00000000-0005-0000-0000-0000521B0000}"/>
    <cellStyle name="Normal 5 50 2 2" xfId="6963" xr:uid="{00000000-0005-0000-0000-0000531B0000}"/>
    <cellStyle name="Normal 5 50 3" xfId="6964" xr:uid="{00000000-0005-0000-0000-0000541B0000}"/>
    <cellStyle name="Normal 5 51" xfId="6965" xr:uid="{00000000-0005-0000-0000-0000551B0000}"/>
    <cellStyle name="Normal 5 51 2" xfId="6966" xr:uid="{00000000-0005-0000-0000-0000561B0000}"/>
    <cellStyle name="Normal 5 51 2 2" xfId="6967" xr:uid="{00000000-0005-0000-0000-0000571B0000}"/>
    <cellStyle name="Normal 5 51 3" xfId="6968" xr:uid="{00000000-0005-0000-0000-0000581B0000}"/>
    <cellStyle name="Normal 5 52" xfId="6969" xr:uid="{00000000-0005-0000-0000-0000591B0000}"/>
    <cellStyle name="Normal 5 52 2" xfId="6970" xr:uid="{00000000-0005-0000-0000-00005A1B0000}"/>
    <cellStyle name="Normal 5 52 2 2" xfId="6971" xr:uid="{00000000-0005-0000-0000-00005B1B0000}"/>
    <cellStyle name="Normal 5 52 3" xfId="6972" xr:uid="{00000000-0005-0000-0000-00005C1B0000}"/>
    <cellStyle name="Normal 5 53" xfId="6973" xr:uid="{00000000-0005-0000-0000-00005D1B0000}"/>
    <cellStyle name="Normal 5 53 2" xfId="6974" xr:uid="{00000000-0005-0000-0000-00005E1B0000}"/>
    <cellStyle name="Normal 5 53 2 2" xfId="6975" xr:uid="{00000000-0005-0000-0000-00005F1B0000}"/>
    <cellStyle name="Normal 5 53 3" xfId="6976" xr:uid="{00000000-0005-0000-0000-0000601B0000}"/>
    <cellStyle name="Normal 5 54" xfId="6977" xr:uid="{00000000-0005-0000-0000-0000611B0000}"/>
    <cellStyle name="Normal 5 54 2" xfId="6978" xr:uid="{00000000-0005-0000-0000-0000621B0000}"/>
    <cellStyle name="Normal 5 54 2 2" xfId="6979" xr:uid="{00000000-0005-0000-0000-0000631B0000}"/>
    <cellStyle name="Normal 5 54 3" xfId="6980" xr:uid="{00000000-0005-0000-0000-0000641B0000}"/>
    <cellStyle name="Normal 5 55" xfId="6981" xr:uid="{00000000-0005-0000-0000-0000651B0000}"/>
    <cellStyle name="Normal 5 55 2" xfId="6982" xr:uid="{00000000-0005-0000-0000-0000661B0000}"/>
    <cellStyle name="Normal 5 55 2 2" xfId="6983" xr:uid="{00000000-0005-0000-0000-0000671B0000}"/>
    <cellStyle name="Normal 5 55 3" xfId="6984" xr:uid="{00000000-0005-0000-0000-0000681B0000}"/>
    <cellStyle name="Normal 5 56" xfId="6985" xr:uid="{00000000-0005-0000-0000-0000691B0000}"/>
    <cellStyle name="Normal 5 56 2" xfId="6986" xr:uid="{00000000-0005-0000-0000-00006A1B0000}"/>
    <cellStyle name="Normal 5 56 2 2" xfId="6987" xr:uid="{00000000-0005-0000-0000-00006B1B0000}"/>
    <cellStyle name="Normal 5 56 3" xfId="6988" xr:uid="{00000000-0005-0000-0000-00006C1B0000}"/>
    <cellStyle name="Normal 5 57" xfId="6989" xr:uid="{00000000-0005-0000-0000-00006D1B0000}"/>
    <cellStyle name="Normal 5 57 2" xfId="6990" xr:uid="{00000000-0005-0000-0000-00006E1B0000}"/>
    <cellStyle name="Normal 5 57 2 2" xfId="6991" xr:uid="{00000000-0005-0000-0000-00006F1B0000}"/>
    <cellStyle name="Normal 5 57 3" xfId="6992" xr:uid="{00000000-0005-0000-0000-0000701B0000}"/>
    <cellStyle name="Normal 5 58" xfId="6993" xr:uid="{00000000-0005-0000-0000-0000711B0000}"/>
    <cellStyle name="Normal 5 58 2" xfId="6994" xr:uid="{00000000-0005-0000-0000-0000721B0000}"/>
    <cellStyle name="Normal 5 58 2 2" xfId="6995" xr:uid="{00000000-0005-0000-0000-0000731B0000}"/>
    <cellStyle name="Normal 5 58 3" xfId="6996" xr:uid="{00000000-0005-0000-0000-0000741B0000}"/>
    <cellStyle name="Normal 5 59" xfId="6997" xr:uid="{00000000-0005-0000-0000-0000751B0000}"/>
    <cellStyle name="Normal 5 59 2" xfId="6998" xr:uid="{00000000-0005-0000-0000-0000761B0000}"/>
    <cellStyle name="Normal 5 59 2 2" xfId="6999" xr:uid="{00000000-0005-0000-0000-0000771B0000}"/>
    <cellStyle name="Normal 5 59 3" xfId="7000" xr:uid="{00000000-0005-0000-0000-0000781B0000}"/>
    <cellStyle name="Normal 5 6" xfId="7001" xr:uid="{00000000-0005-0000-0000-0000791B0000}"/>
    <cellStyle name="Normal 5 6 2" xfId="7002" xr:uid="{00000000-0005-0000-0000-00007A1B0000}"/>
    <cellStyle name="Normal 5 6 2 2" xfId="7003" xr:uid="{00000000-0005-0000-0000-00007B1B0000}"/>
    <cellStyle name="Normal 5 6 2 3" xfId="7004" xr:uid="{00000000-0005-0000-0000-00007C1B0000}"/>
    <cellStyle name="Normal 5 6 3" xfId="7005" xr:uid="{00000000-0005-0000-0000-00007D1B0000}"/>
    <cellStyle name="Normal 5 6 3 2" xfId="7006" xr:uid="{00000000-0005-0000-0000-00007E1B0000}"/>
    <cellStyle name="Normal 5 60" xfId="7007" xr:uid="{00000000-0005-0000-0000-00007F1B0000}"/>
    <cellStyle name="Normal 5 60 2" xfId="7008" xr:uid="{00000000-0005-0000-0000-0000801B0000}"/>
    <cellStyle name="Normal 5 60 2 2" xfId="7009" xr:uid="{00000000-0005-0000-0000-0000811B0000}"/>
    <cellStyle name="Normal 5 60 3" xfId="7010" xr:uid="{00000000-0005-0000-0000-0000821B0000}"/>
    <cellStyle name="Normal 5 61" xfId="7011" xr:uid="{00000000-0005-0000-0000-0000831B0000}"/>
    <cellStyle name="Normal 5 61 2" xfId="7012" xr:uid="{00000000-0005-0000-0000-0000841B0000}"/>
    <cellStyle name="Normal 5 61 2 2" xfId="7013" xr:uid="{00000000-0005-0000-0000-0000851B0000}"/>
    <cellStyle name="Normal 5 61 3" xfId="7014" xr:uid="{00000000-0005-0000-0000-0000861B0000}"/>
    <cellStyle name="Normal 5 62" xfId="7015" xr:uid="{00000000-0005-0000-0000-0000871B0000}"/>
    <cellStyle name="Normal 5 62 2" xfId="7016" xr:uid="{00000000-0005-0000-0000-0000881B0000}"/>
    <cellStyle name="Normal 5 63" xfId="7017" xr:uid="{00000000-0005-0000-0000-0000891B0000}"/>
    <cellStyle name="Normal 5 63 2" xfId="7018" xr:uid="{00000000-0005-0000-0000-00008A1B0000}"/>
    <cellStyle name="Normal 5 64" xfId="7019" xr:uid="{00000000-0005-0000-0000-00008B1B0000}"/>
    <cellStyle name="Normal 5 64 2" xfId="7020" xr:uid="{00000000-0005-0000-0000-00008C1B0000}"/>
    <cellStyle name="Normal 5 65" xfId="7021" xr:uid="{00000000-0005-0000-0000-00008D1B0000}"/>
    <cellStyle name="Normal 5 65 2" xfId="7022" xr:uid="{00000000-0005-0000-0000-00008E1B0000}"/>
    <cellStyle name="Normal 5 66" xfId="7023" xr:uid="{00000000-0005-0000-0000-00008F1B0000}"/>
    <cellStyle name="Normal 5 66 2" xfId="7024" xr:uid="{00000000-0005-0000-0000-0000901B0000}"/>
    <cellStyle name="Normal 5 67" xfId="7025" xr:uid="{00000000-0005-0000-0000-0000911B0000}"/>
    <cellStyle name="Normal 5 67 2" xfId="7026" xr:uid="{00000000-0005-0000-0000-0000921B0000}"/>
    <cellStyle name="Normal 5 68" xfId="7027" xr:uid="{00000000-0005-0000-0000-0000931B0000}"/>
    <cellStyle name="Normal 5 68 2" xfId="7028" xr:uid="{00000000-0005-0000-0000-0000941B0000}"/>
    <cellStyle name="Normal 5 69" xfId="7029" xr:uid="{00000000-0005-0000-0000-0000951B0000}"/>
    <cellStyle name="Normal 5 69 2" xfId="7030" xr:uid="{00000000-0005-0000-0000-0000961B0000}"/>
    <cellStyle name="Normal 5 7" xfId="7031" xr:uid="{00000000-0005-0000-0000-0000971B0000}"/>
    <cellStyle name="Normal 5 7 2" xfId="7032" xr:uid="{00000000-0005-0000-0000-0000981B0000}"/>
    <cellStyle name="Normal 5 7 2 2" xfId="7033" xr:uid="{00000000-0005-0000-0000-0000991B0000}"/>
    <cellStyle name="Normal 5 7 2 3" xfId="7034" xr:uid="{00000000-0005-0000-0000-00009A1B0000}"/>
    <cellStyle name="Normal 5 7 3" xfId="7035" xr:uid="{00000000-0005-0000-0000-00009B1B0000}"/>
    <cellStyle name="Normal 5 7 3 2" xfId="7036" xr:uid="{00000000-0005-0000-0000-00009C1B0000}"/>
    <cellStyle name="Normal 5 70" xfId="7037" xr:uid="{00000000-0005-0000-0000-00009D1B0000}"/>
    <cellStyle name="Normal 5 70 2" xfId="7038" xr:uid="{00000000-0005-0000-0000-00009E1B0000}"/>
    <cellStyle name="Normal 5 71" xfId="7039" xr:uid="{00000000-0005-0000-0000-00009F1B0000}"/>
    <cellStyle name="Normal 5 71 2" xfId="7040" xr:uid="{00000000-0005-0000-0000-0000A01B0000}"/>
    <cellStyle name="Normal 5 72" xfId="7041" xr:uid="{00000000-0005-0000-0000-0000A11B0000}"/>
    <cellStyle name="Normal 5 72 2" xfId="7042" xr:uid="{00000000-0005-0000-0000-0000A21B0000}"/>
    <cellStyle name="Normal 5 73" xfId="7043" xr:uid="{00000000-0005-0000-0000-0000A31B0000}"/>
    <cellStyle name="Normal 5 73 2" xfId="7044" xr:uid="{00000000-0005-0000-0000-0000A41B0000}"/>
    <cellStyle name="Normal 5 74" xfId="7045" xr:uid="{00000000-0005-0000-0000-0000A51B0000}"/>
    <cellStyle name="Normal 5 74 2" xfId="7046" xr:uid="{00000000-0005-0000-0000-0000A61B0000}"/>
    <cellStyle name="Normal 5 75" xfId="7047" xr:uid="{00000000-0005-0000-0000-0000A71B0000}"/>
    <cellStyle name="Normal 5 75 2" xfId="7048" xr:uid="{00000000-0005-0000-0000-0000A81B0000}"/>
    <cellStyle name="Normal 5 76" xfId="7049" xr:uid="{00000000-0005-0000-0000-0000A91B0000}"/>
    <cellStyle name="Normal 5 76 2" xfId="7050" xr:uid="{00000000-0005-0000-0000-0000AA1B0000}"/>
    <cellStyle name="Normal 5 77" xfId="7051" xr:uid="{00000000-0005-0000-0000-0000AB1B0000}"/>
    <cellStyle name="Normal 5 77 2" xfId="7052" xr:uid="{00000000-0005-0000-0000-0000AC1B0000}"/>
    <cellStyle name="Normal 5 78" xfId="7053" xr:uid="{00000000-0005-0000-0000-0000AD1B0000}"/>
    <cellStyle name="Normal 5 78 2" xfId="7054" xr:uid="{00000000-0005-0000-0000-0000AE1B0000}"/>
    <cellStyle name="Normal 5 79" xfId="7055" xr:uid="{00000000-0005-0000-0000-0000AF1B0000}"/>
    <cellStyle name="Normal 5 79 2" xfId="7056" xr:uid="{00000000-0005-0000-0000-0000B01B0000}"/>
    <cellStyle name="Normal 5 8" xfId="7057" xr:uid="{00000000-0005-0000-0000-0000B11B0000}"/>
    <cellStyle name="Normal 5 8 2" xfId="7058" xr:uid="{00000000-0005-0000-0000-0000B21B0000}"/>
    <cellStyle name="Normal 5 8 2 2" xfId="7059" xr:uid="{00000000-0005-0000-0000-0000B31B0000}"/>
    <cellStyle name="Normal 5 8 3" xfId="7060" xr:uid="{00000000-0005-0000-0000-0000B41B0000}"/>
    <cellStyle name="Normal 5 80" xfId="7061" xr:uid="{00000000-0005-0000-0000-0000B51B0000}"/>
    <cellStyle name="Normal 5 80 2" xfId="7062" xr:uid="{00000000-0005-0000-0000-0000B61B0000}"/>
    <cellStyle name="Normal 5 81" xfId="7063" xr:uid="{00000000-0005-0000-0000-0000B71B0000}"/>
    <cellStyle name="Normal 5 81 2" xfId="7064" xr:uid="{00000000-0005-0000-0000-0000B81B0000}"/>
    <cellStyle name="Normal 5 82" xfId="7065" xr:uid="{00000000-0005-0000-0000-0000B91B0000}"/>
    <cellStyle name="Normal 5 82 2" xfId="7066" xr:uid="{00000000-0005-0000-0000-0000BA1B0000}"/>
    <cellStyle name="Normal 5 83" xfId="7067" xr:uid="{00000000-0005-0000-0000-0000BB1B0000}"/>
    <cellStyle name="Normal 5 83 2" xfId="7068" xr:uid="{00000000-0005-0000-0000-0000BC1B0000}"/>
    <cellStyle name="Normal 5 84" xfId="7069" xr:uid="{00000000-0005-0000-0000-0000BD1B0000}"/>
    <cellStyle name="Normal 5 84 2" xfId="7070" xr:uid="{00000000-0005-0000-0000-0000BE1B0000}"/>
    <cellStyle name="Normal 5 85" xfId="7071" xr:uid="{00000000-0005-0000-0000-0000BF1B0000}"/>
    <cellStyle name="Normal 5 85 2" xfId="7072" xr:uid="{00000000-0005-0000-0000-0000C01B0000}"/>
    <cellStyle name="Normal 5 86" xfId="7073" xr:uid="{00000000-0005-0000-0000-0000C11B0000}"/>
    <cellStyle name="Normal 5 86 2" xfId="7074" xr:uid="{00000000-0005-0000-0000-0000C21B0000}"/>
    <cellStyle name="Normal 5 87" xfId="7075" xr:uid="{00000000-0005-0000-0000-0000C31B0000}"/>
    <cellStyle name="Normal 5 87 2" xfId="7076" xr:uid="{00000000-0005-0000-0000-0000C41B0000}"/>
    <cellStyle name="Normal 5 88" xfId="7077" xr:uid="{00000000-0005-0000-0000-0000C51B0000}"/>
    <cellStyle name="Normal 5 88 2" xfId="7078" xr:uid="{00000000-0005-0000-0000-0000C61B0000}"/>
    <cellStyle name="Normal 5 89" xfId="7079" xr:uid="{00000000-0005-0000-0000-0000C71B0000}"/>
    <cellStyle name="Normal 5 89 2" xfId="7080" xr:uid="{00000000-0005-0000-0000-0000C81B0000}"/>
    <cellStyle name="Normal 5 9" xfId="7081" xr:uid="{00000000-0005-0000-0000-0000C91B0000}"/>
    <cellStyle name="Normal 5 9 2" xfId="7082" xr:uid="{00000000-0005-0000-0000-0000CA1B0000}"/>
    <cellStyle name="Normal 5 9 2 2" xfId="7083" xr:uid="{00000000-0005-0000-0000-0000CB1B0000}"/>
    <cellStyle name="Normal 5 9 3" xfId="7084" xr:uid="{00000000-0005-0000-0000-0000CC1B0000}"/>
    <cellStyle name="Normal 5 90" xfId="7085" xr:uid="{00000000-0005-0000-0000-0000CD1B0000}"/>
    <cellStyle name="Normal 5 90 2" xfId="7086" xr:uid="{00000000-0005-0000-0000-0000CE1B0000}"/>
    <cellStyle name="Normal 5 91" xfId="7087" xr:uid="{00000000-0005-0000-0000-0000CF1B0000}"/>
    <cellStyle name="Normal 5 91 2" xfId="7088" xr:uid="{00000000-0005-0000-0000-0000D01B0000}"/>
    <cellStyle name="Normal 5 92" xfId="7089" xr:uid="{00000000-0005-0000-0000-0000D11B0000}"/>
    <cellStyle name="Normal 5 92 2" xfId="7090" xr:uid="{00000000-0005-0000-0000-0000D21B0000}"/>
    <cellStyle name="Normal 5 93" xfId="7091" xr:uid="{00000000-0005-0000-0000-0000D31B0000}"/>
    <cellStyle name="Normal 5 93 2" xfId="7092" xr:uid="{00000000-0005-0000-0000-0000D41B0000}"/>
    <cellStyle name="Normal 5 94" xfId="7093" xr:uid="{00000000-0005-0000-0000-0000D51B0000}"/>
    <cellStyle name="Normal 5 95" xfId="7094" xr:uid="{00000000-0005-0000-0000-0000D61B0000}"/>
    <cellStyle name="Normal 5 95 2" xfId="7095" xr:uid="{00000000-0005-0000-0000-0000D71B0000}"/>
    <cellStyle name="Normal 5 96" xfId="7096" xr:uid="{00000000-0005-0000-0000-0000D81B0000}"/>
    <cellStyle name="Normal 5 96 2" xfId="7097" xr:uid="{00000000-0005-0000-0000-0000D91B0000}"/>
    <cellStyle name="Normal 5 97" xfId="7098" xr:uid="{00000000-0005-0000-0000-0000DA1B0000}"/>
    <cellStyle name="Normal 5 97 2" xfId="7099" xr:uid="{00000000-0005-0000-0000-0000DB1B0000}"/>
    <cellStyle name="Normal 5 98" xfId="7100" xr:uid="{00000000-0005-0000-0000-0000DC1B0000}"/>
    <cellStyle name="Normal 5 98 2" xfId="7101" xr:uid="{00000000-0005-0000-0000-0000DD1B0000}"/>
    <cellStyle name="Normal 5 99" xfId="7102" xr:uid="{00000000-0005-0000-0000-0000DE1B0000}"/>
    <cellStyle name="Normal 50" xfId="7103" xr:uid="{00000000-0005-0000-0000-0000DF1B0000}"/>
    <cellStyle name="Normal 51" xfId="7104" xr:uid="{00000000-0005-0000-0000-0000E01B0000}"/>
    <cellStyle name="Normal 52" xfId="7105" xr:uid="{00000000-0005-0000-0000-0000E11B0000}"/>
    <cellStyle name="Normal 53" xfId="7106" xr:uid="{00000000-0005-0000-0000-0000E21B0000}"/>
    <cellStyle name="Normal 54" xfId="7107" xr:uid="{00000000-0005-0000-0000-0000E31B0000}"/>
    <cellStyle name="Normal 55" xfId="7108" xr:uid="{00000000-0005-0000-0000-0000E41B0000}"/>
    <cellStyle name="Normal 56" xfId="7109" xr:uid="{00000000-0005-0000-0000-0000E51B0000}"/>
    <cellStyle name="Normal 57" xfId="7110" xr:uid="{00000000-0005-0000-0000-0000E61B0000}"/>
    <cellStyle name="Normal 58" xfId="7111" xr:uid="{00000000-0005-0000-0000-0000E71B0000}"/>
    <cellStyle name="Normal 59" xfId="7112" xr:uid="{00000000-0005-0000-0000-0000E81B0000}"/>
    <cellStyle name="Normal 6" xfId="7113" xr:uid="{00000000-0005-0000-0000-0000E91B0000}"/>
    <cellStyle name="Normal 6 10" xfId="7114" xr:uid="{00000000-0005-0000-0000-0000EA1B0000}"/>
    <cellStyle name="Normal 6 11" xfId="7115" xr:uid="{00000000-0005-0000-0000-0000EB1B0000}"/>
    <cellStyle name="Normal 6 11 2" xfId="7116" xr:uid="{00000000-0005-0000-0000-0000EC1B0000}"/>
    <cellStyle name="Normal 6 12" xfId="7117" xr:uid="{00000000-0005-0000-0000-0000ED1B0000}"/>
    <cellStyle name="Normal 6 12 2" xfId="7118" xr:uid="{00000000-0005-0000-0000-0000EE1B0000}"/>
    <cellStyle name="Normal 6 13" xfId="7119" xr:uid="{00000000-0005-0000-0000-0000EF1B0000}"/>
    <cellStyle name="Normal 6 14" xfId="7120" xr:uid="{00000000-0005-0000-0000-0000F01B0000}"/>
    <cellStyle name="Normal 6 14 2" xfId="9422" xr:uid="{00000000-0005-0000-0000-0000F11B0000}"/>
    <cellStyle name="Normal 6 15" xfId="7121" xr:uid="{00000000-0005-0000-0000-0000F21B0000}"/>
    <cellStyle name="Normal 6 2" xfId="7122" xr:uid="{00000000-0005-0000-0000-0000F31B0000}"/>
    <cellStyle name="Normal 6 2 10" xfId="7123" xr:uid="{00000000-0005-0000-0000-0000F41B0000}"/>
    <cellStyle name="Normal 6 2 11" xfId="7124" xr:uid="{00000000-0005-0000-0000-0000F51B0000}"/>
    <cellStyle name="Normal 6 2 2" xfId="7125" xr:uid="{00000000-0005-0000-0000-0000F61B0000}"/>
    <cellStyle name="Normal 6 2 2 2" xfId="7126" xr:uid="{00000000-0005-0000-0000-0000F71B0000}"/>
    <cellStyle name="Normal 6 2 2 2 2" xfId="7127" xr:uid="{00000000-0005-0000-0000-0000F81B0000}"/>
    <cellStyle name="Normal 6 2 2 2 2 2" xfId="7128" xr:uid="{00000000-0005-0000-0000-0000F91B0000}"/>
    <cellStyle name="Normal 6 2 2 2 3" xfId="7129" xr:uid="{00000000-0005-0000-0000-0000FA1B0000}"/>
    <cellStyle name="Normal 6 2 2 3" xfId="7130" xr:uid="{00000000-0005-0000-0000-0000FB1B0000}"/>
    <cellStyle name="Normal 6 2 2 3 2" xfId="7131" xr:uid="{00000000-0005-0000-0000-0000FC1B0000}"/>
    <cellStyle name="Normal 6 2 2 4" xfId="7132" xr:uid="{00000000-0005-0000-0000-0000FD1B0000}"/>
    <cellStyle name="Normal 6 2 2 4 2" xfId="7133" xr:uid="{00000000-0005-0000-0000-0000FE1B0000}"/>
    <cellStyle name="Normal 6 2 2 5" xfId="7134" xr:uid="{00000000-0005-0000-0000-0000FF1B0000}"/>
    <cellStyle name="Normal 6 2 2 5 2" xfId="7135" xr:uid="{00000000-0005-0000-0000-0000001C0000}"/>
    <cellStyle name="Normal 6 2 2 6" xfId="7136" xr:uid="{00000000-0005-0000-0000-0000011C0000}"/>
    <cellStyle name="Normal 6 2 2 6 2" xfId="7137" xr:uid="{00000000-0005-0000-0000-0000021C0000}"/>
    <cellStyle name="Normal 6 2 2 7" xfId="7138" xr:uid="{00000000-0005-0000-0000-0000031C0000}"/>
    <cellStyle name="Normal 6 2 2 7 2" xfId="7139" xr:uid="{00000000-0005-0000-0000-0000041C0000}"/>
    <cellStyle name="Normal 6 2 2 8" xfId="7140" xr:uid="{00000000-0005-0000-0000-0000051C0000}"/>
    <cellStyle name="Normal 6 2 2 8 2" xfId="7141" xr:uid="{00000000-0005-0000-0000-0000061C0000}"/>
    <cellStyle name="Normal 6 2 2 9" xfId="7142" xr:uid="{00000000-0005-0000-0000-0000071C0000}"/>
    <cellStyle name="Normal 6 2 2 9 2" xfId="7143" xr:uid="{00000000-0005-0000-0000-0000081C0000}"/>
    <cellStyle name="Normal 6 2 3" xfId="7144" xr:uid="{00000000-0005-0000-0000-0000091C0000}"/>
    <cellStyle name="Normal 6 2 4" xfId="7145" xr:uid="{00000000-0005-0000-0000-00000A1C0000}"/>
    <cellStyle name="Normal 6 2 4 2" xfId="7146" xr:uid="{00000000-0005-0000-0000-00000B1C0000}"/>
    <cellStyle name="Normal 6 2 5" xfId="7147" xr:uid="{00000000-0005-0000-0000-00000C1C0000}"/>
    <cellStyle name="Normal 6 2 6" xfId="7148" xr:uid="{00000000-0005-0000-0000-00000D1C0000}"/>
    <cellStyle name="Normal 6 2 7" xfId="7149" xr:uid="{00000000-0005-0000-0000-00000E1C0000}"/>
    <cellStyle name="Normal 6 2 8" xfId="7150" xr:uid="{00000000-0005-0000-0000-00000F1C0000}"/>
    <cellStyle name="Normal 6 2 9" xfId="7151" xr:uid="{00000000-0005-0000-0000-0000101C0000}"/>
    <cellStyle name="Normal 6 3" xfId="7152" xr:uid="{00000000-0005-0000-0000-0000111C0000}"/>
    <cellStyle name="Normal 6 3 2" xfId="7153" xr:uid="{00000000-0005-0000-0000-0000121C0000}"/>
    <cellStyle name="Normal 6 3 2 2" xfId="7154" xr:uid="{00000000-0005-0000-0000-0000131C0000}"/>
    <cellStyle name="Normal 6 3 2 3" xfId="7155" xr:uid="{00000000-0005-0000-0000-0000141C0000}"/>
    <cellStyle name="Normal 6 3 3" xfId="7156" xr:uid="{00000000-0005-0000-0000-0000151C0000}"/>
    <cellStyle name="Normal 6 3 4" xfId="7157" xr:uid="{00000000-0005-0000-0000-0000161C0000}"/>
    <cellStyle name="Normal 6 4" xfId="7158" xr:uid="{00000000-0005-0000-0000-0000171C0000}"/>
    <cellStyle name="Normal 6 4 2" xfId="7159" xr:uid="{00000000-0005-0000-0000-0000181C0000}"/>
    <cellStyle name="Normal 6 4 3" xfId="7160" xr:uid="{00000000-0005-0000-0000-0000191C0000}"/>
    <cellStyle name="Normal 6 5" xfId="7161" xr:uid="{00000000-0005-0000-0000-00001A1C0000}"/>
    <cellStyle name="Normal 6 5 2" xfId="7162" xr:uid="{00000000-0005-0000-0000-00001B1C0000}"/>
    <cellStyle name="Normal 6 5 3" xfId="7163" xr:uid="{00000000-0005-0000-0000-00001C1C0000}"/>
    <cellStyle name="Normal 6 6" xfId="7164" xr:uid="{00000000-0005-0000-0000-00001D1C0000}"/>
    <cellStyle name="Normal 6 7" xfId="7165" xr:uid="{00000000-0005-0000-0000-00001E1C0000}"/>
    <cellStyle name="Normal 6 8" xfId="7166" xr:uid="{00000000-0005-0000-0000-00001F1C0000}"/>
    <cellStyle name="Normal 6 9" xfId="7167" xr:uid="{00000000-0005-0000-0000-0000201C0000}"/>
    <cellStyle name="Normal 60" xfId="7168" xr:uid="{00000000-0005-0000-0000-0000211C0000}"/>
    <cellStyle name="Normal 61" xfId="7169" xr:uid="{00000000-0005-0000-0000-0000221C0000}"/>
    <cellStyle name="Normal 62" xfId="7170" xr:uid="{00000000-0005-0000-0000-0000231C0000}"/>
    <cellStyle name="Normal 63" xfId="7171" xr:uid="{00000000-0005-0000-0000-0000241C0000}"/>
    <cellStyle name="Normal 64" xfId="7172" xr:uid="{00000000-0005-0000-0000-0000251C0000}"/>
    <cellStyle name="Normal 65" xfId="7173" xr:uid="{00000000-0005-0000-0000-0000261C0000}"/>
    <cellStyle name="Normal 66" xfId="7174" xr:uid="{00000000-0005-0000-0000-0000271C0000}"/>
    <cellStyle name="Normal 66 2" xfId="7175" xr:uid="{00000000-0005-0000-0000-0000281C0000}"/>
    <cellStyle name="Normal 67" xfId="7176" xr:uid="{00000000-0005-0000-0000-0000291C0000}"/>
    <cellStyle name="Normal 67 2" xfId="7177" xr:uid="{00000000-0005-0000-0000-00002A1C0000}"/>
    <cellStyle name="Normal 68" xfId="7178" xr:uid="{00000000-0005-0000-0000-00002B1C0000}"/>
    <cellStyle name="Normal 68 2" xfId="7179" xr:uid="{00000000-0005-0000-0000-00002C1C0000}"/>
    <cellStyle name="Normal 69" xfId="7180" xr:uid="{00000000-0005-0000-0000-00002D1C0000}"/>
    <cellStyle name="Normal 7" xfId="7181" xr:uid="{00000000-0005-0000-0000-00002E1C0000}"/>
    <cellStyle name="Normal 7 10" xfId="7182" xr:uid="{00000000-0005-0000-0000-00002F1C0000}"/>
    <cellStyle name="Normal 7 11" xfId="7183" xr:uid="{00000000-0005-0000-0000-0000301C0000}"/>
    <cellStyle name="Normal 7 12" xfId="7184" xr:uid="{00000000-0005-0000-0000-0000311C0000}"/>
    <cellStyle name="Normal 7 13" xfId="7185" xr:uid="{00000000-0005-0000-0000-0000321C0000}"/>
    <cellStyle name="Normal 7 14" xfId="7186" xr:uid="{00000000-0005-0000-0000-0000331C0000}"/>
    <cellStyle name="Normal 7 15" xfId="7187" xr:uid="{00000000-0005-0000-0000-0000341C0000}"/>
    <cellStyle name="Normal 7 16" xfId="7188" xr:uid="{00000000-0005-0000-0000-0000351C0000}"/>
    <cellStyle name="Normal 7 17" xfId="7189" xr:uid="{00000000-0005-0000-0000-0000361C0000}"/>
    <cellStyle name="Normal 7 18" xfId="7190" xr:uid="{00000000-0005-0000-0000-0000371C0000}"/>
    <cellStyle name="Normal 7 19" xfId="7191" xr:uid="{00000000-0005-0000-0000-0000381C0000}"/>
    <cellStyle name="Normal 7 2" xfId="7192" xr:uid="{00000000-0005-0000-0000-0000391C0000}"/>
    <cellStyle name="Normal 7 2 2" xfId="7193" xr:uid="{00000000-0005-0000-0000-00003A1C0000}"/>
    <cellStyle name="Normal 7 2 2 2" xfId="7194" xr:uid="{00000000-0005-0000-0000-00003B1C0000}"/>
    <cellStyle name="Normal 7 2 2 2 2" xfId="7195" xr:uid="{00000000-0005-0000-0000-00003C1C0000}"/>
    <cellStyle name="Normal 7 2 2 3" xfId="7196" xr:uid="{00000000-0005-0000-0000-00003D1C0000}"/>
    <cellStyle name="Normal 7 2 2 4" xfId="7197" xr:uid="{00000000-0005-0000-0000-00003E1C0000}"/>
    <cellStyle name="Normal 7 2 2 5" xfId="7198" xr:uid="{00000000-0005-0000-0000-00003F1C0000}"/>
    <cellStyle name="Normal 7 2 3" xfId="7199" xr:uid="{00000000-0005-0000-0000-0000401C0000}"/>
    <cellStyle name="Normal 7 2 4" xfId="7200" xr:uid="{00000000-0005-0000-0000-0000411C0000}"/>
    <cellStyle name="Normal 7 2 5" xfId="7201" xr:uid="{00000000-0005-0000-0000-0000421C0000}"/>
    <cellStyle name="Normal 7 2 6" xfId="7202" xr:uid="{00000000-0005-0000-0000-0000431C0000}"/>
    <cellStyle name="Normal 7 2 7" xfId="7203" xr:uid="{00000000-0005-0000-0000-0000441C0000}"/>
    <cellStyle name="Normal 7 2 8" xfId="7204" xr:uid="{00000000-0005-0000-0000-0000451C0000}"/>
    <cellStyle name="Normal 7 2 9" xfId="7205" xr:uid="{00000000-0005-0000-0000-0000461C0000}"/>
    <cellStyle name="Normal 7 20" xfId="7206" xr:uid="{00000000-0005-0000-0000-0000471C0000}"/>
    <cellStyle name="Normal 7 21" xfId="7207" xr:uid="{00000000-0005-0000-0000-0000481C0000}"/>
    <cellStyle name="Normal 7 22" xfId="7208" xr:uid="{00000000-0005-0000-0000-0000491C0000}"/>
    <cellStyle name="Normal 7 23" xfId="7209" xr:uid="{00000000-0005-0000-0000-00004A1C0000}"/>
    <cellStyle name="Normal 7 24" xfId="7210" xr:uid="{00000000-0005-0000-0000-00004B1C0000}"/>
    <cellStyle name="Normal 7 25" xfId="7211" xr:uid="{00000000-0005-0000-0000-00004C1C0000}"/>
    <cellStyle name="Normal 7 26" xfId="7212" xr:uid="{00000000-0005-0000-0000-00004D1C0000}"/>
    <cellStyle name="Normal 7 27" xfId="7213" xr:uid="{00000000-0005-0000-0000-00004E1C0000}"/>
    <cellStyle name="Normal 7 28" xfId="7214" xr:uid="{00000000-0005-0000-0000-00004F1C0000}"/>
    <cellStyle name="Normal 7 29" xfId="7215" xr:uid="{00000000-0005-0000-0000-0000501C0000}"/>
    <cellStyle name="Normal 7 3" xfId="7216" xr:uid="{00000000-0005-0000-0000-0000511C0000}"/>
    <cellStyle name="Normal 7 3 2" xfId="7217" xr:uid="{00000000-0005-0000-0000-0000521C0000}"/>
    <cellStyle name="Normal 7 3 3" xfId="7218" xr:uid="{00000000-0005-0000-0000-0000531C0000}"/>
    <cellStyle name="Normal 7 3 4" xfId="7219" xr:uid="{00000000-0005-0000-0000-0000541C0000}"/>
    <cellStyle name="Normal 7 30" xfId="7220" xr:uid="{00000000-0005-0000-0000-0000551C0000}"/>
    <cellStyle name="Normal 7 31" xfId="7221" xr:uid="{00000000-0005-0000-0000-0000561C0000}"/>
    <cellStyle name="Normal 7 32" xfId="7222" xr:uid="{00000000-0005-0000-0000-0000571C0000}"/>
    <cellStyle name="Normal 7 33" xfId="7223" xr:uid="{00000000-0005-0000-0000-0000581C0000}"/>
    <cellStyle name="Normal 7 34" xfId="7224" xr:uid="{00000000-0005-0000-0000-0000591C0000}"/>
    <cellStyle name="Normal 7 35" xfId="7225" xr:uid="{00000000-0005-0000-0000-00005A1C0000}"/>
    <cellStyle name="Normal 7 36" xfId="7226" xr:uid="{00000000-0005-0000-0000-00005B1C0000}"/>
    <cellStyle name="Normal 7 37" xfId="7227" xr:uid="{00000000-0005-0000-0000-00005C1C0000}"/>
    <cellStyle name="Normal 7 38" xfId="7228" xr:uid="{00000000-0005-0000-0000-00005D1C0000}"/>
    <cellStyle name="Normal 7 39" xfId="7229" xr:uid="{00000000-0005-0000-0000-00005E1C0000}"/>
    <cellStyle name="Normal 7 4" xfId="7230" xr:uid="{00000000-0005-0000-0000-00005F1C0000}"/>
    <cellStyle name="Normal 7 4 2" xfId="7231" xr:uid="{00000000-0005-0000-0000-0000601C0000}"/>
    <cellStyle name="Normal 7 4 2 2" xfId="7232" xr:uid="{00000000-0005-0000-0000-0000611C0000}"/>
    <cellStyle name="Normal 7 4 3" xfId="7233" xr:uid="{00000000-0005-0000-0000-0000621C0000}"/>
    <cellStyle name="Normal 7 40" xfId="7234" xr:uid="{00000000-0005-0000-0000-0000631C0000}"/>
    <cellStyle name="Normal 7 41" xfId="7235" xr:uid="{00000000-0005-0000-0000-0000641C0000}"/>
    <cellStyle name="Normal 7 42" xfId="7236" xr:uid="{00000000-0005-0000-0000-0000651C0000}"/>
    <cellStyle name="Normal 7 43" xfId="7237" xr:uid="{00000000-0005-0000-0000-0000661C0000}"/>
    <cellStyle name="Normal 7 44" xfId="7238" xr:uid="{00000000-0005-0000-0000-0000671C0000}"/>
    <cellStyle name="Normal 7 45" xfId="7239" xr:uid="{00000000-0005-0000-0000-0000681C0000}"/>
    <cellStyle name="Normal 7 46" xfId="7240" xr:uid="{00000000-0005-0000-0000-0000691C0000}"/>
    <cellStyle name="Normal 7 47" xfId="7241" xr:uid="{00000000-0005-0000-0000-00006A1C0000}"/>
    <cellStyle name="Normal 7 48" xfId="7242" xr:uid="{00000000-0005-0000-0000-00006B1C0000}"/>
    <cellStyle name="Normal 7 49" xfId="7243" xr:uid="{00000000-0005-0000-0000-00006C1C0000}"/>
    <cellStyle name="Normal 7 5" xfId="7244" xr:uid="{00000000-0005-0000-0000-00006D1C0000}"/>
    <cellStyle name="Normal 7 5 2" xfId="7245" xr:uid="{00000000-0005-0000-0000-00006E1C0000}"/>
    <cellStyle name="Normal 7 5 2 2" xfId="7246" xr:uid="{00000000-0005-0000-0000-00006F1C0000}"/>
    <cellStyle name="Normal 7 5 3" xfId="7247" xr:uid="{00000000-0005-0000-0000-0000701C0000}"/>
    <cellStyle name="Normal 7 50" xfId="7248" xr:uid="{00000000-0005-0000-0000-0000711C0000}"/>
    <cellStyle name="Normal 7 51" xfId="7249" xr:uid="{00000000-0005-0000-0000-0000721C0000}"/>
    <cellStyle name="Normal 7 52" xfId="7250" xr:uid="{00000000-0005-0000-0000-0000731C0000}"/>
    <cellStyle name="Normal 7 53" xfId="7251" xr:uid="{00000000-0005-0000-0000-0000741C0000}"/>
    <cellStyle name="Normal 7 54" xfId="7252" xr:uid="{00000000-0005-0000-0000-0000751C0000}"/>
    <cellStyle name="Normal 7 55" xfId="7253" xr:uid="{00000000-0005-0000-0000-0000761C0000}"/>
    <cellStyle name="Normal 7 56" xfId="7254" xr:uid="{00000000-0005-0000-0000-0000771C0000}"/>
    <cellStyle name="Normal 7 57" xfId="7255" xr:uid="{00000000-0005-0000-0000-0000781C0000}"/>
    <cellStyle name="Normal 7 58" xfId="7256" xr:uid="{00000000-0005-0000-0000-0000791C0000}"/>
    <cellStyle name="Normal 7 59" xfId="7257" xr:uid="{00000000-0005-0000-0000-00007A1C0000}"/>
    <cellStyle name="Normal 7 6" xfId="7258" xr:uid="{00000000-0005-0000-0000-00007B1C0000}"/>
    <cellStyle name="Normal 7 6 2" xfId="7259" xr:uid="{00000000-0005-0000-0000-00007C1C0000}"/>
    <cellStyle name="Normal 7 6 2 2" xfId="7260" xr:uid="{00000000-0005-0000-0000-00007D1C0000}"/>
    <cellStyle name="Normal 7 6 3" xfId="7261" xr:uid="{00000000-0005-0000-0000-00007E1C0000}"/>
    <cellStyle name="Normal 7 60" xfId="7262" xr:uid="{00000000-0005-0000-0000-00007F1C0000}"/>
    <cellStyle name="Normal 7 61" xfId="7263" xr:uid="{00000000-0005-0000-0000-0000801C0000}"/>
    <cellStyle name="Normal 7 62" xfId="7264" xr:uid="{00000000-0005-0000-0000-0000811C0000}"/>
    <cellStyle name="Normal 7 63" xfId="7265" xr:uid="{00000000-0005-0000-0000-0000821C0000}"/>
    <cellStyle name="Normal 7 64" xfId="7266" xr:uid="{00000000-0005-0000-0000-0000831C0000}"/>
    <cellStyle name="Normal 7 65" xfId="7267" xr:uid="{00000000-0005-0000-0000-0000841C0000}"/>
    <cellStyle name="Normal 7 66" xfId="7268" xr:uid="{00000000-0005-0000-0000-0000851C0000}"/>
    <cellStyle name="Normal 7 67" xfId="7269" xr:uid="{00000000-0005-0000-0000-0000861C0000}"/>
    <cellStyle name="Normal 7 68" xfId="7270" xr:uid="{00000000-0005-0000-0000-0000871C0000}"/>
    <cellStyle name="Normal 7 69" xfId="7271" xr:uid="{00000000-0005-0000-0000-0000881C0000}"/>
    <cellStyle name="Normal 7 7" xfId="7272" xr:uid="{00000000-0005-0000-0000-0000891C0000}"/>
    <cellStyle name="Normal 7 7 2" xfId="7273" xr:uid="{00000000-0005-0000-0000-00008A1C0000}"/>
    <cellStyle name="Normal 7 7 2 2" xfId="7274" xr:uid="{00000000-0005-0000-0000-00008B1C0000}"/>
    <cellStyle name="Normal 7 7 3" xfId="7275" xr:uid="{00000000-0005-0000-0000-00008C1C0000}"/>
    <cellStyle name="Normal 7 70" xfId="7276" xr:uid="{00000000-0005-0000-0000-00008D1C0000}"/>
    <cellStyle name="Normal 7 71" xfId="7277" xr:uid="{00000000-0005-0000-0000-00008E1C0000}"/>
    <cellStyle name="Normal 7 72" xfId="7278" xr:uid="{00000000-0005-0000-0000-00008F1C0000}"/>
    <cellStyle name="Normal 7 73" xfId="7279" xr:uid="{00000000-0005-0000-0000-0000901C0000}"/>
    <cellStyle name="Normal 7 74" xfId="7280" xr:uid="{00000000-0005-0000-0000-0000911C0000}"/>
    <cellStyle name="Normal 7 75" xfId="7281" xr:uid="{00000000-0005-0000-0000-0000921C0000}"/>
    <cellStyle name="Normal 7 76" xfId="7282" xr:uid="{00000000-0005-0000-0000-0000931C0000}"/>
    <cellStyle name="Normal 7 77" xfId="7283" xr:uid="{00000000-0005-0000-0000-0000941C0000}"/>
    <cellStyle name="Normal 7 78" xfId="7284" xr:uid="{00000000-0005-0000-0000-0000951C0000}"/>
    <cellStyle name="Normal 7 79" xfId="7285" xr:uid="{00000000-0005-0000-0000-0000961C0000}"/>
    <cellStyle name="Normal 7 8" xfId="7286" xr:uid="{00000000-0005-0000-0000-0000971C0000}"/>
    <cellStyle name="Normal 7 8 2" xfId="7287" xr:uid="{00000000-0005-0000-0000-0000981C0000}"/>
    <cellStyle name="Normal 7 8 2 2" xfId="7288" xr:uid="{00000000-0005-0000-0000-0000991C0000}"/>
    <cellStyle name="Normal 7 8 3" xfId="7289" xr:uid="{00000000-0005-0000-0000-00009A1C0000}"/>
    <cellStyle name="Normal 7 80" xfId="7290" xr:uid="{00000000-0005-0000-0000-00009B1C0000}"/>
    <cellStyle name="Normal 7 81" xfId="7291" xr:uid="{00000000-0005-0000-0000-00009C1C0000}"/>
    <cellStyle name="Normal 7 82" xfId="7292" xr:uid="{00000000-0005-0000-0000-00009D1C0000}"/>
    <cellStyle name="Normal 7 83" xfId="7293" xr:uid="{00000000-0005-0000-0000-00009E1C0000}"/>
    <cellStyle name="Normal 7 84" xfId="7294" xr:uid="{00000000-0005-0000-0000-00009F1C0000}"/>
    <cellStyle name="Normal 7 85" xfId="7295" xr:uid="{00000000-0005-0000-0000-0000A01C0000}"/>
    <cellStyle name="Normal 7 86" xfId="7296" xr:uid="{00000000-0005-0000-0000-0000A11C0000}"/>
    <cellStyle name="Normal 7 87" xfId="7297" xr:uid="{00000000-0005-0000-0000-0000A21C0000}"/>
    <cellStyle name="Normal 7 88" xfId="7298" xr:uid="{00000000-0005-0000-0000-0000A31C0000}"/>
    <cellStyle name="Normal 7 89" xfId="7299" xr:uid="{00000000-0005-0000-0000-0000A41C0000}"/>
    <cellStyle name="Normal 7 9" xfId="7300" xr:uid="{00000000-0005-0000-0000-0000A51C0000}"/>
    <cellStyle name="Normal 7 9 2" xfId="7301" xr:uid="{00000000-0005-0000-0000-0000A61C0000}"/>
    <cellStyle name="Normal 7 9 3" xfId="7302" xr:uid="{00000000-0005-0000-0000-0000A71C0000}"/>
    <cellStyle name="Normal 7 9 4" xfId="7303" xr:uid="{00000000-0005-0000-0000-0000A81C0000}"/>
    <cellStyle name="Normal 7 90" xfId="7304" xr:uid="{00000000-0005-0000-0000-0000A91C0000}"/>
    <cellStyle name="Normal 7 91" xfId="7305" xr:uid="{00000000-0005-0000-0000-0000AA1C0000}"/>
    <cellStyle name="Normal 7 92" xfId="7306" xr:uid="{00000000-0005-0000-0000-0000AB1C0000}"/>
    <cellStyle name="Normal 7 93" xfId="7307" xr:uid="{00000000-0005-0000-0000-0000AC1C0000}"/>
    <cellStyle name="Normal 70" xfId="7308" xr:uid="{00000000-0005-0000-0000-0000AD1C0000}"/>
    <cellStyle name="Normal 71" xfId="7309" xr:uid="{00000000-0005-0000-0000-0000AE1C0000}"/>
    <cellStyle name="Normal 72" xfId="7310" xr:uid="{00000000-0005-0000-0000-0000AF1C0000}"/>
    <cellStyle name="Normal 73" xfId="7311" xr:uid="{00000000-0005-0000-0000-0000B01C0000}"/>
    <cellStyle name="Normal 74" xfId="7312" xr:uid="{00000000-0005-0000-0000-0000B11C0000}"/>
    <cellStyle name="Normal 75" xfId="7313" xr:uid="{00000000-0005-0000-0000-0000B21C0000}"/>
    <cellStyle name="Normal 76" xfId="7314" xr:uid="{00000000-0005-0000-0000-0000B31C0000}"/>
    <cellStyle name="Normal 77" xfId="7315" xr:uid="{00000000-0005-0000-0000-0000B41C0000}"/>
    <cellStyle name="Normal 78" xfId="7316" xr:uid="{00000000-0005-0000-0000-0000B51C0000}"/>
    <cellStyle name="Normal 79" xfId="7317" xr:uid="{00000000-0005-0000-0000-0000B61C0000}"/>
    <cellStyle name="Normal 8" xfId="7318" xr:uid="{00000000-0005-0000-0000-0000B71C0000}"/>
    <cellStyle name="Normal 8 10" xfId="7319" xr:uid="{00000000-0005-0000-0000-0000B81C0000}"/>
    <cellStyle name="Normal 8 11" xfId="7320" xr:uid="{00000000-0005-0000-0000-0000B91C0000}"/>
    <cellStyle name="Normal 8 12" xfId="7321" xr:uid="{00000000-0005-0000-0000-0000BA1C0000}"/>
    <cellStyle name="Normal 8 13" xfId="7322" xr:uid="{00000000-0005-0000-0000-0000BB1C0000}"/>
    <cellStyle name="Normal 8 14" xfId="7323" xr:uid="{00000000-0005-0000-0000-0000BC1C0000}"/>
    <cellStyle name="Normal 8 15" xfId="7324" xr:uid="{00000000-0005-0000-0000-0000BD1C0000}"/>
    <cellStyle name="Normal 8 16" xfId="7325" xr:uid="{00000000-0005-0000-0000-0000BE1C0000}"/>
    <cellStyle name="Normal 8 17" xfId="7326" xr:uid="{00000000-0005-0000-0000-0000BF1C0000}"/>
    <cellStyle name="Normal 8 18" xfId="7327" xr:uid="{00000000-0005-0000-0000-0000C01C0000}"/>
    <cellStyle name="Normal 8 19" xfId="7328" xr:uid="{00000000-0005-0000-0000-0000C11C0000}"/>
    <cellStyle name="Normal 8 2" xfId="7329" xr:uid="{00000000-0005-0000-0000-0000C21C0000}"/>
    <cellStyle name="Normal 8 2 2" xfId="7330" xr:uid="{00000000-0005-0000-0000-0000C31C0000}"/>
    <cellStyle name="Normal 8 2 2 2" xfId="7331" xr:uid="{00000000-0005-0000-0000-0000C41C0000}"/>
    <cellStyle name="Normal 8 2 2 2 2" xfId="7332" xr:uid="{00000000-0005-0000-0000-0000C51C0000}"/>
    <cellStyle name="Normal 8 2 2 2 2 2" xfId="7333" xr:uid="{00000000-0005-0000-0000-0000C61C0000}"/>
    <cellStyle name="Normal 8 2 2 2 3" xfId="7334" xr:uid="{00000000-0005-0000-0000-0000C71C0000}"/>
    <cellStyle name="Normal 8 2 2 3" xfId="7335" xr:uid="{00000000-0005-0000-0000-0000C81C0000}"/>
    <cellStyle name="Normal 8 2 2 3 2" xfId="7336" xr:uid="{00000000-0005-0000-0000-0000C91C0000}"/>
    <cellStyle name="Normal 8 2 2 3 2 2" xfId="7337" xr:uid="{00000000-0005-0000-0000-0000CA1C0000}"/>
    <cellStyle name="Normal 8 2 2 3 3" xfId="7338" xr:uid="{00000000-0005-0000-0000-0000CB1C0000}"/>
    <cellStyle name="Normal 8 2 2 4" xfId="7339" xr:uid="{00000000-0005-0000-0000-0000CC1C0000}"/>
    <cellStyle name="Normal 8 2 2 4 2" xfId="7340" xr:uid="{00000000-0005-0000-0000-0000CD1C0000}"/>
    <cellStyle name="Normal 8 2 2 4 2 2" xfId="7341" xr:uid="{00000000-0005-0000-0000-0000CE1C0000}"/>
    <cellStyle name="Normal 8 2 2 4 3" xfId="7342" xr:uid="{00000000-0005-0000-0000-0000CF1C0000}"/>
    <cellStyle name="Normal 8 2 2 5" xfId="7343" xr:uid="{00000000-0005-0000-0000-0000D01C0000}"/>
    <cellStyle name="Normal 8 2 2 5 2" xfId="7344" xr:uid="{00000000-0005-0000-0000-0000D11C0000}"/>
    <cellStyle name="Normal 8 2 2 5 2 2" xfId="7345" xr:uid="{00000000-0005-0000-0000-0000D21C0000}"/>
    <cellStyle name="Normal 8 2 2 5 3" xfId="7346" xr:uid="{00000000-0005-0000-0000-0000D31C0000}"/>
    <cellStyle name="Normal 8 2 2 6" xfId="7347" xr:uid="{00000000-0005-0000-0000-0000D41C0000}"/>
    <cellStyle name="Normal 8 2 2 6 2" xfId="7348" xr:uid="{00000000-0005-0000-0000-0000D51C0000}"/>
    <cellStyle name="Normal 8 2 2 7" xfId="7349" xr:uid="{00000000-0005-0000-0000-0000D61C0000}"/>
    <cellStyle name="Normal 8 2 3" xfId="7350" xr:uid="{00000000-0005-0000-0000-0000D71C0000}"/>
    <cellStyle name="Normal 8 2 3 2" xfId="7351" xr:uid="{00000000-0005-0000-0000-0000D81C0000}"/>
    <cellStyle name="Normal 8 2 3 2 2" xfId="7352" xr:uid="{00000000-0005-0000-0000-0000D91C0000}"/>
    <cellStyle name="Normal 8 2 3 3" xfId="7353" xr:uid="{00000000-0005-0000-0000-0000DA1C0000}"/>
    <cellStyle name="Normal 8 2 4" xfId="7354" xr:uid="{00000000-0005-0000-0000-0000DB1C0000}"/>
    <cellStyle name="Normal 8 2 4 2" xfId="7355" xr:uid="{00000000-0005-0000-0000-0000DC1C0000}"/>
    <cellStyle name="Normal 8 2 4 2 2" xfId="7356" xr:uid="{00000000-0005-0000-0000-0000DD1C0000}"/>
    <cellStyle name="Normal 8 2 4 3" xfId="7357" xr:uid="{00000000-0005-0000-0000-0000DE1C0000}"/>
    <cellStyle name="Normal 8 2 5" xfId="7358" xr:uid="{00000000-0005-0000-0000-0000DF1C0000}"/>
    <cellStyle name="Normal 8 2 5 2" xfId="7359" xr:uid="{00000000-0005-0000-0000-0000E01C0000}"/>
    <cellStyle name="Normal 8 2 5 2 2" xfId="7360" xr:uid="{00000000-0005-0000-0000-0000E11C0000}"/>
    <cellStyle name="Normal 8 2 5 3" xfId="7361" xr:uid="{00000000-0005-0000-0000-0000E21C0000}"/>
    <cellStyle name="Normal 8 2 6" xfId="7362" xr:uid="{00000000-0005-0000-0000-0000E31C0000}"/>
    <cellStyle name="Normal 8 2 6 2" xfId="7363" xr:uid="{00000000-0005-0000-0000-0000E41C0000}"/>
    <cellStyle name="Normal 8 2 7" xfId="7364" xr:uid="{00000000-0005-0000-0000-0000E51C0000}"/>
    <cellStyle name="Normal 8 20" xfId="7365" xr:uid="{00000000-0005-0000-0000-0000E61C0000}"/>
    <cellStyle name="Normal 8 21" xfId="7366" xr:uid="{00000000-0005-0000-0000-0000E71C0000}"/>
    <cellStyle name="Normal 8 22" xfId="7367" xr:uid="{00000000-0005-0000-0000-0000E81C0000}"/>
    <cellStyle name="Normal 8 23" xfId="7368" xr:uid="{00000000-0005-0000-0000-0000E91C0000}"/>
    <cellStyle name="Normal 8 24" xfId="7369" xr:uid="{00000000-0005-0000-0000-0000EA1C0000}"/>
    <cellStyle name="Normal 8 25" xfId="7370" xr:uid="{00000000-0005-0000-0000-0000EB1C0000}"/>
    <cellStyle name="Normal 8 26" xfId="7371" xr:uid="{00000000-0005-0000-0000-0000EC1C0000}"/>
    <cellStyle name="Normal 8 27" xfId="7372" xr:uid="{00000000-0005-0000-0000-0000ED1C0000}"/>
    <cellStyle name="Normal 8 28" xfId="7373" xr:uid="{00000000-0005-0000-0000-0000EE1C0000}"/>
    <cellStyle name="Normal 8 29" xfId="7374" xr:uid="{00000000-0005-0000-0000-0000EF1C0000}"/>
    <cellStyle name="Normal 8 3" xfId="7375" xr:uid="{00000000-0005-0000-0000-0000F01C0000}"/>
    <cellStyle name="Normal 8 3 2" xfId="7376" xr:uid="{00000000-0005-0000-0000-0000F11C0000}"/>
    <cellStyle name="Normal 8 3 2 2" xfId="7377" xr:uid="{00000000-0005-0000-0000-0000F21C0000}"/>
    <cellStyle name="Normal 8 3 3" xfId="7378" xr:uid="{00000000-0005-0000-0000-0000F31C0000}"/>
    <cellStyle name="Normal 8 30" xfId="7379" xr:uid="{00000000-0005-0000-0000-0000F41C0000}"/>
    <cellStyle name="Normal 8 31" xfId="7380" xr:uid="{00000000-0005-0000-0000-0000F51C0000}"/>
    <cellStyle name="Normal 8 32" xfId="7381" xr:uid="{00000000-0005-0000-0000-0000F61C0000}"/>
    <cellStyle name="Normal 8 33" xfId="7382" xr:uid="{00000000-0005-0000-0000-0000F71C0000}"/>
    <cellStyle name="Normal 8 34" xfId="7383" xr:uid="{00000000-0005-0000-0000-0000F81C0000}"/>
    <cellStyle name="Normal 8 35" xfId="7384" xr:uid="{00000000-0005-0000-0000-0000F91C0000}"/>
    <cellStyle name="Normal 8 36" xfId="7385" xr:uid="{00000000-0005-0000-0000-0000FA1C0000}"/>
    <cellStyle name="Normal 8 37" xfId="7386" xr:uid="{00000000-0005-0000-0000-0000FB1C0000}"/>
    <cellStyle name="Normal 8 38" xfId="7387" xr:uid="{00000000-0005-0000-0000-0000FC1C0000}"/>
    <cellStyle name="Normal 8 39" xfId="7388" xr:uid="{00000000-0005-0000-0000-0000FD1C0000}"/>
    <cellStyle name="Normal 8 39 2" xfId="7389" xr:uid="{00000000-0005-0000-0000-0000FE1C0000}"/>
    <cellStyle name="Normal 8 4" xfId="7390" xr:uid="{00000000-0005-0000-0000-0000FF1C0000}"/>
    <cellStyle name="Normal 8 4 2" xfId="7391" xr:uid="{00000000-0005-0000-0000-0000001D0000}"/>
    <cellStyle name="Normal 8 4 2 2" xfId="7392" xr:uid="{00000000-0005-0000-0000-0000011D0000}"/>
    <cellStyle name="Normal 8 4 3" xfId="7393" xr:uid="{00000000-0005-0000-0000-0000021D0000}"/>
    <cellStyle name="Normal 8 40" xfId="7394" xr:uid="{00000000-0005-0000-0000-0000031D0000}"/>
    <cellStyle name="Normal 8 40 2" xfId="7395" xr:uid="{00000000-0005-0000-0000-0000041D0000}"/>
    <cellStyle name="Normal 8 41" xfId="7396" xr:uid="{00000000-0005-0000-0000-0000051D0000}"/>
    <cellStyle name="Normal 8 42" xfId="7397" xr:uid="{00000000-0005-0000-0000-0000061D0000}"/>
    <cellStyle name="Normal 8 43" xfId="7398" xr:uid="{00000000-0005-0000-0000-0000071D0000}"/>
    <cellStyle name="Normal 8 44" xfId="7399" xr:uid="{00000000-0005-0000-0000-0000081D0000}"/>
    <cellStyle name="Normal 8 45" xfId="7400" xr:uid="{00000000-0005-0000-0000-0000091D0000}"/>
    <cellStyle name="Normal 8 46" xfId="7401" xr:uid="{00000000-0005-0000-0000-00000A1D0000}"/>
    <cellStyle name="Normal 8 47" xfId="7402" xr:uid="{00000000-0005-0000-0000-00000B1D0000}"/>
    <cellStyle name="Normal 8 48" xfId="7403" xr:uid="{00000000-0005-0000-0000-00000C1D0000}"/>
    <cellStyle name="Normal 8 49" xfId="7404" xr:uid="{00000000-0005-0000-0000-00000D1D0000}"/>
    <cellStyle name="Normal 8 5" xfId="7405" xr:uid="{00000000-0005-0000-0000-00000E1D0000}"/>
    <cellStyle name="Normal 8 5 2" xfId="7406" xr:uid="{00000000-0005-0000-0000-00000F1D0000}"/>
    <cellStyle name="Normal 8 5 2 2" xfId="7407" xr:uid="{00000000-0005-0000-0000-0000101D0000}"/>
    <cellStyle name="Normal 8 5 3" xfId="7408" xr:uid="{00000000-0005-0000-0000-0000111D0000}"/>
    <cellStyle name="Normal 8 50" xfId="7409" xr:uid="{00000000-0005-0000-0000-0000121D0000}"/>
    <cellStyle name="Normal 8 51" xfId="7410" xr:uid="{00000000-0005-0000-0000-0000131D0000}"/>
    <cellStyle name="Normal 8 52" xfId="7411" xr:uid="{00000000-0005-0000-0000-0000141D0000}"/>
    <cellStyle name="Normal 8 53" xfId="7412" xr:uid="{00000000-0005-0000-0000-0000151D0000}"/>
    <cellStyle name="Normal 8 54" xfId="7413" xr:uid="{00000000-0005-0000-0000-0000161D0000}"/>
    <cellStyle name="Normal 8 55" xfId="7414" xr:uid="{00000000-0005-0000-0000-0000171D0000}"/>
    <cellStyle name="Normal 8 56" xfId="7415" xr:uid="{00000000-0005-0000-0000-0000181D0000}"/>
    <cellStyle name="Normal 8 57" xfId="7416" xr:uid="{00000000-0005-0000-0000-0000191D0000}"/>
    <cellStyle name="Normal 8 58" xfId="7417" xr:uid="{00000000-0005-0000-0000-00001A1D0000}"/>
    <cellStyle name="Normal 8 59" xfId="7418" xr:uid="{00000000-0005-0000-0000-00001B1D0000}"/>
    <cellStyle name="Normal 8 6" xfId="7419" xr:uid="{00000000-0005-0000-0000-00001C1D0000}"/>
    <cellStyle name="Normal 8 6 2" xfId="7420" xr:uid="{00000000-0005-0000-0000-00001D1D0000}"/>
    <cellStyle name="Normal 8 6 2 2" xfId="7421" xr:uid="{00000000-0005-0000-0000-00001E1D0000}"/>
    <cellStyle name="Normal 8 6 3" xfId="7422" xr:uid="{00000000-0005-0000-0000-00001F1D0000}"/>
    <cellStyle name="Normal 8 60" xfId="7423" xr:uid="{00000000-0005-0000-0000-0000201D0000}"/>
    <cellStyle name="Normal 8 61" xfId="7424" xr:uid="{00000000-0005-0000-0000-0000211D0000}"/>
    <cellStyle name="Normal 8 62" xfId="7425" xr:uid="{00000000-0005-0000-0000-0000221D0000}"/>
    <cellStyle name="Normal 8 63" xfId="7426" xr:uid="{00000000-0005-0000-0000-0000231D0000}"/>
    <cellStyle name="Normal 8 64" xfId="7427" xr:uid="{00000000-0005-0000-0000-0000241D0000}"/>
    <cellStyle name="Normal 8 65" xfId="7428" xr:uid="{00000000-0005-0000-0000-0000251D0000}"/>
    <cellStyle name="Normal 8 66" xfId="7429" xr:uid="{00000000-0005-0000-0000-0000261D0000}"/>
    <cellStyle name="Normal 8 67" xfId="7430" xr:uid="{00000000-0005-0000-0000-0000271D0000}"/>
    <cellStyle name="Normal 8 68" xfId="7431" xr:uid="{00000000-0005-0000-0000-0000281D0000}"/>
    <cellStyle name="Normal 8 69" xfId="7432" xr:uid="{00000000-0005-0000-0000-0000291D0000}"/>
    <cellStyle name="Normal 8 7" xfId="7433" xr:uid="{00000000-0005-0000-0000-00002A1D0000}"/>
    <cellStyle name="Normal 8 7 2" xfId="7434" xr:uid="{00000000-0005-0000-0000-00002B1D0000}"/>
    <cellStyle name="Normal 8 70" xfId="7435" xr:uid="{00000000-0005-0000-0000-00002C1D0000}"/>
    <cellStyle name="Normal 8 71" xfId="7436" xr:uid="{00000000-0005-0000-0000-00002D1D0000}"/>
    <cellStyle name="Normal 8 72" xfId="7437" xr:uid="{00000000-0005-0000-0000-00002E1D0000}"/>
    <cellStyle name="Normal 8 73" xfId="7438" xr:uid="{00000000-0005-0000-0000-00002F1D0000}"/>
    <cellStyle name="Normal 8 74" xfId="7439" xr:uid="{00000000-0005-0000-0000-0000301D0000}"/>
    <cellStyle name="Normal 8 75" xfId="7440" xr:uid="{00000000-0005-0000-0000-0000311D0000}"/>
    <cellStyle name="Normal 8 76" xfId="7441" xr:uid="{00000000-0005-0000-0000-0000321D0000}"/>
    <cellStyle name="Normal 8 77" xfId="7442" xr:uid="{00000000-0005-0000-0000-0000331D0000}"/>
    <cellStyle name="Normal 8 78" xfId="7443" xr:uid="{00000000-0005-0000-0000-0000341D0000}"/>
    <cellStyle name="Normal 8 79" xfId="7444" xr:uid="{00000000-0005-0000-0000-0000351D0000}"/>
    <cellStyle name="Normal 8 8" xfId="7445" xr:uid="{00000000-0005-0000-0000-0000361D0000}"/>
    <cellStyle name="Normal 8 80" xfId="7446" xr:uid="{00000000-0005-0000-0000-0000371D0000}"/>
    <cellStyle name="Normal 8 81" xfId="7447" xr:uid="{00000000-0005-0000-0000-0000381D0000}"/>
    <cellStyle name="Normal 8 82" xfId="7448" xr:uid="{00000000-0005-0000-0000-0000391D0000}"/>
    <cellStyle name="Normal 8 83" xfId="7449" xr:uid="{00000000-0005-0000-0000-00003A1D0000}"/>
    <cellStyle name="Normal 8 84" xfId="7450" xr:uid="{00000000-0005-0000-0000-00003B1D0000}"/>
    <cellStyle name="Normal 8 85" xfId="7451" xr:uid="{00000000-0005-0000-0000-00003C1D0000}"/>
    <cellStyle name="Normal 8 86" xfId="7452" xr:uid="{00000000-0005-0000-0000-00003D1D0000}"/>
    <cellStyle name="Normal 8 87" xfId="7453" xr:uid="{00000000-0005-0000-0000-00003E1D0000}"/>
    <cellStyle name="Normal 8 88" xfId="7454" xr:uid="{00000000-0005-0000-0000-00003F1D0000}"/>
    <cellStyle name="Normal 8 89" xfId="7455" xr:uid="{00000000-0005-0000-0000-0000401D0000}"/>
    <cellStyle name="Normal 8 9" xfId="7456" xr:uid="{00000000-0005-0000-0000-0000411D0000}"/>
    <cellStyle name="Normal 8 90" xfId="7457" xr:uid="{00000000-0005-0000-0000-0000421D0000}"/>
    <cellStyle name="Normal 8 91" xfId="7458" xr:uid="{00000000-0005-0000-0000-0000431D0000}"/>
    <cellStyle name="Normal 8 92" xfId="7459" xr:uid="{00000000-0005-0000-0000-0000441D0000}"/>
    <cellStyle name="Normal 8 92 2" xfId="7460" xr:uid="{00000000-0005-0000-0000-0000451D0000}"/>
    <cellStyle name="Normal 8 93" xfId="7461" xr:uid="{00000000-0005-0000-0000-0000461D0000}"/>
    <cellStyle name="Normal 8 94" xfId="7462" xr:uid="{00000000-0005-0000-0000-0000471D0000}"/>
    <cellStyle name="Normal 80" xfId="7463" xr:uid="{00000000-0005-0000-0000-0000481D0000}"/>
    <cellStyle name="Normal 81" xfId="7464" xr:uid="{00000000-0005-0000-0000-0000491D0000}"/>
    <cellStyle name="Normal 82" xfId="7465" xr:uid="{00000000-0005-0000-0000-00004A1D0000}"/>
    <cellStyle name="Normal 83" xfId="7466" xr:uid="{00000000-0005-0000-0000-00004B1D0000}"/>
    <cellStyle name="Normal 84" xfId="7467" xr:uid="{00000000-0005-0000-0000-00004C1D0000}"/>
    <cellStyle name="Normal 85" xfId="7468" xr:uid="{00000000-0005-0000-0000-00004D1D0000}"/>
    <cellStyle name="Normal 86" xfId="7469" xr:uid="{00000000-0005-0000-0000-00004E1D0000}"/>
    <cellStyle name="Normal 87" xfId="7470" xr:uid="{00000000-0005-0000-0000-00004F1D0000}"/>
    <cellStyle name="Normal 88" xfId="7471" xr:uid="{00000000-0005-0000-0000-0000501D0000}"/>
    <cellStyle name="Normal 89" xfId="7472" xr:uid="{00000000-0005-0000-0000-0000511D0000}"/>
    <cellStyle name="Normal 89 2" xfId="7473" xr:uid="{00000000-0005-0000-0000-0000521D0000}"/>
    <cellStyle name="Normal 9" xfId="7474" xr:uid="{00000000-0005-0000-0000-0000531D0000}"/>
    <cellStyle name="Normal 9 10" xfId="7475" xr:uid="{00000000-0005-0000-0000-0000541D0000}"/>
    <cellStyle name="Normal 9 11" xfId="7476" xr:uid="{00000000-0005-0000-0000-0000551D0000}"/>
    <cellStyle name="Normal 9 12" xfId="7477" xr:uid="{00000000-0005-0000-0000-0000561D0000}"/>
    <cellStyle name="Normal 9 13" xfId="7478" xr:uid="{00000000-0005-0000-0000-0000571D0000}"/>
    <cellStyle name="Normal 9 14" xfId="7479" xr:uid="{00000000-0005-0000-0000-0000581D0000}"/>
    <cellStyle name="Normal 9 15" xfId="7480" xr:uid="{00000000-0005-0000-0000-0000591D0000}"/>
    <cellStyle name="Normal 9 16" xfId="7481" xr:uid="{00000000-0005-0000-0000-00005A1D0000}"/>
    <cellStyle name="Normal 9 17" xfId="7482" xr:uid="{00000000-0005-0000-0000-00005B1D0000}"/>
    <cellStyle name="Normal 9 18" xfId="7483" xr:uid="{00000000-0005-0000-0000-00005C1D0000}"/>
    <cellStyle name="Normal 9 19" xfId="7484" xr:uid="{00000000-0005-0000-0000-00005D1D0000}"/>
    <cellStyle name="Normal 9 2" xfId="7485" xr:uid="{00000000-0005-0000-0000-00005E1D0000}"/>
    <cellStyle name="Normal 9 2 2" xfId="7486" xr:uid="{00000000-0005-0000-0000-00005F1D0000}"/>
    <cellStyle name="Normal 9 20" xfId="7487" xr:uid="{00000000-0005-0000-0000-0000601D0000}"/>
    <cellStyle name="Normal 9 21" xfId="7488" xr:uid="{00000000-0005-0000-0000-0000611D0000}"/>
    <cellStyle name="Normal 9 22" xfId="7489" xr:uid="{00000000-0005-0000-0000-0000621D0000}"/>
    <cellStyle name="Normal 9 23" xfId="7490" xr:uid="{00000000-0005-0000-0000-0000631D0000}"/>
    <cellStyle name="Normal 9 24" xfId="7491" xr:uid="{00000000-0005-0000-0000-0000641D0000}"/>
    <cellStyle name="Normal 9 25" xfId="7492" xr:uid="{00000000-0005-0000-0000-0000651D0000}"/>
    <cellStyle name="Normal 9 26" xfId="7493" xr:uid="{00000000-0005-0000-0000-0000661D0000}"/>
    <cellStyle name="Normal 9 27" xfId="7494" xr:uid="{00000000-0005-0000-0000-0000671D0000}"/>
    <cellStyle name="Normal 9 28" xfId="7495" xr:uid="{00000000-0005-0000-0000-0000681D0000}"/>
    <cellStyle name="Normal 9 29" xfId="7496" xr:uid="{00000000-0005-0000-0000-0000691D0000}"/>
    <cellStyle name="Normal 9 3" xfId="7497" xr:uid="{00000000-0005-0000-0000-00006A1D0000}"/>
    <cellStyle name="Normal 9 30" xfId="7498" xr:uid="{00000000-0005-0000-0000-00006B1D0000}"/>
    <cellStyle name="Normal 9 31" xfId="7499" xr:uid="{00000000-0005-0000-0000-00006C1D0000}"/>
    <cellStyle name="Normal 9 32" xfId="7500" xr:uid="{00000000-0005-0000-0000-00006D1D0000}"/>
    <cellStyle name="Normal 9 33" xfId="7501" xr:uid="{00000000-0005-0000-0000-00006E1D0000}"/>
    <cellStyle name="Normal 9 34" xfId="7502" xr:uid="{00000000-0005-0000-0000-00006F1D0000}"/>
    <cellStyle name="Normal 9 35" xfId="7503" xr:uid="{00000000-0005-0000-0000-0000701D0000}"/>
    <cellStyle name="Normal 9 36" xfId="7504" xr:uid="{00000000-0005-0000-0000-0000711D0000}"/>
    <cellStyle name="Normal 9 37" xfId="7505" xr:uid="{00000000-0005-0000-0000-0000721D0000}"/>
    <cellStyle name="Normal 9 38" xfId="7506" xr:uid="{00000000-0005-0000-0000-0000731D0000}"/>
    <cellStyle name="Normal 9 39" xfId="7507" xr:uid="{00000000-0005-0000-0000-0000741D0000}"/>
    <cellStyle name="Normal 9 4" xfId="7508" xr:uid="{00000000-0005-0000-0000-0000751D0000}"/>
    <cellStyle name="Normal 9 40" xfId="7509" xr:uid="{00000000-0005-0000-0000-0000761D0000}"/>
    <cellStyle name="Normal 9 41" xfId="7510" xr:uid="{00000000-0005-0000-0000-0000771D0000}"/>
    <cellStyle name="Normal 9 42" xfId="7511" xr:uid="{00000000-0005-0000-0000-0000781D0000}"/>
    <cellStyle name="Normal 9 43" xfId="7512" xr:uid="{00000000-0005-0000-0000-0000791D0000}"/>
    <cellStyle name="Normal 9 44" xfId="7513" xr:uid="{00000000-0005-0000-0000-00007A1D0000}"/>
    <cellStyle name="Normal 9 45" xfId="7514" xr:uid="{00000000-0005-0000-0000-00007B1D0000}"/>
    <cellStyle name="Normal 9 46" xfId="7515" xr:uid="{00000000-0005-0000-0000-00007C1D0000}"/>
    <cellStyle name="Normal 9 47" xfId="7516" xr:uid="{00000000-0005-0000-0000-00007D1D0000}"/>
    <cellStyle name="Normal 9 48" xfId="7517" xr:uid="{00000000-0005-0000-0000-00007E1D0000}"/>
    <cellStyle name="Normal 9 49" xfId="7518" xr:uid="{00000000-0005-0000-0000-00007F1D0000}"/>
    <cellStyle name="Normal 9 5" xfId="7519" xr:uid="{00000000-0005-0000-0000-0000801D0000}"/>
    <cellStyle name="Normal 9 50" xfId="7520" xr:uid="{00000000-0005-0000-0000-0000811D0000}"/>
    <cellStyle name="Normal 9 51" xfId="7521" xr:uid="{00000000-0005-0000-0000-0000821D0000}"/>
    <cellStyle name="Normal 9 52" xfId="7522" xr:uid="{00000000-0005-0000-0000-0000831D0000}"/>
    <cellStyle name="Normal 9 53" xfId="7523" xr:uid="{00000000-0005-0000-0000-0000841D0000}"/>
    <cellStyle name="Normal 9 54" xfId="7524" xr:uid="{00000000-0005-0000-0000-0000851D0000}"/>
    <cellStyle name="Normal 9 55" xfId="7525" xr:uid="{00000000-0005-0000-0000-0000861D0000}"/>
    <cellStyle name="Normal 9 56" xfId="7526" xr:uid="{00000000-0005-0000-0000-0000871D0000}"/>
    <cellStyle name="Normal 9 57" xfId="7527" xr:uid="{00000000-0005-0000-0000-0000881D0000}"/>
    <cellStyle name="Normal 9 58" xfId="7528" xr:uid="{00000000-0005-0000-0000-0000891D0000}"/>
    <cellStyle name="Normal 9 59" xfId="7529" xr:uid="{00000000-0005-0000-0000-00008A1D0000}"/>
    <cellStyle name="Normal 9 6" xfId="7530" xr:uid="{00000000-0005-0000-0000-00008B1D0000}"/>
    <cellStyle name="Normal 9 60" xfId="7531" xr:uid="{00000000-0005-0000-0000-00008C1D0000}"/>
    <cellStyle name="Normal 9 61" xfId="7532" xr:uid="{00000000-0005-0000-0000-00008D1D0000}"/>
    <cellStyle name="Normal 9 62" xfId="7533" xr:uid="{00000000-0005-0000-0000-00008E1D0000}"/>
    <cellStyle name="Normal 9 63" xfId="7534" xr:uid="{00000000-0005-0000-0000-00008F1D0000}"/>
    <cellStyle name="Normal 9 64" xfId="7535" xr:uid="{00000000-0005-0000-0000-0000901D0000}"/>
    <cellStyle name="Normal 9 65" xfId="7536" xr:uid="{00000000-0005-0000-0000-0000911D0000}"/>
    <cellStyle name="Normal 9 66" xfId="7537" xr:uid="{00000000-0005-0000-0000-0000921D0000}"/>
    <cellStyle name="Normal 9 67" xfId="7538" xr:uid="{00000000-0005-0000-0000-0000931D0000}"/>
    <cellStyle name="Normal 9 68" xfId="7539" xr:uid="{00000000-0005-0000-0000-0000941D0000}"/>
    <cellStyle name="Normal 9 69" xfId="7540" xr:uid="{00000000-0005-0000-0000-0000951D0000}"/>
    <cellStyle name="Normal 9 7" xfId="7541" xr:uid="{00000000-0005-0000-0000-0000961D0000}"/>
    <cellStyle name="Normal 9 70" xfId="7542" xr:uid="{00000000-0005-0000-0000-0000971D0000}"/>
    <cellStyle name="Normal 9 71" xfId="7543" xr:uid="{00000000-0005-0000-0000-0000981D0000}"/>
    <cellStyle name="Normal 9 72" xfId="7544" xr:uid="{00000000-0005-0000-0000-0000991D0000}"/>
    <cellStyle name="Normal 9 73" xfId="7545" xr:uid="{00000000-0005-0000-0000-00009A1D0000}"/>
    <cellStyle name="Normal 9 74" xfId="7546" xr:uid="{00000000-0005-0000-0000-00009B1D0000}"/>
    <cellStyle name="Normal 9 75" xfId="7547" xr:uid="{00000000-0005-0000-0000-00009C1D0000}"/>
    <cellStyle name="Normal 9 76" xfId="7548" xr:uid="{00000000-0005-0000-0000-00009D1D0000}"/>
    <cellStyle name="Normal 9 77" xfId="7549" xr:uid="{00000000-0005-0000-0000-00009E1D0000}"/>
    <cellStyle name="Normal 9 78" xfId="7550" xr:uid="{00000000-0005-0000-0000-00009F1D0000}"/>
    <cellStyle name="Normal 9 79" xfId="7551" xr:uid="{00000000-0005-0000-0000-0000A01D0000}"/>
    <cellStyle name="Normal 9 8" xfId="7552" xr:uid="{00000000-0005-0000-0000-0000A11D0000}"/>
    <cellStyle name="Normal 9 80" xfId="7553" xr:uid="{00000000-0005-0000-0000-0000A21D0000}"/>
    <cellStyle name="Normal 9 81" xfId="7554" xr:uid="{00000000-0005-0000-0000-0000A31D0000}"/>
    <cellStyle name="Normal 9 82" xfId="7555" xr:uid="{00000000-0005-0000-0000-0000A41D0000}"/>
    <cellStyle name="Normal 9 83" xfId="7556" xr:uid="{00000000-0005-0000-0000-0000A51D0000}"/>
    <cellStyle name="Normal 9 84" xfId="7557" xr:uid="{00000000-0005-0000-0000-0000A61D0000}"/>
    <cellStyle name="Normal 9 85" xfId="7558" xr:uid="{00000000-0005-0000-0000-0000A71D0000}"/>
    <cellStyle name="Normal 9 86" xfId="7559" xr:uid="{00000000-0005-0000-0000-0000A81D0000}"/>
    <cellStyle name="Normal 9 87" xfId="7560" xr:uid="{00000000-0005-0000-0000-0000A91D0000}"/>
    <cellStyle name="Normal 9 88" xfId="7561" xr:uid="{00000000-0005-0000-0000-0000AA1D0000}"/>
    <cellStyle name="Normal 9 89" xfId="7562" xr:uid="{00000000-0005-0000-0000-0000AB1D0000}"/>
    <cellStyle name="Normal 9 9" xfId="7563" xr:uid="{00000000-0005-0000-0000-0000AC1D0000}"/>
    <cellStyle name="Normal 9 90" xfId="7564" xr:uid="{00000000-0005-0000-0000-0000AD1D0000}"/>
    <cellStyle name="Normal 9 91" xfId="7565" xr:uid="{00000000-0005-0000-0000-0000AE1D0000}"/>
    <cellStyle name="Normal 90" xfId="7566" xr:uid="{00000000-0005-0000-0000-0000AF1D0000}"/>
    <cellStyle name="Normal 90 2" xfId="7567" xr:uid="{00000000-0005-0000-0000-0000B01D0000}"/>
    <cellStyle name="Normal 90 3" xfId="7568" xr:uid="{00000000-0005-0000-0000-0000B11D0000}"/>
    <cellStyle name="Normal 91" xfId="7569" xr:uid="{00000000-0005-0000-0000-0000B21D0000}"/>
    <cellStyle name="Normal 91 2" xfId="7570" xr:uid="{00000000-0005-0000-0000-0000B31D0000}"/>
    <cellStyle name="Normal 92" xfId="7571" xr:uid="{00000000-0005-0000-0000-0000B41D0000}"/>
    <cellStyle name="Normal 93" xfId="7572" xr:uid="{00000000-0005-0000-0000-0000B51D0000}"/>
    <cellStyle name="Normal 94" xfId="7573" xr:uid="{00000000-0005-0000-0000-0000B61D0000}"/>
    <cellStyle name="Normal 95" xfId="7574" xr:uid="{00000000-0005-0000-0000-0000B71D0000}"/>
    <cellStyle name="Normal 95 2" xfId="7575" xr:uid="{00000000-0005-0000-0000-0000B81D0000}"/>
    <cellStyle name="Normal 96" xfId="7576" xr:uid="{00000000-0005-0000-0000-0000B91D0000}"/>
    <cellStyle name="Normal 97" xfId="7577" xr:uid="{00000000-0005-0000-0000-0000BA1D0000}"/>
    <cellStyle name="Normal 98" xfId="7578" xr:uid="{00000000-0005-0000-0000-0000BB1D0000}"/>
    <cellStyle name="Normal 99" xfId="7579" xr:uid="{00000000-0005-0000-0000-0000BC1D0000}"/>
    <cellStyle name="Normal FICA" xfId="7580" xr:uid="{00000000-0005-0000-0000-0000BD1D0000}"/>
    <cellStyle name="Normal FUI" xfId="7581" xr:uid="{00000000-0005-0000-0000-0000BE1D0000}"/>
    <cellStyle name="Normal Other Benefits" xfId="7582" xr:uid="{00000000-0005-0000-0000-0000BF1D0000}"/>
    <cellStyle name="Normal_ESTIMATES&amp;PEs" xfId="9451" xr:uid="{00000000-0005-0000-0000-0000C01D0000}"/>
    <cellStyle name="Normal_SP500" xfId="9449" xr:uid="{00000000-0005-0000-0000-0000C11D0000}"/>
    <cellStyle name="Note 2" xfId="7583" xr:uid="{00000000-0005-0000-0000-0000C21D0000}"/>
    <cellStyle name="Note 2 2" xfId="7584" xr:uid="{00000000-0005-0000-0000-0000C31D0000}"/>
    <cellStyle name="Note 2 2 2" xfId="7585" xr:uid="{00000000-0005-0000-0000-0000C41D0000}"/>
    <cellStyle name="Note 2 2 3" xfId="7586" xr:uid="{00000000-0005-0000-0000-0000C51D0000}"/>
    <cellStyle name="Note 2 3" xfId="7587" xr:uid="{00000000-0005-0000-0000-0000C61D0000}"/>
    <cellStyle name="Note 2 3 2" xfId="7588" xr:uid="{00000000-0005-0000-0000-0000C71D0000}"/>
    <cellStyle name="Note 2 4" xfId="7589" xr:uid="{00000000-0005-0000-0000-0000C81D0000}"/>
    <cellStyle name="Note 2 4 2" xfId="7590" xr:uid="{00000000-0005-0000-0000-0000C91D0000}"/>
    <cellStyle name="Note 2 5" xfId="7591" xr:uid="{00000000-0005-0000-0000-0000CA1D0000}"/>
    <cellStyle name="Note 2 5 2" xfId="7592" xr:uid="{00000000-0005-0000-0000-0000CB1D0000}"/>
    <cellStyle name="Note 3" xfId="7593" xr:uid="{00000000-0005-0000-0000-0000CC1D0000}"/>
    <cellStyle name="Note 3 2" xfId="7594" xr:uid="{00000000-0005-0000-0000-0000CD1D0000}"/>
    <cellStyle name="Note 3 3" xfId="7595" xr:uid="{00000000-0005-0000-0000-0000CE1D0000}"/>
    <cellStyle name="Note 4" xfId="7596" xr:uid="{00000000-0005-0000-0000-0000CF1D0000}"/>
    <cellStyle name="Note 4 2" xfId="7597" xr:uid="{00000000-0005-0000-0000-0000D01D0000}"/>
    <cellStyle name="Note 5" xfId="7598" xr:uid="{00000000-0005-0000-0000-0000D11D0000}"/>
    <cellStyle name="Output 2" xfId="7599" xr:uid="{00000000-0005-0000-0000-0000D21D0000}"/>
    <cellStyle name="Output 3" xfId="7600" xr:uid="{00000000-0005-0000-0000-0000D31D0000}"/>
    <cellStyle name="Output 4" xfId="7601" xr:uid="{00000000-0005-0000-0000-0000D41D0000}"/>
    <cellStyle name="Output 5" xfId="7602" xr:uid="{00000000-0005-0000-0000-0000D51D0000}"/>
    <cellStyle name="Output 6" xfId="7603" xr:uid="{00000000-0005-0000-0000-0000D61D0000}"/>
    <cellStyle name="Output 7" xfId="7604" xr:uid="{00000000-0005-0000-0000-0000D71D0000}"/>
    <cellStyle name="Output Amounts" xfId="7605" xr:uid="{00000000-0005-0000-0000-0000D81D0000}"/>
    <cellStyle name="Output Column Headings" xfId="7606" xr:uid="{00000000-0005-0000-0000-0000D91D0000}"/>
    <cellStyle name="Output Line Items" xfId="7607" xr:uid="{00000000-0005-0000-0000-0000DA1D0000}"/>
    <cellStyle name="Output Report Heading" xfId="7608" xr:uid="{00000000-0005-0000-0000-0000DB1D0000}"/>
    <cellStyle name="Output Report Title" xfId="7609" xr:uid="{00000000-0005-0000-0000-0000DC1D0000}"/>
    <cellStyle name="Percent" xfId="1" builtinId="5"/>
    <cellStyle name="Percent 10" xfId="7610" xr:uid="{00000000-0005-0000-0000-0000DE1D0000}"/>
    <cellStyle name="Percent 10 2" xfId="7611" xr:uid="{00000000-0005-0000-0000-0000DF1D0000}"/>
    <cellStyle name="Percent 11" xfId="7612" xr:uid="{00000000-0005-0000-0000-0000E01D0000}"/>
    <cellStyle name="Percent 11 2" xfId="7613" xr:uid="{00000000-0005-0000-0000-0000E11D0000}"/>
    <cellStyle name="Percent 12" xfId="7614" xr:uid="{00000000-0005-0000-0000-0000E21D0000}"/>
    <cellStyle name="Percent 12 2" xfId="7615" xr:uid="{00000000-0005-0000-0000-0000E31D0000}"/>
    <cellStyle name="Percent 13" xfId="7616" xr:uid="{00000000-0005-0000-0000-0000E41D0000}"/>
    <cellStyle name="Percent 13 2" xfId="7617" xr:uid="{00000000-0005-0000-0000-0000E51D0000}"/>
    <cellStyle name="Percent 14" xfId="7618" xr:uid="{00000000-0005-0000-0000-0000E61D0000}"/>
    <cellStyle name="Percent 14 2" xfId="7619" xr:uid="{00000000-0005-0000-0000-0000E71D0000}"/>
    <cellStyle name="Percent 15" xfId="7620" xr:uid="{00000000-0005-0000-0000-0000E81D0000}"/>
    <cellStyle name="Percent 15 2" xfId="7621" xr:uid="{00000000-0005-0000-0000-0000E91D0000}"/>
    <cellStyle name="Percent 16" xfId="7622" xr:uid="{00000000-0005-0000-0000-0000EA1D0000}"/>
    <cellStyle name="Percent 16 2" xfId="7623" xr:uid="{00000000-0005-0000-0000-0000EB1D0000}"/>
    <cellStyle name="Percent 17" xfId="7624" xr:uid="{00000000-0005-0000-0000-0000EC1D0000}"/>
    <cellStyle name="Percent 17 2" xfId="7625" xr:uid="{00000000-0005-0000-0000-0000ED1D0000}"/>
    <cellStyle name="Percent 18" xfId="7626" xr:uid="{00000000-0005-0000-0000-0000EE1D0000}"/>
    <cellStyle name="Percent 18 2" xfId="7627" xr:uid="{00000000-0005-0000-0000-0000EF1D0000}"/>
    <cellStyle name="Percent 19" xfId="7628" xr:uid="{00000000-0005-0000-0000-0000F01D0000}"/>
    <cellStyle name="Percent 19 2" xfId="7629" xr:uid="{00000000-0005-0000-0000-0000F11D0000}"/>
    <cellStyle name="Percent 2" xfId="2" xr:uid="{00000000-0005-0000-0000-0000F21D0000}"/>
    <cellStyle name="Percent 2 10" xfId="7630" xr:uid="{00000000-0005-0000-0000-0000F31D0000}"/>
    <cellStyle name="Percent 2 10 2" xfId="7631" xr:uid="{00000000-0005-0000-0000-0000F41D0000}"/>
    <cellStyle name="Percent 2 10 2 2" xfId="7632" xr:uid="{00000000-0005-0000-0000-0000F51D0000}"/>
    <cellStyle name="Percent 2 10 2 3" xfId="7633" xr:uid="{00000000-0005-0000-0000-0000F61D0000}"/>
    <cellStyle name="Percent 2 10 3" xfId="7634" xr:uid="{00000000-0005-0000-0000-0000F71D0000}"/>
    <cellStyle name="Percent 2 100" xfId="7635" xr:uid="{00000000-0005-0000-0000-0000F81D0000}"/>
    <cellStyle name="Percent 2 101" xfId="7636" xr:uid="{00000000-0005-0000-0000-0000F91D0000}"/>
    <cellStyle name="Percent 2 102" xfId="7637" xr:uid="{00000000-0005-0000-0000-0000FA1D0000}"/>
    <cellStyle name="Percent 2 103" xfId="7638" xr:uid="{00000000-0005-0000-0000-0000FB1D0000}"/>
    <cellStyle name="Percent 2 104" xfId="7639" xr:uid="{00000000-0005-0000-0000-0000FC1D0000}"/>
    <cellStyle name="Percent 2 105" xfId="7640" xr:uid="{00000000-0005-0000-0000-0000FD1D0000}"/>
    <cellStyle name="Percent 2 106" xfId="7641" xr:uid="{00000000-0005-0000-0000-0000FE1D0000}"/>
    <cellStyle name="Percent 2 107" xfId="7642" xr:uid="{00000000-0005-0000-0000-0000FF1D0000}"/>
    <cellStyle name="Percent 2 108" xfId="7643" xr:uid="{00000000-0005-0000-0000-0000001E0000}"/>
    <cellStyle name="Percent 2 109" xfId="7644" xr:uid="{00000000-0005-0000-0000-0000011E0000}"/>
    <cellStyle name="Percent 2 11" xfId="7645" xr:uid="{00000000-0005-0000-0000-0000021E0000}"/>
    <cellStyle name="Percent 2 11 2" xfId="7646" xr:uid="{00000000-0005-0000-0000-0000031E0000}"/>
    <cellStyle name="Percent 2 11 2 2" xfId="7647" xr:uid="{00000000-0005-0000-0000-0000041E0000}"/>
    <cellStyle name="Percent 2 11 2 3" xfId="7648" xr:uid="{00000000-0005-0000-0000-0000051E0000}"/>
    <cellStyle name="Percent 2 11 3" xfId="7649" xr:uid="{00000000-0005-0000-0000-0000061E0000}"/>
    <cellStyle name="Percent 2 110" xfId="7650" xr:uid="{00000000-0005-0000-0000-0000071E0000}"/>
    <cellStyle name="Percent 2 111" xfId="7651" xr:uid="{00000000-0005-0000-0000-0000081E0000}"/>
    <cellStyle name="Percent 2 112" xfId="7652" xr:uid="{00000000-0005-0000-0000-0000091E0000}"/>
    <cellStyle name="Percent 2 113" xfId="7653" xr:uid="{00000000-0005-0000-0000-00000A1E0000}"/>
    <cellStyle name="Percent 2 114" xfId="7654" xr:uid="{00000000-0005-0000-0000-00000B1E0000}"/>
    <cellStyle name="Percent 2 115" xfId="7655" xr:uid="{00000000-0005-0000-0000-00000C1E0000}"/>
    <cellStyle name="Percent 2 116" xfId="7656" xr:uid="{00000000-0005-0000-0000-00000D1E0000}"/>
    <cellStyle name="Percent 2 117" xfId="7657" xr:uid="{00000000-0005-0000-0000-00000E1E0000}"/>
    <cellStyle name="Percent 2 118" xfId="7658" xr:uid="{00000000-0005-0000-0000-00000F1E0000}"/>
    <cellStyle name="Percent 2 119" xfId="7659" xr:uid="{00000000-0005-0000-0000-0000101E0000}"/>
    <cellStyle name="Percent 2 12" xfId="7660" xr:uid="{00000000-0005-0000-0000-0000111E0000}"/>
    <cellStyle name="Percent 2 12 2" xfId="7661" xr:uid="{00000000-0005-0000-0000-0000121E0000}"/>
    <cellStyle name="Percent 2 12 2 2" xfId="7662" xr:uid="{00000000-0005-0000-0000-0000131E0000}"/>
    <cellStyle name="Percent 2 12 2 3" xfId="7663" xr:uid="{00000000-0005-0000-0000-0000141E0000}"/>
    <cellStyle name="Percent 2 12 3" xfId="7664" xr:uid="{00000000-0005-0000-0000-0000151E0000}"/>
    <cellStyle name="Percent 2 120" xfId="7665" xr:uid="{00000000-0005-0000-0000-0000161E0000}"/>
    <cellStyle name="Percent 2 121" xfId="7666" xr:uid="{00000000-0005-0000-0000-0000171E0000}"/>
    <cellStyle name="Percent 2 122" xfId="7667" xr:uid="{00000000-0005-0000-0000-0000181E0000}"/>
    <cellStyle name="Percent 2 123" xfId="7668" xr:uid="{00000000-0005-0000-0000-0000191E0000}"/>
    <cellStyle name="Percent 2 124" xfId="7669" xr:uid="{00000000-0005-0000-0000-00001A1E0000}"/>
    <cellStyle name="Percent 2 125" xfId="7670" xr:uid="{00000000-0005-0000-0000-00001B1E0000}"/>
    <cellStyle name="Percent 2 126" xfId="7671" xr:uid="{00000000-0005-0000-0000-00001C1E0000}"/>
    <cellStyle name="Percent 2 127" xfId="7672" xr:uid="{00000000-0005-0000-0000-00001D1E0000}"/>
    <cellStyle name="Percent 2 128" xfId="7673" xr:uid="{00000000-0005-0000-0000-00001E1E0000}"/>
    <cellStyle name="Percent 2 129" xfId="7674" xr:uid="{00000000-0005-0000-0000-00001F1E0000}"/>
    <cellStyle name="Percent 2 13" xfId="7675" xr:uid="{00000000-0005-0000-0000-0000201E0000}"/>
    <cellStyle name="Percent 2 13 2" xfId="7676" xr:uid="{00000000-0005-0000-0000-0000211E0000}"/>
    <cellStyle name="Percent 2 13 2 2" xfId="7677" xr:uid="{00000000-0005-0000-0000-0000221E0000}"/>
    <cellStyle name="Percent 2 13 2 3" xfId="7678" xr:uid="{00000000-0005-0000-0000-0000231E0000}"/>
    <cellStyle name="Percent 2 13 3" xfId="7679" xr:uid="{00000000-0005-0000-0000-0000241E0000}"/>
    <cellStyle name="Percent 2 130" xfId="7680" xr:uid="{00000000-0005-0000-0000-0000251E0000}"/>
    <cellStyle name="Percent 2 131" xfId="7681" xr:uid="{00000000-0005-0000-0000-0000261E0000}"/>
    <cellStyle name="Percent 2 132" xfId="7682" xr:uid="{00000000-0005-0000-0000-0000271E0000}"/>
    <cellStyle name="Percent 2 133" xfId="7683" xr:uid="{00000000-0005-0000-0000-0000281E0000}"/>
    <cellStyle name="Percent 2 134" xfId="7684" xr:uid="{00000000-0005-0000-0000-0000291E0000}"/>
    <cellStyle name="Percent 2 135" xfId="7685" xr:uid="{00000000-0005-0000-0000-00002A1E0000}"/>
    <cellStyle name="Percent 2 136" xfId="7686" xr:uid="{00000000-0005-0000-0000-00002B1E0000}"/>
    <cellStyle name="Percent 2 137" xfId="7687" xr:uid="{00000000-0005-0000-0000-00002C1E0000}"/>
    <cellStyle name="Percent 2 138" xfId="7688" xr:uid="{00000000-0005-0000-0000-00002D1E0000}"/>
    <cellStyle name="Percent 2 139" xfId="7689" xr:uid="{00000000-0005-0000-0000-00002E1E0000}"/>
    <cellStyle name="Percent 2 14" xfId="7690" xr:uid="{00000000-0005-0000-0000-00002F1E0000}"/>
    <cellStyle name="Percent 2 14 2" xfId="7691" xr:uid="{00000000-0005-0000-0000-0000301E0000}"/>
    <cellStyle name="Percent 2 14 2 2" xfId="7692" xr:uid="{00000000-0005-0000-0000-0000311E0000}"/>
    <cellStyle name="Percent 2 14 2 3" xfId="7693" xr:uid="{00000000-0005-0000-0000-0000321E0000}"/>
    <cellStyle name="Percent 2 14 3" xfId="7694" xr:uid="{00000000-0005-0000-0000-0000331E0000}"/>
    <cellStyle name="Percent 2 140" xfId="7695" xr:uid="{00000000-0005-0000-0000-0000341E0000}"/>
    <cellStyle name="Percent 2 141" xfId="7696" xr:uid="{00000000-0005-0000-0000-0000351E0000}"/>
    <cellStyle name="Percent 2 142" xfId="7697" xr:uid="{00000000-0005-0000-0000-0000361E0000}"/>
    <cellStyle name="Percent 2 143" xfId="7698" xr:uid="{00000000-0005-0000-0000-0000371E0000}"/>
    <cellStyle name="Percent 2 144" xfId="7699" xr:uid="{00000000-0005-0000-0000-0000381E0000}"/>
    <cellStyle name="Percent 2 145" xfId="7700" xr:uid="{00000000-0005-0000-0000-0000391E0000}"/>
    <cellStyle name="Percent 2 146" xfId="7701" xr:uid="{00000000-0005-0000-0000-00003A1E0000}"/>
    <cellStyle name="Percent 2 147" xfId="7702" xr:uid="{00000000-0005-0000-0000-00003B1E0000}"/>
    <cellStyle name="Percent 2 148" xfId="7703" xr:uid="{00000000-0005-0000-0000-00003C1E0000}"/>
    <cellStyle name="Percent 2 149" xfId="7704" xr:uid="{00000000-0005-0000-0000-00003D1E0000}"/>
    <cellStyle name="Percent 2 15" xfId="7705" xr:uid="{00000000-0005-0000-0000-00003E1E0000}"/>
    <cellStyle name="Percent 2 15 2" xfId="7706" xr:uid="{00000000-0005-0000-0000-00003F1E0000}"/>
    <cellStyle name="Percent 2 15 2 2" xfId="7707" xr:uid="{00000000-0005-0000-0000-0000401E0000}"/>
    <cellStyle name="Percent 2 15 2 3" xfId="7708" xr:uid="{00000000-0005-0000-0000-0000411E0000}"/>
    <cellStyle name="Percent 2 15 3" xfId="7709" xr:uid="{00000000-0005-0000-0000-0000421E0000}"/>
    <cellStyle name="Percent 2 150" xfId="7710" xr:uid="{00000000-0005-0000-0000-0000431E0000}"/>
    <cellStyle name="Percent 2 151" xfId="7711" xr:uid="{00000000-0005-0000-0000-0000441E0000}"/>
    <cellStyle name="Percent 2 151 2" xfId="7712" xr:uid="{00000000-0005-0000-0000-0000451E0000}"/>
    <cellStyle name="Percent 2 152" xfId="7713" xr:uid="{00000000-0005-0000-0000-0000461E0000}"/>
    <cellStyle name="Percent 2 153" xfId="7714" xr:uid="{00000000-0005-0000-0000-0000471E0000}"/>
    <cellStyle name="Percent 2 154" xfId="7715" xr:uid="{00000000-0005-0000-0000-0000481E0000}"/>
    <cellStyle name="Percent 2 155" xfId="9386" xr:uid="{00000000-0005-0000-0000-0000491E0000}"/>
    <cellStyle name="Percent 2 155 2" xfId="9416" xr:uid="{00000000-0005-0000-0000-00004A1E0000}"/>
    <cellStyle name="Percent 2 155 2 2 2" xfId="9446" xr:uid="{00000000-0005-0000-0000-00004B1E0000}"/>
    <cellStyle name="Percent 2 16" xfId="13" xr:uid="{00000000-0005-0000-0000-00004C1E0000}"/>
    <cellStyle name="Percent 2 16 2" xfId="7716" xr:uid="{00000000-0005-0000-0000-00004D1E0000}"/>
    <cellStyle name="Percent 2 16 2 2" xfId="7717" xr:uid="{00000000-0005-0000-0000-00004E1E0000}"/>
    <cellStyle name="Percent 2 16 2 3" xfId="7718" xr:uid="{00000000-0005-0000-0000-00004F1E0000}"/>
    <cellStyle name="Percent 2 16 3" xfId="7719" xr:uid="{00000000-0005-0000-0000-0000501E0000}"/>
    <cellStyle name="Percent 2 17" xfId="7720" xr:uid="{00000000-0005-0000-0000-0000511E0000}"/>
    <cellStyle name="Percent 2 17 2" xfId="7721" xr:uid="{00000000-0005-0000-0000-0000521E0000}"/>
    <cellStyle name="Percent 2 17 2 2" xfId="7722" xr:uid="{00000000-0005-0000-0000-0000531E0000}"/>
    <cellStyle name="Percent 2 17 2 3" xfId="7723" xr:uid="{00000000-0005-0000-0000-0000541E0000}"/>
    <cellStyle name="Percent 2 17 3" xfId="7724" xr:uid="{00000000-0005-0000-0000-0000551E0000}"/>
    <cellStyle name="Percent 2 18" xfId="7725" xr:uid="{00000000-0005-0000-0000-0000561E0000}"/>
    <cellStyle name="Percent 2 18 2" xfId="7726" xr:uid="{00000000-0005-0000-0000-0000571E0000}"/>
    <cellStyle name="Percent 2 18 2 2" xfId="7727" xr:uid="{00000000-0005-0000-0000-0000581E0000}"/>
    <cellStyle name="Percent 2 18 2 3" xfId="7728" xr:uid="{00000000-0005-0000-0000-0000591E0000}"/>
    <cellStyle name="Percent 2 18 3" xfId="7729" xr:uid="{00000000-0005-0000-0000-00005A1E0000}"/>
    <cellStyle name="Percent 2 19" xfId="7730" xr:uid="{00000000-0005-0000-0000-00005B1E0000}"/>
    <cellStyle name="Percent 2 19 2" xfId="7731" xr:uid="{00000000-0005-0000-0000-00005C1E0000}"/>
    <cellStyle name="Percent 2 19 2 2" xfId="7732" xr:uid="{00000000-0005-0000-0000-00005D1E0000}"/>
    <cellStyle name="Percent 2 19 2 3" xfId="7733" xr:uid="{00000000-0005-0000-0000-00005E1E0000}"/>
    <cellStyle name="Percent 2 19 3" xfId="7734" xr:uid="{00000000-0005-0000-0000-00005F1E0000}"/>
    <cellStyle name="Percent 2 2" xfId="7735" xr:uid="{00000000-0005-0000-0000-0000601E0000}"/>
    <cellStyle name="Percent 2 2 10" xfId="7736" xr:uid="{00000000-0005-0000-0000-0000611E0000}"/>
    <cellStyle name="Percent 2 2 11" xfId="7737" xr:uid="{00000000-0005-0000-0000-0000621E0000}"/>
    <cellStyle name="Percent 2 2 12" xfId="7738" xr:uid="{00000000-0005-0000-0000-0000631E0000}"/>
    <cellStyle name="Percent 2 2 12 2" xfId="7739" xr:uid="{00000000-0005-0000-0000-0000641E0000}"/>
    <cellStyle name="Percent 2 2 12 2 2" xfId="7740" xr:uid="{00000000-0005-0000-0000-0000651E0000}"/>
    <cellStyle name="Percent 2 2 12 3" xfId="7741" xr:uid="{00000000-0005-0000-0000-0000661E0000}"/>
    <cellStyle name="Percent 2 2 12 4" xfId="7742" xr:uid="{00000000-0005-0000-0000-0000671E0000}"/>
    <cellStyle name="Percent 2 2 13" xfId="7743" xr:uid="{00000000-0005-0000-0000-0000681E0000}"/>
    <cellStyle name="Percent 2 2 13 2" xfId="7744" xr:uid="{00000000-0005-0000-0000-0000691E0000}"/>
    <cellStyle name="Percent 2 2 13 2 2" xfId="7745" xr:uid="{00000000-0005-0000-0000-00006A1E0000}"/>
    <cellStyle name="Percent 2 2 13 3" xfId="7746" xr:uid="{00000000-0005-0000-0000-00006B1E0000}"/>
    <cellStyle name="Percent 2 2 14" xfId="7747" xr:uid="{00000000-0005-0000-0000-00006C1E0000}"/>
    <cellStyle name="Percent 2 2 14 2" xfId="7748" xr:uid="{00000000-0005-0000-0000-00006D1E0000}"/>
    <cellStyle name="Percent 2 2 14 2 2" xfId="7749" xr:uid="{00000000-0005-0000-0000-00006E1E0000}"/>
    <cellStyle name="Percent 2 2 14 3" xfId="7750" xr:uid="{00000000-0005-0000-0000-00006F1E0000}"/>
    <cellStyle name="Percent 2 2 15" xfId="7751" xr:uid="{00000000-0005-0000-0000-0000701E0000}"/>
    <cellStyle name="Percent 2 2 15 2" xfId="7752" xr:uid="{00000000-0005-0000-0000-0000711E0000}"/>
    <cellStyle name="Percent 2 2 15 2 2" xfId="7753" xr:uid="{00000000-0005-0000-0000-0000721E0000}"/>
    <cellStyle name="Percent 2 2 15 3" xfId="7754" xr:uid="{00000000-0005-0000-0000-0000731E0000}"/>
    <cellStyle name="Percent 2 2 16" xfId="7755" xr:uid="{00000000-0005-0000-0000-0000741E0000}"/>
    <cellStyle name="Percent 2 2 16 2" xfId="7756" xr:uid="{00000000-0005-0000-0000-0000751E0000}"/>
    <cellStyle name="Percent 2 2 16 2 2" xfId="7757" xr:uid="{00000000-0005-0000-0000-0000761E0000}"/>
    <cellStyle name="Percent 2 2 16 3" xfId="7758" xr:uid="{00000000-0005-0000-0000-0000771E0000}"/>
    <cellStyle name="Percent 2 2 17" xfId="7759" xr:uid="{00000000-0005-0000-0000-0000781E0000}"/>
    <cellStyle name="Percent 2 2 17 2" xfId="7760" xr:uid="{00000000-0005-0000-0000-0000791E0000}"/>
    <cellStyle name="Percent 2 2 17 2 2" xfId="7761" xr:uid="{00000000-0005-0000-0000-00007A1E0000}"/>
    <cellStyle name="Percent 2 2 17 3" xfId="7762" xr:uid="{00000000-0005-0000-0000-00007B1E0000}"/>
    <cellStyle name="Percent 2 2 18" xfId="7763" xr:uid="{00000000-0005-0000-0000-00007C1E0000}"/>
    <cellStyle name="Percent 2 2 18 2" xfId="7764" xr:uid="{00000000-0005-0000-0000-00007D1E0000}"/>
    <cellStyle name="Percent 2 2 18 2 2" xfId="7765" xr:uid="{00000000-0005-0000-0000-00007E1E0000}"/>
    <cellStyle name="Percent 2 2 18 3" xfId="7766" xr:uid="{00000000-0005-0000-0000-00007F1E0000}"/>
    <cellStyle name="Percent 2 2 19" xfId="7767" xr:uid="{00000000-0005-0000-0000-0000801E0000}"/>
    <cellStyle name="Percent 2 2 19 2" xfId="7768" xr:uid="{00000000-0005-0000-0000-0000811E0000}"/>
    <cellStyle name="Percent 2 2 19 2 2" xfId="7769" xr:uid="{00000000-0005-0000-0000-0000821E0000}"/>
    <cellStyle name="Percent 2 2 19 3" xfId="7770" xr:uid="{00000000-0005-0000-0000-0000831E0000}"/>
    <cellStyle name="Percent 2 2 2" xfId="7771" xr:uid="{00000000-0005-0000-0000-0000841E0000}"/>
    <cellStyle name="Percent 2 2 2 10" xfId="7772" xr:uid="{00000000-0005-0000-0000-0000851E0000}"/>
    <cellStyle name="Percent 2 2 2 10 2" xfId="7773" xr:uid="{00000000-0005-0000-0000-0000861E0000}"/>
    <cellStyle name="Percent 2 2 2 10 2 2" xfId="7774" xr:uid="{00000000-0005-0000-0000-0000871E0000}"/>
    <cellStyle name="Percent 2 2 2 10 3" xfId="7775" xr:uid="{00000000-0005-0000-0000-0000881E0000}"/>
    <cellStyle name="Percent 2 2 2 11" xfId="7776" xr:uid="{00000000-0005-0000-0000-0000891E0000}"/>
    <cellStyle name="Percent 2 2 2 12" xfId="7777" xr:uid="{00000000-0005-0000-0000-00008A1E0000}"/>
    <cellStyle name="Percent 2 2 2 13" xfId="7778" xr:uid="{00000000-0005-0000-0000-00008B1E0000}"/>
    <cellStyle name="Percent 2 2 2 14" xfId="7779" xr:uid="{00000000-0005-0000-0000-00008C1E0000}"/>
    <cellStyle name="Percent 2 2 2 15" xfId="7780" xr:uid="{00000000-0005-0000-0000-00008D1E0000}"/>
    <cellStyle name="Percent 2 2 2 16" xfId="7781" xr:uid="{00000000-0005-0000-0000-00008E1E0000}"/>
    <cellStyle name="Percent 2 2 2 17" xfId="7782" xr:uid="{00000000-0005-0000-0000-00008F1E0000}"/>
    <cellStyle name="Percent 2 2 2 18" xfId="7783" xr:uid="{00000000-0005-0000-0000-0000901E0000}"/>
    <cellStyle name="Percent 2 2 2 19" xfId="7784" xr:uid="{00000000-0005-0000-0000-0000911E0000}"/>
    <cellStyle name="Percent 2 2 2 2" xfId="7785" xr:uid="{00000000-0005-0000-0000-0000921E0000}"/>
    <cellStyle name="Percent 2 2 2 2 10" xfId="7786" xr:uid="{00000000-0005-0000-0000-0000931E0000}"/>
    <cellStyle name="Percent 2 2 2 2 11" xfId="7787" xr:uid="{00000000-0005-0000-0000-0000941E0000}"/>
    <cellStyle name="Percent 2 2 2 2 11 2" xfId="7788" xr:uid="{00000000-0005-0000-0000-0000951E0000}"/>
    <cellStyle name="Percent 2 2 2 2 11 2 2" xfId="7789" xr:uid="{00000000-0005-0000-0000-0000961E0000}"/>
    <cellStyle name="Percent 2 2 2 2 11 3" xfId="7790" xr:uid="{00000000-0005-0000-0000-0000971E0000}"/>
    <cellStyle name="Percent 2 2 2 2 12" xfId="7791" xr:uid="{00000000-0005-0000-0000-0000981E0000}"/>
    <cellStyle name="Percent 2 2 2 2 12 2" xfId="7792" xr:uid="{00000000-0005-0000-0000-0000991E0000}"/>
    <cellStyle name="Percent 2 2 2 2 12 2 2" xfId="7793" xr:uid="{00000000-0005-0000-0000-00009A1E0000}"/>
    <cellStyle name="Percent 2 2 2 2 12 3" xfId="7794" xr:uid="{00000000-0005-0000-0000-00009B1E0000}"/>
    <cellStyle name="Percent 2 2 2 2 13" xfId="7795" xr:uid="{00000000-0005-0000-0000-00009C1E0000}"/>
    <cellStyle name="Percent 2 2 2 2 13 2" xfId="7796" xr:uid="{00000000-0005-0000-0000-00009D1E0000}"/>
    <cellStyle name="Percent 2 2 2 2 13 2 2" xfId="7797" xr:uid="{00000000-0005-0000-0000-00009E1E0000}"/>
    <cellStyle name="Percent 2 2 2 2 13 3" xfId="7798" xr:uid="{00000000-0005-0000-0000-00009F1E0000}"/>
    <cellStyle name="Percent 2 2 2 2 14" xfId="7799" xr:uid="{00000000-0005-0000-0000-0000A01E0000}"/>
    <cellStyle name="Percent 2 2 2 2 14 2" xfId="7800" xr:uid="{00000000-0005-0000-0000-0000A11E0000}"/>
    <cellStyle name="Percent 2 2 2 2 14 2 2" xfId="7801" xr:uid="{00000000-0005-0000-0000-0000A21E0000}"/>
    <cellStyle name="Percent 2 2 2 2 14 3" xfId="7802" xr:uid="{00000000-0005-0000-0000-0000A31E0000}"/>
    <cellStyle name="Percent 2 2 2 2 15" xfId="7803" xr:uid="{00000000-0005-0000-0000-0000A41E0000}"/>
    <cellStyle name="Percent 2 2 2 2 15 2" xfId="7804" xr:uid="{00000000-0005-0000-0000-0000A51E0000}"/>
    <cellStyle name="Percent 2 2 2 2 15 2 2" xfId="7805" xr:uid="{00000000-0005-0000-0000-0000A61E0000}"/>
    <cellStyle name="Percent 2 2 2 2 15 3" xfId="7806" xr:uid="{00000000-0005-0000-0000-0000A71E0000}"/>
    <cellStyle name="Percent 2 2 2 2 16" xfId="7807" xr:uid="{00000000-0005-0000-0000-0000A81E0000}"/>
    <cellStyle name="Percent 2 2 2 2 16 2" xfId="7808" xr:uid="{00000000-0005-0000-0000-0000A91E0000}"/>
    <cellStyle name="Percent 2 2 2 2 16 2 2" xfId="7809" xr:uid="{00000000-0005-0000-0000-0000AA1E0000}"/>
    <cellStyle name="Percent 2 2 2 2 16 3" xfId="7810" xr:uid="{00000000-0005-0000-0000-0000AB1E0000}"/>
    <cellStyle name="Percent 2 2 2 2 17" xfId="7811" xr:uid="{00000000-0005-0000-0000-0000AC1E0000}"/>
    <cellStyle name="Percent 2 2 2 2 17 2" xfId="7812" xr:uid="{00000000-0005-0000-0000-0000AD1E0000}"/>
    <cellStyle name="Percent 2 2 2 2 17 2 2" xfId="7813" xr:uid="{00000000-0005-0000-0000-0000AE1E0000}"/>
    <cellStyle name="Percent 2 2 2 2 17 3" xfId="7814" xr:uid="{00000000-0005-0000-0000-0000AF1E0000}"/>
    <cellStyle name="Percent 2 2 2 2 18" xfId="7815" xr:uid="{00000000-0005-0000-0000-0000B01E0000}"/>
    <cellStyle name="Percent 2 2 2 2 18 2" xfId="7816" xr:uid="{00000000-0005-0000-0000-0000B11E0000}"/>
    <cellStyle name="Percent 2 2 2 2 18 2 2" xfId="7817" xr:uid="{00000000-0005-0000-0000-0000B21E0000}"/>
    <cellStyle name="Percent 2 2 2 2 18 3" xfId="7818" xr:uid="{00000000-0005-0000-0000-0000B31E0000}"/>
    <cellStyle name="Percent 2 2 2 2 19" xfId="7819" xr:uid="{00000000-0005-0000-0000-0000B41E0000}"/>
    <cellStyle name="Percent 2 2 2 2 19 2" xfId="7820" xr:uid="{00000000-0005-0000-0000-0000B51E0000}"/>
    <cellStyle name="Percent 2 2 2 2 19 2 2" xfId="7821" xr:uid="{00000000-0005-0000-0000-0000B61E0000}"/>
    <cellStyle name="Percent 2 2 2 2 19 3" xfId="7822" xr:uid="{00000000-0005-0000-0000-0000B71E0000}"/>
    <cellStyle name="Percent 2 2 2 2 2" xfId="7823" xr:uid="{00000000-0005-0000-0000-0000B81E0000}"/>
    <cellStyle name="Percent 2 2 2 2 2 10" xfId="7824" xr:uid="{00000000-0005-0000-0000-0000B91E0000}"/>
    <cellStyle name="Percent 2 2 2 2 2 11" xfId="7825" xr:uid="{00000000-0005-0000-0000-0000BA1E0000}"/>
    <cellStyle name="Percent 2 2 2 2 2 12" xfId="7826" xr:uid="{00000000-0005-0000-0000-0000BB1E0000}"/>
    <cellStyle name="Percent 2 2 2 2 2 13" xfId="7827" xr:uid="{00000000-0005-0000-0000-0000BC1E0000}"/>
    <cellStyle name="Percent 2 2 2 2 2 14" xfId="7828" xr:uid="{00000000-0005-0000-0000-0000BD1E0000}"/>
    <cellStyle name="Percent 2 2 2 2 2 15" xfId="7829" xr:uid="{00000000-0005-0000-0000-0000BE1E0000}"/>
    <cellStyle name="Percent 2 2 2 2 2 16" xfId="7830" xr:uid="{00000000-0005-0000-0000-0000BF1E0000}"/>
    <cellStyle name="Percent 2 2 2 2 2 17" xfId="7831" xr:uid="{00000000-0005-0000-0000-0000C01E0000}"/>
    <cellStyle name="Percent 2 2 2 2 2 18" xfId="7832" xr:uid="{00000000-0005-0000-0000-0000C11E0000}"/>
    <cellStyle name="Percent 2 2 2 2 2 19" xfId="7833" xr:uid="{00000000-0005-0000-0000-0000C21E0000}"/>
    <cellStyle name="Percent 2 2 2 2 2 19 2" xfId="7834" xr:uid="{00000000-0005-0000-0000-0000C31E0000}"/>
    <cellStyle name="Percent 2 2 2 2 2 2" xfId="7835" xr:uid="{00000000-0005-0000-0000-0000C41E0000}"/>
    <cellStyle name="Percent 2 2 2 2 2 20" xfId="7836" xr:uid="{00000000-0005-0000-0000-0000C51E0000}"/>
    <cellStyle name="Percent 2 2 2 2 2 3" xfId="7837" xr:uid="{00000000-0005-0000-0000-0000C61E0000}"/>
    <cellStyle name="Percent 2 2 2 2 2 4" xfId="7838" xr:uid="{00000000-0005-0000-0000-0000C71E0000}"/>
    <cellStyle name="Percent 2 2 2 2 2 5" xfId="7839" xr:uid="{00000000-0005-0000-0000-0000C81E0000}"/>
    <cellStyle name="Percent 2 2 2 2 2 6" xfId="7840" xr:uid="{00000000-0005-0000-0000-0000C91E0000}"/>
    <cellStyle name="Percent 2 2 2 2 2 7" xfId="7841" xr:uid="{00000000-0005-0000-0000-0000CA1E0000}"/>
    <cellStyle name="Percent 2 2 2 2 2 8" xfId="7842" xr:uid="{00000000-0005-0000-0000-0000CB1E0000}"/>
    <cellStyle name="Percent 2 2 2 2 2 9" xfId="7843" xr:uid="{00000000-0005-0000-0000-0000CC1E0000}"/>
    <cellStyle name="Percent 2 2 2 2 20" xfId="7844" xr:uid="{00000000-0005-0000-0000-0000CD1E0000}"/>
    <cellStyle name="Percent 2 2 2 2 20 2" xfId="7845" xr:uid="{00000000-0005-0000-0000-0000CE1E0000}"/>
    <cellStyle name="Percent 2 2 2 2 20 2 2" xfId="7846" xr:uid="{00000000-0005-0000-0000-0000CF1E0000}"/>
    <cellStyle name="Percent 2 2 2 2 20 3" xfId="7847" xr:uid="{00000000-0005-0000-0000-0000D01E0000}"/>
    <cellStyle name="Percent 2 2 2 2 21" xfId="7848" xr:uid="{00000000-0005-0000-0000-0000D11E0000}"/>
    <cellStyle name="Percent 2 2 2 2 21 2" xfId="7849" xr:uid="{00000000-0005-0000-0000-0000D21E0000}"/>
    <cellStyle name="Percent 2 2 2 2 21 2 2" xfId="7850" xr:uid="{00000000-0005-0000-0000-0000D31E0000}"/>
    <cellStyle name="Percent 2 2 2 2 21 3" xfId="7851" xr:uid="{00000000-0005-0000-0000-0000D41E0000}"/>
    <cellStyle name="Percent 2 2 2 2 22" xfId="7852" xr:uid="{00000000-0005-0000-0000-0000D51E0000}"/>
    <cellStyle name="Percent 2 2 2 2 22 2" xfId="7853" xr:uid="{00000000-0005-0000-0000-0000D61E0000}"/>
    <cellStyle name="Percent 2 2 2 2 22 2 2" xfId="7854" xr:uid="{00000000-0005-0000-0000-0000D71E0000}"/>
    <cellStyle name="Percent 2 2 2 2 22 3" xfId="7855" xr:uid="{00000000-0005-0000-0000-0000D81E0000}"/>
    <cellStyle name="Percent 2 2 2 2 23" xfId="7856" xr:uid="{00000000-0005-0000-0000-0000D91E0000}"/>
    <cellStyle name="Percent 2 2 2 2 23 2" xfId="7857" xr:uid="{00000000-0005-0000-0000-0000DA1E0000}"/>
    <cellStyle name="Percent 2 2 2 2 23 2 2" xfId="7858" xr:uid="{00000000-0005-0000-0000-0000DB1E0000}"/>
    <cellStyle name="Percent 2 2 2 2 23 3" xfId="7859" xr:uid="{00000000-0005-0000-0000-0000DC1E0000}"/>
    <cellStyle name="Percent 2 2 2 2 24" xfId="7860" xr:uid="{00000000-0005-0000-0000-0000DD1E0000}"/>
    <cellStyle name="Percent 2 2 2 2 24 2" xfId="7861" xr:uid="{00000000-0005-0000-0000-0000DE1E0000}"/>
    <cellStyle name="Percent 2 2 2 2 24 2 2" xfId="7862" xr:uid="{00000000-0005-0000-0000-0000DF1E0000}"/>
    <cellStyle name="Percent 2 2 2 2 24 3" xfId="7863" xr:uid="{00000000-0005-0000-0000-0000E01E0000}"/>
    <cellStyle name="Percent 2 2 2 2 25" xfId="7864" xr:uid="{00000000-0005-0000-0000-0000E11E0000}"/>
    <cellStyle name="Percent 2 2 2 2 25 2" xfId="7865" xr:uid="{00000000-0005-0000-0000-0000E21E0000}"/>
    <cellStyle name="Percent 2 2 2 2 25 2 2" xfId="7866" xr:uid="{00000000-0005-0000-0000-0000E31E0000}"/>
    <cellStyle name="Percent 2 2 2 2 25 3" xfId="7867" xr:uid="{00000000-0005-0000-0000-0000E41E0000}"/>
    <cellStyle name="Percent 2 2 2 2 26" xfId="7868" xr:uid="{00000000-0005-0000-0000-0000E51E0000}"/>
    <cellStyle name="Percent 2 2 2 2 26 2" xfId="7869" xr:uid="{00000000-0005-0000-0000-0000E61E0000}"/>
    <cellStyle name="Percent 2 2 2 2 26 2 2" xfId="7870" xr:uid="{00000000-0005-0000-0000-0000E71E0000}"/>
    <cellStyle name="Percent 2 2 2 2 26 3" xfId="7871" xr:uid="{00000000-0005-0000-0000-0000E81E0000}"/>
    <cellStyle name="Percent 2 2 2 2 3" xfId="7872" xr:uid="{00000000-0005-0000-0000-0000E91E0000}"/>
    <cellStyle name="Percent 2 2 2 2 4" xfId="7873" xr:uid="{00000000-0005-0000-0000-0000EA1E0000}"/>
    <cellStyle name="Percent 2 2 2 2 5" xfId="7874" xr:uid="{00000000-0005-0000-0000-0000EB1E0000}"/>
    <cellStyle name="Percent 2 2 2 2 6" xfId="7875" xr:uid="{00000000-0005-0000-0000-0000EC1E0000}"/>
    <cellStyle name="Percent 2 2 2 2 7" xfId="7876" xr:uid="{00000000-0005-0000-0000-0000ED1E0000}"/>
    <cellStyle name="Percent 2 2 2 2 8" xfId="7877" xr:uid="{00000000-0005-0000-0000-0000EE1E0000}"/>
    <cellStyle name="Percent 2 2 2 2 9" xfId="7878" xr:uid="{00000000-0005-0000-0000-0000EF1E0000}"/>
    <cellStyle name="Percent 2 2 2 20" xfId="7879" xr:uid="{00000000-0005-0000-0000-0000F01E0000}"/>
    <cellStyle name="Percent 2 2 2 21" xfId="7880" xr:uid="{00000000-0005-0000-0000-0000F11E0000}"/>
    <cellStyle name="Percent 2 2 2 22" xfId="7881" xr:uid="{00000000-0005-0000-0000-0000F21E0000}"/>
    <cellStyle name="Percent 2 2 2 23" xfId="7882" xr:uid="{00000000-0005-0000-0000-0000F31E0000}"/>
    <cellStyle name="Percent 2 2 2 24" xfId="7883" xr:uid="{00000000-0005-0000-0000-0000F41E0000}"/>
    <cellStyle name="Percent 2 2 2 25" xfId="7884" xr:uid="{00000000-0005-0000-0000-0000F51E0000}"/>
    <cellStyle name="Percent 2 2 2 26" xfId="7885" xr:uid="{00000000-0005-0000-0000-0000F61E0000}"/>
    <cellStyle name="Percent 2 2 2 27" xfId="7886" xr:uid="{00000000-0005-0000-0000-0000F71E0000}"/>
    <cellStyle name="Percent 2 2 2 28" xfId="7887" xr:uid="{00000000-0005-0000-0000-0000F81E0000}"/>
    <cellStyle name="Percent 2 2 2 3" xfId="7888" xr:uid="{00000000-0005-0000-0000-0000F91E0000}"/>
    <cellStyle name="Percent 2 2 2 3 2" xfId="7889" xr:uid="{00000000-0005-0000-0000-0000FA1E0000}"/>
    <cellStyle name="Percent 2 2 2 3 2 2" xfId="7890" xr:uid="{00000000-0005-0000-0000-0000FB1E0000}"/>
    <cellStyle name="Percent 2 2 2 3 3" xfId="7891" xr:uid="{00000000-0005-0000-0000-0000FC1E0000}"/>
    <cellStyle name="Percent 2 2 2 4" xfId="7892" xr:uid="{00000000-0005-0000-0000-0000FD1E0000}"/>
    <cellStyle name="Percent 2 2 2 4 2" xfId="7893" xr:uid="{00000000-0005-0000-0000-0000FE1E0000}"/>
    <cellStyle name="Percent 2 2 2 4 2 2" xfId="7894" xr:uid="{00000000-0005-0000-0000-0000FF1E0000}"/>
    <cellStyle name="Percent 2 2 2 4 3" xfId="7895" xr:uid="{00000000-0005-0000-0000-0000001F0000}"/>
    <cellStyle name="Percent 2 2 2 5" xfId="7896" xr:uid="{00000000-0005-0000-0000-0000011F0000}"/>
    <cellStyle name="Percent 2 2 2 5 2" xfId="7897" xr:uid="{00000000-0005-0000-0000-0000021F0000}"/>
    <cellStyle name="Percent 2 2 2 5 2 2" xfId="7898" xr:uid="{00000000-0005-0000-0000-0000031F0000}"/>
    <cellStyle name="Percent 2 2 2 5 3" xfId="7899" xr:uid="{00000000-0005-0000-0000-0000041F0000}"/>
    <cellStyle name="Percent 2 2 2 6" xfId="7900" xr:uid="{00000000-0005-0000-0000-0000051F0000}"/>
    <cellStyle name="Percent 2 2 2 6 2" xfId="7901" xr:uid="{00000000-0005-0000-0000-0000061F0000}"/>
    <cellStyle name="Percent 2 2 2 6 2 2" xfId="7902" xr:uid="{00000000-0005-0000-0000-0000071F0000}"/>
    <cellStyle name="Percent 2 2 2 6 3" xfId="7903" xr:uid="{00000000-0005-0000-0000-0000081F0000}"/>
    <cellStyle name="Percent 2 2 2 7" xfId="7904" xr:uid="{00000000-0005-0000-0000-0000091F0000}"/>
    <cellStyle name="Percent 2 2 2 7 2" xfId="7905" xr:uid="{00000000-0005-0000-0000-00000A1F0000}"/>
    <cellStyle name="Percent 2 2 2 7 2 2" xfId="7906" xr:uid="{00000000-0005-0000-0000-00000B1F0000}"/>
    <cellStyle name="Percent 2 2 2 7 3" xfId="7907" xr:uid="{00000000-0005-0000-0000-00000C1F0000}"/>
    <cellStyle name="Percent 2 2 2 8" xfId="7908" xr:uid="{00000000-0005-0000-0000-00000D1F0000}"/>
    <cellStyle name="Percent 2 2 2 8 2" xfId="7909" xr:uid="{00000000-0005-0000-0000-00000E1F0000}"/>
    <cellStyle name="Percent 2 2 2 8 2 2" xfId="7910" xr:uid="{00000000-0005-0000-0000-00000F1F0000}"/>
    <cellStyle name="Percent 2 2 2 8 3" xfId="7911" xr:uid="{00000000-0005-0000-0000-0000101F0000}"/>
    <cellStyle name="Percent 2 2 2 9" xfId="7912" xr:uid="{00000000-0005-0000-0000-0000111F0000}"/>
    <cellStyle name="Percent 2 2 2 9 2" xfId="7913" xr:uid="{00000000-0005-0000-0000-0000121F0000}"/>
    <cellStyle name="Percent 2 2 2 9 2 2" xfId="7914" xr:uid="{00000000-0005-0000-0000-0000131F0000}"/>
    <cellStyle name="Percent 2 2 2 9 3" xfId="7915" xr:uid="{00000000-0005-0000-0000-0000141F0000}"/>
    <cellStyle name="Percent 2 2 20" xfId="7916" xr:uid="{00000000-0005-0000-0000-0000151F0000}"/>
    <cellStyle name="Percent 2 2 20 2" xfId="7917" xr:uid="{00000000-0005-0000-0000-0000161F0000}"/>
    <cellStyle name="Percent 2 2 20 2 2" xfId="7918" xr:uid="{00000000-0005-0000-0000-0000171F0000}"/>
    <cellStyle name="Percent 2 2 20 3" xfId="7919" xr:uid="{00000000-0005-0000-0000-0000181F0000}"/>
    <cellStyle name="Percent 2 2 21" xfId="7920" xr:uid="{00000000-0005-0000-0000-0000191F0000}"/>
    <cellStyle name="Percent 2 2 21 2" xfId="7921" xr:uid="{00000000-0005-0000-0000-00001A1F0000}"/>
    <cellStyle name="Percent 2 2 21 2 2" xfId="7922" xr:uid="{00000000-0005-0000-0000-00001B1F0000}"/>
    <cellStyle name="Percent 2 2 21 3" xfId="7923" xr:uid="{00000000-0005-0000-0000-00001C1F0000}"/>
    <cellStyle name="Percent 2 2 22" xfId="7924" xr:uid="{00000000-0005-0000-0000-00001D1F0000}"/>
    <cellStyle name="Percent 2 2 22 2" xfId="7925" xr:uid="{00000000-0005-0000-0000-00001E1F0000}"/>
    <cellStyle name="Percent 2 2 22 2 2" xfId="7926" xr:uid="{00000000-0005-0000-0000-00001F1F0000}"/>
    <cellStyle name="Percent 2 2 22 3" xfId="7927" xr:uid="{00000000-0005-0000-0000-0000201F0000}"/>
    <cellStyle name="Percent 2 2 23" xfId="7928" xr:uid="{00000000-0005-0000-0000-0000211F0000}"/>
    <cellStyle name="Percent 2 2 23 2" xfId="7929" xr:uid="{00000000-0005-0000-0000-0000221F0000}"/>
    <cellStyle name="Percent 2 2 23 2 2" xfId="7930" xr:uid="{00000000-0005-0000-0000-0000231F0000}"/>
    <cellStyle name="Percent 2 2 23 3" xfId="7931" xr:uid="{00000000-0005-0000-0000-0000241F0000}"/>
    <cellStyle name="Percent 2 2 24" xfId="7932" xr:uid="{00000000-0005-0000-0000-0000251F0000}"/>
    <cellStyle name="Percent 2 2 24 2" xfId="7933" xr:uid="{00000000-0005-0000-0000-0000261F0000}"/>
    <cellStyle name="Percent 2 2 24 2 2" xfId="7934" xr:uid="{00000000-0005-0000-0000-0000271F0000}"/>
    <cellStyle name="Percent 2 2 24 3" xfId="7935" xr:uid="{00000000-0005-0000-0000-0000281F0000}"/>
    <cellStyle name="Percent 2 2 25" xfId="7936" xr:uid="{00000000-0005-0000-0000-0000291F0000}"/>
    <cellStyle name="Percent 2 2 25 2" xfId="7937" xr:uid="{00000000-0005-0000-0000-00002A1F0000}"/>
    <cellStyle name="Percent 2 2 25 2 2" xfId="7938" xr:uid="{00000000-0005-0000-0000-00002B1F0000}"/>
    <cellStyle name="Percent 2 2 25 3" xfId="7939" xr:uid="{00000000-0005-0000-0000-00002C1F0000}"/>
    <cellStyle name="Percent 2 2 26" xfId="7940" xr:uid="{00000000-0005-0000-0000-00002D1F0000}"/>
    <cellStyle name="Percent 2 2 26 2" xfId="7941" xr:uid="{00000000-0005-0000-0000-00002E1F0000}"/>
    <cellStyle name="Percent 2 2 26 2 2" xfId="7942" xr:uid="{00000000-0005-0000-0000-00002F1F0000}"/>
    <cellStyle name="Percent 2 2 26 3" xfId="7943" xr:uid="{00000000-0005-0000-0000-0000301F0000}"/>
    <cellStyle name="Percent 2 2 27" xfId="7944" xr:uid="{00000000-0005-0000-0000-0000311F0000}"/>
    <cellStyle name="Percent 2 2 27 2" xfId="7945" xr:uid="{00000000-0005-0000-0000-0000321F0000}"/>
    <cellStyle name="Percent 2 2 27 2 2" xfId="7946" xr:uid="{00000000-0005-0000-0000-0000331F0000}"/>
    <cellStyle name="Percent 2 2 27 3" xfId="7947" xr:uid="{00000000-0005-0000-0000-0000341F0000}"/>
    <cellStyle name="Percent 2 2 28" xfId="7948" xr:uid="{00000000-0005-0000-0000-0000351F0000}"/>
    <cellStyle name="Percent 2 2 28 2" xfId="7949" xr:uid="{00000000-0005-0000-0000-0000361F0000}"/>
    <cellStyle name="Percent 2 2 28 3" xfId="7950" xr:uid="{00000000-0005-0000-0000-0000371F0000}"/>
    <cellStyle name="Percent 2 2 29" xfId="7951" xr:uid="{00000000-0005-0000-0000-0000381F0000}"/>
    <cellStyle name="Percent 2 2 3" xfId="7952" xr:uid="{00000000-0005-0000-0000-0000391F0000}"/>
    <cellStyle name="Percent 2 2 3 2" xfId="7953" xr:uid="{00000000-0005-0000-0000-00003A1F0000}"/>
    <cellStyle name="Percent 2 2 3 2 2" xfId="7954" xr:uid="{00000000-0005-0000-0000-00003B1F0000}"/>
    <cellStyle name="Percent 2 2 3 2 3" xfId="7955" xr:uid="{00000000-0005-0000-0000-00003C1F0000}"/>
    <cellStyle name="Percent 2 2 3 3" xfId="7956" xr:uid="{00000000-0005-0000-0000-00003D1F0000}"/>
    <cellStyle name="Percent 2 2 4" xfId="7957" xr:uid="{00000000-0005-0000-0000-00003E1F0000}"/>
    <cellStyle name="Percent 2 2 4 2" xfId="7958" xr:uid="{00000000-0005-0000-0000-00003F1F0000}"/>
    <cellStyle name="Percent 2 2 4 2 2" xfId="7959" xr:uid="{00000000-0005-0000-0000-0000401F0000}"/>
    <cellStyle name="Percent 2 2 4 2 3" xfId="7960" xr:uid="{00000000-0005-0000-0000-0000411F0000}"/>
    <cellStyle name="Percent 2 2 4 3" xfId="7961" xr:uid="{00000000-0005-0000-0000-0000421F0000}"/>
    <cellStyle name="Percent 2 2 5" xfId="7962" xr:uid="{00000000-0005-0000-0000-0000431F0000}"/>
    <cellStyle name="Percent 2 2 5 2" xfId="7963" xr:uid="{00000000-0005-0000-0000-0000441F0000}"/>
    <cellStyle name="Percent 2 2 5 2 2" xfId="7964" xr:uid="{00000000-0005-0000-0000-0000451F0000}"/>
    <cellStyle name="Percent 2 2 5 2 3" xfId="7965" xr:uid="{00000000-0005-0000-0000-0000461F0000}"/>
    <cellStyle name="Percent 2 2 5 3" xfId="7966" xr:uid="{00000000-0005-0000-0000-0000471F0000}"/>
    <cellStyle name="Percent 2 2 6" xfId="7967" xr:uid="{00000000-0005-0000-0000-0000481F0000}"/>
    <cellStyle name="Percent 2 2 6 2" xfId="7968" xr:uid="{00000000-0005-0000-0000-0000491F0000}"/>
    <cellStyle name="Percent 2 2 6 2 2" xfId="7969" xr:uid="{00000000-0005-0000-0000-00004A1F0000}"/>
    <cellStyle name="Percent 2 2 6 2 3" xfId="7970" xr:uid="{00000000-0005-0000-0000-00004B1F0000}"/>
    <cellStyle name="Percent 2 2 6 3" xfId="7971" xr:uid="{00000000-0005-0000-0000-00004C1F0000}"/>
    <cellStyle name="Percent 2 2 7" xfId="7972" xr:uid="{00000000-0005-0000-0000-00004D1F0000}"/>
    <cellStyle name="Percent 2 2 7 2" xfId="7973" xr:uid="{00000000-0005-0000-0000-00004E1F0000}"/>
    <cellStyle name="Percent 2 2 7 2 2" xfId="7974" xr:uid="{00000000-0005-0000-0000-00004F1F0000}"/>
    <cellStyle name="Percent 2 2 7 2 3" xfId="7975" xr:uid="{00000000-0005-0000-0000-0000501F0000}"/>
    <cellStyle name="Percent 2 2 7 3" xfId="7976" xr:uid="{00000000-0005-0000-0000-0000511F0000}"/>
    <cellStyle name="Percent 2 2 8" xfId="7977" xr:uid="{00000000-0005-0000-0000-0000521F0000}"/>
    <cellStyle name="Percent 2 2 8 2" xfId="7978" xr:uid="{00000000-0005-0000-0000-0000531F0000}"/>
    <cellStyle name="Percent 2 2 8 2 2" xfId="7979" xr:uid="{00000000-0005-0000-0000-0000541F0000}"/>
    <cellStyle name="Percent 2 2 8 2 3" xfId="7980" xr:uid="{00000000-0005-0000-0000-0000551F0000}"/>
    <cellStyle name="Percent 2 2 8 3" xfId="7981" xr:uid="{00000000-0005-0000-0000-0000561F0000}"/>
    <cellStyle name="Percent 2 2 9" xfId="7982" xr:uid="{00000000-0005-0000-0000-0000571F0000}"/>
    <cellStyle name="Percent 2 2 9 2" xfId="7983" xr:uid="{00000000-0005-0000-0000-0000581F0000}"/>
    <cellStyle name="Percent 2 20" xfId="7984" xr:uid="{00000000-0005-0000-0000-0000591F0000}"/>
    <cellStyle name="Percent 2 20 2" xfId="7985" xr:uid="{00000000-0005-0000-0000-00005A1F0000}"/>
    <cellStyle name="Percent 2 20 2 2" xfId="7986" xr:uid="{00000000-0005-0000-0000-00005B1F0000}"/>
    <cellStyle name="Percent 2 20 2 3" xfId="7987" xr:uid="{00000000-0005-0000-0000-00005C1F0000}"/>
    <cellStyle name="Percent 2 20 3" xfId="7988" xr:uid="{00000000-0005-0000-0000-00005D1F0000}"/>
    <cellStyle name="Percent 2 21" xfId="7989" xr:uid="{00000000-0005-0000-0000-00005E1F0000}"/>
    <cellStyle name="Percent 2 21 2" xfId="7990" xr:uid="{00000000-0005-0000-0000-00005F1F0000}"/>
    <cellStyle name="Percent 2 21 2 2" xfId="7991" xr:uid="{00000000-0005-0000-0000-0000601F0000}"/>
    <cellStyle name="Percent 2 21 2 3" xfId="7992" xr:uid="{00000000-0005-0000-0000-0000611F0000}"/>
    <cellStyle name="Percent 2 21 3" xfId="7993" xr:uid="{00000000-0005-0000-0000-0000621F0000}"/>
    <cellStyle name="Percent 2 22" xfId="7994" xr:uid="{00000000-0005-0000-0000-0000631F0000}"/>
    <cellStyle name="Percent 2 22 2" xfId="7995" xr:uid="{00000000-0005-0000-0000-0000641F0000}"/>
    <cellStyle name="Percent 2 22 2 2" xfId="7996" xr:uid="{00000000-0005-0000-0000-0000651F0000}"/>
    <cellStyle name="Percent 2 22 2 3" xfId="7997" xr:uid="{00000000-0005-0000-0000-0000661F0000}"/>
    <cellStyle name="Percent 2 22 3" xfId="7998" xr:uid="{00000000-0005-0000-0000-0000671F0000}"/>
    <cellStyle name="Percent 2 23" xfId="7999" xr:uid="{00000000-0005-0000-0000-0000681F0000}"/>
    <cellStyle name="Percent 2 23 2" xfId="8000" xr:uid="{00000000-0005-0000-0000-0000691F0000}"/>
    <cellStyle name="Percent 2 23 2 2" xfId="8001" xr:uid="{00000000-0005-0000-0000-00006A1F0000}"/>
    <cellStyle name="Percent 2 23 2 3" xfId="8002" xr:uid="{00000000-0005-0000-0000-00006B1F0000}"/>
    <cellStyle name="Percent 2 23 3" xfId="8003" xr:uid="{00000000-0005-0000-0000-00006C1F0000}"/>
    <cellStyle name="Percent 2 24" xfId="8004" xr:uid="{00000000-0005-0000-0000-00006D1F0000}"/>
    <cellStyle name="Percent 2 24 2" xfId="8005" xr:uid="{00000000-0005-0000-0000-00006E1F0000}"/>
    <cellStyle name="Percent 2 24 2 2" xfId="8006" xr:uid="{00000000-0005-0000-0000-00006F1F0000}"/>
    <cellStyle name="Percent 2 24 2 3" xfId="8007" xr:uid="{00000000-0005-0000-0000-0000701F0000}"/>
    <cellStyle name="Percent 2 24 3" xfId="8008" xr:uid="{00000000-0005-0000-0000-0000711F0000}"/>
    <cellStyle name="Percent 2 25" xfId="8009" xr:uid="{00000000-0005-0000-0000-0000721F0000}"/>
    <cellStyle name="Percent 2 25 2" xfId="8010" xr:uid="{00000000-0005-0000-0000-0000731F0000}"/>
    <cellStyle name="Percent 2 25 2 2" xfId="8011" xr:uid="{00000000-0005-0000-0000-0000741F0000}"/>
    <cellStyle name="Percent 2 25 2 3" xfId="8012" xr:uid="{00000000-0005-0000-0000-0000751F0000}"/>
    <cellStyle name="Percent 2 25 3" xfId="8013" xr:uid="{00000000-0005-0000-0000-0000761F0000}"/>
    <cellStyle name="Percent 2 26" xfId="8014" xr:uid="{00000000-0005-0000-0000-0000771F0000}"/>
    <cellStyle name="Percent 2 26 2" xfId="8015" xr:uid="{00000000-0005-0000-0000-0000781F0000}"/>
    <cellStyle name="Percent 2 26 2 2" xfId="8016" xr:uid="{00000000-0005-0000-0000-0000791F0000}"/>
    <cellStyle name="Percent 2 26 2 3" xfId="8017" xr:uid="{00000000-0005-0000-0000-00007A1F0000}"/>
    <cellStyle name="Percent 2 26 3" xfId="8018" xr:uid="{00000000-0005-0000-0000-00007B1F0000}"/>
    <cellStyle name="Percent 2 27" xfId="8019" xr:uid="{00000000-0005-0000-0000-00007C1F0000}"/>
    <cellStyle name="Percent 2 27 2" xfId="8020" xr:uid="{00000000-0005-0000-0000-00007D1F0000}"/>
    <cellStyle name="Percent 2 27 2 2" xfId="8021" xr:uid="{00000000-0005-0000-0000-00007E1F0000}"/>
    <cellStyle name="Percent 2 27 2 3" xfId="8022" xr:uid="{00000000-0005-0000-0000-00007F1F0000}"/>
    <cellStyle name="Percent 2 27 3" xfId="8023" xr:uid="{00000000-0005-0000-0000-0000801F0000}"/>
    <cellStyle name="Percent 2 28" xfId="8024" xr:uid="{00000000-0005-0000-0000-0000811F0000}"/>
    <cellStyle name="Percent 2 28 2" xfId="8025" xr:uid="{00000000-0005-0000-0000-0000821F0000}"/>
    <cellStyle name="Percent 2 28 3" xfId="8026" xr:uid="{00000000-0005-0000-0000-0000831F0000}"/>
    <cellStyle name="Percent 2 28 4" xfId="8027" xr:uid="{00000000-0005-0000-0000-0000841F0000}"/>
    <cellStyle name="Percent 2 29" xfId="8028" xr:uid="{00000000-0005-0000-0000-0000851F0000}"/>
    <cellStyle name="Percent 2 29 2" xfId="8029" xr:uid="{00000000-0005-0000-0000-0000861F0000}"/>
    <cellStyle name="Percent 2 3" xfId="8030" xr:uid="{00000000-0005-0000-0000-0000871F0000}"/>
    <cellStyle name="Percent 2 3 10" xfId="8031" xr:uid="{00000000-0005-0000-0000-0000881F0000}"/>
    <cellStyle name="Percent 2 3 11" xfId="8032" xr:uid="{00000000-0005-0000-0000-0000891F0000}"/>
    <cellStyle name="Percent 2 3 12" xfId="8033" xr:uid="{00000000-0005-0000-0000-00008A1F0000}"/>
    <cellStyle name="Percent 2 3 13" xfId="8034" xr:uid="{00000000-0005-0000-0000-00008B1F0000}"/>
    <cellStyle name="Percent 2 3 14" xfId="8035" xr:uid="{00000000-0005-0000-0000-00008C1F0000}"/>
    <cellStyle name="Percent 2 3 15" xfId="8036" xr:uid="{00000000-0005-0000-0000-00008D1F0000}"/>
    <cellStyle name="Percent 2 3 16" xfId="8037" xr:uid="{00000000-0005-0000-0000-00008E1F0000}"/>
    <cellStyle name="Percent 2 3 17" xfId="8038" xr:uid="{00000000-0005-0000-0000-00008F1F0000}"/>
    <cellStyle name="Percent 2 3 18" xfId="8039" xr:uid="{00000000-0005-0000-0000-0000901F0000}"/>
    <cellStyle name="Percent 2 3 19" xfId="8040" xr:uid="{00000000-0005-0000-0000-0000911F0000}"/>
    <cellStyle name="Percent 2 3 2" xfId="8041" xr:uid="{00000000-0005-0000-0000-0000921F0000}"/>
    <cellStyle name="Percent 2 3 2 2" xfId="8042" xr:uid="{00000000-0005-0000-0000-0000931F0000}"/>
    <cellStyle name="Percent 2 3 2 2 2" xfId="8043" xr:uid="{00000000-0005-0000-0000-0000941F0000}"/>
    <cellStyle name="Percent 2 3 2 2 2 2" xfId="8044" xr:uid="{00000000-0005-0000-0000-0000951F0000}"/>
    <cellStyle name="Percent 2 3 2 2 2 2 2" xfId="8045" xr:uid="{00000000-0005-0000-0000-0000961F0000}"/>
    <cellStyle name="Percent 2 3 2 2 2 3" xfId="8046" xr:uid="{00000000-0005-0000-0000-0000971F0000}"/>
    <cellStyle name="Percent 2 3 2 2 3" xfId="8047" xr:uid="{00000000-0005-0000-0000-0000981F0000}"/>
    <cellStyle name="Percent 2 3 2 2 3 2" xfId="8048" xr:uid="{00000000-0005-0000-0000-0000991F0000}"/>
    <cellStyle name="Percent 2 3 2 2 3 2 2" xfId="8049" xr:uid="{00000000-0005-0000-0000-00009A1F0000}"/>
    <cellStyle name="Percent 2 3 2 2 3 3" xfId="8050" xr:uid="{00000000-0005-0000-0000-00009B1F0000}"/>
    <cellStyle name="Percent 2 3 2 2 4" xfId="8051" xr:uid="{00000000-0005-0000-0000-00009C1F0000}"/>
    <cellStyle name="Percent 2 3 2 2 4 2" xfId="8052" xr:uid="{00000000-0005-0000-0000-00009D1F0000}"/>
    <cellStyle name="Percent 2 3 2 2 4 2 2" xfId="8053" xr:uid="{00000000-0005-0000-0000-00009E1F0000}"/>
    <cellStyle name="Percent 2 3 2 2 4 3" xfId="8054" xr:uid="{00000000-0005-0000-0000-00009F1F0000}"/>
    <cellStyle name="Percent 2 3 2 2 5" xfId="8055" xr:uid="{00000000-0005-0000-0000-0000A01F0000}"/>
    <cellStyle name="Percent 2 3 2 2 5 2" xfId="8056" xr:uid="{00000000-0005-0000-0000-0000A11F0000}"/>
    <cellStyle name="Percent 2 3 2 2 5 2 2" xfId="8057" xr:uid="{00000000-0005-0000-0000-0000A21F0000}"/>
    <cellStyle name="Percent 2 3 2 2 5 3" xfId="8058" xr:uid="{00000000-0005-0000-0000-0000A31F0000}"/>
    <cellStyle name="Percent 2 3 2 3" xfId="8059" xr:uid="{00000000-0005-0000-0000-0000A41F0000}"/>
    <cellStyle name="Percent 2 3 2 4" xfId="8060" xr:uid="{00000000-0005-0000-0000-0000A51F0000}"/>
    <cellStyle name="Percent 2 3 2 4 2" xfId="8061" xr:uid="{00000000-0005-0000-0000-0000A61F0000}"/>
    <cellStyle name="Percent 2 3 2 5" xfId="8062" xr:uid="{00000000-0005-0000-0000-0000A71F0000}"/>
    <cellStyle name="Percent 2 3 2 6" xfId="8063" xr:uid="{00000000-0005-0000-0000-0000A81F0000}"/>
    <cellStyle name="Percent 2 3 2 6 2" xfId="8064" xr:uid="{00000000-0005-0000-0000-0000A91F0000}"/>
    <cellStyle name="Percent 2 3 2 6 3" xfId="8065" xr:uid="{00000000-0005-0000-0000-0000AA1F0000}"/>
    <cellStyle name="Percent 2 3 2 7" xfId="8066" xr:uid="{00000000-0005-0000-0000-0000AB1F0000}"/>
    <cellStyle name="Percent 2 3 2 8" xfId="8067" xr:uid="{00000000-0005-0000-0000-0000AC1F0000}"/>
    <cellStyle name="Percent 2 3 3" xfId="8068" xr:uid="{00000000-0005-0000-0000-0000AD1F0000}"/>
    <cellStyle name="Percent 2 3 3 2" xfId="8069" xr:uid="{00000000-0005-0000-0000-0000AE1F0000}"/>
    <cellStyle name="Percent 2 3 3 2 2" xfId="8070" xr:uid="{00000000-0005-0000-0000-0000AF1F0000}"/>
    <cellStyle name="Percent 2 3 3 3" xfId="8071" xr:uid="{00000000-0005-0000-0000-0000B01F0000}"/>
    <cellStyle name="Percent 2 3 3 4" xfId="8072" xr:uid="{00000000-0005-0000-0000-0000B11F0000}"/>
    <cellStyle name="Percent 2 3 4" xfId="8073" xr:uid="{00000000-0005-0000-0000-0000B21F0000}"/>
    <cellStyle name="Percent 2 3 4 2" xfId="8074" xr:uid="{00000000-0005-0000-0000-0000B31F0000}"/>
    <cellStyle name="Percent 2 3 4 2 2" xfId="8075" xr:uid="{00000000-0005-0000-0000-0000B41F0000}"/>
    <cellStyle name="Percent 2 3 4 3" xfId="8076" xr:uid="{00000000-0005-0000-0000-0000B51F0000}"/>
    <cellStyle name="Percent 2 3 4 4" xfId="8077" xr:uid="{00000000-0005-0000-0000-0000B61F0000}"/>
    <cellStyle name="Percent 2 3 5" xfId="8078" xr:uid="{00000000-0005-0000-0000-0000B71F0000}"/>
    <cellStyle name="Percent 2 3 5 2" xfId="8079" xr:uid="{00000000-0005-0000-0000-0000B81F0000}"/>
    <cellStyle name="Percent 2 3 5 2 2" xfId="8080" xr:uid="{00000000-0005-0000-0000-0000B91F0000}"/>
    <cellStyle name="Percent 2 3 5 3" xfId="8081" xr:uid="{00000000-0005-0000-0000-0000BA1F0000}"/>
    <cellStyle name="Percent 2 3 5 4" xfId="8082" xr:uid="{00000000-0005-0000-0000-0000BB1F0000}"/>
    <cellStyle name="Percent 2 3 6" xfId="8083" xr:uid="{00000000-0005-0000-0000-0000BC1F0000}"/>
    <cellStyle name="Percent 2 3 6 2" xfId="8084" xr:uid="{00000000-0005-0000-0000-0000BD1F0000}"/>
    <cellStyle name="Percent 2 3 6 2 2" xfId="8085" xr:uid="{00000000-0005-0000-0000-0000BE1F0000}"/>
    <cellStyle name="Percent 2 3 6 3" xfId="8086" xr:uid="{00000000-0005-0000-0000-0000BF1F0000}"/>
    <cellStyle name="Percent 2 3 6 4" xfId="8087" xr:uid="{00000000-0005-0000-0000-0000C01F0000}"/>
    <cellStyle name="Percent 2 3 7" xfId="8088" xr:uid="{00000000-0005-0000-0000-0000C11F0000}"/>
    <cellStyle name="Percent 2 3 8" xfId="8089" xr:uid="{00000000-0005-0000-0000-0000C21F0000}"/>
    <cellStyle name="Percent 2 3 9" xfId="8090" xr:uid="{00000000-0005-0000-0000-0000C31F0000}"/>
    <cellStyle name="Percent 2 30" xfId="8091" xr:uid="{00000000-0005-0000-0000-0000C41F0000}"/>
    <cellStyle name="Percent 2 30 2" xfId="8092" xr:uid="{00000000-0005-0000-0000-0000C51F0000}"/>
    <cellStyle name="Percent 2 31" xfId="8093" xr:uid="{00000000-0005-0000-0000-0000C61F0000}"/>
    <cellStyle name="Percent 2 31 2" xfId="8094" xr:uid="{00000000-0005-0000-0000-0000C71F0000}"/>
    <cellStyle name="Percent 2 32" xfId="8095" xr:uid="{00000000-0005-0000-0000-0000C81F0000}"/>
    <cellStyle name="Percent 2 32 2" xfId="8096" xr:uid="{00000000-0005-0000-0000-0000C91F0000}"/>
    <cellStyle name="Percent 2 33" xfId="8097" xr:uid="{00000000-0005-0000-0000-0000CA1F0000}"/>
    <cellStyle name="Percent 2 33 2" xfId="8098" xr:uid="{00000000-0005-0000-0000-0000CB1F0000}"/>
    <cellStyle name="Percent 2 34" xfId="8099" xr:uid="{00000000-0005-0000-0000-0000CC1F0000}"/>
    <cellStyle name="Percent 2 34 2" xfId="8100" xr:uid="{00000000-0005-0000-0000-0000CD1F0000}"/>
    <cellStyle name="Percent 2 35" xfId="8101" xr:uid="{00000000-0005-0000-0000-0000CE1F0000}"/>
    <cellStyle name="Percent 2 35 2" xfId="8102" xr:uid="{00000000-0005-0000-0000-0000CF1F0000}"/>
    <cellStyle name="Percent 2 36" xfId="8103" xr:uid="{00000000-0005-0000-0000-0000D01F0000}"/>
    <cellStyle name="Percent 2 36 2" xfId="8104" xr:uid="{00000000-0005-0000-0000-0000D11F0000}"/>
    <cellStyle name="Percent 2 37" xfId="8105" xr:uid="{00000000-0005-0000-0000-0000D21F0000}"/>
    <cellStyle name="Percent 2 37 2" xfId="8106" xr:uid="{00000000-0005-0000-0000-0000D31F0000}"/>
    <cellStyle name="Percent 2 38" xfId="8107" xr:uid="{00000000-0005-0000-0000-0000D41F0000}"/>
    <cellStyle name="Percent 2 38 2" xfId="8108" xr:uid="{00000000-0005-0000-0000-0000D51F0000}"/>
    <cellStyle name="Percent 2 39" xfId="8109" xr:uid="{00000000-0005-0000-0000-0000D61F0000}"/>
    <cellStyle name="Percent 2 39 2" xfId="8110" xr:uid="{00000000-0005-0000-0000-0000D71F0000}"/>
    <cellStyle name="Percent 2 4" xfId="8111" xr:uid="{00000000-0005-0000-0000-0000D81F0000}"/>
    <cellStyle name="Percent 2 4 2" xfId="8112" xr:uid="{00000000-0005-0000-0000-0000D91F0000}"/>
    <cellStyle name="Percent 2 4 2 2" xfId="8113" xr:uid="{00000000-0005-0000-0000-0000DA1F0000}"/>
    <cellStyle name="Percent 2 4 2 2 2" xfId="8114" xr:uid="{00000000-0005-0000-0000-0000DB1F0000}"/>
    <cellStyle name="Percent 2 4 2 3" xfId="8115" xr:uid="{00000000-0005-0000-0000-0000DC1F0000}"/>
    <cellStyle name="Percent 2 4 2 4" xfId="8116" xr:uid="{00000000-0005-0000-0000-0000DD1F0000}"/>
    <cellStyle name="Percent 2 4 2 5" xfId="8117" xr:uid="{00000000-0005-0000-0000-0000DE1F0000}"/>
    <cellStyle name="Percent 2 4 3" xfId="8118" xr:uid="{00000000-0005-0000-0000-0000DF1F0000}"/>
    <cellStyle name="Percent 2 4 4" xfId="8119" xr:uid="{00000000-0005-0000-0000-0000E01F0000}"/>
    <cellStyle name="Percent 2 4 5" xfId="8120" xr:uid="{00000000-0005-0000-0000-0000E11F0000}"/>
    <cellStyle name="Percent 2 4 6" xfId="8121" xr:uid="{00000000-0005-0000-0000-0000E21F0000}"/>
    <cellStyle name="Percent 2 40" xfId="8122" xr:uid="{00000000-0005-0000-0000-0000E31F0000}"/>
    <cellStyle name="Percent 2 40 2" xfId="8123" xr:uid="{00000000-0005-0000-0000-0000E41F0000}"/>
    <cellStyle name="Percent 2 41" xfId="8124" xr:uid="{00000000-0005-0000-0000-0000E51F0000}"/>
    <cellStyle name="Percent 2 41 2" xfId="8125" xr:uid="{00000000-0005-0000-0000-0000E61F0000}"/>
    <cellStyle name="Percent 2 42" xfId="8126" xr:uid="{00000000-0005-0000-0000-0000E71F0000}"/>
    <cellStyle name="Percent 2 42 2" xfId="8127" xr:uid="{00000000-0005-0000-0000-0000E81F0000}"/>
    <cellStyle name="Percent 2 43" xfId="8128" xr:uid="{00000000-0005-0000-0000-0000E91F0000}"/>
    <cellStyle name="Percent 2 43 2" xfId="8129" xr:uid="{00000000-0005-0000-0000-0000EA1F0000}"/>
    <cellStyle name="Percent 2 44" xfId="8130" xr:uid="{00000000-0005-0000-0000-0000EB1F0000}"/>
    <cellStyle name="Percent 2 44 2" xfId="8131" xr:uid="{00000000-0005-0000-0000-0000EC1F0000}"/>
    <cellStyle name="Percent 2 45" xfId="8132" xr:uid="{00000000-0005-0000-0000-0000ED1F0000}"/>
    <cellStyle name="Percent 2 45 2" xfId="8133" xr:uid="{00000000-0005-0000-0000-0000EE1F0000}"/>
    <cellStyle name="Percent 2 46" xfId="8134" xr:uid="{00000000-0005-0000-0000-0000EF1F0000}"/>
    <cellStyle name="Percent 2 46 2" xfId="8135" xr:uid="{00000000-0005-0000-0000-0000F01F0000}"/>
    <cellStyle name="Percent 2 47" xfId="8136" xr:uid="{00000000-0005-0000-0000-0000F11F0000}"/>
    <cellStyle name="Percent 2 47 2" xfId="8137" xr:uid="{00000000-0005-0000-0000-0000F21F0000}"/>
    <cellStyle name="Percent 2 48" xfId="8138" xr:uid="{00000000-0005-0000-0000-0000F31F0000}"/>
    <cellStyle name="Percent 2 48 2" xfId="8139" xr:uid="{00000000-0005-0000-0000-0000F41F0000}"/>
    <cellStyle name="Percent 2 49" xfId="8140" xr:uid="{00000000-0005-0000-0000-0000F51F0000}"/>
    <cellStyle name="Percent 2 49 2" xfId="8141" xr:uid="{00000000-0005-0000-0000-0000F61F0000}"/>
    <cellStyle name="Percent 2 5" xfId="8142" xr:uid="{00000000-0005-0000-0000-0000F71F0000}"/>
    <cellStyle name="Percent 2 5 2" xfId="8143" xr:uid="{00000000-0005-0000-0000-0000F81F0000}"/>
    <cellStyle name="Percent 2 5 2 2" xfId="8144" xr:uid="{00000000-0005-0000-0000-0000F91F0000}"/>
    <cellStyle name="Percent 2 5 2 3" xfId="8145" xr:uid="{00000000-0005-0000-0000-0000FA1F0000}"/>
    <cellStyle name="Percent 2 5 3" xfId="8146" xr:uid="{00000000-0005-0000-0000-0000FB1F0000}"/>
    <cellStyle name="Percent 2 5 4" xfId="8147" xr:uid="{00000000-0005-0000-0000-0000FC1F0000}"/>
    <cellStyle name="Percent 2 50" xfId="8148" xr:uid="{00000000-0005-0000-0000-0000FD1F0000}"/>
    <cellStyle name="Percent 2 50 2" xfId="8149" xr:uid="{00000000-0005-0000-0000-0000FE1F0000}"/>
    <cellStyle name="Percent 2 51" xfId="8150" xr:uid="{00000000-0005-0000-0000-0000FF1F0000}"/>
    <cellStyle name="Percent 2 51 2" xfId="8151" xr:uid="{00000000-0005-0000-0000-000000200000}"/>
    <cellStyle name="Percent 2 52" xfId="8152" xr:uid="{00000000-0005-0000-0000-000001200000}"/>
    <cellStyle name="Percent 2 52 2" xfId="8153" xr:uid="{00000000-0005-0000-0000-000002200000}"/>
    <cellStyle name="Percent 2 53" xfId="8154" xr:uid="{00000000-0005-0000-0000-000003200000}"/>
    <cellStyle name="Percent 2 53 2" xfId="8155" xr:uid="{00000000-0005-0000-0000-000004200000}"/>
    <cellStyle name="Percent 2 54" xfId="8156" xr:uid="{00000000-0005-0000-0000-000005200000}"/>
    <cellStyle name="Percent 2 54 2" xfId="8157" xr:uid="{00000000-0005-0000-0000-000006200000}"/>
    <cellStyle name="Percent 2 55" xfId="8158" xr:uid="{00000000-0005-0000-0000-000007200000}"/>
    <cellStyle name="Percent 2 56" xfId="8159" xr:uid="{00000000-0005-0000-0000-000008200000}"/>
    <cellStyle name="Percent 2 56 2" xfId="8160" xr:uid="{00000000-0005-0000-0000-000009200000}"/>
    <cellStyle name="Percent 2 57" xfId="8161" xr:uid="{00000000-0005-0000-0000-00000A200000}"/>
    <cellStyle name="Percent 2 57 2" xfId="8162" xr:uid="{00000000-0005-0000-0000-00000B200000}"/>
    <cellStyle name="Percent 2 58" xfId="8163" xr:uid="{00000000-0005-0000-0000-00000C200000}"/>
    <cellStyle name="Percent 2 58 2" xfId="8164" xr:uid="{00000000-0005-0000-0000-00000D200000}"/>
    <cellStyle name="Percent 2 59" xfId="8165" xr:uid="{00000000-0005-0000-0000-00000E200000}"/>
    <cellStyle name="Percent 2 59 2" xfId="8166" xr:uid="{00000000-0005-0000-0000-00000F200000}"/>
    <cellStyle name="Percent 2 6" xfId="8167" xr:uid="{00000000-0005-0000-0000-000010200000}"/>
    <cellStyle name="Percent 2 6 2" xfId="8168" xr:uid="{00000000-0005-0000-0000-000011200000}"/>
    <cellStyle name="Percent 2 6 2 2" xfId="8169" xr:uid="{00000000-0005-0000-0000-000012200000}"/>
    <cellStyle name="Percent 2 6 2 2 2" xfId="8170" xr:uid="{00000000-0005-0000-0000-000013200000}"/>
    <cellStyle name="Percent 2 6 2 3" xfId="8171" xr:uid="{00000000-0005-0000-0000-000014200000}"/>
    <cellStyle name="Percent 2 6 3" xfId="8172" xr:uid="{00000000-0005-0000-0000-000015200000}"/>
    <cellStyle name="Percent 2 6 4" xfId="8173" xr:uid="{00000000-0005-0000-0000-000016200000}"/>
    <cellStyle name="Percent 2 60" xfId="8174" xr:uid="{00000000-0005-0000-0000-000017200000}"/>
    <cellStyle name="Percent 2 60 2" xfId="8175" xr:uid="{00000000-0005-0000-0000-000018200000}"/>
    <cellStyle name="Percent 2 61" xfId="8176" xr:uid="{00000000-0005-0000-0000-000019200000}"/>
    <cellStyle name="Percent 2 61 2" xfId="8177" xr:uid="{00000000-0005-0000-0000-00001A200000}"/>
    <cellStyle name="Percent 2 62" xfId="8178" xr:uid="{00000000-0005-0000-0000-00001B200000}"/>
    <cellStyle name="Percent 2 62 2" xfId="8179" xr:uid="{00000000-0005-0000-0000-00001C200000}"/>
    <cellStyle name="Percent 2 63" xfId="8180" xr:uid="{00000000-0005-0000-0000-00001D200000}"/>
    <cellStyle name="Percent 2 63 2" xfId="8181" xr:uid="{00000000-0005-0000-0000-00001E200000}"/>
    <cellStyle name="Percent 2 63 2 2" xfId="8182" xr:uid="{00000000-0005-0000-0000-00001F200000}"/>
    <cellStyle name="Percent 2 63 2 2 2" xfId="8183" xr:uid="{00000000-0005-0000-0000-000020200000}"/>
    <cellStyle name="Percent 2 63 2 3" xfId="8184" xr:uid="{00000000-0005-0000-0000-000021200000}"/>
    <cellStyle name="Percent 2 64" xfId="8185" xr:uid="{00000000-0005-0000-0000-000022200000}"/>
    <cellStyle name="Percent 2 65" xfId="8186" xr:uid="{00000000-0005-0000-0000-000023200000}"/>
    <cellStyle name="Percent 2 66" xfId="8187" xr:uid="{00000000-0005-0000-0000-000024200000}"/>
    <cellStyle name="Percent 2 67" xfId="8188" xr:uid="{00000000-0005-0000-0000-000025200000}"/>
    <cellStyle name="Percent 2 68" xfId="8189" xr:uid="{00000000-0005-0000-0000-000026200000}"/>
    <cellStyle name="Percent 2 69" xfId="8190" xr:uid="{00000000-0005-0000-0000-000027200000}"/>
    <cellStyle name="Percent 2 69 2" xfId="8191" xr:uid="{00000000-0005-0000-0000-000028200000}"/>
    <cellStyle name="Percent 2 7" xfId="8192" xr:uid="{00000000-0005-0000-0000-000029200000}"/>
    <cellStyle name="Percent 2 7 2" xfId="8193" xr:uid="{00000000-0005-0000-0000-00002A200000}"/>
    <cellStyle name="Percent 2 7 2 2" xfId="8194" xr:uid="{00000000-0005-0000-0000-00002B200000}"/>
    <cellStyle name="Percent 2 7 2 3" xfId="8195" xr:uid="{00000000-0005-0000-0000-00002C200000}"/>
    <cellStyle name="Percent 2 7 3" xfId="8196" xr:uid="{00000000-0005-0000-0000-00002D200000}"/>
    <cellStyle name="Percent 2 70" xfId="8197" xr:uid="{00000000-0005-0000-0000-00002E200000}"/>
    <cellStyle name="Percent 2 71" xfId="8198" xr:uid="{00000000-0005-0000-0000-00002F200000}"/>
    <cellStyle name="Percent 2 72" xfId="8199" xr:uid="{00000000-0005-0000-0000-000030200000}"/>
    <cellStyle name="Percent 2 73" xfId="8200" xr:uid="{00000000-0005-0000-0000-000031200000}"/>
    <cellStyle name="Percent 2 74" xfId="8201" xr:uid="{00000000-0005-0000-0000-000032200000}"/>
    <cellStyle name="Percent 2 75" xfId="8202" xr:uid="{00000000-0005-0000-0000-000033200000}"/>
    <cellStyle name="Percent 2 76" xfId="8203" xr:uid="{00000000-0005-0000-0000-000034200000}"/>
    <cellStyle name="Percent 2 77" xfId="8204" xr:uid="{00000000-0005-0000-0000-000035200000}"/>
    <cellStyle name="Percent 2 78" xfId="8205" xr:uid="{00000000-0005-0000-0000-000036200000}"/>
    <cellStyle name="Percent 2 79" xfId="8206" xr:uid="{00000000-0005-0000-0000-000037200000}"/>
    <cellStyle name="Percent 2 8" xfId="8207" xr:uid="{00000000-0005-0000-0000-000038200000}"/>
    <cellStyle name="Percent 2 8 2" xfId="8208" xr:uid="{00000000-0005-0000-0000-000039200000}"/>
    <cellStyle name="Percent 2 8 2 2" xfId="8209" xr:uid="{00000000-0005-0000-0000-00003A200000}"/>
    <cellStyle name="Percent 2 8 2 3" xfId="8210" xr:uid="{00000000-0005-0000-0000-00003B200000}"/>
    <cellStyle name="Percent 2 8 3" xfId="8211" xr:uid="{00000000-0005-0000-0000-00003C200000}"/>
    <cellStyle name="Percent 2 80" xfId="8212" xr:uid="{00000000-0005-0000-0000-00003D200000}"/>
    <cellStyle name="Percent 2 81" xfId="8213" xr:uid="{00000000-0005-0000-0000-00003E200000}"/>
    <cellStyle name="Percent 2 82" xfId="8214" xr:uid="{00000000-0005-0000-0000-00003F200000}"/>
    <cellStyle name="Percent 2 83" xfId="8215" xr:uid="{00000000-0005-0000-0000-000040200000}"/>
    <cellStyle name="Percent 2 84" xfId="8216" xr:uid="{00000000-0005-0000-0000-000041200000}"/>
    <cellStyle name="Percent 2 85" xfId="8217" xr:uid="{00000000-0005-0000-0000-000042200000}"/>
    <cellStyle name="Percent 2 86" xfId="8218" xr:uid="{00000000-0005-0000-0000-000043200000}"/>
    <cellStyle name="Percent 2 87" xfId="8219" xr:uid="{00000000-0005-0000-0000-000044200000}"/>
    <cellStyle name="Percent 2 88" xfId="8220" xr:uid="{00000000-0005-0000-0000-000045200000}"/>
    <cellStyle name="Percent 2 89" xfId="8221" xr:uid="{00000000-0005-0000-0000-000046200000}"/>
    <cellStyle name="Percent 2 9" xfId="8222" xr:uid="{00000000-0005-0000-0000-000047200000}"/>
    <cellStyle name="Percent 2 9 2" xfId="8223" xr:uid="{00000000-0005-0000-0000-000048200000}"/>
    <cellStyle name="Percent 2 9 2 2" xfId="8224" xr:uid="{00000000-0005-0000-0000-000049200000}"/>
    <cellStyle name="Percent 2 9 2 3" xfId="8225" xr:uid="{00000000-0005-0000-0000-00004A200000}"/>
    <cellStyle name="Percent 2 9 3" xfId="8226" xr:uid="{00000000-0005-0000-0000-00004B200000}"/>
    <cellStyle name="Percent 2 90" xfId="8227" xr:uid="{00000000-0005-0000-0000-00004C200000}"/>
    <cellStyle name="Percent 2 91" xfId="8228" xr:uid="{00000000-0005-0000-0000-00004D200000}"/>
    <cellStyle name="Percent 2 92" xfId="8229" xr:uid="{00000000-0005-0000-0000-00004E200000}"/>
    <cellStyle name="Percent 2 93" xfId="8230" xr:uid="{00000000-0005-0000-0000-00004F200000}"/>
    <cellStyle name="Percent 2 94" xfId="8231" xr:uid="{00000000-0005-0000-0000-000050200000}"/>
    <cellStyle name="Percent 2 95" xfId="8232" xr:uid="{00000000-0005-0000-0000-000051200000}"/>
    <cellStyle name="Percent 2 96" xfId="8233" xr:uid="{00000000-0005-0000-0000-000052200000}"/>
    <cellStyle name="Percent 2 97" xfId="8234" xr:uid="{00000000-0005-0000-0000-000053200000}"/>
    <cellStyle name="Percent 2 98" xfId="8235" xr:uid="{00000000-0005-0000-0000-000054200000}"/>
    <cellStyle name="Percent 2 99" xfId="8236" xr:uid="{00000000-0005-0000-0000-000055200000}"/>
    <cellStyle name="Percent 20" xfId="8237" xr:uid="{00000000-0005-0000-0000-000056200000}"/>
    <cellStyle name="Percent 20 2" xfId="8238" xr:uid="{00000000-0005-0000-0000-000057200000}"/>
    <cellStyle name="Percent 21" xfId="8239" xr:uid="{00000000-0005-0000-0000-000058200000}"/>
    <cellStyle name="Percent 21 2" xfId="8240" xr:uid="{00000000-0005-0000-0000-000059200000}"/>
    <cellStyle name="Percent 22" xfId="8241" xr:uid="{00000000-0005-0000-0000-00005A200000}"/>
    <cellStyle name="Percent 23" xfId="8242" xr:uid="{00000000-0005-0000-0000-00005B200000}"/>
    <cellStyle name="Percent 24" xfId="8243" xr:uid="{00000000-0005-0000-0000-00005C200000}"/>
    <cellStyle name="Percent 25" xfId="8244" xr:uid="{00000000-0005-0000-0000-00005D200000}"/>
    <cellStyle name="Percent 26" xfId="8245" xr:uid="{00000000-0005-0000-0000-00005E200000}"/>
    <cellStyle name="Percent 26 2" xfId="8246" xr:uid="{00000000-0005-0000-0000-00005F200000}"/>
    <cellStyle name="Percent 27" xfId="8247" xr:uid="{00000000-0005-0000-0000-000060200000}"/>
    <cellStyle name="Percent 28" xfId="8248" xr:uid="{00000000-0005-0000-0000-000061200000}"/>
    <cellStyle name="Percent 29" xfId="8249" xr:uid="{00000000-0005-0000-0000-000062200000}"/>
    <cellStyle name="Percent 3" xfId="5" xr:uid="{00000000-0005-0000-0000-000063200000}"/>
    <cellStyle name="Percent 3 10" xfId="8250" xr:uid="{00000000-0005-0000-0000-000064200000}"/>
    <cellStyle name="Percent 3 10 2" xfId="8251" xr:uid="{00000000-0005-0000-0000-000065200000}"/>
    <cellStyle name="Percent 3 10 2 2" xfId="8252" xr:uid="{00000000-0005-0000-0000-000066200000}"/>
    <cellStyle name="Percent 3 10 2 3" xfId="8253" xr:uid="{00000000-0005-0000-0000-000067200000}"/>
    <cellStyle name="Percent 3 10 3" xfId="8254" xr:uid="{00000000-0005-0000-0000-000068200000}"/>
    <cellStyle name="Percent 3 100" xfId="8255" xr:uid="{00000000-0005-0000-0000-000069200000}"/>
    <cellStyle name="Percent 3 101" xfId="8256" xr:uid="{00000000-0005-0000-0000-00006A200000}"/>
    <cellStyle name="Percent 3 101 2" xfId="8257" xr:uid="{00000000-0005-0000-0000-00006B200000}"/>
    <cellStyle name="Percent 3 101 3" xfId="8258" xr:uid="{00000000-0005-0000-0000-00006C200000}"/>
    <cellStyle name="Percent 3 102" xfId="8259" xr:uid="{00000000-0005-0000-0000-00006D200000}"/>
    <cellStyle name="Percent 3 102 2" xfId="8260" xr:uid="{00000000-0005-0000-0000-00006E200000}"/>
    <cellStyle name="Percent 3 103" xfId="8261" xr:uid="{00000000-0005-0000-0000-00006F200000}"/>
    <cellStyle name="Percent 3 103 2" xfId="8262" xr:uid="{00000000-0005-0000-0000-000070200000}"/>
    <cellStyle name="Percent 3 104" xfId="8263" xr:uid="{00000000-0005-0000-0000-000071200000}"/>
    <cellStyle name="Percent 3 104 2" xfId="8264" xr:uid="{00000000-0005-0000-0000-000072200000}"/>
    <cellStyle name="Percent 3 105" xfId="8265" xr:uid="{00000000-0005-0000-0000-000073200000}"/>
    <cellStyle name="Percent 3 105 2" xfId="8266" xr:uid="{00000000-0005-0000-0000-000074200000}"/>
    <cellStyle name="Percent 3 106" xfId="8267" xr:uid="{00000000-0005-0000-0000-000075200000}"/>
    <cellStyle name="Percent 3 106 2" xfId="8268" xr:uid="{00000000-0005-0000-0000-000076200000}"/>
    <cellStyle name="Percent 3 107" xfId="8269" xr:uid="{00000000-0005-0000-0000-000077200000}"/>
    <cellStyle name="Percent 3 108" xfId="8270" xr:uid="{00000000-0005-0000-0000-000078200000}"/>
    <cellStyle name="Percent 3 109" xfId="8271" xr:uid="{00000000-0005-0000-0000-000079200000}"/>
    <cellStyle name="Percent 3 11" xfId="8272" xr:uid="{00000000-0005-0000-0000-00007A200000}"/>
    <cellStyle name="Percent 3 11 2" xfId="8273" xr:uid="{00000000-0005-0000-0000-00007B200000}"/>
    <cellStyle name="Percent 3 11 2 2" xfId="8274" xr:uid="{00000000-0005-0000-0000-00007C200000}"/>
    <cellStyle name="Percent 3 11 2 3" xfId="8275" xr:uid="{00000000-0005-0000-0000-00007D200000}"/>
    <cellStyle name="Percent 3 11 3" xfId="8276" xr:uid="{00000000-0005-0000-0000-00007E200000}"/>
    <cellStyle name="Percent 3 110" xfId="8277" xr:uid="{00000000-0005-0000-0000-00007F200000}"/>
    <cellStyle name="Percent 3 111" xfId="8278" xr:uid="{00000000-0005-0000-0000-000080200000}"/>
    <cellStyle name="Percent 3 112" xfId="8279" xr:uid="{00000000-0005-0000-0000-000081200000}"/>
    <cellStyle name="Percent 3 113" xfId="8280" xr:uid="{00000000-0005-0000-0000-000082200000}"/>
    <cellStyle name="Percent 3 114" xfId="8281" xr:uid="{00000000-0005-0000-0000-000083200000}"/>
    <cellStyle name="Percent 3 115" xfId="8282" xr:uid="{00000000-0005-0000-0000-000084200000}"/>
    <cellStyle name="Percent 3 116" xfId="8283" xr:uid="{00000000-0005-0000-0000-000085200000}"/>
    <cellStyle name="Percent 3 117" xfId="8284" xr:uid="{00000000-0005-0000-0000-000086200000}"/>
    <cellStyle name="Percent 3 118" xfId="8285" xr:uid="{00000000-0005-0000-0000-000087200000}"/>
    <cellStyle name="Percent 3 119" xfId="8286" xr:uid="{00000000-0005-0000-0000-000088200000}"/>
    <cellStyle name="Percent 3 119 2" xfId="8287" xr:uid="{00000000-0005-0000-0000-000089200000}"/>
    <cellStyle name="Percent 3 12" xfId="8288" xr:uid="{00000000-0005-0000-0000-00008A200000}"/>
    <cellStyle name="Percent 3 12 2" xfId="8289" xr:uid="{00000000-0005-0000-0000-00008B200000}"/>
    <cellStyle name="Percent 3 12 2 2" xfId="8290" xr:uid="{00000000-0005-0000-0000-00008C200000}"/>
    <cellStyle name="Percent 3 12 2 3" xfId="8291" xr:uid="{00000000-0005-0000-0000-00008D200000}"/>
    <cellStyle name="Percent 3 12 3" xfId="8292" xr:uid="{00000000-0005-0000-0000-00008E200000}"/>
    <cellStyle name="Percent 3 120" xfId="8293" xr:uid="{00000000-0005-0000-0000-00008F200000}"/>
    <cellStyle name="Percent 3 120 2" xfId="8294" xr:uid="{00000000-0005-0000-0000-000090200000}"/>
    <cellStyle name="Percent 3 121" xfId="8295" xr:uid="{00000000-0005-0000-0000-000091200000}"/>
    <cellStyle name="Percent 3 121 2" xfId="8296" xr:uid="{00000000-0005-0000-0000-000092200000}"/>
    <cellStyle name="Percent 3 122" xfId="8297" xr:uid="{00000000-0005-0000-0000-000093200000}"/>
    <cellStyle name="Percent 3 122 2" xfId="8298" xr:uid="{00000000-0005-0000-0000-000094200000}"/>
    <cellStyle name="Percent 3 123" xfId="8299" xr:uid="{00000000-0005-0000-0000-000095200000}"/>
    <cellStyle name="Percent 3 124" xfId="8300" xr:uid="{00000000-0005-0000-0000-000096200000}"/>
    <cellStyle name="Percent 3 125" xfId="8301" xr:uid="{00000000-0005-0000-0000-000097200000}"/>
    <cellStyle name="Percent 3 126" xfId="8302" xr:uid="{00000000-0005-0000-0000-000098200000}"/>
    <cellStyle name="Percent 3 127" xfId="8303" xr:uid="{00000000-0005-0000-0000-000099200000}"/>
    <cellStyle name="Percent 3 128" xfId="8304" xr:uid="{00000000-0005-0000-0000-00009A200000}"/>
    <cellStyle name="Percent 3 129" xfId="8305" xr:uid="{00000000-0005-0000-0000-00009B200000}"/>
    <cellStyle name="Percent 3 13" xfId="8306" xr:uid="{00000000-0005-0000-0000-00009C200000}"/>
    <cellStyle name="Percent 3 13 2" xfId="8307" xr:uid="{00000000-0005-0000-0000-00009D200000}"/>
    <cellStyle name="Percent 3 13 2 2" xfId="8308" xr:uid="{00000000-0005-0000-0000-00009E200000}"/>
    <cellStyle name="Percent 3 13 2 3" xfId="8309" xr:uid="{00000000-0005-0000-0000-00009F200000}"/>
    <cellStyle name="Percent 3 13 3" xfId="8310" xr:uid="{00000000-0005-0000-0000-0000A0200000}"/>
    <cellStyle name="Percent 3 13 4" xfId="8311" xr:uid="{00000000-0005-0000-0000-0000A1200000}"/>
    <cellStyle name="Percent 3 130" xfId="8312" xr:uid="{00000000-0005-0000-0000-0000A2200000}"/>
    <cellStyle name="Percent 3 131" xfId="8313" xr:uid="{00000000-0005-0000-0000-0000A3200000}"/>
    <cellStyle name="Percent 3 132" xfId="8314" xr:uid="{00000000-0005-0000-0000-0000A4200000}"/>
    <cellStyle name="Percent 3 133" xfId="8315" xr:uid="{00000000-0005-0000-0000-0000A5200000}"/>
    <cellStyle name="Percent 3 134" xfId="8316" xr:uid="{00000000-0005-0000-0000-0000A6200000}"/>
    <cellStyle name="Percent 3 135" xfId="8317" xr:uid="{00000000-0005-0000-0000-0000A7200000}"/>
    <cellStyle name="Percent 3 136" xfId="8318" xr:uid="{00000000-0005-0000-0000-0000A8200000}"/>
    <cellStyle name="Percent 3 137" xfId="8319" xr:uid="{00000000-0005-0000-0000-0000A9200000}"/>
    <cellStyle name="Percent 3 138" xfId="8320" xr:uid="{00000000-0005-0000-0000-0000AA200000}"/>
    <cellStyle name="Percent 3 139" xfId="8321" xr:uid="{00000000-0005-0000-0000-0000AB200000}"/>
    <cellStyle name="Percent 3 14" xfId="8322" xr:uid="{00000000-0005-0000-0000-0000AC200000}"/>
    <cellStyle name="Percent 3 14 2" xfId="8323" xr:uid="{00000000-0005-0000-0000-0000AD200000}"/>
    <cellStyle name="Percent 3 14 2 2" xfId="8324" xr:uid="{00000000-0005-0000-0000-0000AE200000}"/>
    <cellStyle name="Percent 3 14 2 3" xfId="8325" xr:uid="{00000000-0005-0000-0000-0000AF200000}"/>
    <cellStyle name="Percent 3 14 3" xfId="8326" xr:uid="{00000000-0005-0000-0000-0000B0200000}"/>
    <cellStyle name="Percent 3 140" xfId="8327" xr:uid="{00000000-0005-0000-0000-0000B1200000}"/>
    <cellStyle name="Percent 3 141" xfId="8328" xr:uid="{00000000-0005-0000-0000-0000B2200000}"/>
    <cellStyle name="Percent 3 142" xfId="8329" xr:uid="{00000000-0005-0000-0000-0000B3200000}"/>
    <cellStyle name="Percent 3 143" xfId="8330" xr:uid="{00000000-0005-0000-0000-0000B4200000}"/>
    <cellStyle name="Percent 3 144" xfId="8331" xr:uid="{00000000-0005-0000-0000-0000B5200000}"/>
    <cellStyle name="Percent 3 145" xfId="8332" xr:uid="{00000000-0005-0000-0000-0000B6200000}"/>
    <cellStyle name="Percent 3 145 2" xfId="8333" xr:uid="{00000000-0005-0000-0000-0000B7200000}"/>
    <cellStyle name="Percent 3 146" xfId="8334" xr:uid="{00000000-0005-0000-0000-0000B8200000}"/>
    <cellStyle name="Percent 3 146 2" xfId="8335" xr:uid="{00000000-0005-0000-0000-0000B9200000}"/>
    <cellStyle name="Percent 3 147" xfId="8336" xr:uid="{00000000-0005-0000-0000-0000BA200000}"/>
    <cellStyle name="Percent 3 148" xfId="8337" xr:uid="{00000000-0005-0000-0000-0000BB200000}"/>
    <cellStyle name="Percent 3 149" xfId="8338" xr:uid="{00000000-0005-0000-0000-0000BC200000}"/>
    <cellStyle name="Percent 3 15" xfId="8339" xr:uid="{00000000-0005-0000-0000-0000BD200000}"/>
    <cellStyle name="Percent 3 15 2" xfId="8340" xr:uid="{00000000-0005-0000-0000-0000BE200000}"/>
    <cellStyle name="Percent 3 15 2 2" xfId="8341" xr:uid="{00000000-0005-0000-0000-0000BF200000}"/>
    <cellStyle name="Percent 3 15 2 3" xfId="8342" xr:uid="{00000000-0005-0000-0000-0000C0200000}"/>
    <cellStyle name="Percent 3 15 3" xfId="8343" xr:uid="{00000000-0005-0000-0000-0000C1200000}"/>
    <cellStyle name="Percent 3 15 4" xfId="8344" xr:uid="{00000000-0005-0000-0000-0000C2200000}"/>
    <cellStyle name="Percent 3 150" xfId="8345" xr:uid="{00000000-0005-0000-0000-0000C3200000}"/>
    <cellStyle name="Percent 3 151" xfId="8346" xr:uid="{00000000-0005-0000-0000-0000C4200000}"/>
    <cellStyle name="Percent 3 152" xfId="8347" xr:uid="{00000000-0005-0000-0000-0000C5200000}"/>
    <cellStyle name="Percent 3 153" xfId="8348" xr:uid="{00000000-0005-0000-0000-0000C6200000}"/>
    <cellStyle name="Percent 3 154" xfId="8349" xr:uid="{00000000-0005-0000-0000-0000C7200000}"/>
    <cellStyle name="Percent 3 155" xfId="8350" xr:uid="{00000000-0005-0000-0000-0000C8200000}"/>
    <cellStyle name="Percent 3 16" xfId="8351" xr:uid="{00000000-0005-0000-0000-0000C9200000}"/>
    <cellStyle name="Percent 3 16 2" xfId="8352" xr:uid="{00000000-0005-0000-0000-0000CA200000}"/>
    <cellStyle name="Percent 3 16 2 2" xfId="8353" xr:uid="{00000000-0005-0000-0000-0000CB200000}"/>
    <cellStyle name="Percent 3 16 2 3" xfId="8354" xr:uid="{00000000-0005-0000-0000-0000CC200000}"/>
    <cellStyle name="Percent 3 16 3" xfId="8355" xr:uid="{00000000-0005-0000-0000-0000CD200000}"/>
    <cellStyle name="Percent 3 16 4" xfId="8356" xr:uid="{00000000-0005-0000-0000-0000CE200000}"/>
    <cellStyle name="Percent 3 17" xfId="8357" xr:uid="{00000000-0005-0000-0000-0000CF200000}"/>
    <cellStyle name="Percent 3 17 2" xfId="8358" xr:uid="{00000000-0005-0000-0000-0000D0200000}"/>
    <cellStyle name="Percent 3 17 2 2" xfId="8359" xr:uid="{00000000-0005-0000-0000-0000D1200000}"/>
    <cellStyle name="Percent 3 17 2 3" xfId="8360" xr:uid="{00000000-0005-0000-0000-0000D2200000}"/>
    <cellStyle name="Percent 3 17 3" xfId="8361" xr:uid="{00000000-0005-0000-0000-0000D3200000}"/>
    <cellStyle name="Percent 3 17 4" xfId="8362" xr:uid="{00000000-0005-0000-0000-0000D4200000}"/>
    <cellStyle name="Percent 3 18" xfId="8363" xr:uid="{00000000-0005-0000-0000-0000D5200000}"/>
    <cellStyle name="Percent 3 18 2" xfId="8364" xr:uid="{00000000-0005-0000-0000-0000D6200000}"/>
    <cellStyle name="Percent 3 18 2 2" xfId="8365" xr:uid="{00000000-0005-0000-0000-0000D7200000}"/>
    <cellStyle name="Percent 3 18 2 3" xfId="8366" xr:uid="{00000000-0005-0000-0000-0000D8200000}"/>
    <cellStyle name="Percent 3 18 3" xfId="8367" xr:uid="{00000000-0005-0000-0000-0000D9200000}"/>
    <cellStyle name="Percent 3 18 4" xfId="8368" xr:uid="{00000000-0005-0000-0000-0000DA200000}"/>
    <cellStyle name="Percent 3 19" xfId="8369" xr:uid="{00000000-0005-0000-0000-0000DB200000}"/>
    <cellStyle name="Percent 3 19 2" xfId="8370" xr:uid="{00000000-0005-0000-0000-0000DC200000}"/>
    <cellStyle name="Percent 3 19 2 2" xfId="8371" xr:uid="{00000000-0005-0000-0000-0000DD200000}"/>
    <cellStyle name="Percent 3 19 2 3" xfId="8372" xr:uid="{00000000-0005-0000-0000-0000DE200000}"/>
    <cellStyle name="Percent 3 19 3" xfId="8373" xr:uid="{00000000-0005-0000-0000-0000DF200000}"/>
    <cellStyle name="Percent 3 2" xfId="8374" xr:uid="{00000000-0005-0000-0000-0000E0200000}"/>
    <cellStyle name="Percent 3 2 10" xfId="8375" xr:uid="{00000000-0005-0000-0000-0000E1200000}"/>
    <cellStyle name="Percent 3 2 10 2" xfId="8376" xr:uid="{00000000-0005-0000-0000-0000E2200000}"/>
    <cellStyle name="Percent 3 2 11" xfId="8377" xr:uid="{00000000-0005-0000-0000-0000E3200000}"/>
    <cellStyle name="Percent 3 2 11 2" xfId="8378" xr:uid="{00000000-0005-0000-0000-0000E4200000}"/>
    <cellStyle name="Percent 3 2 12" xfId="8379" xr:uid="{00000000-0005-0000-0000-0000E5200000}"/>
    <cellStyle name="Percent 3 2 12 2" xfId="8380" xr:uid="{00000000-0005-0000-0000-0000E6200000}"/>
    <cellStyle name="Percent 3 2 12 2 2" xfId="8381" xr:uid="{00000000-0005-0000-0000-0000E7200000}"/>
    <cellStyle name="Percent 3 2 12 3" xfId="8382" xr:uid="{00000000-0005-0000-0000-0000E8200000}"/>
    <cellStyle name="Percent 3 2 13" xfId="8383" xr:uid="{00000000-0005-0000-0000-0000E9200000}"/>
    <cellStyle name="Percent 3 2 13 2" xfId="8384" xr:uid="{00000000-0005-0000-0000-0000EA200000}"/>
    <cellStyle name="Percent 3 2 14" xfId="8385" xr:uid="{00000000-0005-0000-0000-0000EB200000}"/>
    <cellStyle name="Percent 3 2 14 2" xfId="8386" xr:uid="{00000000-0005-0000-0000-0000EC200000}"/>
    <cellStyle name="Percent 3 2 14 2 2" xfId="8387" xr:uid="{00000000-0005-0000-0000-0000ED200000}"/>
    <cellStyle name="Percent 3 2 14 3" xfId="8388" xr:uid="{00000000-0005-0000-0000-0000EE200000}"/>
    <cellStyle name="Percent 3 2 15" xfId="8389" xr:uid="{00000000-0005-0000-0000-0000EF200000}"/>
    <cellStyle name="Percent 3 2 15 2" xfId="8390" xr:uid="{00000000-0005-0000-0000-0000F0200000}"/>
    <cellStyle name="Percent 3 2 15 2 2" xfId="8391" xr:uid="{00000000-0005-0000-0000-0000F1200000}"/>
    <cellStyle name="Percent 3 2 15 3" xfId="8392" xr:uid="{00000000-0005-0000-0000-0000F2200000}"/>
    <cellStyle name="Percent 3 2 16" xfId="8393" xr:uid="{00000000-0005-0000-0000-0000F3200000}"/>
    <cellStyle name="Percent 3 2 16 2" xfId="8394" xr:uid="{00000000-0005-0000-0000-0000F4200000}"/>
    <cellStyle name="Percent 3 2 16 2 2" xfId="8395" xr:uid="{00000000-0005-0000-0000-0000F5200000}"/>
    <cellStyle name="Percent 3 2 16 3" xfId="8396" xr:uid="{00000000-0005-0000-0000-0000F6200000}"/>
    <cellStyle name="Percent 3 2 17" xfId="8397" xr:uid="{00000000-0005-0000-0000-0000F7200000}"/>
    <cellStyle name="Percent 3 2 17 2" xfId="8398" xr:uid="{00000000-0005-0000-0000-0000F8200000}"/>
    <cellStyle name="Percent 3 2 17 2 2" xfId="8399" xr:uid="{00000000-0005-0000-0000-0000F9200000}"/>
    <cellStyle name="Percent 3 2 17 3" xfId="8400" xr:uid="{00000000-0005-0000-0000-0000FA200000}"/>
    <cellStyle name="Percent 3 2 18" xfId="8401" xr:uid="{00000000-0005-0000-0000-0000FB200000}"/>
    <cellStyle name="Percent 3 2 19" xfId="8402" xr:uid="{00000000-0005-0000-0000-0000FC200000}"/>
    <cellStyle name="Percent 3 2 2" xfId="8403" xr:uid="{00000000-0005-0000-0000-0000FD200000}"/>
    <cellStyle name="Percent 3 2 2 10" xfId="8404" xr:uid="{00000000-0005-0000-0000-0000FE200000}"/>
    <cellStyle name="Percent 3 2 2 10 2" xfId="8405" xr:uid="{00000000-0005-0000-0000-0000FF200000}"/>
    <cellStyle name="Percent 3 2 2 10 2 2" xfId="8406" xr:uid="{00000000-0005-0000-0000-000000210000}"/>
    <cellStyle name="Percent 3 2 2 10 3" xfId="8407" xr:uid="{00000000-0005-0000-0000-000001210000}"/>
    <cellStyle name="Percent 3 2 2 11" xfId="8408" xr:uid="{00000000-0005-0000-0000-000002210000}"/>
    <cellStyle name="Percent 3 2 2 11 2" xfId="8409" xr:uid="{00000000-0005-0000-0000-000003210000}"/>
    <cellStyle name="Percent 3 2 2 11 2 2" xfId="8410" xr:uid="{00000000-0005-0000-0000-000004210000}"/>
    <cellStyle name="Percent 3 2 2 11 3" xfId="8411" xr:uid="{00000000-0005-0000-0000-000005210000}"/>
    <cellStyle name="Percent 3 2 2 12" xfId="8412" xr:uid="{00000000-0005-0000-0000-000006210000}"/>
    <cellStyle name="Percent 3 2 2 12 2" xfId="8413" xr:uid="{00000000-0005-0000-0000-000007210000}"/>
    <cellStyle name="Percent 3 2 2 12 2 2" xfId="8414" xr:uid="{00000000-0005-0000-0000-000008210000}"/>
    <cellStyle name="Percent 3 2 2 12 3" xfId="8415" xr:uid="{00000000-0005-0000-0000-000009210000}"/>
    <cellStyle name="Percent 3 2 2 13" xfId="8416" xr:uid="{00000000-0005-0000-0000-00000A210000}"/>
    <cellStyle name="Percent 3 2 2 13 2" xfId="8417" xr:uid="{00000000-0005-0000-0000-00000B210000}"/>
    <cellStyle name="Percent 3 2 2 13 2 2" xfId="8418" xr:uid="{00000000-0005-0000-0000-00000C210000}"/>
    <cellStyle name="Percent 3 2 2 13 3" xfId="8419" xr:uid="{00000000-0005-0000-0000-00000D210000}"/>
    <cellStyle name="Percent 3 2 2 14" xfId="8420" xr:uid="{00000000-0005-0000-0000-00000E210000}"/>
    <cellStyle name="Percent 3 2 2 14 2" xfId="8421" xr:uid="{00000000-0005-0000-0000-00000F210000}"/>
    <cellStyle name="Percent 3 2 2 14 2 2" xfId="8422" xr:uid="{00000000-0005-0000-0000-000010210000}"/>
    <cellStyle name="Percent 3 2 2 14 3" xfId="8423" xr:uid="{00000000-0005-0000-0000-000011210000}"/>
    <cellStyle name="Percent 3 2 2 15" xfId="8424" xr:uid="{00000000-0005-0000-0000-000012210000}"/>
    <cellStyle name="Percent 3 2 2 15 2" xfId="8425" xr:uid="{00000000-0005-0000-0000-000013210000}"/>
    <cellStyle name="Percent 3 2 2 15 2 2" xfId="8426" xr:uid="{00000000-0005-0000-0000-000014210000}"/>
    <cellStyle name="Percent 3 2 2 15 3" xfId="8427" xr:uid="{00000000-0005-0000-0000-000015210000}"/>
    <cellStyle name="Percent 3 2 2 16" xfId="8428" xr:uid="{00000000-0005-0000-0000-000016210000}"/>
    <cellStyle name="Percent 3 2 2 16 2" xfId="8429" xr:uid="{00000000-0005-0000-0000-000017210000}"/>
    <cellStyle name="Percent 3 2 2 17" xfId="8430" xr:uid="{00000000-0005-0000-0000-000018210000}"/>
    <cellStyle name="Percent 3 2 2 17 2" xfId="8431" xr:uid="{00000000-0005-0000-0000-000019210000}"/>
    <cellStyle name="Percent 3 2 2 18" xfId="8432" xr:uid="{00000000-0005-0000-0000-00001A210000}"/>
    <cellStyle name="Percent 3 2 2 18 2" xfId="8433" xr:uid="{00000000-0005-0000-0000-00001B210000}"/>
    <cellStyle name="Percent 3 2 2 19" xfId="8434" xr:uid="{00000000-0005-0000-0000-00001C210000}"/>
    <cellStyle name="Percent 3 2 2 2" xfId="8435" xr:uid="{00000000-0005-0000-0000-00001D210000}"/>
    <cellStyle name="Percent 3 2 2 2 10" xfId="8436" xr:uid="{00000000-0005-0000-0000-00001E210000}"/>
    <cellStyle name="Percent 3 2 2 2 10 2" xfId="8437" xr:uid="{00000000-0005-0000-0000-00001F210000}"/>
    <cellStyle name="Percent 3 2 2 2 10 2 2" xfId="8438" xr:uid="{00000000-0005-0000-0000-000020210000}"/>
    <cellStyle name="Percent 3 2 2 2 10 3" xfId="8439" xr:uid="{00000000-0005-0000-0000-000021210000}"/>
    <cellStyle name="Percent 3 2 2 2 11" xfId="8440" xr:uid="{00000000-0005-0000-0000-000022210000}"/>
    <cellStyle name="Percent 3 2 2 2 11 2" xfId="8441" xr:uid="{00000000-0005-0000-0000-000023210000}"/>
    <cellStyle name="Percent 3 2 2 2 11 2 2" xfId="8442" xr:uid="{00000000-0005-0000-0000-000024210000}"/>
    <cellStyle name="Percent 3 2 2 2 11 3" xfId="8443" xr:uid="{00000000-0005-0000-0000-000025210000}"/>
    <cellStyle name="Percent 3 2 2 2 12" xfId="8444" xr:uid="{00000000-0005-0000-0000-000026210000}"/>
    <cellStyle name="Percent 3 2 2 2 12 2" xfId="8445" xr:uid="{00000000-0005-0000-0000-000027210000}"/>
    <cellStyle name="Percent 3 2 2 2 12 2 2" xfId="8446" xr:uid="{00000000-0005-0000-0000-000028210000}"/>
    <cellStyle name="Percent 3 2 2 2 12 3" xfId="8447" xr:uid="{00000000-0005-0000-0000-000029210000}"/>
    <cellStyle name="Percent 3 2 2 2 13" xfId="8448" xr:uid="{00000000-0005-0000-0000-00002A210000}"/>
    <cellStyle name="Percent 3 2 2 2 13 2" xfId="8449" xr:uid="{00000000-0005-0000-0000-00002B210000}"/>
    <cellStyle name="Percent 3 2 2 2 13 2 2" xfId="8450" xr:uid="{00000000-0005-0000-0000-00002C210000}"/>
    <cellStyle name="Percent 3 2 2 2 13 3" xfId="8451" xr:uid="{00000000-0005-0000-0000-00002D210000}"/>
    <cellStyle name="Percent 3 2 2 2 14" xfId="8452" xr:uid="{00000000-0005-0000-0000-00002E210000}"/>
    <cellStyle name="Percent 3 2 2 2 14 2" xfId="8453" xr:uid="{00000000-0005-0000-0000-00002F210000}"/>
    <cellStyle name="Percent 3 2 2 2 14 2 2" xfId="8454" xr:uid="{00000000-0005-0000-0000-000030210000}"/>
    <cellStyle name="Percent 3 2 2 2 14 3" xfId="8455" xr:uid="{00000000-0005-0000-0000-000031210000}"/>
    <cellStyle name="Percent 3 2 2 2 15" xfId="8456" xr:uid="{00000000-0005-0000-0000-000032210000}"/>
    <cellStyle name="Percent 3 2 2 2 15 2" xfId="8457" xr:uid="{00000000-0005-0000-0000-000033210000}"/>
    <cellStyle name="Percent 3 2 2 2 15 2 2" xfId="8458" xr:uid="{00000000-0005-0000-0000-000034210000}"/>
    <cellStyle name="Percent 3 2 2 2 15 3" xfId="8459" xr:uid="{00000000-0005-0000-0000-000035210000}"/>
    <cellStyle name="Percent 3 2 2 2 16" xfId="8460" xr:uid="{00000000-0005-0000-0000-000036210000}"/>
    <cellStyle name="Percent 3 2 2 2 16 2" xfId="8461" xr:uid="{00000000-0005-0000-0000-000037210000}"/>
    <cellStyle name="Percent 3 2 2 2 16 2 2" xfId="8462" xr:uid="{00000000-0005-0000-0000-000038210000}"/>
    <cellStyle name="Percent 3 2 2 2 16 3" xfId="8463" xr:uid="{00000000-0005-0000-0000-000039210000}"/>
    <cellStyle name="Percent 3 2 2 2 16 4" xfId="8464" xr:uid="{00000000-0005-0000-0000-00003A210000}"/>
    <cellStyle name="Percent 3 2 2 2 17" xfId="8465" xr:uid="{00000000-0005-0000-0000-00003B210000}"/>
    <cellStyle name="Percent 3 2 2 2 17 2" xfId="8466" xr:uid="{00000000-0005-0000-0000-00003C210000}"/>
    <cellStyle name="Percent 3 2 2 2 17 2 2" xfId="8467" xr:uid="{00000000-0005-0000-0000-00003D210000}"/>
    <cellStyle name="Percent 3 2 2 2 17 3" xfId="8468" xr:uid="{00000000-0005-0000-0000-00003E210000}"/>
    <cellStyle name="Percent 3 2 2 2 18" xfId="8469" xr:uid="{00000000-0005-0000-0000-00003F210000}"/>
    <cellStyle name="Percent 3 2 2 2 2" xfId="8470" xr:uid="{00000000-0005-0000-0000-000040210000}"/>
    <cellStyle name="Percent 3 2 2 2 2 2" xfId="8471" xr:uid="{00000000-0005-0000-0000-000041210000}"/>
    <cellStyle name="Percent 3 2 2 2 2 2 2" xfId="8472" xr:uid="{00000000-0005-0000-0000-000042210000}"/>
    <cellStyle name="Percent 3 2 2 2 2 2 2 2" xfId="8473" xr:uid="{00000000-0005-0000-0000-000043210000}"/>
    <cellStyle name="Percent 3 2 2 2 2 2 2 2 2" xfId="8474" xr:uid="{00000000-0005-0000-0000-000044210000}"/>
    <cellStyle name="Percent 3 2 2 2 2 2 2 3" xfId="8475" xr:uid="{00000000-0005-0000-0000-000045210000}"/>
    <cellStyle name="Percent 3 2 2 2 2 2 3" xfId="8476" xr:uid="{00000000-0005-0000-0000-000046210000}"/>
    <cellStyle name="Percent 3 2 2 2 2 2 3 2" xfId="8477" xr:uid="{00000000-0005-0000-0000-000047210000}"/>
    <cellStyle name="Percent 3 2 2 2 2 2 3 2 2" xfId="8478" xr:uid="{00000000-0005-0000-0000-000048210000}"/>
    <cellStyle name="Percent 3 2 2 2 2 2 3 3" xfId="8479" xr:uid="{00000000-0005-0000-0000-000049210000}"/>
    <cellStyle name="Percent 3 2 2 2 2 2 4" xfId="8480" xr:uid="{00000000-0005-0000-0000-00004A210000}"/>
    <cellStyle name="Percent 3 2 2 2 2 2 4 2" xfId="8481" xr:uid="{00000000-0005-0000-0000-00004B210000}"/>
    <cellStyle name="Percent 3 2 2 2 2 2 4 2 2" xfId="8482" xr:uid="{00000000-0005-0000-0000-00004C210000}"/>
    <cellStyle name="Percent 3 2 2 2 2 2 4 3" xfId="8483" xr:uid="{00000000-0005-0000-0000-00004D210000}"/>
    <cellStyle name="Percent 3 2 2 2 2 2 5" xfId="8484" xr:uid="{00000000-0005-0000-0000-00004E210000}"/>
    <cellStyle name="Percent 3 2 2 2 2 2 5 2" xfId="8485" xr:uid="{00000000-0005-0000-0000-00004F210000}"/>
    <cellStyle name="Percent 3 2 2 2 2 2 5 2 2" xfId="8486" xr:uid="{00000000-0005-0000-0000-000050210000}"/>
    <cellStyle name="Percent 3 2 2 2 2 2 5 3" xfId="8487" xr:uid="{00000000-0005-0000-0000-000051210000}"/>
    <cellStyle name="Percent 3 2 2 2 2 2 6" xfId="8488" xr:uid="{00000000-0005-0000-0000-000052210000}"/>
    <cellStyle name="Percent 3 2 2 2 2 2 6 2" xfId="8489" xr:uid="{00000000-0005-0000-0000-000053210000}"/>
    <cellStyle name="Percent 3 2 2 2 2 2 7" xfId="8490" xr:uid="{00000000-0005-0000-0000-000054210000}"/>
    <cellStyle name="Percent 3 2 2 2 2 3" xfId="8491" xr:uid="{00000000-0005-0000-0000-000055210000}"/>
    <cellStyle name="Percent 3 2 2 2 2 3 2" xfId="8492" xr:uid="{00000000-0005-0000-0000-000056210000}"/>
    <cellStyle name="Percent 3 2 2 2 2 3 2 2" xfId="8493" xr:uid="{00000000-0005-0000-0000-000057210000}"/>
    <cellStyle name="Percent 3 2 2 2 2 3 3" xfId="8494" xr:uid="{00000000-0005-0000-0000-000058210000}"/>
    <cellStyle name="Percent 3 2 2 2 2 4" xfId="8495" xr:uid="{00000000-0005-0000-0000-000059210000}"/>
    <cellStyle name="Percent 3 2 2 2 2 4 2" xfId="8496" xr:uid="{00000000-0005-0000-0000-00005A210000}"/>
    <cellStyle name="Percent 3 2 2 2 2 4 2 2" xfId="8497" xr:uid="{00000000-0005-0000-0000-00005B210000}"/>
    <cellStyle name="Percent 3 2 2 2 2 4 3" xfId="8498" xr:uid="{00000000-0005-0000-0000-00005C210000}"/>
    <cellStyle name="Percent 3 2 2 2 2 5" xfId="8499" xr:uid="{00000000-0005-0000-0000-00005D210000}"/>
    <cellStyle name="Percent 3 2 2 2 2 5 2" xfId="8500" xr:uid="{00000000-0005-0000-0000-00005E210000}"/>
    <cellStyle name="Percent 3 2 2 2 2 5 2 2" xfId="8501" xr:uid="{00000000-0005-0000-0000-00005F210000}"/>
    <cellStyle name="Percent 3 2 2 2 2 5 3" xfId="8502" xr:uid="{00000000-0005-0000-0000-000060210000}"/>
    <cellStyle name="Percent 3 2 2 2 2 6" xfId="8503" xr:uid="{00000000-0005-0000-0000-000061210000}"/>
    <cellStyle name="Percent 3 2 2 2 2 6 2" xfId="8504" xr:uid="{00000000-0005-0000-0000-000062210000}"/>
    <cellStyle name="Percent 3 2 2 2 2 7" xfId="8505" xr:uid="{00000000-0005-0000-0000-000063210000}"/>
    <cellStyle name="Percent 3 2 2 2 3" xfId="8506" xr:uid="{00000000-0005-0000-0000-000064210000}"/>
    <cellStyle name="Percent 3 2 2 2 3 2" xfId="8507" xr:uid="{00000000-0005-0000-0000-000065210000}"/>
    <cellStyle name="Percent 3 2 2 2 3 2 2" xfId="8508" xr:uid="{00000000-0005-0000-0000-000066210000}"/>
    <cellStyle name="Percent 3 2 2 2 3 3" xfId="8509" xr:uid="{00000000-0005-0000-0000-000067210000}"/>
    <cellStyle name="Percent 3 2 2 2 4" xfId="8510" xr:uid="{00000000-0005-0000-0000-000068210000}"/>
    <cellStyle name="Percent 3 2 2 2 4 2" xfId="8511" xr:uid="{00000000-0005-0000-0000-000069210000}"/>
    <cellStyle name="Percent 3 2 2 2 4 2 2" xfId="8512" xr:uid="{00000000-0005-0000-0000-00006A210000}"/>
    <cellStyle name="Percent 3 2 2 2 4 3" xfId="8513" xr:uid="{00000000-0005-0000-0000-00006B210000}"/>
    <cellStyle name="Percent 3 2 2 2 5" xfId="8514" xr:uid="{00000000-0005-0000-0000-00006C210000}"/>
    <cellStyle name="Percent 3 2 2 2 5 2" xfId="8515" xr:uid="{00000000-0005-0000-0000-00006D210000}"/>
    <cellStyle name="Percent 3 2 2 2 5 2 2" xfId="8516" xr:uid="{00000000-0005-0000-0000-00006E210000}"/>
    <cellStyle name="Percent 3 2 2 2 5 3" xfId="8517" xr:uid="{00000000-0005-0000-0000-00006F210000}"/>
    <cellStyle name="Percent 3 2 2 2 6" xfId="8518" xr:uid="{00000000-0005-0000-0000-000070210000}"/>
    <cellStyle name="Percent 3 2 2 2 6 2" xfId="8519" xr:uid="{00000000-0005-0000-0000-000071210000}"/>
    <cellStyle name="Percent 3 2 2 2 6 2 2" xfId="8520" xr:uid="{00000000-0005-0000-0000-000072210000}"/>
    <cellStyle name="Percent 3 2 2 2 6 3" xfId="8521" xr:uid="{00000000-0005-0000-0000-000073210000}"/>
    <cellStyle name="Percent 3 2 2 2 7" xfId="8522" xr:uid="{00000000-0005-0000-0000-000074210000}"/>
    <cellStyle name="Percent 3 2 2 2 7 2" xfId="8523" xr:uid="{00000000-0005-0000-0000-000075210000}"/>
    <cellStyle name="Percent 3 2 2 2 7 2 2" xfId="8524" xr:uid="{00000000-0005-0000-0000-000076210000}"/>
    <cellStyle name="Percent 3 2 2 2 7 3" xfId="8525" xr:uid="{00000000-0005-0000-0000-000077210000}"/>
    <cellStyle name="Percent 3 2 2 2 8" xfId="8526" xr:uid="{00000000-0005-0000-0000-000078210000}"/>
    <cellStyle name="Percent 3 2 2 2 8 2" xfId="8527" xr:uid="{00000000-0005-0000-0000-000079210000}"/>
    <cellStyle name="Percent 3 2 2 2 8 2 2" xfId="8528" xr:uid="{00000000-0005-0000-0000-00007A210000}"/>
    <cellStyle name="Percent 3 2 2 2 8 3" xfId="8529" xr:uid="{00000000-0005-0000-0000-00007B210000}"/>
    <cellStyle name="Percent 3 2 2 2 9" xfId="8530" xr:uid="{00000000-0005-0000-0000-00007C210000}"/>
    <cellStyle name="Percent 3 2 2 2 9 2" xfId="8531" xr:uid="{00000000-0005-0000-0000-00007D210000}"/>
    <cellStyle name="Percent 3 2 2 2 9 2 2" xfId="8532" xr:uid="{00000000-0005-0000-0000-00007E210000}"/>
    <cellStyle name="Percent 3 2 2 2 9 3" xfId="8533" xr:uid="{00000000-0005-0000-0000-00007F210000}"/>
    <cellStyle name="Percent 3 2 2 3" xfId="8534" xr:uid="{00000000-0005-0000-0000-000080210000}"/>
    <cellStyle name="Percent 3 2 2 3 2" xfId="8535" xr:uid="{00000000-0005-0000-0000-000081210000}"/>
    <cellStyle name="Percent 3 2 2 3 2 2" xfId="8536" xr:uid="{00000000-0005-0000-0000-000082210000}"/>
    <cellStyle name="Percent 3 2 2 3 3" xfId="8537" xr:uid="{00000000-0005-0000-0000-000083210000}"/>
    <cellStyle name="Percent 3 2 2 4" xfId="8538" xr:uid="{00000000-0005-0000-0000-000084210000}"/>
    <cellStyle name="Percent 3 2 2 4 2" xfId="8539" xr:uid="{00000000-0005-0000-0000-000085210000}"/>
    <cellStyle name="Percent 3 2 2 4 2 2" xfId="8540" xr:uid="{00000000-0005-0000-0000-000086210000}"/>
    <cellStyle name="Percent 3 2 2 4 3" xfId="8541" xr:uid="{00000000-0005-0000-0000-000087210000}"/>
    <cellStyle name="Percent 3 2 2 5" xfId="8542" xr:uid="{00000000-0005-0000-0000-000088210000}"/>
    <cellStyle name="Percent 3 2 2 5 2" xfId="8543" xr:uid="{00000000-0005-0000-0000-000089210000}"/>
    <cellStyle name="Percent 3 2 2 5 2 2" xfId="8544" xr:uid="{00000000-0005-0000-0000-00008A210000}"/>
    <cellStyle name="Percent 3 2 2 5 3" xfId="8545" xr:uid="{00000000-0005-0000-0000-00008B210000}"/>
    <cellStyle name="Percent 3 2 2 6" xfId="8546" xr:uid="{00000000-0005-0000-0000-00008C210000}"/>
    <cellStyle name="Percent 3 2 2 6 2" xfId="8547" xr:uid="{00000000-0005-0000-0000-00008D210000}"/>
    <cellStyle name="Percent 3 2 2 6 2 2" xfId="8548" xr:uid="{00000000-0005-0000-0000-00008E210000}"/>
    <cellStyle name="Percent 3 2 2 6 3" xfId="8549" xr:uid="{00000000-0005-0000-0000-00008F210000}"/>
    <cellStyle name="Percent 3 2 2 7" xfId="8550" xr:uid="{00000000-0005-0000-0000-000090210000}"/>
    <cellStyle name="Percent 3 2 2 7 2" xfId="8551" xr:uid="{00000000-0005-0000-0000-000091210000}"/>
    <cellStyle name="Percent 3 2 2 7 2 2" xfId="8552" xr:uid="{00000000-0005-0000-0000-000092210000}"/>
    <cellStyle name="Percent 3 2 2 7 3" xfId="8553" xr:uid="{00000000-0005-0000-0000-000093210000}"/>
    <cellStyle name="Percent 3 2 2 8" xfId="8554" xr:uid="{00000000-0005-0000-0000-000094210000}"/>
    <cellStyle name="Percent 3 2 2 8 2" xfId="8555" xr:uid="{00000000-0005-0000-0000-000095210000}"/>
    <cellStyle name="Percent 3 2 2 8 2 2" xfId="8556" xr:uid="{00000000-0005-0000-0000-000096210000}"/>
    <cellStyle name="Percent 3 2 2 8 3" xfId="8557" xr:uid="{00000000-0005-0000-0000-000097210000}"/>
    <cellStyle name="Percent 3 2 2 9" xfId="8558" xr:uid="{00000000-0005-0000-0000-000098210000}"/>
    <cellStyle name="Percent 3 2 2 9 2" xfId="8559" xr:uid="{00000000-0005-0000-0000-000099210000}"/>
    <cellStyle name="Percent 3 2 2 9 2 2" xfId="8560" xr:uid="{00000000-0005-0000-0000-00009A210000}"/>
    <cellStyle name="Percent 3 2 2 9 3" xfId="8561" xr:uid="{00000000-0005-0000-0000-00009B210000}"/>
    <cellStyle name="Percent 3 2 20" xfId="8562" xr:uid="{00000000-0005-0000-0000-00009C210000}"/>
    <cellStyle name="Percent 3 2 20 2" xfId="8563" xr:uid="{00000000-0005-0000-0000-00009D210000}"/>
    <cellStyle name="Percent 3 2 3" xfId="8564" xr:uid="{00000000-0005-0000-0000-00009E210000}"/>
    <cellStyle name="Percent 3 2 3 2" xfId="8565" xr:uid="{00000000-0005-0000-0000-00009F210000}"/>
    <cellStyle name="Percent 3 2 4" xfId="8566" xr:uid="{00000000-0005-0000-0000-0000A0210000}"/>
    <cellStyle name="Percent 3 2 4 2" xfId="8567" xr:uid="{00000000-0005-0000-0000-0000A1210000}"/>
    <cellStyle name="Percent 3 2 5" xfId="8568" xr:uid="{00000000-0005-0000-0000-0000A2210000}"/>
    <cellStyle name="Percent 3 2 5 2" xfId="8569" xr:uid="{00000000-0005-0000-0000-0000A3210000}"/>
    <cellStyle name="Percent 3 2 6" xfId="8570" xr:uid="{00000000-0005-0000-0000-0000A4210000}"/>
    <cellStyle name="Percent 3 2 6 2" xfId="8571" xr:uid="{00000000-0005-0000-0000-0000A5210000}"/>
    <cellStyle name="Percent 3 2 7" xfId="8572" xr:uid="{00000000-0005-0000-0000-0000A6210000}"/>
    <cellStyle name="Percent 3 2 7 2" xfId="8573" xr:uid="{00000000-0005-0000-0000-0000A7210000}"/>
    <cellStyle name="Percent 3 2 8" xfId="8574" xr:uid="{00000000-0005-0000-0000-0000A8210000}"/>
    <cellStyle name="Percent 3 2 8 2" xfId="8575" xr:uid="{00000000-0005-0000-0000-0000A9210000}"/>
    <cellStyle name="Percent 3 2 9" xfId="8576" xr:uid="{00000000-0005-0000-0000-0000AA210000}"/>
    <cellStyle name="Percent 3 2 9 2" xfId="8577" xr:uid="{00000000-0005-0000-0000-0000AB210000}"/>
    <cellStyle name="Percent 3 20" xfId="8578" xr:uid="{00000000-0005-0000-0000-0000AC210000}"/>
    <cellStyle name="Percent 3 20 2" xfId="8579" xr:uid="{00000000-0005-0000-0000-0000AD210000}"/>
    <cellStyle name="Percent 3 20 3" xfId="8580" xr:uid="{00000000-0005-0000-0000-0000AE210000}"/>
    <cellStyle name="Percent 3 20 4" xfId="8581" xr:uid="{00000000-0005-0000-0000-0000AF210000}"/>
    <cellStyle name="Percent 3 21" xfId="8582" xr:uid="{00000000-0005-0000-0000-0000B0210000}"/>
    <cellStyle name="Percent 3 21 2" xfId="8583" xr:uid="{00000000-0005-0000-0000-0000B1210000}"/>
    <cellStyle name="Percent 3 21 3" xfId="8584" xr:uid="{00000000-0005-0000-0000-0000B2210000}"/>
    <cellStyle name="Percent 3 21 4" xfId="8585" xr:uid="{00000000-0005-0000-0000-0000B3210000}"/>
    <cellStyle name="Percent 3 22" xfId="8586" xr:uid="{00000000-0005-0000-0000-0000B4210000}"/>
    <cellStyle name="Percent 3 22 2" xfId="8587" xr:uid="{00000000-0005-0000-0000-0000B5210000}"/>
    <cellStyle name="Percent 3 23" xfId="8588" xr:uid="{00000000-0005-0000-0000-0000B6210000}"/>
    <cellStyle name="Percent 3 23 2" xfId="8589" xr:uid="{00000000-0005-0000-0000-0000B7210000}"/>
    <cellStyle name="Percent 3 24" xfId="8590" xr:uid="{00000000-0005-0000-0000-0000B8210000}"/>
    <cellStyle name="Percent 3 24 2" xfId="8591" xr:uid="{00000000-0005-0000-0000-0000B9210000}"/>
    <cellStyle name="Percent 3 25" xfId="8592" xr:uid="{00000000-0005-0000-0000-0000BA210000}"/>
    <cellStyle name="Percent 3 25 2" xfId="8593" xr:uid="{00000000-0005-0000-0000-0000BB210000}"/>
    <cellStyle name="Percent 3 26" xfId="8594" xr:uid="{00000000-0005-0000-0000-0000BC210000}"/>
    <cellStyle name="Percent 3 26 2" xfId="8595" xr:uid="{00000000-0005-0000-0000-0000BD210000}"/>
    <cellStyle name="Percent 3 27" xfId="8596" xr:uid="{00000000-0005-0000-0000-0000BE210000}"/>
    <cellStyle name="Percent 3 27 2" xfId="8597" xr:uid="{00000000-0005-0000-0000-0000BF210000}"/>
    <cellStyle name="Percent 3 28" xfId="8598" xr:uid="{00000000-0005-0000-0000-0000C0210000}"/>
    <cellStyle name="Percent 3 28 2" xfId="8599" xr:uid="{00000000-0005-0000-0000-0000C1210000}"/>
    <cellStyle name="Percent 3 29" xfId="8600" xr:uid="{00000000-0005-0000-0000-0000C2210000}"/>
    <cellStyle name="Percent 3 29 2" xfId="8601" xr:uid="{00000000-0005-0000-0000-0000C3210000}"/>
    <cellStyle name="Percent 3 3" xfId="8602" xr:uid="{00000000-0005-0000-0000-0000C4210000}"/>
    <cellStyle name="Percent 3 3 2" xfId="8603" xr:uid="{00000000-0005-0000-0000-0000C5210000}"/>
    <cellStyle name="Percent 3 3 2 2" xfId="8604" xr:uid="{00000000-0005-0000-0000-0000C6210000}"/>
    <cellStyle name="Percent 3 3 2 2 2" xfId="8605" xr:uid="{00000000-0005-0000-0000-0000C7210000}"/>
    <cellStyle name="Percent 3 3 2 3" xfId="8606" xr:uid="{00000000-0005-0000-0000-0000C8210000}"/>
    <cellStyle name="Percent 3 3 2 4" xfId="8607" xr:uid="{00000000-0005-0000-0000-0000C9210000}"/>
    <cellStyle name="Percent 3 3 2 5" xfId="8608" xr:uid="{00000000-0005-0000-0000-0000CA210000}"/>
    <cellStyle name="Percent 3 3 3" xfId="8609" xr:uid="{00000000-0005-0000-0000-0000CB210000}"/>
    <cellStyle name="Percent 3 3 4" xfId="8610" xr:uid="{00000000-0005-0000-0000-0000CC210000}"/>
    <cellStyle name="Percent 3 3 5" xfId="8611" xr:uid="{00000000-0005-0000-0000-0000CD210000}"/>
    <cellStyle name="Percent 3 3 6" xfId="8612" xr:uid="{00000000-0005-0000-0000-0000CE210000}"/>
    <cellStyle name="Percent 3 3 6 2" xfId="8613" xr:uid="{00000000-0005-0000-0000-0000CF210000}"/>
    <cellStyle name="Percent 3 3 6 3" xfId="8614" xr:uid="{00000000-0005-0000-0000-0000D0210000}"/>
    <cellStyle name="Percent 3 3 7" xfId="8615" xr:uid="{00000000-0005-0000-0000-0000D1210000}"/>
    <cellStyle name="Percent 3 30" xfId="8616" xr:uid="{00000000-0005-0000-0000-0000D2210000}"/>
    <cellStyle name="Percent 3 30 2" xfId="8617" xr:uid="{00000000-0005-0000-0000-0000D3210000}"/>
    <cellStyle name="Percent 3 31" xfId="8618" xr:uid="{00000000-0005-0000-0000-0000D4210000}"/>
    <cellStyle name="Percent 3 31 2" xfId="8619" xr:uid="{00000000-0005-0000-0000-0000D5210000}"/>
    <cellStyle name="Percent 3 32" xfId="8620" xr:uid="{00000000-0005-0000-0000-0000D6210000}"/>
    <cellStyle name="Percent 3 32 2" xfId="8621" xr:uid="{00000000-0005-0000-0000-0000D7210000}"/>
    <cellStyle name="Percent 3 33" xfId="8622" xr:uid="{00000000-0005-0000-0000-0000D8210000}"/>
    <cellStyle name="Percent 3 33 2" xfId="8623" xr:uid="{00000000-0005-0000-0000-0000D9210000}"/>
    <cellStyle name="Percent 3 34" xfId="8624" xr:uid="{00000000-0005-0000-0000-0000DA210000}"/>
    <cellStyle name="Percent 3 34 2" xfId="8625" xr:uid="{00000000-0005-0000-0000-0000DB210000}"/>
    <cellStyle name="Percent 3 35" xfId="8626" xr:uid="{00000000-0005-0000-0000-0000DC210000}"/>
    <cellStyle name="Percent 3 35 2" xfId="8627" xr:uid="{00000000-0005-0000-0000-0000DD210000}"/>
    <cellStyle name="Percent 3 36" xfId="8628" xr:uid="{00000000-0005-0000-0000-0000DE210000}"/>
    <cellStyle name="Percent 3 36 2" xfId="8629" xr:uid="{00000000-0005-0000-0000-0000DF210000}"/>
    <cellStyle name="Percent 3 37" xfId="8630" xr:uid="{00000000-0005-0000-0000-0000E0210000}"/>
    <cellStyle name="Percent 3 37 2" xfId="8631" xr:uid="{00000000-0005-0000-0000-0000E1210000}"/>
    <cellStyle name="Percent 3 38" xfId="8632" xr:uid="{00000000-0005-0000-0000-0000E2210000}"/>
    <cellStyle name="Percent 3 38 2" xfId="8633" xr:uid="{00000000-0005-0000-0000-0000E3210000}"/>
    <cellStyle name="Percent 3 39" xfId="8634" xr:uid="{00000000-0005-0000-0000-0000E4210000}"/>
    <cellStyle name="Percent 3 39 2" xfId="8635" xr:uid="{00000000-0005-0000-0000-0000E5210000}"/>
    <cellStyle name="Percent 3 4" xfId="8636" xr:uid="{00000000-0005-0000-0000-0000E6210000}"/>
    <cellStyle name="Percent 3 4 2" xfId="8637" xr:uid="{00000000-0005-0000-0000-0000E7210000}"/>
    <cellStyle name="Percent 3 4 3" xfId="8638" xr:uid="{00000000-0005-0000-0000-0000E8210000}"/>
    <cellStyle name="Percent 3 4 3 2" xfId="8639" xr:uid="{00000000-0005-0000-0000-0000E9210000}"/>
    <cellStyle name="Percent 3 4 4" xfId="8640" xr:uid="{00000000-0005-0000-0000-0000EA210000}"/>
    <cellStyle name="Percent 3 4 4 2" xfId="8641" xr:uid="{00000000-0005-0000-0000-0000EB210000}"/>
    <cellStyle name="Percent 3 4 4 3" xfId="8642" xr:uid="{00000000-0005-0000-0000-0000EC210000}"/>
    <cellStyle name="Percent 3 40" xfId="8643" xr:uid="{00000000-0005-0000-0000-0000ED210000}"/>
    <cellStyle name="Percent 3 40 2" xfId="8644" xr:uid="{00000000-0005-0000-0000-0000EE210000}"/>
    <cellStyle name="Percent 3 41" xfId="8645" xr:uid="{00000000-0005-0000-0000-0000EF210000}"/>
    <cellStyle name="Percent 3 41 2" xfId="8646" xr:uid="{00000000-0005-0000-0000-0000F0210000}"/>
    <cellStyle name="Percent 3 42" xfId="8647" xr:uid="{00000000-0005-0000-0000-0000F1210000}"/>
    <cellStyle name="Percent 3 42 2" xfId="8648" xr:uid="{00000000-0005-0000-0000-0000F2210000}"/>
    <cellStyle name="Percent 3 43" xfId="8649" xr:uid="{00000000-0005-0000-0000-0000F3210000}"/>
    <cellStyle name="Percent 3 43 2" xfId="8650" xr:uid="{00000000-0005-0000-0000-0000F4210000}"/>
    <cellStyle name="Percent 3 44" xfId="8651" xr:uid="{00000000-0005-0000-0000-0000F5210000}"/>
    <cellStyle name="Percent 3 44 2" xfId="8652" xr:uid="{00000000-0005-0000-0000-0000F6210000}"/>
    <cellStyle name="Percent 3 45" xfId="8653" xr:uid="{00000000-0005-0000-0000-0000F7210000}"/>
    <cellStyle name="Percent 3 45 2" xfId="8654" xr:uid="{00000000-0005-0000-0000-0000F8210000}"/>
    <cellStyle name="Percent 3 46" xfId="8655" xr:uid="{00000000-0005-0000-0000-0000F9210000}"/>
    <cellStyle name="Percent 3 46 2" xfId="8656" xr:uid="{00000000-0005-0000-0000-0000FA210000}"/>
    <cellStyle name="Percent 3 47" xfId="8657" xr:uid="{00000000-0005-0000-0000-0000FB210000}"/>
    <cellStyle name="Percent 3 47 2" xfId="8658" xr:uid="{00000000-0005-0000-0000-0000FC210000}"/>
    <cellStyle name="Percent 3 48" xfId="8659" xr:uid="{00000000-0005-0000-0000-0000FD210000}"/>
    <cellStyle name="Percent 3 48 2" xfId="8660" xr:uid="{00000000-0005-0000-0000-0000FE210000}"/>
    <cellStyle name="Percent 3 49" xfId="8661" xr:uid="{00000000-0005-0000-0000-0000FF210000}"/>
    <cellStyle name="Percent 3 49 2" xfId="8662" xr:uid="{00000000-0005-0000-0000-000000220000}"/>
    <cellStyle name="Percent 3 5" xfId="8663" xr:uid="{00000000-0005-0000-0000-000001220000}"/>
    <cellStyle name="Percent 3 5 2" xfId="8664" xr:uid="{00000000-0005-0000-0000-000002220000}"/>
    <cellStyle name="Percent 3 5 2 2" xfId="8665" xr:uid="{00000000-0005-0000-0000-000003220000}"/>
    <cellStyle name="Percent 3 5 2 3" xfId="8666" xr:uid="{00000000-0005-0000-0000-000004220000}"/>
    <cellStyle name="Percent 3 5 3" xfId="8667" xr:uid="{00000000-0005-0000-0000-000005220000}"/>
    <cellStyle name="Percent 3 50" xfId="8668" xr:uid="{00000000-0005-0000-0000-000006220000}"/>
    <cellStyle name="Percent 3 50 2" xfId="8669" xr:uid="{00000000-0005-0000-0000-000007220000}"/>
    <cellStyle name="Percent 3 51" xfId="8670" xr:uid="{00000000-0005-0000-0000-000008220000}"/>
    <cellStyle name="Percent 3 51 2" xfId="8671" xr:uid="{00000000-0005-0000-0000-000009220000}"/>
    <cellStyle name="Percent 3 52" xfId="8672" xr:uid="{00000000-0005-0000-0000-00000A220000}"/>
    <cellStyle name="Percent 3 52 2" xfId="8673" xr:uid="{00000000-0005-0000-0000-00000B220000}"/>
    <cellStyle name="Percent 3 53" xfId="8674" xr:uid="{00000000-0005-0000-0000-00000C220000}"/>
    <cellStyle name="Percent 3 53 2" xfId="8675" xr:uid="{00000000-0005-0000-0000-00000D220000}"/>
    <cellStyle name="Percent 3 54" xfId="8676" xr:uid="{00000000-0005-0000-0000-00000E220000}"/>
    <cellStyle name="Percent 3 54 2" xfId="8677" xr:uid="{00000000-0005-0000-0000-00000F220000}"/>
    <cellStyle name="Percent 3 55" xfId="8678" xr:uid="{00000000-0005-0000-0000-000010220000}"/>
    <cellStyle name="Percent 3 55 2" xfId="8679" xr:uid="{00000000-0005-0000-0000-000011220000}"/>
    <cellStyle name="Percent 3 56" xfId="8680" xr:uid="{00000000-0005-0000-0000-000012220000}"/>
    <cellStyle name="Percent 3 56 2" xfId="8681" xr:uid="{00000000-0005-0000-0000-000013220000}"/>
    <cellStyle name="Percent 3 57" xfId="8682" xr:uid="{00000000-0005-0000-0000-000014220000}"/>
    <cellStyle name="Percent 3 57 2" xfId="8683" xr:uid="{00000000-0005-0000-0000-000015220000}"/>
    <cellStyle name="Percent 3 58" xfId="8684" xr:uid="{00000000-0005-0000-0000-000016220000}"/>
    <cellStyle name="Percent 3 58 2" xfId="8685" xr:uid="{00000000-0005-0000-0000-000017220000}"/>
    <cellStyle name="Percent 3 59" xfId="8686" xr:uid="{00000000-0005-0000-0000-000018220000}"/>
    <cellStyle name="Percent 3 59 2" xfId="8687" xr:uid="{00000000-0005-0000-0000-000019220000}"/>
    <cellStyle name="Percent 3 6" xfId="8688" xr:uid="{00000000-0005-0000-0000-00001A220000}"/>
    <cellStyle name="Percent 3 6 2" xfId="8689" xr:uid="{00000000-0005-0000-0000-00001B220000}"/>
    <cellStyle name="Percent 3 6 2 2" xfId="8690" xr:uid="{00000000-0005-0000-0000-00001C220000}"/>
    <cellStyle name="Percent 3 6 2 3" xfId="8691" xr:uid="{00000000-0005-0000-0000-00001D220000}"/>
    <cellStyle name="Percent 3 6 3" xfId="8692" xr:uid="{00000000-0005-0000-0000-00001E220000}"/>
    <cellStyle name="Percent 3 60" xfId="8693" xr:uid="{00000000-0005-0000-0000-00001F220000}"/>
    <cellStyle name="Percent 3 60 2" xfId="8694" xr:uid="{00000000-0005-0000-0000-000020220000}"/>
    <cellStyle name="Percent 3 61" xfId="8695" xr:uid="{00000000-0005-0000-0000-000021220000}"/>
    <cellStyle name="Percent 3 61 2" xfId="8696" xr:uid="{00000000-0005-0000-0000-000022220000}"/>
    <cellStyle name="Percent 3 62" xfId="8697" xr:uid="{00000000-0005-0000-0000-000023220000}"/>
    <cellStyle name="Percent 3 63" xfId="8698" xr:uid="{00000000-0005-0000-0000-000024220000}"/>
    <cellStyle name="Percent 3 64" xfId="8699" xr:uid="{00000000-0005-0000-0000-000025220000}"/>
    <cellStyle name="Percent 3 65" xfId="8700" xr:uid="{00000000-0005-0000-0000-000026220000}"/>
    <cellStyle name="Percent 3 66" xfId="8701" xr:uid="{00000000-0005-0000-0000-000027220000}"/>
    <cellStyle name="Percent 3 67" xfId="8702" xr:uid="{00000000-0005-0000-0000-000028220000}"/>
    <cellStyle name="Percent 3 68" xfId="8703" xr:uid="{00000000-0005-0000-0000-000029220000}"/>
    <cellStyle name="Percent 3 69" xfId="8704" xr:uid="{00000000-0005-0000-0000-00002A220000}"/>
    <cellStyle name="Percent 3 7" xfId="8705" xr:uid="{00000000-0005-0000-0000-00002B220000}"/>
    <cellStyle name="Percent 3 7 2" xfId="8706" xr:uid="{00000000-0005-0000-0000-00002C220000}"/>
    <cellStyle name="Percent 3 7 2 2" xfId="8707" xr:uid="{00000000-0005-0000-0000-00002D220000}"/>
    <cellStyle name="Percent 3 7 2 3" xfId="8708" xr:uid="{00000000-0005-0000-0000-00002E220000}"/>
    <cellStyle name="Percent 3 7 3" xfId="8709" xr:uid="{00000000-0005-0000-0000-00002F220000}"/>
    <cellStyle name="Percent 3 70" xfId="8710" xr:uid="{00000000-0005-0000-0000-000030220000}"/>
    <cellStyle name="Percent 3 71" xfId="8711" xr:uid="{00000000-0005-0000-0000-000031220000}"/>
    <cellStyle name="Percent 3 72" xfId="8712" xr:uid="{00000000-0005-0000-0000-000032220000}"/>
    <cellStyle name="Percent 3 73" xfId="8713" xr:uid="{00000000-0005-0000-0000-000033220000}"/>
    <cellStyle name="Percent 3 74" xfId="8714" xr:uid="{00000000-0005-0000-0000-000034220000}"/>
    <cellStyle name="Percent 3 75" xfId="8715" xr:uid="{00000000-0005-0000-0000-000035220000}"/>
    <cellStyle name="Percent 3 76" xfId="8716" xr:uid="{00000000-0005-0000-0000-000036220000}"/>
    <cellStyle name="Percent 3 77" xfId="8717" xr:uid="{00000000-0005-0000-0000-000037220000}"/>
    <cellStyle name="Percent 3 78" xfId="8718" xr:uid="{00000000-0005-0000-0000-000038220000}"/>
    <cellStyle name="Percent 3 79" xfId="8719" xr:uid="{00000000-0005-0000-0000-000039220000}"/>
    <cellStyle name="Percent 3 8" xfId="8720" xr:uid="{00000000-0005-0000-0000-00003A220000}"/>
    <cellStyle name="Percent 3 8 2" xfId="8721" xr:uid="{00000000-0005-0000-0000-00003B220000}"/>
    <cellStyle name="Percent 3 8 2 2" xfId="8722" xr:uid="{00000000-0005-0000-0000-00003C220000}"/>
    <cellStyle name="Percent 3 8 2 3" xfId="8723" xr:uid="{00000000-0005-0000-0000-00003D220000}"/>
    <cellStyle name="Percent 3 8 3" xfId="8724" xr:uid="{00000000-0005-0000-0000-00003E220000}"/>
    <cellStyle name="Percent 3 80" xfId="8725" xr:uid="{00000000-0005-0000-0000-00003F220000}"/>
    <cellStyle name="Percent 3 81" xfId="8726" xr:uid="{00000000-0005-0000-0000-000040220000}"/>
    <cellStyle name="Percent 3 82" xfId="8727" xr:uid="{00000000-0005-0000-0000-000041220000}"/>
    <cellStyle name="Percent 3 83" xfId="8728" xr:uid="{00000000-0005-0000-0000-000042220000}"/>
    <cellStyle name="Percent 3 84" xfId="8729" xr:uid="{00000000-0005-0000-0000-000043220000}"/>
    <cellStyle name="Percent 3 85" xfId="8730" xr:uid="{00000000-0005-0000-0000-000044220000}"/>
    <cellStyle name="Percent 3 86" xfId="8731" xr:uid="{00000000-0005-0000-0000-000045220000}"/>
    <cellStyle name="Percent 3 87" xfId="8732" xr:uid="{00000000-0005-0000-0000-000046220000}"/>
    <cellStyle name="Percent 3 88" xfId="8733" xr:uid="{00000000-0005-0000-0000-000047220000}"/>
    <cellStyle name="Percent 3 89" xfId="8734" xr:uid="{00000000-0005-0000-0000-000048220000}"/>
    <cellStyle name="Percent 3 9" xfId="8735" xr:uid="{00000000-0005-0000-0000-000049220000}"/>
    <cellStyle name="Percent 3 9 2" xfId="8736" xr:uid="{00000000-0005-0000-0000-00004A220000}"/>
    <cellStyle name="Percent 3 9 2 2" xfId="8737" xr:uid="{00000000-0005-0000-0000-00004B220000}"/>
    <cellStyle name="Percent 3 9 2 3" xfId="8738" xr:uid="{00000000-0005-0000-0000-00004C220000}"/>
    <cellStyle name="Percent 3 9 3" xfId="8739" xr:uid="{00000000-0005-0000-0000-00004D220000}"/>
    <cellStyle name="Percent 3 90" xfId="8740" xr:uid="{00000000-0005-0000-0000-00004E220000}"/>
    <cellStyle name="Percent 3 91" xfId="8741" xr:uid="{00000000-0005-0000-0000-00004F220000}"/>
    <cellStyle name="Percent 3 92" xfId="8742" xr:uid="{00000000-0005-0000-0000-000050220000}"/>
    <cellStyle name="Percent 3 93" xfId="8743" xr:uid="{00000000-0005-0000-0000-000051220000}"/>
    <cellStyle name="Percent 3 94" xfId="8744" xr:uid="{00000000-0005-0000-0000-000052220000}"/>
    <cellStyle name="Percent 3 95" xfId="8745" xr:uid="{00000000-0005-0000-0000-000053220000}"/>
    <cellStyle name="Percent 3 96" xfId="8746" xr:uid="{00000000-0005-0000-0000-000054220000}"/>
    <cellStyle name="Percent 3 97" xfId="8747" xr:uid="{00000000-0005-0000-0000-000055220000}"/>
    <cellStyle name="Percent 3 98" xfId="8748" xr:uid="{00000000-0005-0000-0000-000056220000}"/>
    <cellStyle name="Percent 3 99" xfId="8749" xr:uid="{00000000-0005-0000-0000-000057220000}"/>
    <cellStyle name="Percent 3 99 2" xfId="8750" xr:uid="{00000000-0005-0000-0000-000058220000}"/>
    <cellStyle name="Percent 30" xfId="8751" xr:uid="{00000000-0005-0000-0000-000059220000}"/>
    <cellStyle name="Percent 31" xfId="8752" xr:uid="{00000000-0005-0000-0000-00005A220000}"/>
    <cellStyle name="Percent 32" xfId="8753" xr:uid="{00000000-0005-0000-0000-00005B220000}"/>
    <cellStyle name="Percent 33" xfId="8754" xr:uid="{00000000-0005-0000-0000-00005C220000}"/>
    <cellStyle name="Percent 34" xfId="8755" xr:uid="{00000000-0005-0000-0000-00005D220000}"/>
    <cellStyle name="Percent 35" xfId="8756" xr:uid="{00000000-0005-0000-0000-00005E220000}"/>
    <cellStyle name="Percent 36" xfId="8757" xr:uid="{00000000-0005-0000-0000-00005F220000}"/>
    <cellStyle name="Percent 37" xfId="8758" xr:uid="{00000000-0005-0000-0000-000060220000}"/>
    <cellStyle name="Percent 38" xfId="8759" xr:uid="{00000000-0005-0000-0000-000061220000}"/>
    <cellStyle name="Percent 39" xfId="8760" xr:uid="{00000000-0005-0000-0000-000062220000}"/>
    <cellStyle name="Percent 4" xfId="8" xr:uid="{00000000-0005-0000-0000-000063220000}"/>
    <cellStyle name="Percent 4 10" xfId="8761" xr:uid="{00000000-0005-0000-0000-000064220000}"/>
    <cellStyle name="Percent 4 11" xfId="8762" xr:uid="{00000000-0005-0000-0000-000065220000}"/>
    <cellStyle name="Percent 4 12" xfId="8763" xr:uid="{00000000-0005-0000-0000-000066220000}"/>
    <cellStyle name="Percent 4 13" xfId="8764" xr:uid="{00000000-0005-0000-0000-000067220000}"/>
    <cellStyle name="Percent 4 14" xfId="8765" xr:uid="{00000000-0005-0000-0000-000068220000}"/>
    <cellStyle name="Percent 4 15" xfId="8766" xr:uid="{00000000-0005-0000-0000-000069220000}"/>
    <cellStyle name="Percent 4 16" xfId="8767" xr:uid="{00000000-0005-0000-0000-00006A220000}"/>
    <cellStyle name="Percent 4 17" xfId="8768" xr:uid="{00000000-0005-0000-0000-00006B220000}"/>
    <cellStyle name="Percent 4 18" xfId="8769" xr:uid="{00000000-0005-0000-0000-00006C220000}"/>
    <cellStyle name="Percent 4 19" xfId="8770" xr:uid="{00000000-0005-0000-0000-00006D220000}"/>
    <cellStyle name="Percent 4 2" xfId="8771" xr:uid="{00000000-0005-0000-0000-00006E220000}"/>
    <cellStyle name="Percent 4 2 2" xfId="8772" xr:uid="{00000000-0005-0000-0000-00006F220000}"/>
    <cellStyle name="Percent 4 2 2 2" xfId="8773" xr:uid="{00000000-0005-0000-0000-000070220000}"/>
    <cellStyle name="Percent 4 2 3" xfId="8774" xr:uid="{00000000-0005-0000-0000-000071220000}"/>
    <cellStyle name="Percent 4 2 4" xfId="8775" xr:uid="{00000000-0005-0000-0000-000072220000}"/>
    <cellStyle name="Percent 4 20" xfId="8776" xr:uid="{00000000-0005-0000-0000-000073220000}"/>
    <cellStyle name="Percent 4 21" xfId="8777" xr:uid="{00000000-0005-0000-0000-000074220000}"/>
    <cellStyle name="Percent 4 22" xfId="8778" xr:uid="{00000000-0005-0000-0000-000075220000}"/>
    <cellStyle name="Percent 4 23" xfId="8779" xr:uid="{00000000-0005-0000-0000-000076220000}"/>
    <cellStyle name="Percent 4 24" xfId="8780" xr:uid="{00000000-0005-0000-0000-000077220000}"/>
    <cellStyle name="Percent 4 25" xfId="8781" xr:uid="{00000000-0005-0000-0000-000078220000}"/>
    <cellStyle name="Percent 4 26" xfId="8782" xr:uid="{00000000-0005-0000-0000-000079220000}"/>
    <cellStyle name="Percent 4 27" xfId="8783" xr:uid="{00000000-0005-0000-0000-00007A220000}"/>
    <cellStyle name="Percent 4 28" xfId="8784" xr:uid="{00000000-0005-0000-0000-00007B220000}"/>
    <cellStyle name="Percent 4 29" xfId="8785" xr:uid="{00000000-0005-0000-0000-00007C220000}"/>
    <cellStyle name="Percent 4 3" xfId="8786" xr:uid="{00000000-0005-0000-0000-00007D220000}"/>
    <cellStyle name="Percent 4 3 2" xfId="8787" xr:uid="{00000000-0005-0000-0000-00007E220000}"/>
    <cellStyle name="Percent 4 30" xfId="8788" xr:uid="{00000000-0005-0000-0000-00007F220000}"/>
    <cellStyle name="Percent 4 31" xfId="8789" xr:uid="{00000000-0005-0000-0000-000080220000}"/>
    <cellStyle name="Percent 4 32" xfId="8790" xr:uid="{00000000-0005-0000-0000-000081220000}"/>
    <cellStyle name="Percent 4 33" xfId="8791" xr:uid="{00000000-0005-0000-0000-000082220000}"/>
    <cellStyle name="Percent 4 34" xfId="8792" xr:uid="{00000000-0005-0000-0000-000083220000}"/>
    <cellStyle name="Percent 4 35" xfId="8793" xr:uid="{00000000-0005-0000-0000-000084220000}"/>
    <cellStyle name="Percent 4 36" xfId="8794" xr:uid="{00000000-0005-0000-0000-000085220000}"/>
    <cellStyle name="Percent 4 37" xfId="8795" xr:uid="{00000000-0005-0000-0000-000086220000}"/>
    <cellStyle name="Percent 4 38" xfId="8796" xr:uid="{00000000-0005-0000-0000-000087220000}"/>
    <cellStyle name="Percent 4 39" xfId="8797" xr:uid="{00000000-0005-0000-0000-000088220000}"/>
    <cellStyle name="Percent 4 4" xfId="8798" xr:uid="{00000000-0005-0000-0000-000089220000}"/>
    <cellStyle name="Percent 4 40" xfId="8799" xr:uid="{00000000-0005-0000-0000-00008A220000}"/>
    <cellStyle name="Percent 4 41" xfId="8800" xr:uid="{00000000-0005-0000-0000-00008B220000}"/>
    <cellStyle name="Percent 4 42" xfId="8801" xr:uid="{00000000-0005-0000-0000-00008C220000}"/>
    <cellStyle name="Percent 4 43" xfId="8802" xr:uid="{00000000-0005-0000-0000-00008D220000}"/>
    <cellStyle name="Percent 4 44" xfId="8803" xr:uid="{00000000-0005-0000-0000-00008E220000}"/>
    <cellStyle name="Percent 4 45" xfId="8804" xr:uid="{00000000-0005-0000-0000-00008F220000}"/>
    <cellStyle name="Percent 4 46" xfId="8805" xr:uid="{00000000-0005-0000-0000-000090220000}"/>
    <cellStyle name="Percent 4 47" xfId="8806" xr:uid="{00000000-0005-0000-0000-000091220000}"/>
    <cellStyle name="Percent 4 48" xfId="8807" xr:uid="{00000000-0005-0000-0000-000092220000}"/>
    <cellStyle name="Percent 4 49" xfId="8808" xr:uid="{00000000-0005-0000-0000-000093220000}"/>
    <cellStyle name="Percent 4 5" xfId="8809" xr:uid="{00000000-0005-0000-0000-000094220000}"/>
    <cellStyle name="Percent 4 50" xfId="8810" xr:uid="{00000000-0005-0000-0000-000095220000}"/>
    <cellStyle name="Percent 4 51" xfId="8811" xr:uid="{00000000-0005-0000-0000-000096220000}"/>
    <cellStyle name="Percent 4 52" xfId="8812" xr:uid="{00000000-0005-0000-0000-000097220000}"/>
    <cellStyle name="Percent 4 53" xfId="8813" xr:uid="{00000000-0005-0000-0000-000098220000}"/>
    <cellStyle name="Percent 4 54" xfId="8814" xr:uid="{00000000-0005-0000-0000-000099220000}"/>
    <cellStyle name="Percent 4 55" xfId="8815" xr:uid="{00000000-0005-0000-0000-00009A220000}"/>
    <cellStyle name="Percent 4 56" xfId="8816" xr:uid="{00000000-0005-0000-0000-00009B220000}"/>
    <cellStyle name="Percent 4 57" xfId="8817" xr:uid="{00000000-0005-0000-0000-00009C220000}"/>
    <cellStyle name="Percent 4 58" xfId="8818" xr:uid="{00000000-0005-0000-0000-00009D220000}"/>
    <cellStyle name="Percent 4 59" xfId="8819" xr:uid="{00000000-0005-0000-0000-00009E220000}"/>
    <cellStyle name="Percent 4 6" xfId="8820" xr:uid="{00000000-0005-0000-0000-00009F220000}"/>
    <cellStyle name="Percent 4 60" xfId="8821" xr:uid="{00000000-0005-0000-0000-0000A0220000}"/>
    <cellStyle name="Percent 4 61" xfId="8822" xr:uid="{00000000-0005-0000-0000-0000A1220000}"/>
    <cellStyle name="Percent 4 62" xfId="9381" xr:uid="{00000000-0005-0000-0000-0000A2220000}"/>
    <cellStyle name="Percent 4 63" xfId="9385" xr:uid="{00000000-0005-0000-0000-0000A3220000}"/>
    <cellStyle name="Percent 4 7" xfId="8823" xr:uid="{00000000-0005-0000-0000-0000A4220000}"/>
    <cellStyle name="Percent 4 8" xfId="8824" xr:uid="{00000000-0005-0000-0000-0000A5220000}"/>
    <cellStyle name="Percent 4 9" xfId="8825" xr:uid="{00000000-0005-0000-0000-0000A6220000}"/>
    <cellStyle name="Percent 40" xfId="8826" xr:uid="{00000000-0005-0000-0000-0000A7220000}"/>
    <cellStyle name="Percent 41" xfId="8827" xr:uid="{00000000-0005-0000-0000-0000A8220000}"/>
    <cellStyle name="Percent 42" xfId="8828" xr:uid="{00000000-0005-0000-0000-0000A9220000}"/>
    <cellStyle name="Percent 43" xfId="8829" xr:uid="{00000000-0005-0000-0000-0000AA220000}"/>
    <cellStyle name="Percent 44" xfId="8830" xr:uid="{00000000-0005-0000-0000-0000AB220000}"/>
    <cellStyle name="Percent 44 2" xfId="8831" xr:uid="{00000000-0005-0000-0000-0000AC220000}"/>
    <cellStyle name="Percent 45" xfId="8832" xr:uid="{00000000-0005-0000-0000-0000AD220000}"/>
    <cellStyle name="Percent 46" xfId="8833" xr:uid="{00000000-0005-0000-0000-0000AE220000}"/>
    <cellStyle name="Percent 47" xfId="8834" xr:uid="{00000000-0005-0000-0000-0000AF220000}"/>
    <cellStyle name="Percent 48" xfId="8835" xr:uid="{00000000-0005-0000-0000-0000B0220000}"/>
    <cellStyle name="Percent 49" xfId="8836" xr:uid="{00000000-0005-0000-0000-0000B1220000}"/>
    <cellStyle name="Percent 49 2" xfId="8837" xr:uid="{00000000-0005-0000-0000-0000B2220000}"/>
    <cellStyle name="Percent 5" xfId="10" xr:uid="{00000000-0005-0000-0000-0000B3220000}"/>
    <cellStyle name="Percent 5 10" xfId="8838" xr:uid="{00000000-0005-0000-0000-0000B4220000}"/>
    <cellStyle name="Percent 5 11" xfId="8839" xr:uid="{00000000-0005-0000-0000-0000B5220000}"/>
    <cellStyle name="Percent 5 12" xfId="8840" xr:uid="{00000000-0005-0000-0000-0000B6220000}"/>
    <cellStyle name="Percent 5 13" xfId="8841" xr:uid="{00000000-0005-0000-0000-0000B7220000}"/>
    <cellStyle name="Percent 5 14" xfId="8842" xr:uid="{00000000-0005-0000-0000-0000B8220000}"/>
    <cellStyle name="Percent 5 15" xfId="8843" xr:uid="{00000000-0005-0000-0000-0000B9220000}"/>
    <cellStyle name="Percent 5 16" xfId="8844" xr:uid="{00000000-0005-0000-0000-0000BA220000}"/>
    <cellStyle name="Percent 5 17" xfId="8845" xr:uid="{00000000-0005-0000-0000-0000BB220000}"/>
    <cellStyle name="Percent 5 18" xfId="8846" xr:uid="{00000000-0005-0000-0000-0000BC220000}"/>
    <cellStyle name="Percent 5 19" xfId="8847" xr:uid="{00000000-0005-0000-0000-0000BD220000}"/>
    <cellStyle name="Percent 5 2" xfId="8848" xr:uid="{00000000-0005-0000-0000-0000BE220000}"/>
    <cellStyle name="Percent 5 2 10" xfId="8849" xr:uid="{00000000-0005-0000-0000-0000BF220000}"/>
    <cellStyle name="Percent 5 2 11" xfId="8850" xr:uid="{00000000-0005-0000-0000-0000C0220000}"/>
    <cellStyle name="Percent 5 2 12" xfId="8851" xr:uid="{00000000-0005-0000-0000-0000C1220000}"/>
    <cellStyle name="Percent 5 2 13" xfId="8852" xr:uid="{00000000-0005-0000-0000-0000C2220000}"/>
    <cellStyle name="Percent 5 2 14" xfId="8853" xr:uid="{00000000-0005-0000-0000-0000C3220000}"/>
    <cellStyle name="Percent 5 2 15" xfId="8854" xr:uid="{00000000-0005-0000-0000-0000C4220000}"/>
    <cellStyle name="Percent 5 2 15 2" xfId="8855" xr:uid="{00000000-0005-0000-0000-0000C5220000}"/>
    <cellStyle name="Percent 5 2 16" xfId="8856" xr:uid="{00000000-0005-0000-0000-0000C6220000}"/>
    <cellStyle name="Percent 5 2 17" xfId="8857" xr:uid="{00000000-0005-0000-0000-0000C7220000}"/>
    <cellStyle name="Percent 5 2 18" xfId="8858" xr:uid="{00000000-0005-0000-0000-0000C8220000}"/>
    <cellStyle name="Percent 5 2 19" xfId="8859" xr:uid="{00000000-0005-0000-0000-0000C9220000}"/>
    <cellStyle name="Percent 5 2 2" xfId="8860" xr:uid="{00000000-0005-0000-0000-0000CA220000}"/>
    <cellStyle name="Percent 5 2 2 10" xfId="8861" xr:uid="{00000000-0005-0000-0000-0000CB220000}"/>
    <cellStyle name="Percent 5 2 2 11" xfId="8862" xr:uid="{00000000-0005-0000-0000-0000CC220000}"/>
    <cellStyle name="Percent 5 2 2 12" xfId="8863" xr:uid="{00000000-0005-0000-0000-0000CD220000}"/>
    <cellStyle name="Percent 5 2 2 12 2" xfId="8864" xr:uid="{00000000-0005-0000-0000-0000CE220000}"/>
    <cellStyle name="Percent 5 2 2 13" xfId="8865" xr:uid="{00000000-0005-0000-0000-0000CF220000}"/>
    <cellStyle name="Percent 5 2 2 14" xfId="8866" xr:uid="{00000000-0005-0000-0000-0000D0220000}"/>
    <cellStyle name="Percent 5 2 2 2" xfId="8867" xr:uid="{00000000-0005-0000-0000-0000D1220000}"/>
    <cellStyle name="Percent 5 2 2 2 10" xfId="8868" xr:uid="{00000000-0005-0000-0000-0000D2220000}"/>
    <cellStyle name="Percent 5 2 2 2 10 2" xfId="8869" xr:uid="{00000000-0005-0000-0000-0000D3220000}"/>
    <cellStyle name="Percent 5 2 2 2 10 2 2" xfId="8870" xr:uid="{00000000-0005-0000-0000-0000D4220000}"/>
    <cellStyle name="Percent 5 2 2 2 10 3" xfId="8871" xr:uid="{00000000-0005-0000-0000-0000D5220000}"/>
    <cellStyle name="Percent 5 2 2 2 11" xfId="8872" xr:uid="{00000000-0005-0000-0000-0000D6220000}"/>
    <cellStyle name="Percent 5 2 2 2 11 2" xfId="8873" xr:uid="{00000000-0005-0000-0000-0000D7220000}"/>
    <cellStyle name="Percent 5 2 2 2 11 2 2" xfId="8874" xr:uid="{00000000-0005-0000-0000-0000D8220000}"/>
    <cellStyle name="Percent 5 2 2 2 11 3" xfId="8875" xr:uid="{00000000-0005-0000-0000-0000D9220000}"/>
    <cellStyle name="Percent 5 2 2 2 12" xfId="8876" xr:uid="{00000000-0005-0000-0000-0000DA220000}"/>
    <cellStyle name="Percent 5 2 2 2 12 2" xfId="8877" xr:uid="{00000000-0005-0000-0000-0000DB220000}"/>
    <cellStyle name="Percent 5 2 2 2 13" xfId="8878" xr:uid="{00000000-0005-0000-0000-0000DC220000}"/>
    <cellStyle name="Percent 5 2 2 2 13 2" xfId="8879" xr:uid="{00000000-0005-0000-0000-0000DD220000}"/>
    <cellStyle name="Percent 5 2 2 2 14" xfId="8880" xr:uid="{00000000-0005-0000-0000-0000DE220000}"/>
    <cellStyle name="Percent 5 2 2 2 2" xfId="8881" xr:uid="{00000000-0005-0000-0000-0000DF220000}"/>
    <cellStyle name="Percent 5 2 2 2 2 2" xfId="8882" xr:uid="{00000000-0005-0000-0000-0000E0220000}"/>
    <cellStyle name="Percent 5 2 2 2 2 2 2" xfId="8883" xr:uid="{00000000-0005-0000-0000-0000E1220000}"/>
    <cellStyle name="Percent 5 2 2 2 2 3" xfId="8884" xr:uid="{00000000-0005-0000-0000-0000E2220000}"/>
    <cellStyle name="Percent 5 2 2 2 3" xfId="8885" xr:uid="{00000000-0005-0000-0000-0000E3220000}"/>
    <cellStyle name="Percent 5 2 2 2 3 2" xfId="8886" xr:uid="{00000000-0005-0000-0000-0000E4220000}"/>
    <cellStyle name="Percent 5 2 2 2 3 2 2" xfId="8887" xr:uid="{00000000-0005-0000-0000-0000E5220000}"/>
    <cellStyle name="Percent 5 2 2 2 3 3" xfId="8888" xr:uid="{00000000-0005-0000-0000-0000E6220000}"/>
    <cellStyle name="Percent 5 2 2 2 4" xfId="8889" xr:uid="{00000000-0005-0000-0000-0000E7220000}"/>
    <cellStyle name="Percent 5 2 2 2 4 2" xfId="8890" xr:uid="{00000000-0005-0000-0000-0000E8220000}"/>
    <cellStyle name="Percent 5 2 2 2 4 2 2" xfId="8891" xr:uid="{00000000-0005-0000-0000-0000E9220000}"/>
    <cellStyle name="Percent 5 2 2 2 4 3" xfId="8892" xr:uid="{00000000-0005-0000-0000-0000EA220000}"/>
    <cellStyle name="Percent 5 2 2 2 5" xfId="8893" xr:uid="{00000000-0005-0000-0000-0000EB220000}"/>
    <cellStyle name="Percent 5 2 2 2 5 2" xfId="8894" xr:uid="{00000000-0005-0000-0000-0000EC220000}"/>
    <cellStyle name="Percent 5 2 2 2 5 2 2" xfId="8895" xr:uid="{00000000-0005-0000-0000-0000ED220000}"/>
    <cellStyle name="Percent 5 2 2 2 5 3" xfId="8896" xr:uid="{00000000-0005-0000-0000-0000EE220000}"/>
    <cellStyle name="Percent 5 2 2 2 6" xfId="8897" xr:uid="{00000000-0005-0000-0000-0000EF220000}"/>
    <cellStyle name="Percent 5 2 2 2 6 2" xfId="8898" xr:uid="{00000000-0005-0000-0000-0000F0220000}"/>
    <cellStyle name="Percent 5 2 2 2 6 2 2" xfId="8899" xr:uid="{00000000-0005-0000-0000-0000F1220000}"/>
    <cellStyle name="Percent 5 2 2 2 6 3" xfId="8900" xr:uid="{00000000-0005-0000-0000-0000F2220000}"/>
    <cellStyle name="Percent 5 2 2 2 7" xfId="8901" xr:uid="{00000000-0005-0000-0000-0000F3220000}"/>
    <cellStyle name="Percent 5 2 2 2 7 2" xfId="8902" xr:uid="{00000000-0005-0000-0000-0000F4220000}"/>
    <cellStyle name="Percent 5 2 2 2 7 2 2" xfId="8903" xr:uid="{00000000-0005-0000-0000-0000F5220000}"/>
    <cellStyle name="Percent 5 2 2 2 7 3" xfId="8904" xr:uid="{00000000-0005-0000-0000-0000F6220000}"/>
    <cellStyle name="Percent 5 2 2 2 8" xfId="8905" xr:uid="{00000000-0005-0000-0000-0000F7220000}"/>
    <cellStyle name="Percent 5 2 2 2 8 2" xfId="8906" xr:uid="{00000000-0005-0000-0000-0000F8220000}"/>
    <cellStyle name="Percent 5 2 2 2 8 2 2" xfId="8907" xr:uid="{00000000-0005-0000-0000-0000F9220000}"/>
    <cellStyle name="Percent 5 2 2 2 8 3" xfId="8908" xr:uid="{00000000-0005-0000-0000-0000FA220000}"/>
    <cellStyle name="Percent 5 2 2 2 9" xfId="8909" xr:uid="{00000000-0005-0000-0000-0000FB220000}"/>
    <cellStyle name="Percent 5 2 2 2 9 2" xfId="8910" xr:uid="{00000000-0005-0000-0000-0000FC220000}"/>
    <cellStyle name="Percent 5 2 2 2 9 2 2" xfId="8911" xr:uid="{00000000-0005-0000-0000-0000FD220000}"/>
    <cellStyle name="Percent 5 2 2 2 9 3" xfId="8912" xr:uid="{00000000-0005-0000-0000-0000FE220000}"/>
    <cellStyle name="Percent 5 2 2 3" xfId="8913" xr:uid="{00000000-0005-0000-0000-0000FF220000}"/>
    <cellStyle name="Percent 5 2 2 4" xfId="8914" xr:uid="{00000000-0005-0000-0000-000000230000}"/>
    <cellStyle name="Percent 5 2 2 5" xfId="8915" xr:uid="{00000000-0005-0000-0000-000001230000}"/>
    <cellStyle name="Percent 5 2 2 6" xfId="8916" xr:uid="{00000000-0005-0000-0000-000002230000}"/>
    <cellStyle name="Percent 5 2 2 7" xfId="8917" xr:uid="{00000000-0005-0000-0000-000003230000}"/>
    <cellStyle name="Percent 5 2 2 8" xfId="8918" xr:uid="{00000000-0005-0000-0000-000004230000}"/>
    <cellStyle name="Percent 5 2 2 9" xfId="8919" xr:uid="{00000000-0005-0000-0000-000005230000}"/>
    <cellStyle name="Percent 5 2 20" xfId="8920" xr:uid="{00000000-0005-0000-0000-000006230000}"/>
    <cellStyle name="Percent 5 2 3" xfId="8921" xr:uid="{00000000-0005-0000-0000-000007230000}"/>
    <cellStyle name="Percent 5 2 3 2" xfId="8922" xr:uid="{00000000-0005-0000-0000-000008230000}"/>
    <cellStyle name="Percent 5 2 3 2 2" xfId="8923" xr:uid="{00000000-0005-0000-0000-000009230000}"/>
    <cellStyle name="Percent 5 2 3 2 3" xfId="8924" xr:uid="{00000000-0005-0000-0000-00000A230000}"/>
    <cellStyle name="Percent 5 2 3 3" xfId="8925" xr:uid="{00000000-0005-0000-0000-00000B230000}"/>
    <cellStyle name="Percent 5 2 4" xfId="8926" xr:uid="{00000000-0005-0000-0000-00000C230000}"/>
    <cellStyle name="Percent 5 2 4 2" xfId="8927" xr:uid="{00000000-0005-0000-0000-00000D230000}"/>
    <cellStyle name="Percent 5 2 4 2 2" xfId="8928" xr:uid="{00000000-0005-0000-0000-00000E230000}"/>
    <cellStyle name="Percent 5 2 4 3" xfId="8929" xr:uid="{00000000-0005-0000-0000-00000F230000}"/>
    <cellStyle name="Percent 5 2 5" xfId="8930" xr:uid="{00000000-0005-0000-0000-000010230000}"/>
    <cellStyle name="Percent 5 2 5 2" xfId="8931" xr:uid="{00000000-0005-0000-0000-000011230000}"/>
    <cellStyle name="Percent 5 2 5 2 2" xfId="8932" xr:uid="{00000000-0005-0000-0000-000012230000}"/>
    <cellStyle name="Percent 5 2 5 3" xfId="8933" xr:uid="{00000000-0005-0000-0000-000013230000}"/>
    <cellStyle name="Percent 5 2 6" xfId="8934" xr:uid="{00000000-0005-0000-0000-000014230000}"/>
    <cellStyle name="Percent 5 2 7" xfId="8935" xr:uid="{00000000-0005-0000-0000-000015230000}"/>
    <cellStyle name="Percent 5 2 8" xfId="8936" xr:uid="{00000000-0005-0000-0000-000016230000}"/>
    <cellStyle name="Percent 5 2 9" xfId="8937" xr:uid="{00000000-0005-0000-0000-000017230000}"/>
    <cellStyle name="Percent 5 20" xfId="8938" xr:uid="{00000000-0005-0000-0000-000018230000}"/>
    <cellStyle name="Percent 5 21" xfId="8939" xr:uid="{00000000-0005-0000-0000-000019230000}"/>
    <cellStyle name="Percent 5 22" xfId="8940" xr:uid="{00000000-0005-0000-0000-00001A230000}"/>
    <cellStyle name="Percent 5 23" xfId="8941" xr:uid="{00000000-0005-0000-0000-00001B230000}"/>
    <cellStyle name="Percent 5 24" xfId="8942" xr:uid="{00000000-0005-0000-0000-00001C230000}"/>
    <cellStyle name="Percent 5 25" xfId="8943" xr:uid="{00000000-0005-0000-0000-00001D230000}"/>
    <cellStyle name="Percent 5 26" xfId="8944" xr:uid="{00000000-0005-0000-0000-00001E230000}"/>
    <cellStyle name="Percent 5 27" xfId="8945" xr:uid="{00000000-0005-0000-0000-00001F230000}"/>
    <cellStyle name="Percent 5 28" xfId="8946" xr:uid="{00000000-0005-0000-0000-000020230000}"/>
    <cellStyle name="Percent 5 29" xfId="8947" xr:uid="{00000000-0005-0000-0000-000021230000}"/>
    <cellStyle name="Percent 5 3" xfId="8948" xr:uid="{00000000-0005-0000-0000-000022230000}"/>
    <cellStyle name="Percent 5 3 2" xfId="8949" xr:uid="{00000000-0005-0000-0000-000023230000}"/>
    <cellStyle name="Percent 5 3 2 2" xfId="8950" xr:uid="{00000000-0005-0000-0000-000024230000}"/>
    <cellStyle name="Percent 5 3 3" xfId="8951" xr:uid="{00000000-0005-0000-0000-000025230000}"/>
    <cellStyle name="Percent 5 3 4" xfId="8952" xr:uid="{00000000-0005-0000-0000-000026230000}"/>
    <cellStyle name="Percent 5 3 5" xfId="8953" xr:uid="{00000000-0005-0000-0000-000027230000}"/>
    <cellStyle name="Percent 5 30" xfId="8954" xr:uid="{00000000-0005-0000-0000-000028230000}"/>
    <cellStyle name="Percent 5 31" xfId="8955" xr:uid="{00000000-0005-0000-0000-000029230000}"/>
    <cellStyle name="Percent 5 32" xfId="8956" xr:uid="{00000000-0005-0000-0000-00002A230000}"/>
    <cellStyle name="Percent 5 33" xfId="8957" xr:uid="{00000000-0005-0000-0000-00002B230000}"/>
    <cellStyle name="Percent 5 34" xfId="8958" xr:uid="{00000000-0005-0000-0000-00002C230000}"/>
    <cellStyle name="Percent 5 35" xfId="8959" xr:uid="{00000000-0005-0000-0000-00002D230000}"/>
    <cellStyle name="Percent 5 36" xfId="8960" xr:uid="{00000000-0005-0000-0000-00002E230000}"/>
    <cellStyle name="Percent 5 37" xfId="8961" xr:uid="{00000000-0005-0000-0000-00002F230000}"/>
    <cellStyle name="Percent 5 38" xfId="8962" xr:uid="{00000000-0005-0000-0000-000030230000}"/>
    <cellStyle name="Percent 5 39" xfId="8963" xr:uid="{00000000-0005-0000-0000-000031230000}"/>
    <cellStyle name="Percent 5 4" xfId="8964" xr:uid="{00000000-0005-0000-0000-000032230000}"/>
    <cellStyle name="Percent 5 4 2" xfId="8965" xr:uid="{00000000-0005-0000-0000-000033230000}"/>
    <cellStyle name="Percent 5 4 3" xfId="8966" xr:uid="{00000000-0005-0000-0000-000034230000}"/>
    <cellStyle name="Percent 5 40" xfId="8967" xr:uid="{00000000-0005-0000-0000-000035230000}"/>
    <cellStyle name="Percent 5 41" xfId="8968" xr:uid="{00000000-0005-0000-0000-000036230000}"/>
    <cellStyle name="Percent 5 42" xfId="8969" xr:uid="{00000000-0005-0000-0000-000037230000}"/>
    <cellStyle name="Percent 5 43" xfId="8970" xr:uid="{00000000-0005-0000-0000-000038230000}"/>
    <cellStyle name="Percent 5 44" xfId="8971" xr:uid="{00000000-0005-0000-0000-000039230000}"/>
    <cellStyle name="Percent 5 45" xfId="8972" xr:uid="{00000000-0005-0000-0000-00003A230000}"/>
    <cellStyle name="Percent 5 46" xfId="8973" xr:uid="{00000000-0005-0000-0000-00003B230000}"/>
    <cellStyle name="Percent 5 47" xfId="8974" xr:uid="{00000000-0005-0000-0000-00003C230000}"/>
    <cellStyle name="Percent 5 48" xfId="8975" xr:uid="{00000000-0005-0000-0000-00003D230000}"/>
    <cellStyle name="Percent 5 49" xfId="8976" xr:uid="{00000000-0005-0000-0000-00003E230000}"/>
    <cellStyle name="Percent 5 5" xfId="8977" xr:uid="{00000000-0005-0000-0000-00003F230000}"/>
    <cellStyle name="Percent 5 5 2" xfId="8978" xr:uid="{00000000-0005-0000-0000-000040230000}"/>
    <cellStyle name="Percent 5 5 3" xfId="8979" xr:uid="{00000000-0005-0000-0000-000041230000}"/>
    <cellStyle name="Percent 5 50" xfId="8980" xr:uid="{00000000-0005-0000-0000-000042230000}"/>
    <cellStyle name="Percent 5 51" xfId="8981" xr:uid="{00000000-0005-0000-0000-000043230000}"/>
    <cellStyle name="Percent 5 52" xfId="8982" xr:uid="{00000000-0005-0000-0000-000044230000}"/>
    <cellStyle name="Percent 5 53" xfId="8983" xr:uid="{00000000-0005-0000-0000-000045230000}"/>
    <cellStyle name="Percent 5 54" xfId="8984" xr:uid="{00000000-0005-0000-0000-000046230000}"/>
    <cellStyle name="Percent 5 55" xfId="8985" xr:uid="{00000000-0005-0000-0000-000047230000}"/>
    <cellStyle name="Percent 5 56" xfId="8986" xr:uid="{00000000-0005-0000-0000-000048230000}"/>
    <cellStyle name="Percent 5 57" xfId="8987" xr:uid="{00000000-0005-0000-0000-000049230000}"/>
    <cellStyle name="Percent 5 58" xfId="8988" xr:uid="{00000000-0005-0000-0000-00004A230000}"/>
    <cellStyle name="Percent 5 59" xfId="8989" xr:uid="{00000000-0005-0000-0000-00004B230000}"/>
    <cellStyle name="Percent 5 6" xfId="8990" xr:uid="{00000000-0005-0000-0000-00004C230000}"/>
    <cellStyle name="Percent 5 60" xfId="8991" xr:uid="{00000000-0005-0000-0000-00004D230000}"/>
    <cellStyle name="Percent 5 61" xfId="8992" xr:uid="{00000000-0005-0000-0000-00004E230000}"/>
    <cellStyle name="Percent 5 62" xfId="8993" xr:uid="{00000000-0005-0000-0000-00004F230000}"/>
    <cellStyle name="Percent 5 63" xfId="8994" xr:uid="{00000000-0005-0000-0000-000050230000}"/>
    <cellStyle name="Percent 5 64" xfId="8995" xr:uid="{00000000-0005-0000-0000-000051230000}"/>
    <cellStyle name="Percent 5 7" xfId="8996" xr:uid="{00000000-0005-0000-0000-000052230000}"/>
    <cellStyle name="Percent 5 8" xfId="8997" xr:uid="{00000000-0005-0000-0000-000053230000}"/>
    <cellStyle name="Percent 5 9" xfId="8998" xr:uid="{00000000-0005-0000-0000-000054230000}"/>
    <cellStyle name="Percent 50" xfId="8999" xr:uid="{00000000-0005-0000-0000-000055230000}"/>
    <cellStyle name="Percent 51" xfId="9000" xr:uid="{00000000-0005-0000-0000-000056230000}"/>
    <cellStyle name="Percent 52" xfId="9001" xr:uid="{00000000-0005-0000-0000-000057230000}"/>
    <cellStyle name="Percent 53" xfId="9002" xr:uid="{00000000-0005-0000-0000-000058230000}"/>
    <cellStyle name="Percent 54" xfId="9003" xr:uid="{00000000-0005-0000-0000-000059230000}"/>
    <cellStyle name="Percent 55" xfId="9004" xr:uid="{00000000-0005-0000-0000-00005A230000}"/>
    <cellStyle name="Percent 56" xfId="9005" xr:uid="{00000000-0005-0000-0000-00005B230000}"/>
    <cellStyle name="Percent 57" xfId="9006" xr:uid="{00000000-0005-0000-0000-00005C230000}"/>
    <cellStyle name="Percent 58" xfId="9007" xr:uid="{00000000-0005-0000-0000-00005D230000}"/>
    <cellStyle name="Percent 59" xfId="9008" xr:uid="{00000000-0005-0000-0000-00005E230000}"/>
    <cellStyle name="Percent 6" xfId="12" xr:uid="{00000000-0005-0000-0000-00005F230000}"/>
    <cellStyle name="Percent 6 2" xfId="9009" xr:uid="{00000000-0005-0000-0000-000060230000}"/>
    <cellStyle name="Percent 6 3" xfId="9010" xr:uid="{00000000-0005-0000-0000-000061230000}"/>
    <cellStyle name="Percent 6 4" xfId="9011" xr:uid="{00000000-0005-0000-0000-000062230000}"/>
    <cellStyle name="Percent 6 4 2" xfId="9400" xr:uid="{00000000-0005-0000-0000-000063230000}"/>
    <cellStyle name="Percent 6 4 2 2" xfId="9410" xr:uid="{00000000-0005-0000-0000-000064230000}"/>
    <cellStyle name="Percent 6 4 2 2 2" xfId="9426" xr:uid="{00000000-0005-0000-0000-000065230000}"/>
    <cellStyle name="Percent 6 4 2 3" xfId="9438" xr:uid="{00000000-0005-0000-0000-000066230000}"/>
    <cellStyle name="Percent 6 4 2 4" xfId="9441" xr:uid="{00000000-0005-0000-0000-000067230000}"/>
    <cellStyle name="Percent 6 4 2 5" xfId="9444" xr:uid="{00000000-0005-0000-0000-000068230000}"/>
    <cellStyle name="Percent 60" xfId="9012" xr:uid="{00000000-0005-0000-0000-000069230000}"/>
    <cellStyle name="Percent 61" xfId="9013" xr:uid="{00000000-0005-0000-0000-00006A230000}"/>
    <cellStyle name="Percent 62" xfId="9014" xr:uid="{00000000-0005-0000-0000-00006B230000}"/>
    <cellStyle name="Percent 63" xfId="9015" xr:uid="{00000000-0005-0000-0000-00006C230000}"/>
    <cellStyle name="Percent 64" xfId="9016" xr:uid="{00000000-0005-0000-0000-00006D230000}"/>
    <cellStyle name="Percent 64 2" xfId="9017" xr:uid="{00000000-0005-0000-0000-00006E230000}"/>
    <cellStyle name="Percent 64 2 2" xfId="9018" xr:uid="{00000000-0005-0000-0000-00006F230000}"/>
    <cellStyle name="Percent 65" xfId="9019" xr:uid="{00000000-0005-0000-0000-000070230000}"/>
    <cellStyle name="Percent 65 2" xfId="9020" xr:uid="{00000000-0005-0000-0000-000071230000}"/>
    <cellStyle name="Percent 65 3" xfId="9021" xr:uid="{00000000-0005-0000-0000-000072230000}"/>
    <cellStyle name="Percent 66" xfId="9022" xr:uid="{00000000-0005-0000-0000-000073230000}"/>
    <cellStyle name="Percent 66 2" xfId="9023" xr:uid="{00000000-0005-0000-0000-000074230000}"/>
    <cellStyle name="Percent 67" xfId="9024" xr:uid="{00000000-0005-0000-0000-000075230000}"/>
    <cellStyle name="Percent 67 2" xfId="9025" xr:uid="{00000000-0005-0000-0000-000076230000}"/>
    <cellStyle name="Percent 68" xfId="9026" xr:uid="{00000000-0005-0000-0000-000077230000}"/>
    <cellStyle name="Percent 69" xfId="9027" xr:uid="{00000000-0005-0000-0000-000078230000}"/>
    <cellStyle name="Percent 7" xfId="15" xr:uid="{00000000-0005-0000-0000-000079230000}"/>
    <cellStyle name="Percent 7 10" xfId="9028" xr:uid="{00000000-0005-0000-0000-00007A230000}"/>
    <cellStyle name="Percent 7 11" xfId="9029" xr:uid="{00000000-0005-0000-0000-00007B230000}"/>
    <cellStyle name="Percent 7 12" xfId="9030" xr:uid="{00000000-0005-0000-0000-00007C230000}"/>
    <cellStyle name="Percent 7 12 2" xfId="9031" xr:uid="{00000000-0005-0000-0000-00007D230000}"/>
    <cellStyle name="Percent 7 13" xfId="9032" xr:uid="{00000000-0005-0000-0000-00007E230000}"/>
    <cellStyle name="Percent 7 14" xfId="9033" xr:uid="{00000000-0005-0000-0000-00007F230000}"/>
    <cellStyle name="Percent 7 15" xfId="9034" xr:uid="{00000000-0005-0000-0000-000080230000}"/>
    <cellStyle name="Percent 7 2" xfId="9035" xr:uid="{00000000-0005-0000-0000-000081230000}"/>
    <cellStyle name="Percent 7 2 10" xfId="9036" xr:uid="{00000000-0005-0000-0000-000082230000}"/>
    <cellStyle name="Percent 7 2 10 2" xfId="9037" xr:uid="{00000000-0005-0000-0000-000083230000}"/>
    <cellStyle name="Percent 7 2 10 2 2" xfId="9038" xr:uid="{00000000-0005-0000-0000-000084230000}"/>
    <cellStyle name="Percent 7 2 10 3" xfId="9039" xr:uid="{00000000-0005-0000-0000-000085230000}"/>
    <cellStyle name="Percent 7 2 11" xfId="9040" xr:uid="{00000000-0005-0000-0000-000086230000}"/>
    <cellStyle name="Percent 7 2 11 2" xfId="9041" xr:uid="{00000000-0005-0000-0000-000087230000}"/>
    <cellStyle name="Percent 7 2 11 2 2" xfId="9042" xr:uid="{00000000-0005-0000-0000-000088230000}"/>
    <cellStyle name="Percent 7 2 11 3" xfId="9043" xr:uid="{00000000-0005-0000-0000-000089230000}"/>
    <cellStyle name="Percent 7 2 12" xfId="9044" xr:uid="{00000000-0005-0000-0000-00008A230000}"/>
    <cellStyle name="Percent 7 2 12 2" xfId="9045" xr:uid="{00000000-0005-0000-0000-00008B230000}"/>
    <cellStyle name="Percent 7 2 12 3" xfId="9046" xr:uid="{00000000-0005-0000-0000-00008C230000}"/>
    <cellStyle name="Percent 7 2 13" xfId="9047" xr:uid="{00000000-0005-0000-0000-00008D230000}"/>
    <cellStyle name="Percent 7 2 13 2" xfId="9048" xr:uid="{00000000-0005-0000-0000-00008E230000}"/>
    <cellStyle name="Percent 7 2 13 3" xfId="9049" xr:uid="{00000000-0005-0000-0000-00008F230000}"/>
    <cellStyle name="Percent 7 2 14" xfId="9050" xr:uid="{00000000-0005-0000-0000-000090230000}"/>
    <cellStyle name="Percent 7 2 2" xfId="9051" xr:uid="{00000000-0005-0000-0000-000091230000}"/>
    <cellStyle name="Percent 7 2 2 2" xfId="9052" xr:uid="{00000000-0005-0000-0000-000092230000}"/>
    <cellStyle name="Percent 7 2 2 2 2" xfId="9053" xr:uid="{00000000-0005-0000-0000-000093230000}"/>
    <cellStyle name="Percent 7 2 2 3" xfId="9054" xr:uid="{00000000-0005-0000-0000-000094230000}"/>
    <cellStyle name="Percent 7 2 3" xfId="9055" xr:uid="{00000000-0005-0000-0000-000095230000}"/>
    <cellStyle name="Percent 7 2 3 2" xfId="9056" xr:uid="{00000000-0005-0000-0000-000096230000}"/>
    <cellStyle name="Percent 7 2 3 2 2" xfId="9057" xr:uid="{00000000-0005-0000-0000-000097230000}"/>
    <cellStyle name="Percent 7 2 3 3" xfId="9058" xr:uid="{00000000-0005-0000-0000-000098230000}"/>
    <cellStyle name="Percent 7 2 4" xfId="9059" xr:uid="{00000000-0005-0000-0000-000099230000}"/>
    <cellStyle name="Percent 7 2 4 2" xfId="9060" xr:uid="{00000000-0005-0000-0000-00009A230000}"/>
    <cellStyle name="Percent 7 2 4 2 2" xfId="9061" xr:uid="{00000000-0005-0000-0000-00009B230000}"/>
    <cellStyle name="Percent 7 2 4 3" xfId="9062" xr:uid="{00000000-0005-0000-0000-00009C230000}"/>
    <cellStyle name="Percent 7 2 5" xfId="9063" xr:uid="{00000000-0005-0000-0000-00009D230000}"/>
    <cellStyle name="Percent 7 2 5 2" xfId="9064" xr:uid="{00000000-0005-0000-0000-00009E230000}"/>
    <cellStyle name="Percent 7 2 5 2 2" xfId="9065" xr:uid="{00000000-0005-0000-0000-00009F230000}"/>
    <cellStyle name="Percent 7 2 5 3" xfId="9066" xr:uid="{00000000-0005-0000-0000-0000A0230000}"/>
    <cellStyle name="Percent 7 2 6" xfId="9067" xr:uid="{00000000-0005-0000-0000-0000A1230000}"/>
    <cellStyle name="Percent 7 2 6 2" xfId="9068" xr:uid="{00000000-0005-0000-0000-0000A2230000}"/>
    <cellStyle name="Percent 7 2 6 2 2" xfId="9069" xr:uid="{00000000-0005-0000-0000-0000A3230000}"/>
    <cellStyle name="Percent 7 2 6 3" xfId="9070" xr:uid="{00000000-0005-0000-0000-0000A4230000}"/>
    <cellStyle name="Percent 7 2 7" xfId="9071" xr:uid="{00000000-0005-0000-0000-0000A5230000}"/>
    <cellStyle name="Percent 7 2 7 2" xfId="9072" xr:uid="{00000000-0005-0000-0000-0000A6230000}"/>
    <cellStyle name="Percent 7 2 7 2 2" xfId="9073" xr:uid="{00000000-0005-0000-0000-0000A7230000}"/>
    <cellStyle name="Percent 7 2 7 3" xfId="9074" xr:uid="{00000000-0005-0000-0000-0000A8230000}"/>
    <cellStyle name="Percent 7 2 8" xfId="9075" xr:uid="{00000000-0005-0000-0000-0000A9230000}"/>
    <cellStyle name="Percent 7 2 8 2" xfId="9076" xr:uid="{00000000-0005-0000-0000-0000AA230000}"/>
    <cellStyle name="Percent 7 2 8 2 2" xfId="9077" xr:uid="{00000000-0005-0000-0000-0000AB230000}"/>
    <cellStyle name="Percent 7 2 8 3" xfId="9078" xr:uid="{00000000-0005-0000-0000-0000AC230000}"/>
    <cellStyle name="Percent 7 2 9" xfId="9079" xr:uid="{00000000-0005-0000-0000-0000AD230000}"/>
    <cellStyle name="Percent 7 2 9 2" xfId="9080" xr:uid="{00000000-0005-0000-0000-0000AE230000}"/>
    <cellStyle name="Percent 7 2 9 2 2" xfId="9081" xr:uid="{00000000-0005-0000-0000-0000AF230000}"/>
    <cellStyle name="Percent 7 2 9 3" xfId="9082" xr:uid="{00000000-0005-0000-0000-0000B0230000}"/>
    <cellStyle name="Percent 7 3" xfId="9083" xr:uid="{00000000-0005-0000-0000-0000B1230000}"/>
    <cellStyle name="Percent 7 4" xfId="9084" xr:uid="{00000000-0005-0000-0000-0000B2230000}"/>
    <cellStyle name="Percent 7 5" xfId="9085" xr:uid="{00000000-0005-0000-0000-0000B3230000}"/>
    <cellStyle name="Percent 7 6" xfId="9086" xr:uid="{00000000-0005-0000-0000-0000B4230000}"/>
    <cellStyle name="Percent 7 7" xfId="9087" xr:uid="{00000000-0005-0000-0000-0000B5230000}"/>
    <cellStyle name="Percent 7 8" xfId="9088" xr:uid="{00000000-0005-0000-0000-0000B6230000}"/>
    <cellStyle name="Percent 7 9" xfId="9089" xr:uid="{00000000-0005-0000-0000-0000B7230000}"/>
    <cellStyle name="Percent 70" xfId="9090" xr:uid="{00000000-0005-0000-0000-0000B8230000}"/>
    <cellStyle name="Percent 71" xfId="9091" xr:uid="{00000000-0005-0000-0000-0000B9230000}"/>
    <cellStyle name="Percent 72" xfId="9092" xr:uid="{00000000-0005-0000-0000-0000BA230000}"/>
    <cellStyle name="Percent 73" xfId="9093" xr:uid="{00000000-0005-0000-0000-0000BB230000}"/>
    <cellStyle name="Percent 73 2" xfId="9094" xr:uid="{00000000-0005-0000-0000-0000BC230000}"/>
    <cellStyle name="Percent 74" xfId="9095" xr:uid="{00000000-0005-0000-0000-0000BD230000}"/>
    <cellStyle name="Percent 75" xfId="9096" xr:uid="{00000000-0005-0000-0000-0000BE230000}"/>
    <cellStyle name="Percent 76" xfId="9097" xr:uid="{00000000-0005-0000-0000-0000BF230000}"/>
    <cellStyle name="Percent 77" xfId="9098" xr:uid="{00000000-0005-0000-0000-0000C0230000}"/>
    <cellStyle name="Percent 78" xfId="9099" xr:uid="{00000000-0005-0000-0000-0000C1230000}"/>
    <cellStyle name="Percent 78 2 2" xfId="9399" xr:uid="{00000000-0005-0000-0000-0000C2230000}"/>
    <cellStyle name="Percent 79" xfId="9100" xr:uid="{00000000-0005-0000-0000-0000C3230000}"/>
    <cellStyle name="Percent 79 2" xfId="9403" xr:uid="{00000000-0005-0000-0000-0000C4230000}"/>
    <cellStyle name="Percent 8" xfId="9101" xr:uid="{00000000-0005-0000-0000-0000C5230000}"/>
    <cellStyle name="Percent 8 2" xfId="9102" xr:uid="{00000000-0005-0000-0000-0000C6230000}"/>
    <cellStyle name="Percent 8 2 2" xfId="9103" xr:uid="{00000000-0005-0000-0000-0000C7230000}"/>
    <cellStyle name="Percent 8 2 2 2" xfId="9104" xr:uid="{00000000-0005-0000-0000-0000C8230000}"/>
    <cellStyle name="Percent 8 2 2 2 2" xfId="9105" xr:uid="{00000000-0005-0000-0000-0000C9230000}"/>
    <cellStyle name="Percent 8 2 2 2 2 2" xfId="9106" xr:uid="{00000000-0005-0000-0000-0000CA230000}"/>
    <cellStyle name="Percent 8 2 2 2 3" xfId="9107" xr:uid="{00000000-0005-0000-0000-0000CB230000}"/>
    <cellStyle name="Percent 8 2 2 3" xfId="9108" xr:uid="{00000000-0005-0000-0000-0000CC230000}"/>
    <cellStyle name="Percent 8 2 2 3 2" xfId="9109" xr:uid="{00000000-0005-0000-0000-0000CD230000}"/>
    <cellStyle name="Percent 8 2 2 3 2 2" xfId="9110" xr:uid="{00000000-0005-0000-0000-0000CE230000}"/>
    <cellStyle name="Percent 8 2 2 3 3" xfId="9111" xr:uid="{00000000-0005-0000-0000-0000CF230000}"/>
    <cellStyle name="Percent 8 2 2 4" xfId="9112" xr:uid="{00000000-0005-0000-0000-0000D0230000}"/>
    <cellStyle name="Percent 8 2 2 4 2" xfId="9113" xr:uid="{00000000-0005-0000-0000-0000D1230000}"/>
    <cellStyle name="Percent 8 2 2 4 2 2" xfId="9114" xr:uid="{00000000-0005-0000-0000-0000D2230000}"/>
    <cellStyle name="Percent 8 2 2 4 3" xfId="9115" xr:uid="{00000000-0005-0000-0000-0000D3230000}"/>
    <cellStyle name="Percent 8 2 2 5" xfId="9116" xr:uid="{00000000-0005-0000-0000-0000D4230000}"/>
    <cellStyle name="Percent 8 2 2 5 2" xfId="9117" xr:uid="{00000000-0005-0000-0000-0000D5230000}"/>
    <cellStyle name="Percent 8 2 2 5 2 2" xfId="9118" xr:uid="{00000000-0005-0000-0000-0000D6230000}"/>
    <cellStyle name="Percent 8 2 2 5 3" xfId="9119" xr:uid="{00000000-0005-0000-0000-0000D7230000}"/>
    <cellStyle name="Percent 8 2 3" xfId="9120" xr:uid="{00000000-0005-0000-0000-0000D8230000}"/>
    <cellStyle name="Percent 8 2 4" xfId="9121" xr:uid="{00000000-0005-0000-0000-0000D9230000}"/>
    <cellStyle name="Percent 8 2 5" xfId="9122" xr:uid="{00000000-0005-0000-0000-0000DA230000}"/>
    <cellStyle name="Percent 8 2 6" xfId="9123" xr:uid="{00000000-0005-0000-0000-0000DB230000}"/>
    <cellStyle name="Percent 8 2 6 2" xfId="9124" xr:uid="{00000000-0005-0000-0000-0000DC230000}"/>
    <cellStyle name="Percent 8 2 7" xfId="9125" xr:uid="{00000000-0005-0000-0000-0000DD230000}"/>
    <cellStyle name="Percent 8 3" xfId="9126" xr:uid="{00000000-0005-0000-0000-0000DE230000}"/>
    <cellStyle name="Percent 8 3 2" xfId="9127" xr:uid="{00000000-0005-0000-0000-0000DF230000}"/>
    <cellStyle name="Percent 8 3 2 2" xfId="9128" xr:uid="{00000000-0005-0000-0000-0000E0230000}"/>
    <cellStyle name="Percent 8 3 3" xfId="9129" xr:uid="{00000000-0005-0000-0000-0000E1230000}"/>
    <cellStyle name="Percent 8 4" xfId="9130" xr:uid="{00000000-0005-0000-0000-0000E2230000}"/>
    <cellStyle name="Percent 8 4 2" xfId="9131" xr:uid="{00000000-0005-0000-0000-0000E3230000}"/>
    <cellStyle name="Percent 8 4 2 2" xfId="9132" xr:uid="{00000000-0005-0000-0000-0000E4230000}"/>
    <cellStyle name="Percent 8 4 3" xfId="9133" xr:uid="{00000000-0005-0000-0000-0000E5230000}"/>
    <cellStyle name="Percent 8 5" xfId="9134" xr:uid="{00000000-0005-0000-0000-0000E6230000}"/>
    <cellStyle name="Percent 8 5 2" xfId="9135" xr:uid="{00000000-0005-0000-0000-0000E7230000}"/>
    <cellStyle name="Percent 8 5 2 2" xfId="9136" xr:uid="{00000000-0005-0000-0000-0000E8230000}"/>
    <cellStyle name="Percent 8 5 3" xfId="9137" xr:uid="{00000000-0005-0000-0000-0000E9230000}"/>
    <cellStyle name="Percent 8 6" xfId="9138" xr:uid="{00000000-0005-0000-0000-0000EA230000}"/>
    <cellStyle name="Percent 8 6 2" xfId="9139" xr:uid="{00000000-0005-0000-0000-0000EB230000}"/>
    <cellStyle name="Percent 8 6 2 2" xfId="9140" xr:uid="{00000000-0005-0000-0000-0000EC230000}"/>
    <cellStyle name="Percent 8 6 3" xfId="9141" xr:uid="{00000000-0005-0000-0000-0000ED230000}"/>
    <cellStyle name="Percent 8 7" xfId="9142" xr:uid="{00000000-0005-0000-0000-0000EE230000}"/>
    <cellStyle name="Percent 8 7 2" xfId="9143" xr:uid="{00000000-0005-0000-0000-0000EF230000}"/>
    <cellStyle name="Percent 8 7 3" xfId="9144" xr:uid="{00000000-0005-0000-0000-0000F0230000}"/>
    <cellStyle name="Percent 8 8" xfId="9145" xr:uid="{00000000-0005-0000-0000-0000F1230000}"/>
    <cellStyle name="Percent 80" xfId="9146" xr:uid="{00000000-0005-0000-0000-0000F2230000}"/>
    <cellStyle name="Percent 80 2" xfId="9393" xr:uid="{00000000-0005-0000-0000-0000F3230000}"/>
    <cellStyle name="Percent 80 2 2" xfId="9423" xr:uid="{00000000-0005-0000-0000-0000F4230000}"/>
    <cellStyle name="Percent 80 2 2 2" xfId="9431" xr:uid="{00000000-0005-0000-0000-0000F5230000}"/>
    <cellStyle name="Percent 81" xfId="9147" xr:uid="{00000000-0005-0000-0000-0000F6230000}"/>
    <cellStyle name="Percent 82" xfId="9148" xr:uid="{00000000-0005-0000-0000-0000F7230000}"/>
    <cellStyle name="Percent 83" xfId="9149" xr:uid="{00000000-0005-0000-0000-0000F8230000}"/>
    <cellStyle name="Percent 84" xfId="9150" xr:uid="{00000000-0005-0000-0000-0000F9230000}"/>
    <cellStyle name="Percent 85" xfId="9151" xr:uid="{00000000-0005-0000-0000-0000FA230000}"/>
    <cellStyle name="Percent 86" xfId="9152" xr:uid="{00000000-0005-0000-0000-0000FB230000}"/>
    <cellStyle name="Percent 87" xfId="9377" xr:uid="{00000000-0005-0000-0000-0000FC230000}"/>
    <cellStyle name="Percent 88" xfId="9379" xr:uid="{00000000-0005-0000-0000-0000FD230000}"/>
    <cellStyle name="Percent 88 3" xfId="9405" xr:uid="{00000000-0005-0000-0000-0000FE230000}"/>
    <cellStyle name="Percent 88 3 2" xfId="9414" xr:uid="{00000000-0005-0000-0000-0000FF230000}"/>
    <cellStyle name="Percent 89" xfId="9380" xr:uid="{00000000-0005-0000-0000-000000240000}"/>
    <cellStyle name="Percent 9" xfId="9153" xr:uid="{00000000-0005-0000-0000-000001240000}"/>
    <cellStyle name="Percent 9 2" xfId="9154" xr:uid="{00000000-0005-0000-0000-000002240000}"/>
    <cellStyle name="Percent 9 3" xfId="9155" xr:uid="{00000000-0005-0000-0000-000003240000}"/>
    <cellStyle name="Percent 90" xfId="9383" xr:uid="{00000000-0005-0000-0000-000004240000}"/>
    <cellStyle name="Percent 91" xfId="9384" xr:uid="{00000000-0005-0000-0000-000005240000}"/>
    <cellStyle name="Percent 92" xfId="9390" xr:uid="{00000000-0005-0000-0000-000006240000}"/>
    <cellStyle name="Percent 93" xfId="9413" xr:uid="{00000000-0005-0000-0000-000007240000}"/>
    <cellStyle name="Percent 94" xfId="9408" xr:uid="{00000000-0005-0000-0000-000008240000}"/>
    <cellStyle name="Percent 94 2" xfId="9417" xr:uid="{00000000-0005-0000-0000-000009240000}"/>
    <cellStyle name="Percent 95" xfId="9419" xr:uid="{00000000-0005-0000-0000-00000A240000}"/>
    <cellStyle name="Percent 95 2" xfId="9428" xr:uid="{00000000-0005-0000-0000-00000B240000}"/>
    <cellStyle name="Percent 96" xfId="9436" xr:uid="{00000000-0005-0000-0000-00000C240000}"/>
    <cellStyle name="Percent 97" xfId="9445" xr:uid="{00000000-0005-0000-0000-00000D240000}"/>
    <cellStyle name="PRINTFONT" xfId="9156" xr:uid="{00000000-0005-0000-0000-00000E240000}"/>
    <cellStyle name="PSChar" xfId="9157" xr:uid="{00000000-0005-0000-0000-00000F240000}"/>
    <cellStyle name="PSDate" xfId="9158" xr:uid="{00000000-0005-0000-0000-000010240000}"/>
    <cellStyle name="PSDec" xfId="9159" xr:uid="{00000000-0005-0000-0000-000011240000}"/>
    <cellStyle name="PSHeading" xfId="9160" xr:uid="{00000000-0005-0000-0000-000012240000}"/>
    <cellStyle name="PSInt" xfId="9161" xr:uid="{00000000-0005-0000-0000-000013240000}"/>
    <cellStyle name="PSSpacer" xfId="9162" xr:uid="{00000000-0005-0000-0000-000014240000}"/>
    <cellStyle name="RangeBelow" xfId="9163" xr:uid="{00000000-0005-0000-0000-000015240000}"/>
    <cellStyle name="Reset  - Style4" xfId="9164" xr:uid="{00000000-0005-0000-0000-000016240000}"/>
    <cellStyle name="Reset  - Style7" xfId="9165" xr:uid="{00000000-0005-0000-0000-000017240000}"/>
    <cellStyle name="STD" xfId="9166" xr:uid="{00000000-0005-0000-0000-000018240000}"/>
    <cellStyle name="Style 21" xfId="9167" xr:uid="{00000000-0005-0000-0000-000019240000}"/>
    <cellStyle name="Style 21 2" xfId="9168" xr:uid="{00000000-0005-0000-0000-00001A240000}"/>
    <cellStyle name="Style 21 3" xfId="9169" xr:uid="{00000000-0005-0000-0000-00001B240000}"/>
    <cellStyle name="Style 21 4" xfId="9170" xr:uid="{00000000-0005-0000-0000-00001C240000}"/>
    <cellStyle name="Style 21 5" xfId="9171" xr:uid="{00000000-0005-0000-0000-00001D240000}"/>
    <cellStyle name="Style 22" xfId="6" xr:uid="{00000000-0005-0000-0000-00001E240000}"/>
    <cellStyle name="Style 22 2" xfId="9172" xr:uid="{00000000-0005-0000-0000-00001F240000}"/>
    <cellStyle name="Style 22 3" xfId="9173" xr:uid="{00000000-0005-0000-0000-000020240000}"/>
    <cellStyle name="Style 22 4" xfId="9174" xr:uid="{00000000-0005-0000-0000-000021240000}"/>
    <cellStyle name="Style 22 5" xfId="9175" xr:uid="{00000000-0005-0000-0000-000022240000}"/>
    <cellStyle name="Style 23" xfId="9176" xr:uid="{00000000-0005-0000-0000-000023240000}"/>
    <cellStyle name="Style 23 2" xfId="9177" xr:uid="{00000000-0005-0000-0000-000024240000}"/>
    <cellStyle name="Style 23 3" xfId="9178" xr:uid="{00000000-0005-0000-0000-000025240000}"/>
    <cellStyle name="Style 23 4" xfId="9179" xr:uid="{00000000-0005-0000-0000-000026240000}"/>
    <cellStyle name="Style 23 5" xfId="9180" xr:uid="{00000000-0005-0000-0000-000027240000}"/>
    <cellStyle name="Style 24" xfId="7" xr:uid="{00000000-0005-0000-0000-000028240000}"/>
    <cellStyle name="Style 24 2" xfId="9181" xr:uid="{00000000-0005-0000-0000-000029240000}"/>
    <cellStyle name="Style 24 3" xfId="9182" xr:uid="{00000000-0005-0000-0000-00002A240000}"/>
    <cellStyle name="Style 24 4" xfId="9183" xr:uid="{00000000-0005-0000-0000-00002B240000}"/>
    <cellStyle name="Style 24 5" xfId="9184" xr:uid="{00000000-0005-0000-0000-00002C240000}"/>
    <cellStyle name="Style 25" xfId="9185" xr:uid="{00000000-0005-0000-0000-00002D240000}"/>
    <cellStyle name="Style 25 10" xfId="9186" xr:uid="{00000000-0005-0000-0000-00002E240000}"/>
    <cellStyle name="Style 25 2" xfId="9187" xr:uid="{00000000-0005-0000-0000-00002F240000}"/>
    <cellStyle name="Style 25 3" xfId="9188" xr:uid="{00000000-0005-0000-0000-000030240000}"/>
    <cellStyle name="Style 25 4" xfId="9189" xr:uid="{00000000-0005-0000-0000-000031240000}"/>
    <cellStyle name="Style 25 5" xfId="9190" xr:uid="{00000000-0005-0000-0000-000032240000}"/>
    <cellStyle name="Style 25 6" xfId="9191" xr:uid="{00000000-0005-0000-0000-000033240000}"/>
    <cellStyle name="Style 25 7" xfId="9192" xr:uid="{00000000-0005-0000-0000-000034240000}"/>
    <cellStyle name="Style 25 8" xfId="9193" xr:uid="{00000000-0005-0000-0000-000035240000}"/>
    <cellStyle name="Style 25 9" xfId="9194" xr:uid="{00000000-0005-0000-0000-000036240000}"/>
    <cellStyle name="Style 26" xfId="9195" xr:uid="{00000000-0005-0000-0000-000037240000}"/>
    <cellStyle name="Style 26 2" xfId="9196" xr:uid="{00000000-0005-0000-0000-000038240000}"/>
    <cellStyle name="Style 26 2 2" xfId="9197" xr:uid="{00000000-0005-0000-0000-000039240000}"/>
    <cellStyle name="Style 26 3" xfId="9198" xr:uid="{00000000-0005-0000-0000-00003A240000}"/>
    <cellStyle name="Style 26 3 2" xfId="9199" xr:uid="{00000000-0005-0000-0000-00003B240000}"/>
    <cellStyle name="Style 26 4" xfId="9200" xr:uid="{00000000-0005-0000-0000-00003C240000}"/>
    <cellStyle name="Style 26 5" xfId="9201" xr:uid="{00000000-0005-0000-0000-00003D240000}"/>
    <cellStyle name="Style 26 6" xfId="9202" xr:uid="{00000000-0005-0000-0000-00003E240000}"/>
    <cellStyle name="Style 26 7" xfId="9203" xr:uid="{00000000-0005-0000-0000-00003F240000}"/>
    <cellStyle name="Style 27" xfId="9204" xr:uid="{00000000-0005-0000-0000-000040240000}"/>
    <cellStyle name="Style 27 2" xfId="9205" xr:uid="{00000000-0005-0000-0000-000041240000}"/>
    <cellStyle name="Style 27 3" xfId="9206" xr:uid="{00000000-0005-0000-0000-000042240000}"/>
    <cellStyle name="Style 27 4" xfId="9207" xr:uid="{00000000-0005-0000-0000-000043240000}"/>
    <cellStyle name="Style 27 5" xfId="9208" xr:uid="{00000000-0005-0000-0000-000044240000}"/>
    <cellStyle name="Style 28" xfId="9209" xr:uid="{00000000-0005-0000-0000-000045240000}"/>
    <cellStyle name="Style 28 2" xfId="9210" xr:uid="{00000000-0005-0000-0000-000046240000}"/>
    <cellStyle name="Style 28 3" xfId="9211" xr:uid="{00000000-0005-0000-0000-000047240000}"/>
    <cellStyle name="Style 28 4" xfId="9212" xr:uid="{00000000-0005-0000-0000-000048240000}"/>
    <cellStyle name="Style 28 5" xfId="9213" xr:uid="{00000000-0005-0000-0000-000049240000}"/>
    <cellStyle name="Style 29" xfId="9214" xr:uid="{00000000-0005-0000-0000-00004A240000}"/>
    <cellStyle name="Style 29 10" xfId="9215" xr:uid="{00000000-0005-0000-0000-00004B240000}"/>
    <cellStyle name="Style 29 11" xfId="9216" xr:uid="{00000000-0005-0000-0000-00004C240000}"/>
    <cellStyle name="Style 29 12" xfId="9217" xr:uid="{00000000-0005-0000-0000-00004D240000}"/>
    <cellStyle name="Style 29 13" xfId="9218" xr:uid="{00000000-0005-0000-0000-00004E240000}"/>
    <cellStyle name="Style 29 14" xfId="9219" xr:uid="{00000000-0005-0000-0000-00004F240000}"/>
    <cellStyle name="Style 29 15" xfId="9220" xr:uid="{00000000-0005-0000-0000-000050240000}"/>
    <cellStyle name="Style 29 16" xfId="9221" xr:uid="{00000000-0005-0000-0000-000051240000}"/>
    <cellStyle name="Style 29 2" xfId="9222" xr:uid="{00000000-0005-0000-0000-000052240000}"/>
    <cellStyle name="Style 29 3" xfId="9223" xr:uid="{00000000-0005-0000-0000-000053240000}"/>
    <cellStyle name="Style 29 4" xfId="9224" xr:uid="{00000000-0005-0000-0000-000054240000}"/>
    <cellStyle name="Style 29 5" xfId="9225" xr:uid="{00000000-0005-0000-0000-000055240000}"/>
    <cellStyle name="Style 29 6" xfId="9226" xr:uid="{00000000-0005-0000-0000-000056240000}"/>
    <cellStyle name="Style 29 7" xfId="9227" xr:uid="{00000000-0005-0000-0000-000057240000}"/>
    <cellStyle name="Style 29 8" xfId="9228" xr:uid="{00000000-0005-0000-0000-000058240000}"/>
    <cellStyle name="Style 29 9" xfId="9229" xr:uid="{00000000-0005-0000-0000-000059240000}"/>
    <cellStyle name="Style 30" xfId="9230" xr:uid="{00000000-0005-0000-0000-00005A240000}"/>
    <cellStyle name="Style 30 10" xfId="9231" xr:uid="{00000000-0005-0000-0000-00005B240000}"/>
    <cellStyle name="Style 30 11" xfId="9232" xr:uid="{00000000-0005-0000-0000-00005C240000}"/>
    <cellStyle name="Style 30 12" xfId="9233" xr:uid="{00000000-0005-0000-0000-00005D240000}"/>
    <cellStyle name="Style 30 13" xfId="9234" xr:uid="{00000000-0005-0000-0000-00005E240000}"/>
    <cellStyle name="Style 30 14" xfId="9235" xr:uid="{00000000-0005-0000-0000-00005F240000}"/>
    <cellStyle name="Style 30 15" xfId="9236" xr:uid="{00000000-0005-0000-0000-000060240000}"/>
    <cellStyle name="Style 30 16" xfId="9237" xr:uid="{00000000-0005-0000-0000-000061240000}"/>
    <cellStyle name="Style 30 2" xfId="9238" xr:uid="{00000000-0005-0000-0000-000062240000}"/>
    <cellStyle name="Style 30 3" xfId="9239" xr:uid="{00000000-0005-0000-0000-000063240000}"/>
    <cellStyle name="Style 30 4" xfId="9240" xr:uid="{00000000-0005-0000-0000-000064240000}"/>
    <cellStyle name="Style 30 5" xfId="9241" xr:uid="{00000000-0005-0000-0000-000065240000}"/>
    <cellStyle name="Style 30 6" xfId="9242" xr:uid="{00000000-0005-0000-0000-000066240000}"/>
    <cellStyle name="Style 30 7" xfId="9243" xr:uid="{00000000-0005-0000-0000-000067240000}"/>
    <cellStyle name="Style 30 8" xfId="9244" xr:uid="{00000000-0005-0000-0000-000068240000}"/>
    <cellStyle name="Style 30 9" xfId="9245" xr:uid="{00000000-0005-0000-0000-000069240000}"/>
    <cellStyle name="Style 31" xfId="9246" xr:uid="{00000000-0005-0000-0000-00006A240000}"/>
    <cellStyle name="Style 31 2" xfId="9247" xr:uid="{00000000-0005-0000-0000-00006B240000}"/>
    <cellStyle name="Style 31 3" xfId="9248" xr:uid="{00000000-0005-0000-0000-00006C240000}"/>
    <cellStyle name="Style 31 4" xfId="9249" xr:uid="{00000000-0005-0000-0000-00006D240000}"/>
    <cellStyle name="Style 31 5" xfId="9250" xr:uid="{00000000-0005-0000-0000-00006E240000}"/>
    <cellStyle name="Style 32" xfId="9251" xr:uid="{00000000-0005-0000-0000-00006F240000}"/>
    <cellStyle name="Style 32 2" xfId="9252" xr:uid="{00000000-0005-0000-0000-000070240000}"/>
    <cellStyle name="Style 32 3" xfId="9253" xr:uid="{00000000-0005-0000-0000-000071240000}"/>
    <cellStyle name="Style 32 4" xfId="9254" xr:uid="{00000000-0005-0000-0000-000072240000}"/>
    <cellStyle name="Style 32 5" xfId="9255" xr:uid="{00000000-0005-0000-0000-000073240000}"/>
    <cellStyle name="Style 32 6" xfId="9256" xr:uid="{00000000-0005-0000-0000-000074240000}"/>
    <cellStyle name="Style 32 7" xfId="9257" xr:uid="{00000000-0005-0000-0000-000075240000}"/>
    <cellStyle name="Style 32 8" xfId="9258" xr:uid="{00000000-0005-0000-0000-000076240000}"/>
    <cellStyle name="Style 33" xfId="9259" xr:uid="{00000000-0005-0000-0000-000077240000}"/>
    <cellStyle name="Style 33 10" xfId="9260" xr:uid="{00000000-0005-0000-0000-000078240000}"/>
    <cellStyle name="Style 33 11" xfId="9261" xr:uid="{00000000-0005-0000-0000-000079240000}"/>
    <cellStyle name="Style 33 12" xfId="9262" xr:uid="{00000000-0005-0000-0000-00007A240000}"/>
    <cellStyle name="Style 33 13" xfId="9263" xr:uid="{00000000-0005-0000-0000-00007B240000}"/>
    <cellStyle name="Style 33 14" xfId="9264" xr:uid="{00000000-0005-0000-0000-00007C240000}"/>
    <cellStyle name="Style 33 15" xfId="9265" xr:uid="{00000000-0005-0000-0000-00007D240000}"/>
    <cellStyle name="Style 33 16" xfId="9266" xr:uid="{00000000-0005-0000-0000-00007E240000}"/>
    <cellStyle name="Style 33 2" xfId="9267" xr:uid="{00000000-0005-0000-0000-00007F240000}"/>
    <cellStyle name="Style 33 3" xfId="9268" xr:uid="{00000000-0005-0000-0000-000080240000}"/>
    <cellStyle name="Style 33 4" xfId="9269" xr:uid="{00000000-0005-0000-0000-000081240000}"/>
    <cellStyle name="Style 33 5" xfId="9270" xr:uid="{00000000-0005-0000-0000-000082240000}"/>
    <cellStyle name="Style 33 6" xfId="9271" xr:uid="{00000000-0005-0000-0000-000083240000}"/>
    <cellStyle name="Style 33 7" xfId="9272" xr:uid="{00000000-0005-0000-0000-000084240000}"/>
    <cellStyle name="Style 33 8" xfId="9273" xr:uid="{00000000-0005-0000-0000-000085240000}"/>
    <cellStyle name="Style 33 9" xfId="9274" xr:uid="{00000000-0005-0000-0000-000086240000}"/>
    <cellStyle name="Style 34" xfId="9275" xr:uid="{00000000-0005-0000-0000-000087240000}"/>
    <cellStyle name="Style 34 10" xfId="9276" xr:uid="{00000000-0005-0000-0000-000088240000}"/>
    <cellStyle name="Style 34 11" xfId="9277" xr:uid="{00000000-0005-0000-0000-000089240000}"/>
    <cellStyle name="Style 34 12" xfId="9278" xr:uid="{00000000-0005-0000-0000-00008A240000}"/>
    <cellStyle name="Style 34 13" xfId="9279" xr:uid="{00000000-0005-0000-0000-00008B240000}"/>
    <cellStyle name="Style 34 14" xfId="9280" xr:uid="{00000000-0005-0000-0000-00008C240000}"/>
    <cellStyle name="Style 34 15" xfId="9281" xr:uid="{00000000-0005-0000-0000-00008D240000}"/>
    <cellStyle name="Style 34 16" xfId="9282" xr:uid="{00000000-0005-0000-0000-00008E240000}"/>
    <cellStyle name="Style 34 2" xfId="9283" xr:uid="{00000000-0005-0000-0000-00008F240000}"/>
    <cellStyle name="Style 34 3" xfId="9284" xr:uid="{00000000-0005-0000-0000-000090240000}"/>
    <cellStyle name="Style 34 4" xfId="9285" xr:uid="{00000000-0005-0000-0000-000091240000}"/>
    <cellStyle name="Style 34 5" xfId="9286" xr:uid="{00000000-0005-0000-0000-000092240000}"/>
    <cellStyle name="Style 34 6" xfId="9287" xr:uid="{00000000-0005-0000-0000-000093240000}"/>
    <cellStyle name="Style 34 7" xfId="9288" xr:uid="{00000000-0005-0000-0000-000094240000}"/>
    <cellStyle name="Style 34 8" xfId="9289" xr:uid="{00000000-0005-0000-0000-000095240000}"/>
    <cellStyle name="Style 34 9" xfId="9290" xr:uid="{00000000-0005-0000-0000-000096240000}"/>
    <cellStyle name="Style 35" xfId="9291" xr:uid="{00000000-0005-0000-0000-000097240000}"/>
    <cellStyle name="Style 35 10" xfId="9292" xr:uid="{00000000-0005-0000-0000-000098240000}"/>
    <cellStyle name="Style 35 11" xfId="9293" xr:uid="{00000000-0005-0000-0000-000099240000}"/>
    <cellStyle name="Style 35 12" xfId="9294" xr:uid="{00000000-0005-0000-0000-00009A240000}"/>
    <cellStyle name="Style 35 13" xfId="9295" xr:uid="{00000000-0005-0000-0000-00009B240000}"/>
    <cellStyle name="Style 35 14" xfId="9296" xr:uid="{00000000-0005-0000-0000-00009C240000}"/>
    <cellStyle name="Style 35 15" xfId="9297" xr:uid="{00000000-0005-0000-0000-00009D240000}"/>
    <cellStyle name="Style 35 16" xfId="9298" xr:uid="{00000000-0005-0000-0000-00009E240000}"/>
    <cellStyle name="Style 35 2" xfId="9299" xr:uid="{00000000-0005-0000-0000-00009F240000}"/>
    <cellStyle name="Style 35 3" xfId="9300" xr:uid="{00000000-0005-0000-0000-0000A0240000}"/>
    <cellStyle name="Style 35 4" xfId="9301" xr:uid="{00000000-0005-0000-0000-0000A1240000}"/>
    <cellStyle name="Style 35 5" xfId="9302" xr:uid="{00000000-0005-0000-0000-0000A2240000}"/>
    <cellStyle name="Style 35 6" xfId="9303" xr:uid="{00000000-0005-0000-0000-0000A3240000}"/>
    <cellStyle name="Style 35 7" xfId="9304" xr:uid="{00000000-0005-0000-0000-0000A4240000}"/>
    <cellStyle name="Style 35 8" xfId="9305" xr:uid="{00000000-0005-0000-0000-0000A5240000}"/>
    <cellStyle name="Style 35 9" xfId="9306" xr:uid="{00000000-0005-0000-0000-0000A6240000}"/>
    <cellStyle name="Style 36" xfId="9307" xr:uid="{00000000-0005-0000-0000-0000A7240000}"/>
    <cellStyle name="Style 36 10" xfId="9308" xr:uid="{00000000-0005-0000-0000-0000A8240000}"/>
    <cellStyle name="Style 36 11" xfId="9309" xr:uid="{00000000-0005-0000-0000-0000A9240000}"/>
    <cellStyle name="Style 36 12" xfId="9310" xr:uid="{00000000-0005-0000-0000-0000AA240000}"/>
    <cellStyle name="Style 36 13" xfId="9311" xr:uid="{00000000-0005-0000-0000-0000AB240000}"/>
    <cellStyle name="Style 36 14" xfId="9312" xr:uid="{00000000-0005-0000-0000-0000AC240000}"/>
    <cellStyle name="Style 36 15" xfId="9313" xr:uid="{00000000-0005-0000-0000-0000AD240000}"/>
    <cellStyle name="Style 36 16" xfId="9314" xr:uid="{00000000-0005-0000-0000-0000AE240000}"/>
    <cellStyle name="Style 36 2" xfId="9315" xr:uid="{00000000-0005-0000-0000-0000AF240000}"/>
    <cellStyle name="Style 36 3" xfId="9316" xr:uid="{00000000-0005-0000-0000-0000B0240000}"/>
    <cellStyle name="Style 36 4" xfId="9317" xr:uid="{00000000-0005-0000-0000-0000B1240000}"/>
    <cellStyle name="Style 36 5" xfId="9318" xr:uid="{00000000-0005-0000-0000-0000B2240000}"/>
    <cellStyle name="Style 36 6" xfId="9319" xr:uid="{00000000-0005-0000-0000-0000B3240000}"/>
    <cellStyle name="Style 36 7" xfId="9320" xr:uid="{00000000-0005-0000-0000-0000B4240000}"/>
    <cellStyle name="Style 36 8" xfId="9321" xr:uid="{00000000-0005-0000-0000-0000B5240000}"/>
    <cellStyle name="Style 36 9" xfId="9322" xr:uid="{00000000-0005-0000-0000-0000B6240000}"/>
    <cellStyle name="Style 39" xfId="9323" xr:uid="{00000000-0005-0000-0000-0000B7240000}"/>
    <cellStyle name="Style 39 10" xfId="9324" xr:uid="{00000000-0005-0000-0000-0000B8240000}"/>
    <cellStyle name="Style 39 11" xfId="9325" xr:uid="{00000000-0005-0000-0000-0000B9240000}"/>
    <cellStyle name="Style 39 12" xfId="9326" xr:uid="{00000000-0005-0000-0000-0000BA240000}"/>
    <cellStyle name="Style 39 13" xfId="9327" xr:uid="{00000000-0005-0000-0000-0000BB240000}"/>
    <cellStyle name="Style 39 14" xfId="9328" xr:uid="{00000000-0005-0000-0000-0000BC240000}"/>
    <cellStyle name="Style 39 15" xfId="9329" xr:uid="{00000000-0005-0000-0000-0000BD240000}"/>
    <cellStyle name="Style 39 16" xfId="9330" xr:uid="{00000000-0005-0000-0000-0000BE240000}"/>
    <cellStyle name="Style 39 17" xfId="9331" xr:uid="{00000000-0005-0000-0000-0000BF240000}"/>
    <cellStyle name="Style 39 2" xfId="9332" xr:uid="{00000000-0005-0000-0000-0000C0240000}"/>
    <cellStyle name="Style 39 3" xfId="9333" xr:uid="{00000000-0005-0000-0000-0000C1240000}"/>
    <cellStyle name="Style 39 4" xfId="9334" xr:uid="{00000000-0005-0000-0000-0000C2240000}"/>
    <cellStyle name="Style 39 5" xfId="9335" xr:uid="{00000000-0005-0000-0000-0000C3240000}"/>
    <cellStyle name="Style 39 6" xfId="9336" xr:uid="{00000000-0005-0000-0000-0000C4240000}"/>
    <cellStyle name="Style 39 7" xfId="9337" xr:uid="{00000000-0005-0000-0000-0000C5240000}"/>
    <cellStyle name="Style 39 8" xfId="9338" xr:uid="{00000000-0005-0000-0000-0000C6240000}"/>
    <cellStyle name="Style 39 9" xfId="9339" xr:uid="{00000000-0005-0000-0000-0000C7240000}"/>
    <cellStyle name="SubRoutine" xfId="9340" xr:uid="{00000000-0005-0000-0000-0000C8240000}"/>
    <cellStyle name="Table  - Style5" xfId="9341" xr:uid="{00000000-0005-0000-0000-0000C9240000}"/>
    <cellStyle name="Table  - Style6" xfId="9342" xr:uid="{00000000-0005-0000-0000-0000CA240000}"/>
    <cellStyle name="Text B &amp; U" xfId="9343" xr:uid="{00000000-0005-0000-0000-0000CB240000}"/>
    <cellStyle name="Text STD 1" xfId="9344" xr:uid="{00000000-0005-0000-0000-0000CC240000}"/>
    <cellStyle name="Text STD 2" xfId="9345" xr:uid="{00000000-0005-0000-0000-0000CD240000}"/>
    <cellStyle name="Text STD 3" xfId="9346" xr:uid="{00000000-0005-0000-0000-0000CE240000}"/>
    <cellStyle name="Text Under 0" xfId="9347" xr:uid="{00000000-0005-0000-0000-0000CF240000}"/>
    <cellStyle name="Text Under 1" xfId="9348" xr:uid="{00000000-0005-0000-0000-0000D0240000}"/>
    <cellStyle name="Text Wrap" xfId="9349" xr:uid="{00000000-0005-0000-0000-0000D1240000}"/>
    <cellStyle name="TextNormal" xfId="9350" xr:uid="{00000000-0005-0000-0000-0000D2240000}"/>
    <cellStyle name="þ(Î'_x000c_ïþ÷_x000c_âþÖ_x0006__x0002_Þ”_x0013__x0007__x0001__x0001_" xfId="9351" xr:uid="{00000000-0005-0000-0000-0000D3240000}"/>
    <cellStyle name="Title  - Style1" xfId="9352" xr:uid="{00000000-0005-0000-0000-0000D4240000}"/>
    <cellStyle name="Title  - Style6" xfId="9353" xr:uid="{00000000-0005-0000-0000-0000D5240000}"/>
    <cellStyle name="Title 2" xfId="9354" xr:uid="{00000000-0005-0000-0000-0000D6240000}"/>
    <cellStyle name="Title 3" xfId="9355" xr:uid="{00000000-0005-0000-0000-0000D7240000}"/>
    <cellStyle name="Title 4" xfId="9356" xr:uid="{00000000-0005-0000-0000-0000D8240000}"/>
    <cellStyle name="Title 5" xfId="9357" xr:uid="{00000000-0005-0000-0000-0000D9240000}"/>
    <cellStyle name="Title: Worksheet" xfId="9358" xr:uid="{00000000-0005-0000-0000-0000DA240000}"/>
    <cellStyle name="Total 2" xfId="9359" xr:uid="{00000000-0005-0000-0000-0000DB240000}"/>
    <cellStyle name="Total 3" xfId="9360" xr:uid="{00000000-0005-0000-0000-0000DC240000}"/>
    <cellStyle name="Total 4" xfId="9361" xr:uid="{00000000-0005-0000-0000-0000DD240000}"/>
    <cellStyle name="Total 5" xfId="9362" xr:uid="{00000000-0005-0000-0000-0000DE240000}"/>
    <cellStyle name="Total 6" xfId="9363" xr:uid="{00000000-0005-0000-0000-0000DF240000}"/>
    <cellStyle name="Total 7" xfId="9364" xr:uid="{00000000-0005-0000-0000-0000E0240000}"/>
    <cellStyle name="TotCol - Style5" xfId="9365" xr:uid="{00000000-0005-0000-0000-0000E1240000}"/>
    <cellStyle name="TotCol - Style7" xfId="9366" xr:uid="{00000000-0005-0000-0000-0000E2240000}"/>
    <cellStyle name="TotRow - Style4" xfId="9367" xr:uid="{00000000-0005-0000-0000-0000E3240000}"/>
    <cellStyle name="TotRow - Style8" xfId="9368" xr:uid="{00000000-0005-0000-0000-0000E4240000}"/>
    <cellStyle name="Undefined" xfId="9369" xr:uid="{00000000-0005-0000-0000-0000E5240000}"/>
    <cellStyle name="UnDERLINED" xfId="9370" xr:uid="{00000000-0005-0000-0000-0000E6240000}"/>
    <cellStyle name="Warning Text 2" xfId="9371" xr:uid="{00000000-0005-0000-0000-0000E7240000}"/>
    <cellStyle name="Warning Text 3" xfId="9372" xr:uid="{00000000-0005-0000-0000-0000E8240000}"/>
    <cellStyle name="Warning Text 4" xfId="9373" xr:uid="{00000000-0005-0000-0000-0000E9240000}"/>
    <cellStyle name="Warning Text 5" xfId="9374" xr:uid="{00000000-0005-0000-0000-0000EA240000}"/>
    <cellStyle name="Warning Text 6" xfId="9375" xr:uid="{00000000-0005-0000-0000-0000EB240000}"/>
  </cellStyles>
  <dxfs count="97">
    <dxf>
      <fill>
        <patternFill>
          <bgColor rgb="FFF4B084"/>
        </patternFill>
      </fill>
    </dxf>
    <dxf>
      <fill>
        <patternFill>
          <bgColor rgb="FFF8CBAD"/>
        </patternFill>
      </fill>
    </dxf>
    <dxf>
      <fill>
        <patternFill>
          <bgColor rgb="FFF4B084"/>
        </patternFill>
      </fill>
    </dxf>
    <dxf>
      <fill>
        <patternFill>
          <bgColor rgb="FFF8CBAD"/>
        </patternFill>
      </fill>
    </dxf>
    <dxf>
      <fill>
        <patternFill>
          <bgColor rgb="FFF4B084"/>
        </patternFill>
      </fill>
    </dxf>
    <dxf>
      <fill>
        <patternFill>
          <bgColor rgb="FFF8CBAD"/>
        </patternFill>
      </fill>
    </dxf>
    <dxf>
      <fill>
        <patternFill>
          <bgColor theme="5" tint="0.39994506668294322"/>
        </patternFill>
      </fill>
    </dxf>
    <dxf>
      <fill>
        <patternFill>
          <bgColor theme="5" tint="0.59996337778862885"/>
        </patternFill>
      </fill>
    </dxf>
    <dxf>
      <fill>
        <patternFill>
          <bgColor rgb="FFF4B084"/>
        </patternFill>
      </fill>
    </dxf>
    <dxf>
      <fill>
        <patternFill>
          <bgColor rgb="FFF8CBAD"/>
        </patternFill>
      </fill>
    </dxf>
    <dxf>
      <fill>
        <patternFill>
          <bgColor rgb="FFF4B084"/>
        </patternFill>
      </fill>
    </dxf>
    <dxf>
      <fill>
        <patternFill>
          <bgColor rgb="FFF8CBAD"/>
        </patternFill>
      </fill>
    </dxf>
    <dxf>
      <fill>
        <patternFill>
          <bgColor rgb="FFF4B084"/>
        </patternFill>
      </fill>
    </dxf>
    <dxf>
      <fill>
        <patternFill>
          <bgColor rgb="FFF8CBAD"/>
        </patternFill>
      </fill>
    </dxf>
    <dxf>
      <fill>
        <patternFill>
          <bgColor theme="5"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F4B084"/>
        </patternFill>
      </fill>
    </dxf>
    <dxf>
      <fill>
        <patternFill>
          <bgColor rgb="FFF8CBAD"/>
        </patternFill>
      </fill>
    </dxf>
    <dxf>
      <fill>
        <patternFill>
          <bgColor rgb="FFF4B084"/>
        </patternFill>
      </fill>
    </dxf>
    <dxf>
      <fill>
        <patternFill>
          <bgColor rgb="FFF8CBAD"/>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59996337778862885"/>
        </patternFill>
      </fill>
    </dxf>
    <dxf>
      <fill>
        <patternFill>
          <bgColor rgb="FFF4B084"/>
        </patternFill>
      </fill>
    </dxf>
    <dxf>
      <fill>
        <patternFill>
          <bgColor rgb="FFF8CBAD"/>
        </patternFill>
      </fill>
    </dxf>
    <dxf>
      <fill>
        <patternFill>
          <bgColor rgb="FFF4B084"/>
        </patternFill>
      </fill>
    </dxf>
    <dxf>
      <fill>
        <patternFill>
          <bgColor rgb="FFF8CBAD"/>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ill>
        <patternFill>
          <bgColor theme="5" tint="0.39994506668294322"/>
        </patternFill>
      </fill>
    </dxf>
    <dxf>
      <fill>
        <patternFill>
          <bgColor theme="5" tint="0.59996337778862885"/>
        </patternFill>
      </fill>
    </dxf>
    <dxf>
      <font>
        <b/>
        <i val="0"/>
      </font>
    </dxf>
    <dxf>
      <fill>
        <patternFill>
          <bgColor theme="5" tint="0.39994506668294322"/>
        </patternFill>
      </fill>
    </dxf>
    <dxf>
      <fill>
        <patternFill>
          <bgColor theme="5" tint="0.59996337778862885"/>
        </patternFill>
      </fill>
    </dxf>
    <dxf>
      <font>
        <b/>
        <i val="0"/>
      </font>
    </dxf>
    <dxf>
      <fill>
        <patternFill>
          <bgColor theme="5" tint="0.39994506668294322"/>
        </patternFill>
      </fill>
    </dxf>
    <dxf>
      <fill>
        <patternFill>
          <bgColor theme="5" tint="0.59996337778862885"/>
        </patternFill>
      </fill>
    </dxf>
    <dxf>
      <font>
        <b/>
        <i val="0"/>
      </font>
    </dxf>
    <dxf>
      <fill>
        <patternFill>
          <bgColor theme="5" tint="0.39994506668294322"/>
        </patternFill>
      </fill>
    </dxf>
    <dxf>
      <font>
        <b/>
        <i val="0"/>
      </font>
    </dxf>
    <dxf>
      <fill>
        <patternFill>
          <bgColor theme="5" tint="0.39994506668294322"/>
        </patternFill>
      </fill>
    </dxf>
    <dxf>
      <fill>
        <patternFill>
          <bgColor theme="5" tint="0.59996337778862885"/>
        </patternFill>
      </fill>
    </dxf>
    <dxf>
      <font>
        <b/>
        <i val="0"/>
      </font>
    </dxf>
    <dxf>
      <fill>
        <patternFill>
          <bgColor theme="5" tint="0.39994506668294322"/>
        </patternFill>
      </fill>
    </dxf>
    <dxf>
      <fill>
        <patternFill>
          <bgColor theme="5" tint="0.59996337778862885"/>
        </patternFill>
      </fill>
    </dxf>
    <dxf>
      <font>
        <b/>
        <i val="0"/>
      </font>
    </dxf>
    <dxf>
      <fill>
        <patternFill>
          <bgColor theme="5" tint="0.59996337778862885"/>
        </patternFill>
      </fill>
    </dxf>
    <dxf>
      <font>
        <b/>
        <i val="0"/>
      </font>
    </dxf>
    <dxf>
      <font>
        <b/>
        <i val="0"/>
      </font>
    </dxf>
    <dxf>
      <font>
        <b/>
        <i val="0"/>
      </font>
    </dxf>
    <dxf>
      <font>
        <b/>
        <i val="0"/>
      </font>
    </dxf>
    <dxf>
      <font>
        <b/>
        <i val="0"/>
      </font>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
      <fill>
        <patternFill>
          <bgColor theme="5" tint="0.39994506668294322"/>
        </patternFill>
      </fill>
    </dxf>
    <dxf>
      <fill>
        <patternFill>
          <bgColor theme="5" tint="0.59996337778862885"/>
        </patternFill>
      </fill>
    </dxf>
  </dxfs>
  <tableStyles count="0" defaultTableStyle="TableStyleMedium9" defaultPivotStyle="PivotStyleLight16"/>
  <colors>
    <mruColors>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21" Type="http://schemas.openxmlformats.org/officeDocument/2006/relationships/worksheet" Target="worksheets/sheet21.xml"/><Relationship Id="rId34"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33" Type="http://schemas.openxmlformats.org/officeDocument/2006/relationships/sharedStrings" Target="sharedString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32" Type="http://schemas.openxmlformats.org/officeDocument/2006/relationships/styles" Target="styles.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5.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4.xml"/><Relationship Id="rId30" Type="http://schemas.openxmlformats.org/officeDocument/2006/relationships/externalLink" Target="externalLinks/externalLink7.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9728314494664388E-2"/>
          <c:y val="5.3153344680676583E-2"/>
          <c:w val="0.90801958413493755"/>
          <c:h val="0.89534282300833379"/>
        </c:manualLayout>
      </c:layout>
      <c:scatterChart>
        <c:scatterStyle val="lineMarker"/>
        <c:varyColors val="0"/>
        <c:ser>
          <c:idx val="1"/>
          <c:order val="0"/>
          <c:tx>
            <c:strRef>
              <c:f>'Schedule-1 Summary Gas Proxy'!$L$38</c:f>
              <c:strCache>
                <c:ptCount val="1"/>
                <c:pt idx="0">
                  <c:v>Constant Growth DCF</c:v>
                </c:pt>
              </c:strCache>
            </c:strRef>
          </c:tx>
          <c:spPr>
            <a:ln w="19050" cap="rnd">
              <a:solidFill>
                <a:schemeClr val="tx1"/>
              </a:solidFill>
              <a:prstDash val="solid"/>
              <a:round/>
            </a:ln>
            <a:effectLst/>
          </c:spPr>
          <c:marker>
            <c:symbol val="circle"/>
            <c:size val="8"/>
            <c:spPr>
              <a:solidFill>
                <a:schemeClr val="tx1"/>
              </a:solidFill>
              <a:ln w="9525">
                <a:solidFill>
                  <a:schemeClr val="tx1"/>
                </a:solidFill>
              </a:ln>
              <a:effectLst/>
            </c:spPr>
          </c:marker>
          <c:xVal>
            <c:numRef>
              <c:f>'Schedule-1 Summary Gas Proxy'!$M$38:$M$39</c:f>
              <c:numCache>
                <c:formatCode>0.00%</c:formatCode>
                <c:ptCount val="2"/>
                <c:pt idx="0">
                  <c:v>9.7717558273285751E-2</c:v>
                </c:pt>
                <c:pt idx="1">
                  <c:v>0.11479515573912213</c:v>
                </c:pt>
              </c:numCache>
            </c:numRef>
          </c:xVal>
          <c:yVal>
            <c:numRef>
              <c:f>'Schedule-1 Summary Gas Proxy'!$N$38:$N$39</c:f>
              <c:numCache>
                <c:formatCode>General</c:formatCode>
                <c:ptCount val="2"/>
                <c:pt idx="0">
                  <c:v>8.5</c:v>
                </c:pt>
                <c:pt idx="1">
                  <c:v>8.5</c:v>
                </c:pt>
              </c:numCache>
            </c:numRef>
          </c:yVal>
          <c:smooth val="0"/>
          <c:extLst>
            <c:ext xmlns:c16="http://schemas.microsoft.com/office/drawing/2014/chart" uri="{C3380CC4-5D6E-409C-BE32-E72D297353CC}">
              <c16:uniqueId val="{00000008-ADBE-449F-A0B6-083AA531ADF3}"/>
            </c:ext>
          </c:extLst>
        </c:ser>
        <c:ser>
          <c:idx val="0"/>
          <c:order val="1"/>
          <c:tx>
            <c:strRef>
              <c:f>'Schedule-1 Summary Gas Proxy'!$L$36</c:f>
              <c:strCache>
                <c:ptCount val="1"/>
                <c:pt idx="0">
                  <c:v>Constant Growth DCF (Incl. NJR)</c:v>
                </c:pt>
              </c:strCache>
            </c:strRef>
          </c:tx>
          <c:spPr>
            <a:ln w="19050" cap="rnd">
              <a:solidFill>
                <a:schemeClr val="tx1"/>
              </a:solidFill>
              <a:prstDash val="sysDash"/>
              <a:round/>
            </a:ln>
            <a:effectLst/>
          </c:spPr>
          <c:marker>
            <c:symbol val="circle"/>
            <c:size val="8"/>
            <c:spPr>
              <a:noFill/>
              <a:ln w="9525">
                <a:solidFill>
                  <a:schemeClr val="tx1"/>
                </a:solidFill>
              </a:ln>
              <a:effectLst/>
            </c:spPr>
          </c:marker>
          <c:xVal>
            <c:numRef>
              <c:f>'Schedule-1 Summary Gas Proxy'!$M$36:$M$37</c:f>
              <c:numCache>
                <c:formatCode>0.00%</c:formatCode>
                <c:ptCount val="2"/>
                <c:pt idx="0">
                  <c:v>9.7717558273285751E-2</c:v>
                </c:pt>
                <c:pt idx="1">
                  <c:v>0.11324520890892996</c:v>
                </c:pt>
              </c:numCache>
            </c:numRef>
          </c:xVal>
          <c:yVal>
            <c:numRef>
              <c:f>'Schedule-1 Summary Gas Proxy'!$N$36:$N$37</c:f>
              <c:numCache>
                <c:formatCode>0.0</c:formatCode>
                <c:ptCount val="2"/>
                <c:pt idx="0">
                  <c:v>8</c:v>
                </c:pt>
                <c:pt idx="1">
                  <c:v>8</c:v>
                </c:pt>
              </c:numCache>
            </c:numRef>
          </c:yVal>
          <c:smooth val="0"/>
          <c:extLst>
            <c:ext xmlns:c16="http://schemas.microsoft.com/office/drawing/2014/chart" uri="{C3380CC4-5D6E-409C-BE32-E72D297353CC}">
              <c16:uniqueId val="{00000007-ADBE-449F-A0B6-083AA531ADF3}"/>
            </c:ext>
          </c:extLst>
        </c:ser>
        <c:ser>
          <c:idx val="3"/>
          <c:order val="2"/>
          <c:tx>
            <c:strRef>
              <c:f>'Schedule-1 Summary Gas Proxy'!$L$42</c:f>
              <c:strCache>
                <c:ptCount val="1"/>
                <c:pt idx="0">
                  <c:v>CAPM</c:v>
                </c:pt>
              </c:strCache>
            </c:strRef>
          </c:tx>
          <c:spPr>
            <a:ln w="19050" cap="rnd">
              <a:solidFill>
                <a:schemeClr val="tx1"/>
              </a:solidFill>
              <a:round/>
            </a:ln>
            <a:effectLst/>
          </c:spPr>
          <c:marker>
            <c:symbol val="square"/>
            <c:size val="8"/>
            <c:spPr>
              <a:solidFill>
                <a:schemeClr val="tx1"/>
              </a:solidFill>
              <a:ln w="9525">
                <a:solidFill>
                  <a:schemeClr val="tx1"/>
                </a:solidFill>
              </a:ln>
              <a:effectLst/>
            </c:spPr>
          </c:marker>
          <c:xVal>
            <c:numRef>
              <c:f>'Schedule-1 Summary Gas Proxy'!$M$42:$M$43</c:f>
              <c:numCache>
                <c:formatCode>0.00%</c:formatCode>
                <c:ptCount val="2"/>
                <c:pt idx="0">
                  <c:v>0.11602182188469441</c:v>
                </c:pt>
                <c:pt idx="1">
                  <c:v>0.1245571455945686</c:v>
                </c:pt>
              </c:numCache>
            </c:numRef>
          </c:xVal>
          <c:yVal>
            <c:numRef>
              <c:f>'Schedule-1 Summary Gas Proxy'!$N$42:$N$43</c:f>
              <c:numCache>
                <c:formatCode>General</c:formatCode>
                <c:ptCount val="2"/>
                <c:pt idx="0">
                  <c:v>7</c:v>
                </c:pt>
                <c:pt idx="1">
                  <c:v>7</c:v>
                </c:pt>
              </c:numCache>
            </c:numRef>
          </c:yVal>
          <c:smooth val="0"/>
          <c:extLst>
            <c:ext xmlns:c16="http://schemas.microsoft.com/office/drawing/2014/chart" uri="{C3380CC4-5D6E-409C-BE32-E72D297353CC}">
              <c16:uniqueId val="{0000000A-ADBE-449F-A0B6-083AA531ADF3}"/>
            </c:ext>
          </c:extLst>
        </c:ser>
        <c:ser>
          <c:idx val="2"/>
          <c:order val="3"/>
          <c:tx>
            <c:strRef>
              <c:f>'Schedule-1 Summary Gas Proxy'!$L$40</c:f>
              <c:strCache>
                <c:ptCount val="1"/>
                <c:pt idx="0">
                  <c:v>CAPM (Incl. NJR)</c:v>
                </c:pt>
              </c:strCache>
            </c:strRef>
          </c:tx>
          <c:spPr>
            <a:ln w="19050" cap="rnd">
              <a:solidFill>
                <a:schemeClr val="tx1"/>
              </a:solidFill>
              <a:prstDash val="sysDash"/>
              <a:round/>
            </a:ln>
            <a:effectLst/>
          </c:spPr>
          <c:marker>
            <c:symbol val="square"/>
            <c:size val="8"/>
            <c:spPr>
              <a:noFill/>
              <a:ln w="9525">
                <a:solidFill>
                  <a:schemeClr val="tx1"/>
                </a:solidFill>
              </a:ln>
              <a:effectLst/>
            </c:spPr>
          </c:marker>
          <c:xVal>
            <c:numRef>
              <c:f>'Schedule-1 Summary Gas Proxy'!$M$40:$M$41</c:f>
              <c:numCache>
                <c:formatCode>0.00%</c:formatCode>
                <c:ptCount val="2"/>
                <c:pt idx="0">
                  <c:v>0.11638819718378703</c:v>
                </c:pt>
                <c:pt idx="1">
                  <c:v>0.12535174345670783</c:v>
                </c:pt>
              </c:numCache>
            </c:numRef>
          </c:xVal>
          <c:yVal>
            <c:numRef>
              <c:f>'Schedule-1 Summary Gas Proxy'!$N$40:$N$41</c:f>
              <c:numCache>
                <c:formatCode>0.0</c:formatCode>
                <c:ptCount val="2"/>
                <c:pt idx="0">
                  <c:v>6.5</c:v>
                </c:pt>
                <c:pt idx="1">
                  <c:v>6.5</c:v>
                </c:pt>
              </c:numCache>
            </c:numRef>
          </c:yVal>
          <c:smooth val="0"/>
          <c:extLst>
            <c:ext xmlns:c16="http://schemas.microsoft.com/office/drawing/2014/chart" uri="{C3380CC4-5D6E-409C-BE32-E72D297353CC}">
              <c16:uniqueId val="{00000009-ADBE-449F-A0B6-083AA531ADF3}"/>
            </c:ext>
          </c:extLst>
        </c:ser>
        <c:ser>
          <c:idx val="5"/>
          <c:order val="4"/>
          <c:tx>
            <c:strRef>
              <c:f>'Schedule-1 Summary Gas Proxy'!$L$46</c:f>
              <c:strCache>
                <c:ptCount val="1"/>
                <c:pt idx="0">
                  <c:v>ECAPM</c:v>
                </c:pt>
              </c:strCache>
            </c:strRef>
          </c:tx>
          <c:spPr>
            <a:ln w="19050" cap="rnd">
              <a:solidFill>
                <a:schemeClr val="tx1"/>
              </a:solidFill>
              <a:round/>
            </a:ln>
            <a:effectLst/>
          </c:spPr>
          <c:marker>
            <c:symbol val="triangle"/>
            <c:size val="8"/>
            <c:spPr>
              <a:solidFill>
                <a:schemeClr val="tx1"/>
              </a:solidFill>
              <a:ln w="9525">
                <a:solidFill>
                  <a:schemeClr val="tx1"/>
                </a:solidFill>
              </a:ln>
              <a:effectLst/>
            </c:spPr>
          </c:marker>
          <c:xVal>
            <c:numRef>
              <c:f>'Schedule-1 Summary Gas Proxy'!$M$46:$M$47</c:f>
              <c:numCache>
                <c:formatCode>0.00%</c:formatCode>
                <c:ptCount val="2"/>
                <c:pt idx="0">
                  <c:v>0.12232729158839394</c:v>
                </c:pt>
                <c:pt idx="1">
                  <c:v>0.12872878437079957</c:v>
                </c:pt>
              </c:numCache>
            </c:numRef>
          </c:xVal>
          <c:yVal>
            <c:numRef>
              <c:f>'Schedule-1 Summary Gas Proxy'!$N$46:$N$47</c:f>
              <c:numCache>
                <c:formatCode>General</c:formatCode>
                <c:ptCount val="2"/>
                <c:pt idx="0">
                  <c:v>5</c:v>
                </c:pt>
                <c:pt idx="1">
                  <c:v>5</c:v>
                </c:pt>
              </c:numCache>
            </c:numRef>
          </c:yVal>
          <c:smooth val="0"/>
          <c:extLst>
            <c:ext xmlns:c16="http://schemas.microsoft.com/office/drawing/2014/chart" uri="{C3380CC4-5D6E-409C-BE32-E72D297353CC}">
              <c16:uniqueId val="{0000000C-ADBE-449F-A0B6-083AA531ADF3}"/>
            </c:ext>
          </c:extLst>
        </c:ser>
        <c:ser>
          <c:idx val="4"/>
          <c:order val="5"/>
          <c:tx>
            <c:strRef>
              <c:f>'Schedule-1 Summary Gas Proxy'!$L$44</c:f>
              <c:strCache>
                <c:ptCount val="1"/>
                <c:pt idx="0">
                  <c:v>ECAPM (Incl. NJR)</c:v>
                </c:pt>
              </c:strCache>
            </c:strRef>
          </c:tx>
          <c:spPr>
            <a:ln w="19050" cap="rnd">
              <a:solidFill>
                <a:schemeClr val="tx1"/>
              </a:solidFill>
              <a:prstDash val="sysDash"/>
              <a:round/>
            </a:ln>
            <a:effectLst/>
          </c:spPr>
          <c:marker>
            <c:symbol val="triangle"/>
            <c:size val="8"/>
            <c:spPr>
              <a:noFill/>
              <a:ln w="9525">
                <a:solidFill>
                  <a:schemeClr val="tx1"/>
                </a:solidFill>
              </a:ln>
              <a:effectLst/>
            </c:spPr>
          </c:marker>
          <c:xVal>
            <c:numRef>
              <c:f>'Schedule-1 Summary Gas Proxy'!$M$44:$M$45</c:f>
              <c:numCache>
                <c:formatCode>0.00%</c:formatCode>
                <c:ptCount val="2"/>
                <c:pt idx="0">
                  <c:v>0.1226020730627134</c:v>
                </c:pt>
                <c:pt idx="1">
                  <c:v>0.129324732767404</c:v>
                </c:pt>
              </c:numCache>
            </c:numRef>
          </c:xVal>
          <c:yVal>
            <c:numRef>
              <c:f>'Schedule-1 Summary Gas Proxy'!$N$44:$N$45</c:f>
              <c:numCache>
                <c:formatCode>0.0</c:formatCode>
                <c:ptCount val="2"/>
                <c:pt idx="0">
                  <c:v>4.5</c:v>
                </c:pt>
                <c:pt idx="1">
                  <c:v>4.5</c:v>
                </c:pt>
              </c:numCache>
            </c:numRef>
          </c:yVal>
          <c:smooth val="0"/>
          <c:extLst>
            <c:ext xmlns:c16="http://schemas.microsoft.com/office/drawing/2014/chart" uri="{C3380CC4-5D6E-409C-BE32-E72D297353CC}">
              <c16:uniqueId val="{0000000B-ADBE-449F-A0B6-083AA531ADF3}"/>
            </c:ext>
          </c:extLst>
        </c:ser>
        <c:ser>
          <c:idx val="10"/>
          <c:order val="6"/>
          <c:tx>
            <c:strRef>
              <c:f>'Schedule-1 Summary Gas Proxy'!$L$49</c:f>
              <c:strCache>
                <c:ptCount val="1"/>
                <c:pt idx="0">
                  <c:v>Bond Yield Plus Risk Premium</c:v>
                </c:pt>
              </c:strCache>
            </c:strRef>
          </c:tx>
          <c:spPr>
            <a:ln w="19050" cap="rnd">
              <a:solidFill>
                <a:schemeClr val="tx1"/>
              </a:solidFill>
              <a:round/>
            </a:ln>
            <a:effectLst/>
          </c:spPr>
          <c:marker>
            <c:symbol val="x"/>
            <c:size val="8"/>
            <c:spPr>
              <a:noFill/>
              <a:ln w="9525">
                <a:solidFill>
                  <a:schemeClr val="tx1"/>
                </a:solidFill>
              </a:ln>
              <a:effectLst/>
            </c:spPr>
          </c:marker>
          <c:xVal>
            <c:numRef>
              <c:f>'Schedule-1 Summary Gas Proxy'!$M$49:$M$50</c:f>
              <c:numCache>
                <c:formatCode>0.00%</c:formatCode>
                <c:ptCount val="2"/>
                <c:pt idx="0">
                  <c:v>9.1103926659224982E-2</c:v>
                </c:pt>
                <c:pt idx="1">
                  <c:v>9.7807486015289075E-2</c:v>
                </c:pt>
              </c:numCache>
            </c:numRef>
          </c:xVal>
          <c:yVal>
            <c:numRef>
              <c:f>'Schedule-1 Summary Gas Proxy'!$N$49:$N$50</c:f>
              <c:numCache>
                <c:formatCode>General</c:formatCode>
                <c:ptCount val="2"/>
                <c:pt idx="0">
                  <c:v>3</c:v>
                </c:pt>
                <c:pt idx="1">
                  <c:v>3</c:v>
                </c:pt>
              </c:numCache>
            </c:numRef>
          </c:yVal>
          <c:smooth val="0"/>
          <c:extLst>
            <c:ext xmlns:c16="http://schemas.microsoft.com/office/drawing/2014/chart" uri="{C3380CC4-5D6E-409C-BE32-E72D297353CC}">
              <c16:uniqueId val="{00000001-12E3-4FBE-A50D-7E90A328ED20}"/>
            </c:ext>
          </c:extLst>
        </c:ser>
        <c:ser>
          <c:idx val="7"/>
          <c:order val="7"/>
          <c:tx>
            <c:strRef>
              <c:f>'Schedule-1 Summary Gas Proxy'!$L$54</c:f>
              <c:strCache>
                <c:ptCount val="1"/>
                <c:pt idx="0">
                  <c:v>Expected Earnings</c:v>
                </c:pt>
              </c:strCache>
            </c:strRef>
          </c:tx>
          <c:spPr>
            <a:ln w="19050" cap="rnd">
              <a:solidFill>
                <a:schemeClr val="tx1"/>
              </a:solidFill>
              <a:round/>
            </a:ln>
            <a:effectLst/>
          </c:spPr>
          <c:marker>
            <c:symbol val="diamond"/>
            <c:size val="9"/>
            <c:spPr>
              <a:solidFill>
                <a:schemeClr val="tx1"/>
              </a:solidFill>
              <a:ln w="9525">
                <a:solidFill>
                  <a:sysClr val="windowText" lastClr="000000"/>
                </a:solidFill>
              </a:ln>
              <a:effectLst/>
            </c:spPr>
          </c:marker>
          <c:xVal>
            <c:numRef>
              <c:f>'Schedule-1 Summary Gas Proxy'!$M$54:$M$55</c:f>
              <c:numCache>
                <c:formatCode>0.00%</c:formatCode>
                <c:ptCount val="2"/>
                <c:pt idx="0">
                  <c:v>9.5257115746263429E-2</c:v>
                </c:pt>
                <c:pt idx="1">
                  <c:v>9.5257115746263429E-2</c:v>
                </c:pt>
              </c:numCache>
            </c:numRef>
          </c:xVal>
          <c:yVal>
            <c:numRef>
              <c:f>'Schedule-1 Summary Gas Proxy'!$N$54:$N$55</c:f>
              <c:numCache>
                <c:formatCode>General</c:formatCode>
                <c:ptCount val="2"/>
                <c:pt idx="0">
                  <c:v>1.5</c:v>
                </c:pt>
                <c:pt idx="1">
                  <c:v>1.5</c:v>
                </c:pt>
              </c:numCache>
            </c:numRef>
          </c:yVal>
          <c:smooth val="0"/>
          <c:extLst>
            <c:ext xmlns:c16="http://schemas.microsoft.com/office/drawing/2014/chart" uri="{C3380CC4-5D6E-409C-BE32-E72D297353CC}">
              <c16:uniqueId val="{0000000E-ADBE-449F-A0B6-083AA531ADF3}"/>
            </c:ext>
          </c:extLst>
        </c:ser>
        <c:ser>
          <c:idx val="6"/>
          <c:order val="8"/>
          <c:tx>
            <c:strRef>
              <c:f>'Schedule-1 Summary Gas Proxy'!$L$52</c:f>
              <c:strCache>
                <c:ptCount val="1"/>
                <c:pt idx="0">
                  <c:v>Expected Earnings (Incl. NJR)</c:v>
                </c:pt>
              </c:strCache>
            </c:strRef>
          </c:tx>
          <c:spPr>
            <a:ln w="19050" cap="rnd">
              <a:solidFill>
                <a:schemeClr val="accent1">
                  <a:lumMod val="60000"/>
                </a:schemeClr>
              </a:solidFill>
              <a:prstDash val="sysDash"/>
              <a:round/>
            </a:ln>
            <a:effectLst/>
          </c:spPr>
          <c:marker>
            <c:symbol val="diamond"/>
            <c:size val="9"/>
            <c:spPr>
              <a:noFill/>
              <a:ln w="9525">
                <a:solidFill>
                  <a:sysClr val="windowText" lastClr="000000"/>
                </a:solidFill>
              </a:ln>
              <a:effectLst/>
            </c:spPr>
          </c:marker>
          <c:xVal>
            <c:numRef>
              <c:f>'Schedule-1 Summary Gas Proxy'!$M$52:$M$53</c:f>
              <c:numCache>
                <c:formatCode>0.00%</c:formatCode>
                <c:ptCount val="2"/>
                <c:pt idx="0">
                  <c:v>9.5914783840498577E-2</c:v>
                </c:pt>
                <c:pt idx="1">
                  <c:v>9.5914783840498577E-2</c:v>
                </c:pt>
              </c:numCache>
            </c:numRef>
          </c:xVal>
          <c:yVal>
            <c:numRef>
              <c:f>'Schedule-1 Summary Gas Proxy'!$N$52:$N$53</c:f>
              <c:numCache>
                <c:formatCode>0.0</c:formatCode>
                <c:ptCount val="2"/>
                <c:pt idx="0">
                  <c:v>1</c:v>
                </c:pt>
                <c:pt idx="1">
                  <c:v>1</c:v>
                </c:pt>
              </c:numCache>
            </c:numRef>
          </c:yVal>
          <c:smooth val="0"/>
          <c:extLst>
            <c:ext xmlns:c16="http://schemas.microsoft.com/office/drawing/2014/chart" uri="{C3380CC4-5D6E-409C-BE32-E72D297353CC}">
              <c16:uniqueId val="{0000000D-ADBE-449F-A0B6-083AA531ADF3}"/>
            </c:ext>
          </c:extLst>
        </c:ser>
        <c:ser>
          <c:idx val="8"/>
          <c:order val="9"/>
          <c:tx>
            <c:strRef>
              <c:f>'Schedule-1 Summary Gas Proxy'!$L$57</c:f>
              <c:strCache>
                <c:ptCount val="1"/>
                <c:pt idx="0">
                  <c:v>Lower End ROE Recommendation</c:v>
                </c:pt>
              </c:strCache>
            </c:strRef>
          </c:tx>
          <c:spPr>
            <a:ln w="19050" cap="rnd">
              <a:solidFill>
                <a:schemeClr val="tx1"/>
              </a:solidFill>
              <a:prstDash val="sysDash"/>
              <a:round/>
            </a:ln>
            <a:effectLst/>
          </c:spPr>
          <c:marker>
            <c:symbol val="none"/>
          </c:marker>
          <c:xVal>
            <c:numRef>
              <c:f>'Schedule-1 Summary Gas Proxy'!$M$57:$M$58</c:f>
              <c:numCache>
                <c:formatCode>0.00%</c:formatCode>
                <c:ptCount val="2"/>
                <c:pt idx="0">
                  <c:v>9.7500000000000003E-2</c:v>
                </c:pt>
                <c:pt idx="1">
                  <c:v>9.7500000000000003E-2</c:v>
                </c:pt>
              </c:numCache>
            </c:numRef>
          </c:xVal>
          <c:yVal>
            <c:numRef>
              <c:f>'Schedule-1 Summary Gas Proxy'!$N$57:$N$58</c:f>
              <c:numCache>
                <c:formatCode>0.0</c:formatCode>
                <c:ptCount val="2"/>
                <c:pt idx="0">
                  <c:v>0</c:v>
                </c:pt>
                <c:pt idx="1">
                  <c:v>9</c:v>
                </c:pt>
              </c:numCache>
            </c:numRef>
          </c:yVal>
          <c:smooth val="0"/>
          <c:extLst>
            <c:ext xmlns:c16="http://schemas.microsoft.com/office/drawing/2014/chart" uri="{C3380CC4-5D6E-409C-BE32-E72D297353CC}">
              <c16:uniqueId val="{0000000F-ADBE-449F-A0B6-083AA531ADF3}"/>
            </c:ext>
          </c:extLst>
        </c:ser>
        <c:ser>
          <c:idx val="9"/>
          <c:order val="10"/>
          <c:tx>
            <c:strRef>
              <c:f>'Schedule-1 Summary Gas Proxy'!$L$59</c:f>
              <c:strCache>
                <c:ptCount val="1"/>
                <c:pt idx="0">
                  <c:v>Higher End ROE Recommendation</c:v>
                </c:pt>
              </c:strCache>
            </c:strRef>
          </c:tx>
          <c:spPr>
            <a:ln w="19050" cap="rnd">
              <a:solidFill>
                <a:schemeClr val="tx1"/>
              </a:solidFill>
              <a:prstDash val="dash"/>
              <a:round/>
            </a:ln>
            <a:effectLst/>
          </c:spPr>
          <c:marker>
            <c:symbol val="none"/>
          </c:marker>
          <c:xVal>
            <c:numRef>
              <c:f>'Schedule-1 Summary Gas Proxy'!$M$59:$M$60</c:f>
              <c:numCache>
                <c:formatCode>0.00%</c:formatCode>
                <c:ptCount val="2"/>
                <c:pt idx="0">
                  <c:v>0.10249999999999999</c:v>
                </c:pt>
                <c:pt idx="1">
                  <c:v>0.10249999999999999</c:v>
                </c:pt>
              </c:numCache>
            </c:numRef>
          </c:xVal>
          <c:yVal>
            <c:numRef>
              <c:f>'Schedule-1 Summary Gas Proxy'!$N$59:$N$60</c:f>
              <c:numCache>
                <c:formatCode>0.0</c:formatCode>
                <c:ptCount val="2"/>
                <c:pt idx="0">
                  <c:v>0</c:v>
                </c:pt>
                <c:pt idx="1">
                  <c:v>9</c:v>
                </c:pt>
              </c:numCache>
            </c:numRef>
          </c:yVal>
          <c:smooth val="0"/>
          <c:extLst>
            <c:ext xmlns:c16="http://schemas.microsoft.com/office/drawing/2014/chart" uri="{C3380CC4-5D6E-409C-BE32-E72D297353CC}">
              <c16:uniqueId val="{00000010-ADBE-449F-A0B6-083AA531ADF3}"/>
            </c:ext>
          </c:extLst>
        </c:ser>
        <c:dLbls>
          <c:showLegendKey val="0"/>
          <c:showVal val="0"/>
          <c:showCatName val="0"/>
          <c:showSerName val="0"/>
          <c:showPercent val="0"/>
          <c:showBubbleSize val="0"/>
        </c:dLbls>
        <c:axId val="238422656"/>
        <c:axId val="238432640"/>
      </c:scatterChart>
      <c:valAx>
        <c:axId val="238422656"/>
        <c:scaling>
          <c:orientation val="minMax"/>
          <c:max val="0.13"/>
          <c:min val="7.0000000000000007E-2"/>
        </c:scaling>
        <c:delete val="0"/>
        <c:axPos val="b"/>
        <c:numFmt formatCode="0.00%" sourceLinked="1"/>
        <c:majorTickMark val="in"/>
        <c:minorTickMark val="none"/>
        <c:tickLblPos val="nextTo"/>
        <c:spPr>
          <a:noFill/>
          <a:ln w="9525" cap="flat" cmpd="sng" algn="ctr">
            <a:solidFill>
              <a:sysClr val="windowText" lastClr="000000"/>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238432640"/>
        <c:crosses val="autoZero"/>
        <c:crossBetween val="midCat"/>
        <c:majorUnit val="5.0000000000000027E-3"/>
      </c:valAx>
      <c:valAx>
        <c:axId val="238432640"/>
        <c:scaling>
          <c:orientation val="minMax"/>
          <c:max val="9"/>
        </c:scaling>
        <c:delete val="1"/>
        <c:axPos val="l"/>
        <c:majorGridlines>
          <c:spPr>
            <a:ln w="9525" cap="flat" cmpd="sng" algn="ctr">
              <a:noFill/>
              <a:round/>
            </a:ln>
            <a:effectLst/>
          </c:spPr>
        </c:majorGridlines>
        <c:numFmt formatCode="General" sourceLinked="1"/>
        <c:majorTickMark val="out"/>
        <c:minorTickMark val="none"/>
        <c:tickLblPos val="nextTo"/>
        <c:crossAx val="238422656"/>
        <c:crosses val="autoZero"/>
        <c:crossBetween val="midCat"/>
        <c:majorUnit val="1"/>
      </c:valAx>
      <c:spPr>
        <a:noFill/>
        <a:ln>
          <a:solidFill>
            <a:sysClr val="windowText" lastClr="000000"/>
          </a:solidFill>
        </a:ln>
        <a:effectLst/>
      </c:spPr>
    </c:plotArea>
    <c:legend>
      <c:legendPos val="r"/>
      <c:layout>
        <c:manualLayout>
          <c:xMode val="edge"/>
          <c:yMode val="edge"/>
          <c:x val="7.4400930241032712E-2"/>
          <c:y val="0.10558144797205807"/>
          <c:w val="0.32296960991693768"/>
          <c:h val="0.49190410843914351"/>
        </c:manualLayout>
      </c:layout>
      <c:overlay val="0"/>
      <c:spPr>
        <a:noFill/>
        <a:ln>
          <a:solidFill>
            <a:sysClr val="windowText" lastClr="000000"/>
          </a:solidFill>
        </a:ln>
        <a:effectLst/>
      </c:spPr>
      <c:txPr>
        <a:bodyPr rot="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000000000000022" l="0.70000000000000018" r="0.70000000000000018" t="0.75000000000000022" header="0.3000000000000001" footer="0.3000000000000001"/>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9728314494664388E-2"/>
          <c:y val="5.3153344680676583E-2"/>
          <c:w val="0.90801958413493755"/>
          <c:h val="0.89534282300833379"/>
        </c:manualLayout>
      </c:layout>
      <c:scatterChart>
        <c:scatterStyle val="lineMarker"/>
        <c:varyColors val="0"/>
        <c:ser>
          <c:idx val="1"/>
          <c:order val="0"/>
          <c:tx>
            <c:strRef>
              <c:f>'Schedule-1 Summary Gas Proxy'!$L$6</c:f>
              <c:strCache>
                <c:ptCount val="1"/>
                <c:pt idx="0">
                  <c:v>Constant Growth DCF</c:v>
                </c:pt>
              </c:strCache>
            </c:strRef>
          </c:tx>
          <c:spPr>
            <a:ln w="19050" cap="rnd">
              <a:solidFill>
                <a:schemeClr val="tx1"/>
              </a:solidFill>
              <a:round/>
            </a:ln>
            <a:effectLst/>
          </c:spPr>
          <c:marker>
            <c:symbol val="circle"/>
            <c:size val="8"/>
            <c:spPr>
              <a:solidFill>
                <a:schemeClr val="tx1"/>
              </a:solidFill>
              <a:ln w="9525">
                <a:solidFill>
                  <a:schemeClr val="tx1"/>
                </a:solidFill>
              </a:ln>
              <a:effectLst/>
            </c:spPr>
          </c:marker>
          <c:xVal>
            <c:numRef>
              <c:f>'Schedule-1 Summary Gas Proxy'!$M$6:$M$7</c:f>
              <c:numCache>
                <c:formatCode>0.00%</c:formatCode>
                <c:ptCount val="2"/>
                <c:pt idx="0">
                  <c:v>9.7717558273285751E-2</c:v>
                </c:pt>
                <c:pt idx="1">
                  <c:v>0.11479515573912213</c:v>
                </c:pt>
              </c:numCache>
            </c:numRef>
          </c:xVal>
          <c:yVal>
            <c:numRef>
              <c:f>'Schedule-1 Summary Gas Proxy'!$N$6:$N$7</c:f>
              <c:numCache>
                <c:formatCode>0.0</c:formatCode>
                <c:ptCount val="2"/>
                <c:pt idx="0">
                  <c:v>5</c:v>
                </c:pt>
                <c:pt idx="1">
                  <c:v>5</c:v>
                </c:pt>
              </c:numCache>
            </c:numRef>
          </c:yVal>
          <c:smooth val="0"/>
          <c:extLst>
            <c:ext xmlns:c16="http://schemas.microsoft.com/office/drawing/2014/chart" uri="{C3380CC4-5D6E-409C-BE32-E72D297353CC}">
              <c16:uniqueId val="{00000000-E926-41EC-92F6-B8C5EE5D324B}"/>
            </c:ext>
          </c:extLst>
        </c:ser>
        <c:ser>
          <c:idx val="4"/>
          <c:order val="1"/>
          <c:tx>
            <c:strRef>
              <c:f>'Schedule-1 Summary Gas Proxy'!$L$10</c:f>
              <c:strCache>
                <c:ptCount val="1"/>
                <c:pt idx="0">
                  <c:v>CAPM</c:v>
                </c:pt>
              </c:strCache>
            </c:strRef>
          </c:tx>
          <c:spPr>
            <a:ln w="25400" cap="rnd">
              <a:solidFill>
                <a:schemeClr val="tx1"/>
              </a:solidFill>
              <a:prstDash val="solid"/>
              <a:round/>
            </a:ln>
            <a:effectLst/>
          </c:spPr>
          <c:marker>
            <c:symbol val="square"/>
            <c:size val="8"/>
            <c:spPr>
              <a:solidFill>
                <a:schemeClr val="tx1"/>
              </a:solidFill>
              <a:ln w="9525">
                <a:solidFill>
                  <a:schemeClr val="tx1"/>
                </a:solidFill>
              </a:ln>
              <a:effectLst/>
            </c:spPr>
          </c:marker>
          <c:xVal>
            <c:numRef>
              <c:f>'Schedule-1 Summary Gas Proxy'!$M$10:$M$11</c:f>
              <c:numCache>
                <c:formatCode>0.00%</c:formatCode>
                <c:ptCount val="2"/>
                <c:pt idx="0">
                  <c:v>0.11602182188469441</c:v>
                </c:pt>
                <c:pt idx="1">
                  <c:v>0.1245571455945686</c:v>
                </c:pt>
              </c:numCache>
            </c:numRef>
          </c:xVal>
          <c:yVal>
            <c:numRef>
              <c:f>'Schedule-1 Summary Gas Proxy'!$N$10:$N$11</c:f>
              <c:numCache>
                <c:formatCode>0.0</c:formatCode>
                <c:ptCount val="2"/>
                <c:pt idx="0">
                  <c:v>4</c:v>
                </c:pt>
                <c:pt idx="1">
                  <c:v>4</c:v>
                </c:pt>
              </c:numCache>
            </c:numRef>
          </c:yVal>
          <c:smooth val="0"/>
          <c:extLst>
            <c:ext xmlns:c16="http://schemas.microsoft.com/office/drawing/2014/chart" uri="{C3380CC4-5D6E-409C-BE32-E72D297353CC}">
              <c16:uniqueId val="{00000001-E926-41EC-92F6-B8C5EE5D324B}"/>
            </c:ext>
          </c:extLst>
        </c:ser>
        <c:ser>
          <c:idx val="3"/>
          <c:order val="2"/>
          <c:tx>
            <c:strRef>
              <c:f>'Schedule-1 Summary Gas Proxy'!$L$14</c:f>
              <c:strCache>
                <c:ptCount val="1"/>
                <c:pt idx="0">
                  <c:v>ECAPM</c:v>
                </c:pt>
              </c:strCache>
            </c:strRef>
          </c:tx>
          <c:spPr>
            <a:ln w="25400" cap="rnd">
              <a:solidFill>
                <a:schemeClr val="tx1"/>
              </a:solidFill>
              <a:round/>
            </a:ln>
            <a:effectLst/>
          </c:spPr>
          <c:marker>
            <c:symbol val="triangle"/>
            <c:size val="8"/>
            <c:spPr>
              <a:solidFill>
                <a:schemeClr val="tx1"/>
              </a:solidFill>
              <a:ln w="9525">
                <a:solidFill>
                  <a:schemeClr val="tx1"/>
                </a:solidFill>
              </a:ln>
              <a:effectLst/>
            </c:spPr>
          </c:marker>
          <c:xVal>
            <c:numRef>
              <c:f>'Schedule-1 Summary Gas Proxy'!$M$14:$M$15</c:f>
              <c:numCache>
                <c:formatCode>0.00%</c:formatCode>
                <c:ptCount val="2"/>
                <c:pt idx="0">
                  <c:v>0.12232729158839394</c:v>
                </c:pt>
                <c:pt idx="1">
                  <c:v>0.12872878437079957</c:v>
                </c:pt>
              </c:numCache>
            </c:numRef>
          </c:xVal>
          <c:yVal>
            <c:numRef>
              <c:f>'Schedule-1 Summary Gas Proxy'!$N$14:$N$15</c:f>
              <c:numCache>
                <c:formatCode>0.0</c:formatCode>
                <c:ptCount val="2"/>
                <c:pt idx="0">
                  <c:v>3</c:v>
                </c:pt>
                <c:pt idx="1">
                  <c:v>3</c:v>
                </c:pt>
              </c:numCache>
            </c:numRef>
          </c:yVal>
          <c:smooth val="0"/>
          <c:extLst>
            <c:ext xmlns:c16="http://schemas.microsoft.com/office/drawing/2014/chart" uri="{C3380CC4-5D6E-409C-BE32-E72D297353CC}">
              <c16:uniqueId val="{00000002-E926-41EC-92F6-B8C5EE5D324B}"/>
            </c:ext>
          </c:extLst>
        </c:ser>
        <c:ser>
          <c:idx val="2"/>
          <c:order val="3"/>
          <c:tx>
            <c:strRef>
              <c:f>'Schedule-1 Summary Gas Proxy'!$L$17</c:f>
              <c:strCache>
                <c:ptCount val="1"/>
                <c:pt idx="0">
                  <c:v>Bond Yield Plus Risk Premium</c:v>
                </c:pt>
              </c:strCache>
            </c:strRef>
          </c:tx>
          <c:spPr>
            <a:ln w="19050" cap="rnd">
              <a:solidFill>
                <a:schemeClr val="tx1"/>
              </a:solidFill>
              <a:round/>
            </a:ln>
            <a:effectLst/>
          </c:spPr>
          <c:marker>
            <c:symbol val="x"/>
            <c:size val="9"/>
            <c:spPr>
              <a:noFill/>
              <a:ln w="9525">
                <a:solidFill>
                  <a:schemeClr val="tx1"/>
                </a:solidFill>
              </a:ln>
              <a:effectLst/>
            </c:spPr>
          </c:marker>
          <c:xVal>
            <c:numRef>
              <c:f>'Schedule-1 Summary Gas Proxy'!$M$17:$M$18</c:f>
              <c:numCache>
                <c:formatCode>0.00%</c:formatCode>
                <c:ptCount val="2"/>
                <c:pt idx="0">
                  <c:v>9.1103926659224982E-2</c:v>
                </c:pt>
                <c:pt idx="1">
                  <c:v>9.7807486015289075E-2</c:v>
                </c:pt>
              </c:numCache>
            </c:numRef>
          </c:xVal>
          <c:yVal>
            <c:numRef>
              <c:f>'Schedule-1 Summary Gas Proxy'!$N$17:$N$18</c:f>
              <c:numCache>
                <c:formatCode>General</c:formatCode>
                <c:ptCount val="2"/>
                <c:pt idx="0">
                  <c:v>2</c:v>
                </c:pt>
                <c:pt idx="1">
                  <c:v>2</c:v>
                </c:pt>
              </c:numCache>
            </c:numRef>
          </c:yVal>
          <c:smooth val="0"/>
          <c:extLst>
            <c:ext xmlns:c16="http://schemas.microsoft.com/office/drawing/2014/chart" uri="{C3380CC4-5D6E-409C-BE32-E72D297353CC}">
              <c16:uniqueId val="{00000001-0AAC-4C42-A6C7-AF13764D0189}"/>
            </c:ext>
          </c:extLst>
        </c:ser>
        <c:ser>
          <c:idx val="0"/>
          <c:order val="4"/>
          <c:tx>
            <c:strRef>
              <c:f>'Schedule-1 Summary Gas Proxy'!$L$20</c:f>
              <c:strCache>
                <c:ptCount val="1"/>
                <c:pt idx="0">
                  <c:v>Expected Earnings</c:v>
                </c:pt>
              </c:strCache>
            </c:strRef>
          </c:tx>
          <c:spPr>
            <a:ln w="19050" cap="rnd">
              <a:solidFill>
                <a:schemeClr val="tx1"/>
              </a:solidFill>
              <a:round/>
            </a:ln>
            <a:effectLst/>
          </c:spPr>
          <c:marker>
            <c:symbol val="diamond"/>
            <c:size val="9"/>
            <c:spPr>
              <a:solidFill>
                <a:schemeClr val="tx1"/>
              </a:solidFill>
              <a:ln w="9525">
                <a:solidFill>
                  <a:schemeClr val="tx1"/>
                </a:solidFill>
              </a:ln>
              <a:effectLst/>
            </c:spPr>
          </c:marker>
          <c:xVal>
            <c:numRef>
              <c:f>'Schedule-1 Summary Gas Proxy'!$M$20:$M$21</c:f>
              <c:numCache>
                <c:formatCode>0.00%</c:formatCode>
                <c:ptCount val="2"/>
                <c:pt idx="0">
                  <c:v>9.5257115746263429E-2</c:v>
                </c:pt>
                <c:pt idx="1">
                  <c:v>9.5257115746263429E-2</c:v>
                </c:pt>
              </c:numCache>
            </c:numRef>
          </c:xVal>
          <c:yVal>
            <c:numRef>
              <c:f>'Schedule-1 Summary Gas Proxy'!$N$20:$N$21</c:f>
              <c:numCache>
                <c:formatCode>0.0</c:formatCode>
                <c:ptCount val="2"/>
                <c:pt idx="0">
                  <c:v>1</c:v>
                </c:pt>
                <c:pt idx="1">
                  <c:v>1</c:v>
                </c:pt>
              </c:numCache>
            </c:numRef>
          </c:yVal>
          <c:smooth val="0"/>
          <c:extLst>
            <c:ext xmlns:c16="http://schemas.microsoft.com/office/drawing/2014/chart" uri="{C3380CC4-5D6E-409C-BE32-E72D297353CC}">
              <c16:uniqueId val="{00000004-E926-41EC-92F6-B8C5EE5D324B}"/>
            </c:ext>
          </c:extLst>
        </c:ser>
        <c:ser>
          <c:idx val="6"/>
          <c:order val="5"/>
          <c:tx>
            <c:strRef>
              <c:f>'Schedule-1 Summary Gas Proxy'!$L$23</c:f>
              <c:strCache>
                <c:ptCount val="1"/>
                <c:pt idx="0">
                  <c:v>Lower End ROE Recommendation</c:v>
                </c:pt>
              </c:strCache>
            </c:strRef>
          </c:tx>
          <c:spPr>
            <a:ln w="19050" cap="rnd">
              <a:solidFill>
                <a:schemeClr val="tx1"/>
              </a:solidFill>
              <a:prstDash val="sysDash"/>
              <a:round/>
            </a:ln>
            <a:effectLst/>
          </c:spPr>
          <c:marker>
            <c:symbol val="none"/>
          </c:marker>
          <c:xVal>
            <c:numRef>
              <c:f>'Schedule-1 Summary Gas Proxy'!$M$23:$M$24</c:f>
              <c:numCache>
                <c:formatCode>0.00%</c:formatCode>
                <c:ptCount val="2"/>
                <c:pt idx="0">
                  <c:v>9.7500000000000003E-2</c:v>
                </c:pt>
                <c:pt idx="1">
                  <c:v>9.7500000000000003E-2</c:v>
                </c:pt>
              </c:numCache>
            </c:numRef>
          </c:xVal>
          <c:yVal>
            <c:numRef>
              <c:f>'Schedule-1 Summary Gas Proxy'!$N$23:$N$24</c:f>
              <c:numCache>
                <c:formatCode>0.0</c:formatCode>
                <c:ptCount val="2"/>
                <c:pt idx="0">
                  <c:v>0</c:v>
                </c:pt>
                <c:pt idx="1">
                  <c:v>6</c:v>
                </c:pt>
              </c:numCache>
            </c:numRef>
          </c:yVal>
          <c:smooth val="0"/>
          <c:extLst>
            <c:ext xmlns:c16="http://schemas.microsoft.com/office/drawing/2014/chart" uri="{C3380CC4-5D6E-409C-BE32-E72D297353CC}">
              <c16:uniqueId val="{00000005-E926-41EC-92F6-B8C5EE5D324B}"/>
            </c:ext>
          </c:extLst>
        </c:ser>
        <c:ser>
          <c:idx val="7"/>
          <c:order val="6"/>
          <c:tx>
            <c:strRef>
              <c:f>'Schedule-1 Summary Gas Proxy'!$L$25</c:f>
              <c:strCache>
                <c:ptCount val="1"/>
                <c:pt idx="0">
                  <c:v>Higher End ROE Recommendation</c:v>
                </c:pt>
              </c:strCache>
            </c:strRef>
          </c:tx>
          <c:spPr>
            <a:ln w="19050" cap="rnd">
              <a:solidFill>
                <a:schemeClr val="tx1"/>
              </a:solidFill>
              <a:prstDash val="dash"/>
              <a:round/>
            </a:ln>
            <a:effectLst/>
          </c:spPr>
          <c:marker>
            <c:symbol val="none"/>
          </c:marker>
          <c:xVal>
            <c:numRef>
              <c:f>'Schedule-1 Summary Gas Proxy'!$M$25:$M$26</c:f>
              <c:numCache>
                <c:formatCode>0.00%</c:formatCode>
                <c:ptCount val="2"/>
                <c:pt idx="0">
                  <c:v>0.10249999999999999</c:v>
                </c:pt>
                <c:pt idx="1">
                  <c:v>0.10249999999999999</c:v>
                </c:pt>
              </c:numCache>
            </c:numRef>
          </c:xVal>
          <c:yVal>
            <c:numRef>
              <c:f>'Schedule-1 Summary Gas Proxy'!$N$25:$N$26</c:f>
              <c:numCache>
                <c:formatCode>0.0</c:formatCode>
                <c:ptCount val="2"/>
                <c:pt idx="0">
                  <c:v>0</c:v>
                </c:pt>
                <c:pt idx="1">
                  <c:v>6</c:v>
                </c:pt>
              </c:numCache>
            </c:numRef>
          </c:yVal>
          <c:smooth val="0"/>
          <c:extLst>
            <c:ext xmlns:c16="http://schemas.microsoft.com/office/drawing/2014/chart" uri="{C3380CC4-5D6E-409C-BE32-E72D297353CC}">
              <c16:uniqueId val="{00000006-E926-41EC-92F6-B8C5EE5D324B}"/>
            </c:ext>
          </c:extLst>
        </c:ser>
        <c:dLbls>
          <c:showLegendKey val="0"/>
          <c:showVal val="0"/>
          <c:showCatName val="0"/>
          <c:showSerName val="0"/>
          <c:showPercent val="0"/>
          <c:showBubbleSize val="0"/>
        </c:dLbls>
        <c:axId val="238422656"/>
        <c:axId val="238432640"/>
      </c:scatterChart>
      <c:valAx>
        <c:axId val="238422656"/>
        <c:scaling>
          <c:orientation val="minMax"/>
          <c:max val="0.13"/>
          <c:min val="7.0000000000000007E-2"/>
        </c:scaling>
        <c:delete val="0"/>
        <c:axPos val="b"/>
        <c:numFmt formatCode="0.00%" sourceLinked="1"/>
        <c:majorTickMark val="in"/>
        <c:minorTickMark val="none"/>
        <c:tickLblPos val="nextTo"/>
        <c:spPr>
          <a:noFill/>
          <a:ln w="9525" cap="flat" cmpd="sng" algn="ctr">
            <a:solidFill>
              <a:sysClr val="windowText" lastClr="000000"/>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238432640"/>
        <c:crosses val="autoZero"/>
        <c:crossBetween val="midCat"/>
        <c:majorUnit val="5.0000000000000027E-3"/>
      </c:valAx>
      <c:valAx>
        <c:axId val="238432640"/>
        <c:scaling>
          <c:orientation val="minMax"/>
          <c:max val="6"/>
        </c:scaling>
        <c:delete val="1"/>
        <c:axPos val="l"/>
        <c:majorGridlines>
          <c:spPr>
            <a:ln w="9525" cap="flat" cmpd="sng" algn="ctr">
              <a:noFill/>
              <a:round/>
            </a:ln>
            <a:effectLst/>
          </c:spPr>
        </c:majorGridlines>
        <c:numFmt formatCode="0.0" sourceLinked="1"/>
        <c:majorTickMark val="out"/>
        <c:minorTickMark val="none"/>
        <c:tickLblPos val="nextTo"/>
        <c:crossAx val="238422656"/>
        <c:crossesAt val="0.1"/>
        <c:crossBetween val="midCat"/>
        <c:majorUnit val="1"/>
      </c:valAx>
      <c:spPr>
        <a:noFill/>
        <a:ln>
          <a:solidFill>
            <a:sysClr val="windowText" lastClr="000000"/>
          </a:solidFill>
        </a:ln>
        <a:effectLst/>
      </c:spPr>
    </c:plotArea>
    <c:legend>
      <c:legendPos val="r"/>
      <c:layout>
        <c:manualLayout>
          <c:xMode val="edge"/>
          <c:yMode val="edge"/>
          <c:x val="7.5965205372917427E-2"/>
          <c:y val="0.1932139661666811"/>
          <c:w val="0.32211010538227991"/>
          <c:h val="0.388166937228825"/>
        </c:manualLayout>
      </c:layout>
      <c:overlay val="0"/>
      <c:spPr>
        <a:noFill/>
        <a:ln>
          <a:solidFill>
            <a:sysClr val="windowText" lastClr="000000"/>
          </a:solidFill>
        </a:ln>
        <a:effectLst/>
      </c:spPr>
      <c:txPr>
        <a:bodyPr rot="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000000000000022" l="0.70000000000000018" r="0.70000000000000018" t="0.75000000000000022" header="0.3000000000000001" footer="0.300000000000000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9728314494664388E-2"/>
          <c:y val="5.3153344680676583E-2"/>
          <c:w val="0.90801958413493755"/>
          <c:h val="0.89534282300833379"/>
        </c:manualLayout>
      </c:layout>
      <c:scatterChart>
        <c:scatterStyle val="lineMarker"/>
        <c:varyColors val="0"/>
        <c:ser>
          <c:idx val="1"/>
          <c:order val="0"/>
          <c:tx>
            <c:strRef>
              <c:f>'Schedule-1 Summary Alt Proxy'!$L$6</c:f>
              <c:strCache>
                <c:ptCount val="1"/>
                <c:pt idx="0">
                  <c:v>Constant Growth DCF</c:v>
                </c:pt>
              </c:strCache>
            </c:strRef>
          </c:tx>
          <c:spPr>
            <a:ln w="19050" cap="rnd">
              <a:solidFill>
                <a:schemeClr val="tx1"/>
              </a:solidFill>
              <a:round/>
            </a:ln>
            <a:effectLst/>
          </c:spPr>
          <c:marker>
            <c:symbol val="circle"/>
            <c:size val="8"/>
            <c:spPr>
              <a:solidFill>
                <a:schemeClr val="tx1"/>
              </a:solidFill>
              <a:ln w="9525">
                <a:solidFill>
                  <a:schemeClr val="tx1"/>
                </a:solidFill>
              </a:ln>
              <a:effectLst/>
            </c:spPr>
          </c:marker>
          <c:xVal>
            <c:numRef>
              <c:f>'Schedule-1 Summary Alt Proxy'!$M$6:$M$7</c:f>
              <c:numCache>
                <c:formatCode>0.00%</c:formatCode>
                <c:ptCount val="2"/>
                <c:pt idx="0">
                  <c:v>9.1527562901146928E-2</c:v>
                </c:pt>
                <c:pt idx="1">
                  <c:v>0.10343506823954611</c:v>
                </c:pt>
              </c:numCache>
            </c:numRef>
          </c:xVal>
          <c:yVal>
            <c:numRef>
              <c:f>'Schedule-1 Summary Alt Proxy'!$N$6:$N$7</c:f>
              <c:numCache>
                <c:formatCode>0.0</c:formatCode>
                <c:ptCount val="2"/>
                <c:pt idx="0">
                  <c:v>5</c:v>
                </c:pt>
                <c:pt idx="1">
                  <c:v>5</c:v>
                </c:pt>
              </c:numCache>
            </c:numRef>
          </c:yVal>
          <c:smooth val="0"/>
          <c:extLst>
            <c:ext xmlns:c16="http://schemas.microsoft.com/office/drawing/2014/chart" uri="{C3380CC4-5D6E-409C-BE32-E72D297353CC}">
              <c16:uniqueId val="{00000000-BC7C-416A-942F-395185845884}"/>
            </c:ext>
          </c:extLst>
        </c:ser>
        <c:ser>
          <c:idx val="4"/>
          <c:order val="1"/>
          <c:tx>
            <c:strRef>
              <c:f>'Schedule-1 Summary Alt Proxy'!$L$10</c:f>
              <c:strCache>
                <c:ptCount val="1"/>
                <c:pt idx="0">
                  <c:v>CAPM</c:v>
                </c:pt>
              </c:strCache>
            </c:strRef>
          </c:tx>
          <c:spPr>
            <a:ln w="25400" cap="rnd">
              <a:solidFill>
                <a:schemeClr val="tx1"/>
              </a:solidFill>
              <a:prstDash val="solid"/>
              <a:round/>
            </a:ln>
            <a:effectLst/>
          </c:spPr>
          <c:marker>
            <c:symbol val="square"/>
            <c:size val="8"/>
            <c:spPr>
              <a:solidFill>
                <a:schemeClr val="tx1"/>
              </a:solidFill>
              <a:ln w="9525">
                <a:solidFill>
                  <a:schemeClr val="tx1"/>
                </a:solidFill>
              </a:ln>
              <a:effectLst/>
            </c:spPr>
          </c:marker>
          <c:xVal>
            <c:numRef>
              <c:f>'Schedule-1 Summary Alt Proxy'!$M$10:$M$11</c:f>
              <c:numCache>
                <c:formatCode>0.00%</c:formatCode>
                <c:ptCount val="2"/>
                <c:pt idx="0">
                  <c:v>0.11459435138711045</c:v>
                </c:pt>
                <c:pt idx="1">
                  <c:v>0.1249047821592545</c:v>
                </c:pt>
              </c:numCache>
            </c:numRef>
          </c:xVal>
          <c:yVal>
            <c:numRef>
              <c:f>'Schedule-1 Summary Alt Proxy'!$N$10:$N$11</c:f>
              <c:numCache>
                <c:formatCode>0.0</c:formatCode>
                <c:ptCount val="2"/>
                <c:pt idx="0">
                  <c:v>4</c:v>
                </c:pt>
                <c:pt idx="1">
                  <c:v>4</c:v>
                </c:pt>
              </c:numCache>
            </c:numRef>
          </c:yVal>
          <c:smooth val="0"/>
          <c:extLst>
            <c:ext xmlns:c16="http://schemas.microsoft.com/office/drawing/2014/chart" uri="{C3380CC4-5D6E-409C-BE32-E72D297353CC}">
              <c16:uniqueId val="{00000001-BC7C-416A-942F-395185845884}"/>
            </c:ext>
          </c:extLst>
        </c:ser>
        <c:ser>
          <c:idx val="3"/>
          <c:order val="2"/>
          <c:tx>
            <c:strRef>
              <c:f>'Schedule-1 Summary Alt Proxy'!$L$14</c:f>
              <c:strCache>
                <c:ptCount val="1"/>
                <c:pt idx="0">
                  <c:v>ECAPM</c:v>
                </c:pt>
              </c:strCache>
            </c:strRef>
          </c:tx>
          <c:spPr>
            <a:ln w="25400" cap="rnd">
              <a:solidFill>
                <a:schemeClr val="tx1"/>
              </a:solidFill>
              <a:round/>
            </a:ln>
            <a:effectLst/>
          </c:spPr>
          <c:marker>
            <c:symbol val="triangle"/>
            <c:size val="8"/>
            <c:spPr>
              <a:solidFill>
                <a:schemeClr val="tx1"/>
              </a:solidFill>
              <a:ln w="9525">
                <a:solidFill>
                  <a:schemeClr val="tx1"/>
                </a:solidFill>
              </a:ln>
              <a:effectLst/>
            </c:spPr>
          </c:marker>
          <c:xVal>
            <c:numRef>
              <c:f>'Schedule-1 Summary Alt Proxy'!$M$14:$M$15</c:f>
              <c:numCache>
                <c:formatCode>0.00%</c:formatCode>
                <c:ptCount val="2"/>
                <c:pt idx="0">
                  <c:v>0.12125668871520595</c:v>
                </c:pt>
                <c:pt idx="1">
                  <c:v>0.12898951179431403</c:v>
                </c:pt>
              </c:numCache>
            </c:numRef>
          </c:xVal>
          <c:yVal>
            <c:numRef>
              <c:f>'Schedule-1 Summary Alt Proxy'!$N$14:$N$15</c:f>
              <c:numCache>
                <c:formatCode>0.0</c:formatCode>
                <c:ptCount val="2"/>
                <c:pt idx="0">
                  <c:v>3</c:v>
                </c:pt>
                <c:pt idx="1">
                  <c:v>3</c:v>
                </c:pt>
              </c:numCache>
            </c:numRef>
          </c:yVal>
          <c:smooth val="0"/>
          <c:extLst>
            <c:ext xmlns:c16="http://schemas.microsoft.com/office/drawing/2014/chart" uri="{C3380CC4-5D6E-409C-BE32-E72D297353CC}">
              <c16:uniqueId val="{00000002-BC7C-416A-942F-395185845884}"/>
            </c:ext>
          </c:extLst>
        </c:ser>
        <c:ser>
          <c:idx val="0"/>
          <c:order val="3"/>
          <c:tx>
            <c:strRef>
              <c:f>'Schedule-1 Summary Alt Proxy'!$L$18</c:f>
              <c:strCache>
                <c:ptCount val="1"/>
                <c:pt idx="0">
                  <c:v>Expected Earnings</c:v>
                </c:pt>
              </c:strCache>
            </c:strRef>
          </c:tx>
          <c:spPr>
            <a:ln w="19050" cap="rnd">
              <a:solidFill>
                <a:schemeClr val="tx1"/>
              </a:solidFill>
              <a:round/>
            </a:ln>
            <a:effectLst/>
          </c:spPr>
          <c:marker>
            <c:symbol val="diamond"/>
            <c:size val="9"/>
            <c:spPr>
              <a:solidFill>
                <a:schemeClr val="tx1"/>
              </a:solidFill>
              <a:ln w="9525">
                <a:solidFill>
                  <a:schemeClr val="tx1"/>
                </a:solidFill>
              </a:ln>
              <a:effectLst/>
            </c:spPr>
          </c:marker>
          <c:xVal>
            <c:numRef>
              <c:f>'Schedule-1 Summary Alt Proxy'!$M$18:$M$19</c:f>
              <c:numCache>
                <c:formatCode>0.00%</c:formatCode>
                <c:ptCount val="2"/>
                <c:pt idx="0">
                  <c:v>0.1048482633755321</c:v>
                </c:pt>
                <c:pt idx="1">
                  <c:v>0.1048482633755321</c:v>
                </c:pt>
              </c:numCache>
            </c:numRef>
          </c:xVal>
          <c:yVal>
            <c:numRef>
              <c:f>'Schedule-1 Summary Alt Proxy'!$N$18:$N$19</c:f>
              <c:numCache>
                <c:formatCode>0.0</c:formatCode>
                <c:ptCount val="2"/>
                <c:pt idx="0">
                  <c:v>1</c:v>
                </c:pt>
                <c:pt idx="1">
                  <c:v>1</c:v>
                </c:pt>
              </c:numCache>
            </c:numRef>
          </c:yVal>
          <c:smooth val="0"/>
          <c:extLst>
            <c:ext xmlns:c16="http://schemas.microsoft.com/office/drawing/2014/chart" uri="{C3380CC4-5D6E-409C-BE32-E72D297353CC}">
              <c16:uniqueId val="{00000004-BC7C-416A-942F-395185845884}"/>
            </c:ext>
          </c:extLst>
        </c:ser>
        <c:ser>
          <c:idx val="6"/>
          <c:order val="4"/>
          <c:tx>
            <c:strRef>
              <c:f>'Schedule-1 Summary Alt Proxy'!$L$21</c:f>
              <c:strCache>
                <c:ptCount val="1"/>
                <c:pt idx="0">
                  <c:v>Lower End ROE Recommendation</c:v>
                </c:pt>
              </c:strCache>
            </c:strRef>
          </c:tx>
          <c:spPr>
            <a:ln w="19050" cap="rnd">
              <a:solidFill>
                <a:schemeClr val="tx1"/>
              </a:solidFill>
              <a:prstDash val="sysDash"/>
              <a:round/>
            </a:ln>
            <a:effectLst/>
          </c:spPr>
          <c:marker>
            <c:symbol val="none"/>
          </c:marker>
          <c:xVal>
            <c:numRef>
              <c:f>'Schedule-1 Summary Alt Proxy'!$M$21:$M$22</c:f>
              <c:numCache>
                <c:formatCode>0.00%</c:formatCode>
                <c:ptCount val="2"/>
                <c:pt idx="0">
                  <c:v>9.7500000000000003E-2</c:v>
                </c:pt>
                <c:pt idx="1">
                  <c:v>9.7500000000000003E-2</c:v>
                </c:pt>
              </c:numCache>
            </c:numRef>
          </c:xVal>
          <c:yVal>
            <c:numRef>
              <c:f>'Schedule-1 Summary Alt Proxy'!$N$21:$N$22</c:f>
              <c:numCache>
                <c:formatCode>0.0</c:formatCode>
                <c:ptCount val="2"/>
                <c:pt idx="0">
                  <c:v>0</c:v>
                </c:pt>
                <c:pt idx="1">
                  <c:v>6</c:v>
                </c:pt>
              </c:numCache>
            </c:numRef>
          </c:yVal>
          <c:smooth val="0"/>
          <c:extLst>
            <c:ext xmlns:c16="http://schemas.microsoft.com/office/drawing/2014/chart" uri="{C3380CC4-5D6E-409C-BE32-E72D297353CC}">
              <c16:uniqueId val="{00000005-BC7C-416A-942F-395185845884}"/>
            </c:ext>
          </c:extLst>
        </c:ser>
        <c:ser>
          <c:idx val="7"/>
          <c:order val="5"/>
          <c:tx>
            <c:strRef>
              <c:f>'Schedule-1 Summary Alt Proxy'!$L$23</c:f>
              <c:strCache>
                <c:ptCount val="1"/>
                <c:pt idx="0">
                  <c:v>Higher End ROE Recommendation</c:v>
                </c:pt>
              </c:strCache>
            </c:strRef>
          </c:tx>
          <c:spPr>
            <a:ln w="19050" cap="rnd">
              <a:solidFill>
                <a:schemeClr val="tx1"/>
              </a:solidFill>
              <a:prstDash val="dash"/>
              <a:round/>
            </a:ln>
            <a:effectLst/>
          </c:spPr>
          <c:marker>
            <c:symbol val="none"/>
          </c:marker>
          <c:xVal>
            <c:numRef>
              <c:f>'Schedule-1 Summary Alt Proxy'!$M$23:$M$24</c:f>
              <c:numCache>
                <c:formatCode>0.00%</c:formatCode>
                <c:ptCount val="2"/>
                <c:pt idx="0">
                  <c:v>0.10249999999999999</c:v>
                </c:pt>
                <c:pt idx="1">
                  <c:v>0.10249999999999999</c:v>
                </c:pt>
              </c:numCache>
            </c:numRef>
          </c:xVal>
          <c:yVal>
            <c:numRef>
              <c:f>'Schedule-1 Summary Alt Proxy'!$N$23:$N$24</c:f>
              <c:numCache>
                <c:formatCode>0.0</c:formatCode>
                <c:ptCount val="2"/>
                <c:pt idx="0">
                  <c:v>0</c:v>
                </c:pt>
                <c:pt idx="1">
                  <c:v>6</c:v>
                </c:pt>
              </c:numCache>
            </c:numRef>
          </c:yVal>
          <c:smooth val="0"/>
          <c:extLst>
            <c:ext xmlns:c16="http://schemas.microsoft.com/office/drawing/2014/chart" uri="{C3380CC4-5D6E-409C-BE32-E72D297353CC}">
              <c16:uniqueId val="{00000006-BC7C-416A-942F-395185845884}"/>
            </c:ext>
          </c:extLst>
        </c:ser>
        <c:dLbls>
          <c:showLegendKey val="0"/>
          <c:showVal val="0"/>
          <c:showCatName val="0"/>
          <c:showSerName val="0"/>
          <c:showPercent val="0"/>
          <c:showBubbleSize val="0"/>
        </c:dLbls>
        <c:axId val="238422656"/>
        <c:axId val="238432640"/>
      </c:scatterChart>
      <c:valAx>
        <c:axId val="238422656"/>
        <c:scaling>
          <c:orientation val="minMax"/>
          <c:max val="0.13"/>
          <c:min val="7.0000000000000007E-2"/>
        </c:scaling>
        <c:delete val="0"/>
        <c:axPos val="b"/>
        <c:numFmt formatCode="0.00%" sourceLinked="1"/>
        <c:majorTickMark val="in"/>
        <c:minorTickMark val="none"/>
        <c:tickLblPos val="nextTo"/>
        <c:spPr>
          <a:noFill/>
          <a:ln w="9525" cap="flat" cmpd="sng" algn="ctr">
            <a:solidFill>
              <a:sysClr val="windowText" lastClr="000000"/>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238432640"/>
        <c:crosses val="autoZero"/>
        <c:crossBetween val="midCat"/>
        <c:majorUnit val="5.0000000000000027E-3"/>
      </c:valAx>
      <c:valAx>
        <c:axId val="238432640"/>
        <c:scaling>
          <c:orientation val="minMax"/>
          <c:max val="6"/>
        </c:scaling>
        <c:delete val="1"/>
        <c:axPos val="l"/>
        <c:majorGridlines>
          <c:spPr>
            <a:ln w="9525" cap="flat" cmpd="sng" algn="ctr">
              <a:noFill/>
              <a:round/>
            </a:ln>
            <a:effectLst/>
          </c:spPr>
        </c:majorGridlines>
        <c:numFmt formatCode="0.0" sourceLinked="1"/>
        <c:majorTickMark val="out"/>
        <c:minorTickMark val="none"/>
        <c:tickLblPos val="nextTo"/>
        <c:crossAx val="238422656"/>
        <c:crossesAt val="0.1"/>
        <c:crossBetween val="midCat"/>
        <c:majorUnit val="1"/>
      </c:valAx>
      <c:spPr>
        <a:noFill/>
        <a:ln>
          <a:solidFill>
            <a:sysClr val="windowText" lastClr="000000"/>
          </a:solidFill>
        </a:ln>
        <a:effectLst/>
      </c:spPr>
    </c:plotArea>
    <c:legend>
      <c:legendPos val="r"/>
      <c:layout>
        <c:manualLayout>
          <c:xMode val="edge"/>
          <c:yMode val="edge"/>
          <c:x val="8.0748988278710881E-2"/>
          <c:y val="0.28566991246220474"/>
          <c:w val="0.32211010538227991"/>
          <c:h val="0.388166937228825"/>
        </c:manualLayout>
      </c:layout>
      <c:overlay val="0"/>
      <c:spPr>
        <a:noFill/>
        <a:ln>
          <a:solidFill>
            <a:sysClr val="windowText" lastClr="000000"/>
          </a:solidFill>
        </a:ln>
        <a:effectLst/>
      </c:spPr>
      <c:txPr>
        <a:bodyPr rot="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n-US"/>
    </a:p>
  </c:txPr>
  <c:printSettings>
    <c:headerFooter/>
    <c:pageMargins b="0.75000000000000022" l="0.70000000000000018" r="0.70000000000000018" t="0.75000000000000022" header="0.3000000000000001" footer="0.3000000000000001"/>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7022112410076"/>
          <c:y val="6.2769226713879966E-2"/>
          <c:w val="0.85642007779622897"/>
          <c:h val="0.82753564611116359"/>
        </c:manualLayout>
      </c:layout>
      <c:scatterChart>
        <c:scatterStyle val="lineMarker"/>
        <c:varyColors val="0"/>
        <c:ser>
          <c:idx val="0"/>
          <c:order val="0"/>
          <c:spPr>
            <a:ln w="28575">
              <a:noFill/>
            </a:ln>
          </c:spPr>
          <c:marker>
            <c:spPr>
              <a:solidFill>
                <a:schemeClr val="tx1"/>
              </a:solidFill>
              <a:ln>
                <a:solidFill>
                  <a:schemeClr val="tx1"/>
                </a:solidFill>
              </a:ln>
            </c:spPr>
          </c:marker>
          <c:trendline>
            <c:trendlineType val="linear"/>
            <c:dispRSqr val="1"/>
            <c:dispEq val="1"/>
            <c:trendlineLbl>
              <c:layout>
                <c:manualLayout>
                  <c:x val="3.9511190133491381E-3"/>
                  <c:y val="-0.32806845572875065"/>
                </c:manualLayout>
              </c:layout>
              <c:numFmt formatCode="General" sourceLinked="0"/>
            </c:trendlineLbl>
          </c:trendline>
          <c:xVal>
            <c:numRef>
              <c:f>'Schedule-5 Risk Premium Gas P'!$D$6:$D$116</c:f>
              <c:numCache>
                <c:formatCode>0.00%</c:formatCode>
                <c:ptCount val="111"/>
                <c:pt idx="0">
                  <c:v>7.8020624999999968E-2</c:v>
                </c:pt>
                <c:pt idx="1">
                  <c:v>7.8934374999999987E-2</c:v>
                </c:pt>
                <c:pt idx="2">
                  <c:v>7.4454461538461553E-2</c:v>
                </c:pt>
                <c:pt idx="3">
                  <c:v>7.5184696969696943E-2</c:v>
                </c:pt>
                <c:pt idx="4">
                  <c:v>7.0683968253968263E-2</c:v>
                </c:pt>
                <c:pt idx="5">
                  <c:v>6.8553230769230741E-2</c:v>
                </c:pt>
                <c:pt idx="6">
                  <c:v>6.3142727272727309E-2</c:v>
                </c:pt>
                <c:pt idx="7">
                  <c:v>6.1389999999999986E-2</c:v>
                </c:pt>
                <c:pt idx="8">
                  <c:v>6.5745156249999992E-2</c:v>
                </c:pt>
                <c:pt idx="9">
                  <c:v>7.3526307692307669E-2</c:v>
                </c:pt>
                <c:pt idx="10">
                  <c:v>7.5847727272727289E-2</c:v>
                </c:pt>
                <c:pt idx="11">
                  <c:v>7.9568461538461532E-2</c:v>
                </c:pt>
                <c:pt idx="12">
                  <c:v>6.9425846153846171E-2</c:v>
                </c:pt>
                <c:pt idx="13">
                  <c:v>6.7118615384615374E-2</c:v>
                </c:pt>
                <c:pt idx="14">
                  <c:v>6.2348153846153817E-2</c:v>
                </c:pt>
                <c:pt idx="15">
                  <c:v>6.2925692307692321E-2</c:v>
                </c:pt>
                <c:pt idx="16">
                  <c:v>6.9183230769230789E-2</c:v>
                </c:pt>
                <c:pt idx="17">
                  <c:v>6.9644696969696968E-2</c:v>
                </c:pt>
                <c:pt idx="18">
                  <c:v>6.6189999999999999E-2</c:v>
                </c:pt>
                <c:pt idx="19">
                  <c:v>6.8133281250000011E-2</c:v>
                </c:pt>
                <c:pt idx="20">
                  <c:v>6.9324153846153841E-2</c:v>
                </c:pt>
                <c:pt idx="21">
                  <c:v>6.5281666666666668E-2</c:v>
                </c:pt>
                <c:pt idx="22">
                  <c:v>6.1372272727272741E-2</c:v>
                </c:pt>
                <c:pt idx="23">
                  <c:v>5.8462461538461553E-2</c:v>
                </c:pt>
                <c:pt idx="24">
                  <c:v>5.4731969696969689E-2</c:v>
                </c:pt>
                <c:pt idx="25">
                  <c:v>5.1047272727272747E-2</c:v>
                </c:pt>
                <c:pt idx="26">
                  <c:v>5.3729687500000019E-2</c:v>
                </c:pt>
                <c:pt idx="27">
                  <c:v>5.794030769230768E-2</c:v>
                </c:pt>
                <c:pt idx="28">
                  <c:v>6.2528484848484861E-2</c:v>
                </c:pt>
                <c:pt idx="29">
                  <c:v>6.2912615384615386E-2</c:v>
                </c:pt>
                <c:pt idx="30">
                  <c:v>5.9723230769230765E-2</c:v>
                </c:pt>
                <c:pt idx="31">
                  <c:v>5.7871875000000017E-2</c:v>
                </c:pt>
                <c:pt idx="32">
                  <c:v>5.686107692307691E-2</c:v>
                </c:pt>
                <c:pt idx="33">
                  <c:v>5.4425937500000014E-2</c:v>
                </c:pt>
                <c:pt idx="34">
                  <c:v>5.699338461538464E-2</c:v>
                </c:pt>
                <c:pt idx="35">
                  <c:v>5.2970909090909089E-2</c:v>
                </c:pt>
                <c:pt idx="36">
                  <c:v>5.5132187499999999E-2</c:v>
                </c:pt>
                <c:pt idx="37">
                  <c:v>5.6129153846153849E-2</c:v>
                </c:pt>
                <c:pt idx="38">
                  <c:v>5.0848590909090899E-2</c:v>
                </c:pt>
                <c:pt idx="39">
                  <c:v>4.9307318181818195E-2</c:v>
                </c:pt>
                <c:pt idx="40">
                  <c:v>4.8490953125E-2</c:v>
                </c:pt>
                <c:pt idx="41">
                  <c:v>4.5979046153846168E-2</c:v>
                </c:pt>
                <c:pt idx="42">
                  <c:v>5.1104863636363636E-2</c:v>
                </c:pt>
                <c:pt idx="43">
                  <c:v>5.1142196969696983E-2</c:v>
                </c:pt>
                <c:pt idx="44">
                  <c:v>4.8753138461538476E-2</c:v>
                </c:pt>
                <c:pt idx="45">
                  <c:v>5.3192861538461533E-2</c:v>
                </c:pt>
                <c:pt idx="46">
                  <c:v>5.0588015151515148E-2</c:v>
                </c:pt>
                <c:pt idx="47">
                  <c:v>4.864845454545455E-2</c:v>
                </c:pt>
                <c:pt idx="48">
                  <c:v>4.6927312499999985E-2</c:v>
                </c:pt>
                <c:pt idx="49">
                  <c:v>4.4650938461538468E-2</c:v>
                </c:pt>
                <c:pt idx="50">
                  <c:v>4.4381742424242414E-2</c:v>
                </c:pt>
                <c:pt idx="51">
                  <c:v>4.6829078125E-2</c:v>
                </c:pt>
                <c:pt idx="52">
                  <c:v>4.633183076923076E-2</c:v>
                </c:pt>
                <c:pt idx="53">
                  <c:v>5.1406507692307687E-2</c:v>
                </c:pt>
                <c:pt idx="54">
                  <c:v>4.9925692307692303E-2</c:v>
                </c:pt>
                <c:pt idx="55">
                  <c:v>4.739560000000001E-2</c:v>
                </c:pt>
                <c:pt idx="56">
                  <c:v>4.7964107692307696E-2</c:v>
                </c:pt>
                <c:pt idx="57">
                  <c:v>4.9891384615384615E-2</c:v>
                </c:pt>
                <c:pt idx="58">
                  <c:v>4.9470430769230793E-2</c:v>
                </c:pt>
                <c:pt idx="59">
                  <c:v>4.6137848484848476E-2</c:v>
                </c:pt>
                <c:pt idx="60">
                  <c:v>4.4057984615384606E-2</c:v>
                </c:pt>
                <c:pt idx="61">
                  <c:v>4.5697861538461525E-2</c:v>
                </c:pt>
                <c:pt idx="62">
                  <c:v>4.4448575757575763E-2</c:v>
                </c:pt>
                <c:pt idx="63">
                  <c:v>3.648545454545455E-2</c:v>
                </c:pt>
                <c:pt idx="64">
                  <c:v>3.4371828125000004E-2</c:v>
                </c:pt>
                <c:pt idx="65">
                  <c:v>4.1675338461538453E-2</c:v>
                </c:pt>
                <c:pt idx="66">
                  <c:v>4.3207924242424235E-2</c:v>
                </c:pt>
                <c:pt idx="67">
                  <c:v>4.3369015151515151E-2</c:v>
                </c:pt>
                <c:pt idx="68">
                  <c:v>4.6233281250000008E-2</c:v>
                </c:pt>
                <c:pt idx="69">
                  <c:v>4.3635553846153849E-2</c:v>
                </c:pt>
                <c:pt idx="70">
                  <c:v>3.855463636363636E-2</c:v>
                </c:pt>
                <c:pt idx="71">
                  <c:v>4.1662787878787896E-2</c:v>
                </c:pt>
                <c:pt idx="72">
                  <c:v>4.5583796874999978E-2</c:v>
                </c:pt>
                <c:pt idx="73">
                  <c:v>4.3380446153846154E-2</c:v>
                </c:pt>
                <c:pt idx="74">
                  <c:v>3.692825757575758E-2</c:v>
                </c:pt>
                <c:pt idx="75">
                  <c:v>3.0392815384615392E-2</c:v>
                </c:pt>
                <c:pt idx="76">
                  <c:v>3.1351338461538467E-2</c:v>
                </c:pt>
                <c:pt idx="77">
                  <c:v>2.9340830769230764E-2</c:v>
                </c:pt>
                <c:pt idx="78">
                  <c:v>2.7412938461538462E-2</c:v>
                </c:pt>
                <c:pt idx="79">
                  <c:v>2.8642166666666666E-2</c:v>
                </c:pt>
                <c:pt idx="80">
                  <c:v>3.1295609374999998E-2</c:v>
                </c:pt>
                <c:pt idx="81">
                  <c:v>3.1398800000000004E-2</c:v>
                </c:pt>
                <c:pt idx="82">
                  <c:v>3.7113621212121202E-2</c:v>
                </c:pt>
                <c:pt idx="83">
                  <c:v>3.7872272727272713E-2</c:v>
                </c:pt>
                <c:pt idx="84">
                  <c:v>3.6892906249999989E-2</c:v>
                </c:pt>
                <c:pt idx="85">
                  <c:v>3.4420169230769224E-2</c:v>
                </c:pt>
                <c:pt idx="86">
                  <c:v>3.2637651515151515E-2</c:v>
                </c:pt>
                <c:pt idx="87">
                  <c:v>2.9634439393939404E-2</c:v>
                </c:pt>
                <c:pt idx="88">
                  <c:v>2.5536187500000005E-2</c:v>
                </c:pt>
                <c:pt idx="89">
                  <c:v>2.8846923076923076E-2</c:v>
                </c:pt>
                <c:pt idx="90">
                  <c:v>2.9591227272727273E-2</c:v>
                </c:pt>
                <c:pt idx="91">
                  <c:v>2.9592590909090898E-2</c:v>
                </c:pt>
                <c:pt idx="92">
                  <c:v>2.7197200000000001E-2</c:v>
                </c:pt>
                <c:pt idx="93">
                  <c:v>2.5666046153846152E-2</c:v>
                </c:pt>
                <c:pt idx="94">
                  <c:v>2.2773333333333333E-2</c:v>
                </c:pt>
                <c:pt idx="95">
                  <c:v>2.8326507692307684E-2</c:v>
                </c:pt>
                <c:pt idx="96">
                  <c:v>3.0435492307692304E-2</c:v>
                </c:pt>
                <c:pt idx="97">
                  <c:v>2.8955353846153841E-2</c:v>
                </c:pt>
                <c:pt idx="98">
                  <c:v>2.8157476923076918E-2</c:v>
                </c:pt>
                <c:pt idx="99">
                  <c:v>2.8170630769230768E-2</c:v>
                </c:pt>
                <c:pt idx="100">
                  <c:v>3.0233969230769233E-2</c:v>
                </c:pt>
                <c:pt idx="101">
                  <c:v>3.0863630769230772E-2</c:v>
                </c:pt>
                <c:pt idx="102">
                  <c:v>3.0584523076923074E-2</c:v>
                </c:pt>
                <c:pt idx="103">
                  <c:v>3.270189393939394E-2</c:v>
                </c:pt>
                <c:pt idx="104">
                  <c:v>3.0102703124999998E-2</c:v>
                </c:pt>
                <c:pt idx="105">
                  <c:v>2.7823599999999997E-2</c:v>
                </c:pt>
                <c:pt idx="106">
                  <c:v>2.2855318181818182E-2</c:v>
                </c:pt>
                <c:pt idx="107">
                  <c:v>2.2538393939393941E-2</c:v>
                </c:pt>
                <c:pt idx="108">
                  <c:v>1.888032307692307E-2</c:v>
                </c:pt>
                <c:pt idx="109">
                  <c:v>1.3756846153846161E-2</c:v>
                </c:pt>
                <c:pt idx="110">
                  <c:v>1.3650969696969693E-2</c:v>
                </c:pt>
              </c:numCache>
            </c:numRef>
          </c:xVal>
          <c:yVal>
            <c:numRef>
              <c:f>'Schedule-5 Risk Premium Gas P'!$E$6:$E$116</c:f>
              <c:numCache>
                <c:formatCode>0.00%</c:formatCode>
                <c:ptCount val="111"/>
                <c:pt idx="0">
                  <c:v>4.615937500000003E-2</c:v>
                </c:pt>
                <c:pt idx="1">
                  <c:v>4.0898958333333346E-2</c:v>
                </c:pt>
                <c:pt idx="2">
                  <c:v>4.4205538461538435E-2</c:v>
                </c:pt>
                <c:pt idx="3">
                  <c:v>4.4215303030303063E-2</c:v>
                </c:pt>
                <c:pt idx="4">
                  <c:v>4.681603174603173E-2</c:v>
                </c:pt>
                <c:pt idx="5">
                  <c:v>4.8530102564102576E-2</c:v>
                </c:pt>
                <c:pt idx="6">
                  <c:v>5.0732272727272681E-2</c:v>
                </c:pt>
                <c:pt idx="7">
                  <c:v>5.0165555555555588E-2</c:v>
                </c:pt>
                <c:pt idx="8">
                  <c:v>4.5454843750000015E-2</c:v>
                </c:pt>
                <c:pt idx="9">
                  <c:v>3.4823692307692333E-2</c:v>
                </c:pt>
                <c:pt idx="10">
                  <c:v>3.2818939393939386E-2</c:v>
                </c:pt>
                <c:pt idx="11">
                  <c:v>3.5689871794871805E-2</c:v>
                </c:pt>
                <c:pt idx="12">
                  <c:v>4.0574153846153829E-2</c:v>
                </c:pt>
                <c:pt idx="13">
                  <c:v>4.3548051282051303E-2</c:v>
                </c:pt>
                <c:pt idx="14">
                  <c:v>5.3718512820512848E-2</c:v>
                </c:pt>
                <c:pt idx="15">
                  <c:v>5.1574307692307669E-2</c:v>
                </c:pt>
                <c:pt idx="16">
                  <c:v>3.9566769230769225E-2</c:v>
                </c:pt>
                <c:pt idx="17">
                  <c:v>4.2855303030303035E-2</c:v>
                </c:pt>
                <c:pt idx="18">
                  <c:v>4.5752857142857137E-2</c:v>
                </c:pt>
                <c:pt idx="19">
                  <c:v>4.4938147321428576E-2</c:v>
                </c:pt>
                <c:pt idx="20">
                  <c:v>4.7675846153846152E-2</c:v>
                </c:pt>
                <c:pt idx="21">
                  <c:v>5.4718333333333327E-2</c:v>
                </c:pt>
                <c:pt idx="22">
                  <c:v>4.7794393939393935E-2</c:v>
                </c:pt>
                <c:pt idx="23">
                  <c:v>5.5204205128205099E-2</c:v>
                </c:pt>
                <c:pt idx="24">
                  <c:v>5.9368030303030304E-2</c:v>
                </c:pt>
                <c:pt idx="25">
                  <c:v>6.5852727272727257E-2</c:v>
                </c:pt>
                <c:pt idx="26">
                  <c:v>5.4436979166666656E-2</c:v>
                </c:pt>
                <c:pt idx="27">
                  <c:v>5.4559692307692323E-2</c:v>
                </c:pt>
                <c:pt idx="28">
                  <c:v>4.1221515151515134E-2</c:v>
                </c:pt>
                <c:pt idx="29">
                  <c:v>4.363738461538462E-2</c:v>
                </c:pt>
                <c:pt idx="30">
                  <c:v>5.0610102564102574E-2</c:v>
                </c:pt>
                <c:pt idx="31">
                  <c:v>5.5468124999999979E-2</c:v>
                </c:pt>
                <c:pt idx="32">
                  <c:v>6.4138923076923093E-2</c:v>
                </c:pt>
                <c:pt idx="33">
                  <c:v>5.932406249999999E-2</c:v>
                </c:pt>
                <c:pt idx="34">
                  <c:v>5.0506615384615358E-2</c:v>
                </c:pt>
                <c:pt idx="35">
                  <c:v>5.3529090909090922E-2</c:v>
                </c:pt>
                <c:pt idx="36">
                  <c:v>5.1534479166666675E-2</c:v>
                </c:pt>
                <c:pt idx="37">
                  <c:v>6.0295846153846151E-2</c:v>
                </c:pt>
                <c:pt idx="38">
                  <c:v>6.4151409090909092E-2</c:v>
                </c:pt>
                <c:pt idx="39">
                  <c:v>6.0803792929292909E-2</c:v>
                </c:pt>
                <c:pt idx="40">
                  <c:v>6.5329046875000005E-2</c:v>
                </c:pt>
                <c:pt idx="41">
                  <c:v>6.7645953846153836E-2</c:v>
                </c:pt>
                <c:pt idx="42">
                  <c:v>5.5015136363636356E-2</c:v>
                </c:pt>
                <c:pt idx="43">
                  <c:v>5.7275984848484819E-2</c:v>
                </c:pt>
                <c:pt idx="44">
                  <c:v>6.1846861538461514E-2</c:v>
                </c:pt>
                <c:pt idx="45">
                  <c:v>5.2540471794871813E-2</c:v>
                </c:pt>
                <c:pt idx="46">
                  <c:v>5.3099484848484854E-2</c:v>
                </c:pt>
                <c:pt idx="47">
                  <c:v>5.7934878787878771E-2</c:v>
                </c:pt>
                <c:pt idx="48">
                  <c:v>5.9572687500000027E-2</c:v>
                </c:pt>
                <c:pt idx="49">
                  <c:v>6.0709061538461513E-2</c:v>
                </c:pt>
                <c:pt idx="50">
                  <c:v>6.033825757575758E-2</c:v>
                </c:pt>
                <c:pt idx="51">
                  <c:v>5.6335207589285709E-2</c:v>
                </c:pt>
                <c:pt idx="52">
                  <c:v>6.0468169230769246E-2</c:v>
                </c:pt>
                <c:pt idx="53">
                  <c:v>5.459349230769231E-2</c:v>
                </c:pt>
                <c:pt idx="54">
                  <c:v>5.3449307692307692E-2</c:v>
                </c:pt>
                <c:pt idx="55">
                  <c:v>5.4024399999999986E-2</c:v>
                </c:pt>
                <c:pt idx="56">
                  <c:v>5.7217710489510486E-2</c:v>
                </c:pt>
                <c:pt idx="57">
                  <c:v>5.1375282051282042E-2</c:v>
                </c:pt>
                <c:pt idx="58">
                  <c:v>5.0792069230769211E-2</c:v>
                </c:pt>
                <c:pt idx="59">
                  <c:v>5.5039074592074591E-2</c:v>
                </c:pt>
                <c:pt idx="60">
                  <c:v>5.9699158241758261E-2</c:v>
                </c:pt>
                <c:pt idx="61">
                  <c:v>5.5968805128205144E-2</c:v>
                </c:pt>
                <c:pt idx="62">
                  <c:v>6.1062535353535348E-2</c:v>
                </c:pt>
                <c:pt idx="63">
                  <c:v>6.6899160839160837E-2</c:v>
                </c:pt>
                <c:pt idx="64">
                  <c:v>6.8053171874999999E-2</c:v>
                </c:pt>
                <c:pt idx="65">
                  <c:v>5.9399661538461559E-2</c:v>
                </c:pt>
                <c:pt idx="66">
                  <c:v>5.5592075757575764E-2</c:v>
                </c:pt>
                <c:pt idx="67">
                  <c:v>5.9680984848484837E-2</c:v>
                </c:pt>
                <c:pt idx="68">
                  <c:v>5.6133385416666653E-2</c:v>
                </c:pt>
                <c:pt idx="69">
                  <c:v>5.6218991608391611E-2</c:v>
                </c:pt>
                <c:pt idx="70">
                  <c:v>6.5695363636363635E-2</c:v>
                </c:pt>
                <c:pt idx="71">
                  <c:v>5.9260289044289011E-2</c:v>
                </c:pt>
                <c:pt idx="72">
                  <c:v>5.5416203125000028E-2</c:v>
                </c:pt>
                <c:pt idx="73">
                  <c:v>5.5069553846153856E-2</c:v>
                </c:pt>
                <c:pt idx="74">
                  <c:v>5.9571742424242423E-2</c:v>
                </c:pt>
                <c:pt idx="75">
                  <c:v>6.835718461538462E-2</c:v>
                </c:pt>
                <c:pt idx="76">
                  <c:v>6.4968661538461522E-2</c:v>
                </c:pt>
                <c:pt idx="77">
                  <c:v>6.8971669230769236E-2</c:v>
                </c:pt>
                <c:pt idx="78">
                  <c:v>7.0087061538461545E-2</c:v>
                </c:pt>
                <c:pt idx="79">
                  <c:v>7.1907833333333337E-2</c:v>
                </c:pt>
                <c:pt idx="80">
                  <c:v>6.4371057291666672E-2</c:v>
                </c:pt>
                <c:pt idx="81">
                  <c:v>6.3284533333333323E-2</c:v>
                </c:pt>
                <c:pt idx="82">
                  <c:v>5.88863787878788E-2</c:v>
                </c:pt>
                <c:pt idx="83">
                  <c:v>6.0418636363636397E-2</c:v>
                </c:pt>
                <c:pt idx="84">
                  <c:v>5.8523760416666674E-2</c:v>
                </c:pt>
                <c:pt idx="85">
                  <c:v>6.3942330769230768E-2</c:v>
                </c:pt>
                <c:pt idx="86">
                  <c:v>6.1862348484848499E-2</c:v>
                </c:pt>
                <c:pt idx="87">
                  <c:v>7.3198893939393925E-2</c:v>
                </c:pt>
                <c:pt idx="88">
                  <c:v>6.9130479166666675E-2</c:v>
                </c:pt>
                <c:pt idx="89">
                  <c:v>6.5486410256410263E-2</c:v>
                </c:pt>
                <c:pt idx="90">
                  <c:v>6.7908772727272734E-2</c:v>
                </c:pt>
                <c:pt idx="91">
                  <c:v>6.718518686868688E-2</c:v>
                </c:pt>
                <c:pt idx="92">
                  <c:v>6.763613333333332E-2</c:v>
                </c:pt>
                <c:pt idx="93">
                  <c:v>6.8483953846153842E-2</c:v>
                </c:pt>
                <c:pt idx="94">
                  <c:v>7.1876666666666644E-2</c:v>
                </c:pt>
                <c:pt idx="95">
                  <c:v>6.8395714529914525E-2</c:v>
                </c:pt>
                <c:pt idx="96">
                  <c:v>6.5564507692307705E-2</c:v>
                </c:pt>
                <c:pt idx="97">
                  <c:v>6.5758931868131865E-2</c:v>
                </c:pt>
                <c:pt idx="98">
                  <c:v>7.3225856410256404E-2</c:v>
                </c:pt>
                <c:pt idx="99">
                  <c:v>6.8829369230769225E-2</c:v>
                </c:pt>
                <c:pt idx="100">
                  <c:v>6.6582697435897426E-2</c:v>
                </c:pt>
                <c:pt idx="101">
                  <c:v>6.3422083516483513E-2</c:v>
                </c:pt>
                <c:pt idx="102">
                  <c:v>6.6523810256410271E-2</c:v>
                </c:pt>
                <c:pt idx="103">
                  <c:v>6.2605248917748935E-2</c:v>
                </c:pt>
                <c:pt idx="104">
                  <c:v>6.5397296875000011E-2</c:v>
                </c:pt>
                <c:pt idx="105">
                  <c:v>6.9443066666666664E-2</c:v>
                </c:pt>
                <c:pt idx="106">
                  <c:v>7.664468181818182E-2</c:v>
                </c:pt>
                <c:pt idx="107">
                  <c:v>7.4771129870129877E-2</c:v>
                </c:pt>
                <c:pt idx="108">
                  <c:v>7.4641899145299159E-2</c:v>
                </c:pt>
                <c:pt idx="109">
                  <c:v>8.1743153846153827E-2</c:v>
                </c:pt>
                <c:pt idx="110">
                  <c:v>8.1536530303030305E-2</c:v>
                </c:pt>
              </c:numCache>
            </c:numRef>
          </c:yVal>
          <c:smooth val="0"/>
          <c:extLst>
            <c:ext xmlns:c16="http://schemas.microsoft.com/office/drawing/2014/chart" uri="{C3380CC4-5D6E-409C-BE32-E72D297353CC}">
              <c16:uniqueId val="{00000001-A686-4B9C-A68D-81CAE9D68CA3}"/>
            </c:ext>
          </c:extLst>
        </c:ser>
        <c:dLbls>
          <c:showLegendKey val="0"/>
          <c:showVal val="0"/>
          <c:showCatName val="0"/>
          <c:showSerName val="0"/>
          <c:showPercent val="0"/>
          <c:showBubbleSize val="0"/>
        </c:dLbls>
        <c:axId val="562882664"/>
        <c:axId val="562883056"/>
      </c:scatterChart>
      <c:valAx>
        <c:axId val="562882664"/>
        <c:scaling>
          <c:orientation val="minMax"/>
          <c:max val="8.0000000000000016E-2"/>
          <c:min val="2.0000000000000004E-2"/>
        </c:scaling>
        <c:delete val="0"/>
        <c:axPos val="b"/>
        <c:title>
          <c:tx>
            <c:rich>
              <a:bodyPr/>
              <a:lstStyle/>
              <a:p>
                <a:pPr>
                  <a:defRPr/>
                </a:pPr>
                <a:r>
                  <a:rPr lang="en-US"/>
                  <a:t>U.S. Government 30-year Treasury Yield</a:t>
                </a:r>
              </a:p>
            </c:rich>
          </c:tx>
          <c:layout>
            <c:manualLayout>
              <c:xMode val="edge"/>
              <c:yMode val="edge"/>
              <c:x val="0.38494926207896596"/>
              <c:y val="0.94873921483680312"/>
            </c:manualLayout>
          </c:layout>
          <c:overlay val="0"/>
        </c:title>
        <c:numFmt formatCode="0.00%" sourceLinked="1"/>
        <c:majorTickMark val="out"/>
        <c:minorTickMark val="none"/>
        <c:tickLblPos val="nextTo"/>
        <c:crossAx val="562883056"/>
        <c:crosses val="autoZero"/>
        <c:crossBetween val="midCat"/>
      </c:valAx>
      <c:valAx>
        <c:axId val="562883056"/>
        <c:scaling>
          <c:orientation val="minMax"/>
          <c:max val="8.0000000000000043E-2"/>
          <c:min val="2.0000000000000011E-2"/>
        </c:scaling>
        <c:delete val="0"/>
        <c:axPos val="l"/>
        <c:majorGridlines/>
        <c:title>
          <c:tx>
            <c:rich>
              <a:bodyPr rot="-5400000" vert="horz"/>
              <a:lstStyle/>
              <a:p>
                <a:pPr>
                  <a:defRPr/>
                </a:pPr>
                <a:r>
                  <a:rPr lang="en-US"/>
                  <a:t>Risk Premium</a:t>
                </a:r>
              </a:p>
            </c:rich>
          </c:tx>
          <c:layout>
            <c:manualLayout>
              <c:xMode val="edge"/>
              <c:yMode val="edge"/>
              <c:x val="1.6867310930061753E-2"/>
              <c:y val="0.37302878268338169"/>
            </c:manualLayout>
          </c:layout>
          <c:overlay val="0"/>
        </c:title>
        <c:numFmt formatCode="0.00%" sourceLinked="1"/>
        <c:majorTickMark val="out"/>
        <c:minorTickMark val="none"/>
        <c:tickLblPos val="nextTo"/>
        <c:crossAx val="562882664"/>
        <c:crosses val="autoZero"/>
        <c:crossBetween val="midCat"/>
      </c:valAx>
    </c:plotArea>
    <c:plotVisOnly val="1"/>
    <c:dispBlanksAs val="gap"/>
    <c:showDLblsOverMax val="0"/>
  </c:chart>
  <c:spPr>
    <a:ln>
      <a:solidFill>
        <a:sysClr val="windowText" lastClr="000000"/>
      </a:solidFill>
    </a:ln>
  </c:spPr>
  <c:txPr>
    <a:bodyPr/>
    <a:lstStyle/>
    <a:p>
      <a:pPr>
        <a:defRPr sz="800" baseline="0">
          <a:latin typeface="Arial" pitchFamily="34" charset="0"/>
        </a:defRPr>
      </a:pPr>
      <a:endParaRPr lang="en-US"/>
    </a:p>
  </c:txPr>
  <c:printSettings>
    <c:headerFooter/>
    <c:pageMargins b="0.75000000000000422" l="0.70000000000000062" r="0.70000000000000062" t="0.7500000000000042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'Schedule-9 CapEx Gas Proxy 2'!$D$26</c:f>
              <c:strCache>
                <c:ptCount val="1"/>
                <c:pt idx="0">
                  <c:v>2021-2025</c:v>
                </c:pt>
              </c:strCache>
            </c:strRef>
          </c:tx>
          <c:spPr>
            <a:solidFill>
              <a:schemeClr val="tx1"/>
            </a:solidFill>
            <a:ln>
              <a:solidFill>
                <a:sysClr val="windowText" lastClr="000000"/>
              </a:solidFill>
            </a:ln>
          </c:spPr>
          <c:invertIfNegative val="0"/>
          <c:dPt>
            <c:idx val="2"/>
            <c:invertIfNegative val="0"/>
            <c:bubble3D val="0"/>
            <c:extLst>
              <c:ext xmlns:c16="http://schemas.microsoft.com/office/drawing/2014/chart" uri="{C3380CC4-5D6E-409C-BE32-E72D297353CC}">
                <c16:uniqueId val="{00000001-7A39-4284-8CBB-9B38E99AE484}"/>
              </c:ext>
            </c:extLst>
          </c:dPt>
          <c:dPt>
            <c:idx val="3"/>
            <c:invertIfNegative val="0"/>
            <c:bubble3D val="0"/>
            <c:extLst>
              <c:ext xmlns:c16="http://schemas.microsoft.com/office/drawing/2014/chart" uri="{C3380CC4-5D6E-409C-BE32-E72D297353CC}">
                <c16:uniqueId val="{00000002-7A39-4284-8CBB-9B38E99AE484}"/>
              </c:ext>
            </c:extLst>
          </c:dPt>
          <c:dPt>
            <c:idx val="4"/>
            <c:invertIfNegative val="0"/>
            <c:bubble3D val="0"/>
            <c:extLst>
              <c:ext xmlns:c16="http://schemas.microsoft.com/office/drawing/2014/chart" uri="{C3380CC4-5D6E-409C-BE32-E72D297353CC}">
                <c16:uniqueId val="{00000003-7A39-4284-8CBB-9B38E99AE484}"/>
              </c:ext>
            </c:extLst>
          </c:dPt>
          <c:dPt>
            <c:idx val="6"/>
            <c:invertIfNegative val="0"/>
            <c:bubble3D val="0"/>
            <c:spPr>
              <a:pattFill prst="wdDnDiag">
                <a:fgClr>
                  <a:schemeClr val="tx1"/>
                </a:fgClr>
                <a:bgClr>
                  <a:schemeClr val="bg1"/>
                </a:bgClr>
              </a:pattFill>
              <a:ln>
                <a:solidFill>
                  <a:sysClr val="windowText" lastClr="000000"/>
                </a:solidFill>
              </a:ln>
            </c:spPr>
            <c:extLst>
              <c:ext xmlns:c16="http://schemas.microsoft.com/office/drawing/2014/chart" uri="{C3380CC4-5D6E-409C-BE32-E72D297353CC}">
                <c16:uniqueId val="{00000004-7A39-4284-8CBB-9B38E99AE484}"/>
              </c:ext>
            </c:extLst>
          </c:dPt>
          <c:dPt>
            <c:idx val="8"/>
            <c:invertIfNegative val="0"/>
            <c:bubble3D val="0"/>
            <c:spPr>
              <a:pattFill prst="wdUpDiag">
                <a:fgClr>
                  <a:schemeClr val="tx1"/>
                </a:fgClr>
                <a:bgClr>
                  <a:schemeClr val="bg1"/>
                </a:bgClr>
              </a:pattFill>
              <a:ln>
                <a:solidFill>
                  <a:sysClr val="windowText" lastClr="000000"/>
                </a:solidFill>
              </a:ln>
            </c:spPr>
            <c:extLst>
              <c:ext xmlns:c16="http://schemas.microsoft.com/office/drawing/2014/chart" uri="{C3380CC4-5D6E-409C-BE32-E72D297353CC}">
                <c16:uniqueId val="{00000006-7A39-4284-8CBB-9B38E99AE484}"/>
              </c:ext>
            </c:extLst>
          </c:dPt>
          <c:dPt>
            <c:idx val="10"/>
            <c:invertIfNegative val="0"/>
            <c:bubble3D val="0"/>
            <c:extLst>
              <c:ext xmlns:c16="http://schemas.microsoft.com/office/drawing/2014/chart" uri="{C3380CC4-5D6E-409C-BE32-E72D297353CC}">
                <c16:uniqueId val="{00000007-7A39-4284-8CBB-9B38E99AE484}"/>
              </c:ext>
            </c:extLst>
          </c:dPt>
          <c:dPt>
            <c:idx val="11"/>
            <c:invertIfNegative val="0"/>
            <c:bubble3D val="0"/>
            <c:extLst>
              <c:ext xmlns:c16="http://schemas.microsoft.com/office/drawing/2014/chart" uri="{C3380CC4-5D6E-409C-BE32-E72D297353CC}">
                <c16:uniqueId val="{00000008-7A39-4284-8CBB-9B38E99AE484}"/>
              </c:ext>
            </c:extLst>
          </c:dPt>
          <c:dPt>
            <c:idx val="13"/>
            <c:invertIfNegative val="0"/>
            <c:bubble3D val="0"/>
            <c:extLst>
              <c:ext xmlns:c16="http://schemas.microsoft.com/office/drawing/2014/chart" uri="{C3380CC4-5D6E-409C-BE32-E72D297353CC}">
                <c16:uniqueId val="{00000009-7A39-4284-8CBB-9B38E99AE484}"/>
              </c:ext>
            </c:extLst>
          </c:dPt>
          <c:dPt>
            <c:idx val="16"/>
            <c:invertIfNegative val="0"/>
            <c:bubble3D val="0"/>
            <c:extLst>
              <c:ext xmlns:c16="http://schemas.microsoft.com/office/drawing/2014/chart" uri="{C3380CC4-5D6E-409C-BE32-E72D297353CC}">
                <c16:uniqueId val="{0000000A-7A39-4284-8CBB-9B38E99AE484}"/>
              </c:ext>
            </c:extLst>
          </c:dPt>
          <c:dLbls>
            <c:dLbl>
              <c:idx val="1"/>
              <c:layout>
                <c:manualLayout>
                  <c:x val="-2.1145468912974381E-17"/>
                  <c:y val="-8.050316237269512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7A39-4284-8CBB-9B38E99AE484}"/>
                </c:ext>
              </c:extLst>
            </c:dLbl>
            <c:dLbl>
              <c:idx val="3"/>
              <c:layout>
                <c:manualLayout>
                  <c:x val="-6.920415224913495E-3"/>
                  <c:y val="-4.47239790959417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A39-4284-8CBB-9B38E99AE484}"/>
                </c:ext>
              </c:extLst>
            </c:dLbl>
            <c:dLbl>
              <c:idx val="4"/>
              <c:layout>
                <c:manualLayout>
                  <c:x val="0"/>
                  <c:y val="1.3417193728782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39-4284-8CBB-9B38E99AE484}"/>
                </c:ext>
              </c:extLst>
            </c:dLbl>
            <c:dLbl>
              <c:idx val="5"/>
              <c:layout>
                <c:manualLayout>
                  <c:x val="-2.076124567474057E-2"/>
                  <c:y val="-3.5779183276753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7A39-4284-8CBB-9B38E99AE484}"/>
                </c:ext>
              </c:extLst>
            </c:dLbl>
            <c:dLbl>
              <c:idx val="8"/>
              <c:layout>
                <c:manualLayout>
                  <c:x val="-2.306805074971165E-3"/>
                  <c:y val="-9.392035610147761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A39-4284-8CBB-9B38E99AE484}"/>
                </c:ext>
              </c:extLst>
            </c:dLbl>
            <c:dLbl>
              <c:idx val="10"/>
              <c:layout>
                <c:manualLayout>
                  <c:x val="-1.6147635524798153E-2"/>
                  <c:y val="-8.94479581918838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39-4284-8CBB-9B38E99AE484}"/>
                </c:ext>
              </c:extLst>
            </c:dLbl>
            <c:dLbl>
              <c:idx val="11"/>
              <c:layout>
                <c:manualLayout>
                  <c:x val="-1.6916375130379505E-16"/>
                  <c:y val="-1.34171937287825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7A39-4284-8CBB-9B38E99AE484}"/>
                </c:ext>
              </c:extLst>
            </c:dLbl>
            <c:dLbl>
              <c:idx val="12"/>
              <c:layout>
                <c:manualLayout>
                  <c:x val="0"/>
                  <c:y val="-6.70859686439126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7A39-4284-8CBB-9B38E99AE484}"/>
                </c:ext>
              </c:extLst>
            </c:dLbl>
            <c:spPr>
              <a:solidFill>
                <a:schemeClr val="bg1"/>
              </a:solidFill>
              <a:ln>
                <a:solidFill>
                  <a:schemeClr val="tx1"/>
                </a:solid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'Schedule-9 CapEx Gas Proxy 2'!$C$28:$C$35</c:f>
              <c:strCache>
                <c:ptCount val="8"/>
                <c:pt idx="0">
                  <c:v>NWN</c:v>
                </c:pt>
                <c:pt idx="1">
                  <c:v>OGS</c:v>
                </c:pt>
                <c:pt idx="2">
                  <c:v>NJR</c:v>
                </c:pt>
                <c:pt idx="3">
                  <c:v>SR</c:v>
                </c:pt>
                <c:pt idx="4">
                  <c:v>ATO</c:v>
                </c:pt>
                <c:pt idx="5">
                  <c:v>SJI</c:v>
                </c:pt>
                <c:pt idx="6">
                  <c:v>Vectren South-Gas</c:v>
                </c:pt>
                <c:pt idx="7">
                  <c:v>SWX</c:v>
                </c:pt>
              </c:strCache>
            </c:strRef>
          </c:cat>
          <c:val>
            <c:numRef>
              <c:f>'Schedule-9 CapEx Gas Proxy 2'!$D$28:$D$35</c:f>
              <c:numCache>
                <c:formatCode>0.00%</c:formatCode>
                <c:ptCount val="8"/>
                <c:pt idx="0">
                  <c:v>0.40426011726598055</c:v>
                </c:pt>
                <c:pt idx="1">
                  <c:v>0.5515557916411109</c:v>
                </c:pt>
                <c:pt idx="2">
                  <c:v>0.6565253847165593</c:v>
                </c:pt>
                <c:pt idx="3">
                  <c:v>0.64714499080882348</c:v>
                </c:pt>
                <c:pt idx="4">
                  <c:v>0.92202875805904305</c:v>
                </c:pt>
                <c:pt idx="5">
                  <c:v>0.90649932490487295</c:v>
                </c:pt>
                <c:pt idx="6">
                  <c:v>1.0485742686736721</c:v>
                </c:pt>
                <c:pt idx="7">
                  <c:v>1.1384471962288047</c:v>
                </c:pt>
              </c:numCache>
            </c:numRef>
          </c:val>
          <c:extLst>
            <c:ext xmlns:c16="http://schemas.microsoft.com/office/drawing/2014/chart" uri="{C3380CC4-5D6E-409C-BE32-E72D297353CC}">
              <c16:uniqueId val="{0000000E-7A39-4284-8CBB-9B38E99AE484}"/>
            </c:ext>
          </c:extLst>
        </c:ser>
        <c:dLbls>
          <c:showLegendKey val="0"/>
          <c:showVal val="0"/>
          <c:showCatName val="0"/>
          <c:showSerName val="0"/>
          <c:showPercent val="0"/>
          <c:showBubbleSize val="0"/>
        </c:dLbls>
        <c:gapWidth val="150"/>
        <c:axId val="239033344"/>
        <c:axId val="239055616"/>
      </c:barChart>
      <c:scatterChart>
        <c:scatterStyle val="smoothMarker"/>
        <c:varyColors val="0"/>
        <c:ser>
          <c:idx val="1"/>
          <c:order val="1"/>
          <c:tx>
            <c:v>Median</c:v>
          </c:tx>
          <c:spPr>
            <a:ln>
              <a:solidFill>
                <a:schemeClr val="tx1"/>
              </a:solidFill>
              <a:prstDash val="dash"/>
            </a:ln>
          </c:spPr>
          <c:marker>
            <c:symbol val="none"/>
          </c:marker>
          <c:xVal>
            <c:numRef>
              <c:f>'Schedule-8 CapEx 2'!#REF!</c:f>
            </c:numRef>
          </c:xVal>
          <c:yVal>
            <c:numRef>
              <c:f>'Schedule-8 CapEx 2'!#REF!</c:f>
              <c:numCache>
                <c:formatCode>General</c:formatCode>
                <c:ptCount val="1"/>
                <c:pt idx="0">
                  <c:v>1</c:v>
                </c:pt>
              </c:numCache>
            </c:numRef>
          </c:yVal>
          <c:smooth val="1"/>
          <c:extLst>
            <c:ext xmlns:c16="http://schemas.microsoft.com/office/drawing/2014/chart" uri="{C3380CC4-5D6E-409C-BE32-E72D297353CC}">
              <c16:uniqueId val="{0000000F-7A39-4284-8CBB-9B38E99AE484}"/>
            </c:ext>
          </c:extLst>
        </c:ser>
        <c:dLbls>
          <c:showLegendKey val="0"/>
          <c:showVal val="0"/>
          <c:showCatName val="0"/>
          <c:showSerName val="0"/>
          <c:showPercent val="0"/>
          <c:showBubbleSize val="0"/>
        </c:dLbls>
        <c:axId val="239058944"/>
        <c:axId val="239057152"/>
      </c:scatterChart>
      <c:catAx>
        <c:axId val="239033344"/>
        <c:scaling>
          <c:orientation val="minMax"/>
        </c:scaling>
        <c:delete val="0"/>
        <c:axPos val="b"/>
        <c:numFmt formatCode="General" sourceLinked="0"/>
        <c:majorTickMark val="out"/>
        <c:minorTickMark val="none"/>
        <c:tickLblPos val="nextTo"/>
        <c:crossAx val="239055616"/>
        <c:crosses val="autoZero"/>
        <c:auto val="1"/>
        <c:lblAlgn val="ctr"/>
        <c:lblOffset val="100"/>
        <c:noMultiLvlLbl val="0"/>
      </c:catAx>
      <c:valAx>
        <c:axId val="239055616"/>
        <c:scaling>
          <c:orientation val="minMax"/>
        </c:scaling>
        <c:delete val="0"/>
        <c:axPos val="l"/>
        <c:majorGridlines/>
        <c:numFmt formatCode="0.00%" sourceLinked="1"/>
        <c:majorTickMark val="out"/>
        <c:minorTickMark val="none"/>
        <c:tickLblPos val="nextTo"/>
        <c:crossAx val="239033344"/>
        <c:crosses val="autoZero"/>
        <c:crossBetween val="between"/>
      </c:valAx>
      <c:valAx>
        <c:axId val="239057152"/>
        <c:scaling>
          <c:orientation val="minMax"/>
        </c:scaling>
        <c:delete val="1"/>
        <c:axPos val="r"/>
        <c:numFmt formatCode="General" sourceLinked="1"/>
        <c:majorTickMark val="out"/>
        <c:minorTickMark val="none"/>
        <c:tickLblPos val="none"/>
        <c:crossAx val="239058944"/>
        <c:crosses val="max"/>
        <c:crossBetween val="midCat"/>
      </c:valAx>
      <c:valAx>
        <c:axId val="239058944"/>
        <c:scaling>
          <c:orientation val="minMax"/>
          <c:max val="10"/>
        </c:scaling>
        <c:delete val="0"/>
        <c:axPos val="t"/>
        <c:numFmt formatCode="General" sourceLinked="1"/>
        <c:majorTickMark val="none"/>
        <c:minorTickMark val="none"/>
        <c:tickLblPos val="none"/>
        <c:crossAx val="239057152"/>
        <c:crosses val="max"/>
        <c:crossBetween val="midCat"/>
      </c:valAx>
    </c:plotArea>
    <c:plotVisOnly val="1"/>
    <c:dispBlanksAs val="gap"/>
    <c:showDLblsOverMax val="0"/>
  </c:chart>
  <c:txPr>
    <a:bodyPr/>
    <a:lstStyle/>
    <a:p>
      <a:pPr>
        <a:defRPr sz="800" baseline="0">
          <a:latin typeface="Arial" pitchFamily="34" charset="0"/>
        </a:defRPr>
      </a:pPr>
      <a:endParaRPr lang="en-US"/>
    </a:p>
  </c:txPr>
  <c:printSettings>
    <c:headerFooter/>
    <c:pageMargins b="0.75000000000000311" l="0.70000000000000062" r="0.70000000000000062" t="0.75000000000000311" header="0.30000000000000032" footer="0.30000000000000032"/>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8</xdr:row>
      <xdr:rowOff>0</xdr:rowOff>
    </xdr:from>
    <xdr:to>
      <xdr:col>6</xdr:col>
      <xdr:colOff>533730</xdr:colOff>
      <xdr:row>15</xdr:row>
      <xdr:rowOff>158</xdr:rowOff>
    </xdr:to>
    <xdr:pic>
      <xdr:nvPicPr>
        <xdr:cNvPr id="3" name="Picture 2">
          <a:extLst>
            <a:ext uri="{FF2B5EF4-FFF2-40B4-BE49-F238E27FC236}">
              <a16:creationId xmlns:a16="http://schemas.microsoft.com/office/drawing/2014/main" id="{14AB0563-7A46-4F88-95E5-F88316359E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28825" y="1295400"/>
          <a:ext cx="2362530" cy="11336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195262</xdr:colOff>
      <xdr:row>33</xdr:row>
      <xdr:rowOff>52388</xdr:rowOff>
    </xdr:from>
    <xdr:to>
      <xdr:col>28</xdr:col>
      <xdr:colOff>357980</xdr:colOff>
      <xdr:row>57</xdr:row>
      <xdr:rowOff>240082</xdr:rowOff>
    </xdr:to>
    <xdr:graphicFrame macro="">
      <xdr:nvGraphicFramePr>
        <xdr:cNvPr id="8" name="Chart 2">
          <a:extLst>
            <a:ext uri="{FF2B5EF4-FFF2-40B4-BE49-F238E27FC236}">
              <a16:creationId xmlns:a16="http://schemas.microsoft.com/office/drawing/2014/main" id="{5DEF6AF2-ABF2-4AD4-9810-00A1312F6A4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270271</xdr:colOff>
      <xdr:row>1</xdr:row>
      <xdr:rowOff>83345</xdr:rowOff>
    </xdr:from>
    <xdr:to>
      <xdr:col>29</xdr:col>
      <xdr:colOff>66980</xdr:colOff>
      <xdr:row>21</xdr:row>
      <xdr:rowOff>139306</xdr:rowOff>
    </xdr:to>
    <xdr:graphicFrame macro="">
      <xdr:nvGraphicFramePr>
        <xdr:cNvPr id="5" name="Chart 2">
          <a:extLst>
            <a:ext uri="{FF2B5EF4-FFF2-40B4-BE49-F238E27FC236}">
              <a16:creationId xmlns:a16="http://schemas.microsoft.com/office/drawing/2014/main" id="{72EF47FC-47F9-4347-A01E-6874026A37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14</xdr:col>
      <xdr:colOff>270271</xdr:colOff>
      <xdr:row>1</xdr:row>
      <xdr:rowOff>83345</xdr:rowOff>
    </xdr:from>
    <xdr:to>
      <xdr:col>29</xdr:col>
      <xdr:colOff>66980</xdr:colOff>
      <xdr:row>19</xdr:row>
      <xdr:rowOff>139306</xdr:rowOff>
    </xdr:to>
    <xdr:graphicFrame macro="">
      <xdr:nvGraphicFramePr>
        <xdr:cNvPr id="3" name="Chart 2">
          <a:extLst>
            <a:ext uri="{FF2B5EF4-FFF2-40B4-BE49-F238E27FC236}">
              <a16:creationId xmlns:a16="http://schemas.microsoft.com/office/drawing/2014/main" id="{17B5702A-D0F1-4E65-A892-89A1CAC540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7</xdr:col>
      <xdr:colOff>33617</xdr:colOff>
      <xdr:row>3</xdr:row>
      <xdr:rowOff>68356</xdr:rowOff>
    </xdr:from>
    <xdr:to>
      <xdr:col>12</xdr:col>
      <xdr:colOff>691627</xdr:colOff>
      <xdr:row>22</xdr:row>
      <xdr:rowOff>68356</xdr:rowOff>
    </xdr:to>
    <xdr:graphicFrame macro="">
      <xdr:nvGraphicFramePr>
        <xdr:cNvPr id="2" name="Chart 1">
          <a:extLst>
            <a:ext uri="{FF2B5EF4-FFF2-40B4-BE49-F238E27FC236}">
              <a16:creationId xmlns:a16="http://schemas.microsoft.com/office/drawing/2014/main" id="{18ED1096-FD04-445D-8174-A031654634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76200</xdr:colOff>
      <xdr:row>19</xdr:row>
      <xdr:rowOff>142875</xdr:rowOff>
    </xdr:from>
    <xdr:to>
      <xdr:col>6</xdr:col>
      <xdr:colOff>257175</xdr:colOff>
      <xdr:row>22</xdr:row>
      <xdr:rowOff>104775</xdr:rowOff>
    </xdr:to>
    <xdr:pic>
      <xdr:nvPicPr>
        <xdr:cNvPr id="2" name="Picture 1">
          <a:extLst>
            <a:ext uri="{FF2B5EF4-FFF2-40B4-BE49-F238E27FC236}">
              <a16:creationId xmlns:a16="http://schemas.microsoft.com/office/drawing/2014/main" id="{B8411EC8-EEFA-4762-85F7-9577FDBB5F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43525" y="3086100"/>
          <a:ext cx="1590675" cy="447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303609</xdr:colOff>
      <xdr:row>4</xdr:row>
      <xdr:rowOff>41672</xdr:rowOff>
    </xdr:from>
    <xdr:to>
      <xdr:col>4</xdr:col>
      <xdr:colOff>551259</xdr:colOff>
      <xdr:row>21</xdr:row>
      <xdr:rowOff>128587</xdr:rowOff>
    </xdr:to>
    <xdr:graphicFrame macro="">
      <xdr:nvGraphicFramePr>
        <xdr:cNvPr id="2" name="Chart 1">
          <a:extLst>
            <a:ext uri="{FF2B5EF4-FFF2-40B4-BE49-F238E27FC236}">
              <a16:creationId xmlns:a16="http://schemas.microsoft.com/office/drawing/2014/main" id="{D9BF09C0-CFF2-4763-8B37-55A9FC7A8D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610619</xdr:colOff>
      <xdr:row>5</xdr:row>
      <xdr:rowOff>104774</xdr:rowOff>
    </xdr:from>
    <xdr:to>
      <xdr:col>2</xdr:col>
      <xdr:colOff>171450</xdr:colOff>
      <xdr:row>7</xdr:row>
      <xdr:rowOff>9525</xdr:rowOff>
    </xdr:to>
    <xdr:sp macro="" textlink="">
      <xdr:nvSpPr>
        <xdr:cNvPr id="3" name="TextBox 1">
          <a:extLst>
            <a:ext uri="{FF2B5EF4-FFF2-40B4-BE49-F238E27FC236}">
              <a16:creationId xmlns:a16="http://schemas.microsoft.com/office/drawing/2014/main" id="{6A3F8DB4-4E18-40AF-B3DA-4860B5EE908C}"/>
            </a:ext>
          </a:extLst>
        </xdr:cNvPr>
        <xdr:cNvSpPr txBox="1"/>
      </xdr:nvSpPr>
      <xdr:spPr>
        <a:xfrm>
          <a:off x="1448819" y="914399"/>
          <a:ext cx="1932556" cy="228601"/>
        </a:xfrm>
        <a:prstGeom prst="rect">
          <a:avLst/>
        </a:prstGeom>
        <a:solidFill>
          <a:schemeClr val="bg1"/>
        </a:solidFill>
        <a:ln>
          <a:solidFill>
            <a:sysClr val="windowText" lastClr="000000"/>
          </a:solidFill>
        </a:ln>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800" b="1"/>
            <a:t>Proxy Group Median Excl.</a:t>
          </a:r>
          <a:r>
            <a:rPr lang="en-US" sz="800" b="1" baseline="0"/>
            <a:t> NJR</a:t>
          </a:r>
          <a:r>
            <a:rPr lang="en-US" sz="800" b="1"/>
            <a:t>= 77.68%</a:t>
          </a:r>
        </a:p>
      </xdr:txBody>
    </xdr:sp>
    <xdr:clientData/>
  </xdr:twoCellAnchor>
  <xdr:twoCellAnchor>
    <xdr:from>
      <xdr:col>1</xdr:col>
      <xdr:colOff>2209800</xdr:colOff>
      <xdr:row>7</xdr:row>
      <xdr:rowOff>9525</xdr:rowOff>
    </xdr:from>
    <xdr:to>
      <xdr:col>1</xdr:col>
      <xdr:colOff>2476500</xdr:colOff>
      <xdr:row>10</xdr:row>
      <xdr:rowOff>47625</xdr:rowOff>
    </xdr:to>
    <xdr:cxnSp macro="">
      <xdr:nvCxnSpPr>
        <xdr:cNvPr id="4" name="Straight Arrow Connector 3">
          <a:extLst>
            <a:ext uri="{FF2B5EF4-FFF2-40B4-BE49-F238E27FC236}">
              <a16:creationId xmlns:a16="http://schemas.microsoft.com/office/drawing/2014/main" id="{5F0FCB1B-5516-4A15-A716-20A0D7BBF63C}"/>
            </a:ext>
          </a:extLst>
        </xdr:cNvPr>
        <xdr:cNvCxnSpPr/>
      </xdr:nvCxnSpPr>
      <xdr:spPr>
        <a:xfrm>
          <a:off x="3095625" y="1143000"/>
          <a:ext cx="266700" cy="523875"/>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centerpointenergy.sharepoint.com/General-Offices-GO/INCTAX/PROVIS/Old%20Link%20Fil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ceadvisors.sharepoint.com/General-Offices-GO/INCTAX/PROVIS/Old%20Link%20Fil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Z:\ROE%20data\ROE%20Models\ROE%20Model%206-30-20.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centerpointenergy.sharepoint.com/FINANC/AFUDC/AFUDC%202002/AFUDC2002%20Forecast%20All%20Cos%20Act.%20thru%20Ma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ceadvisors.sharepoint.com/FINANC/AFUDC/AFUDC%202002/AFUDC2002%20Forecast%20All%20Cos%20Act.%20thru%20Ma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centerpointenergy.sharepoint.com/General%20Ledger%20Accounting/ADI%20Vouchers/Amanda's%20ADI%20Vouchers/FY2013/January%202013/Uploaded/010-109%20MTM%20Jan-1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ceadvisors.sharepoint.com/General%20Ledger%20Accounting/ADI%20Vouchers/Amanda's%20ADI%20Vouchers/FY2013/January%202013/Uploaded/010-109%20MTM%20Jan-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d Link File"/>
      <sheetName val="DATABASE"/>
      <sheetName val="Sheet1"/>
      <sheetName val="Prior Period"/>
      <sheetName val="#REF"/>
      <sheetName val="CIAC Detail by Month"/>
      <sheetName val="METERS_&amp;_TRANSFORMERS"/>
      <sheetName val="JAN"/>
      <sheetName val="YTD"/>
      <sheetName val="APRIL"/>
      <sheetName val="FEDERAL"/>
      <sheetName val="purch software &lt;25k"/>
      <sheetName val="summary 98_1"/>
      <sheetName val="14802"/>
      <sheetName val="purch software expensed"/>
      <sheetName val="Headings"/>
      <sheetName val="Update Dates"/>
      <sheetName val="PARTNERSHIP RECAP"/>
      <sheetName val="Electric - FY1997"/>
      <sheetName val="Non-Statutory Deferred Taxes"/>
      <sheetName val="ADFIT Activity   {A}"/>
      <sheetName val="Adj. 2"/>
      <sheetName val="YE DEFN"/>
      <sheetName val="100144-Am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d Link File"/>
      <sheetName val="DATABASE"/>
      <sheetName val="Sheet1"/>
      <sheetName val="Prior Period"/>
      <sheetName val="#REF"/>
      <sheetName val="CIAC Detail by Month"/>
      <sheetName val="METERS_&amp;_TRANSFORMERS"/>
      <sheetName val="JAN"/>
      <sheetName val="YTD"/>
      <sheetName val="APRIL"/>
      <sheetName val="FEDERAL"/>
      <sheetName val="purch software &lt;25k"/>
      <sheetName val="summary 98_1"/>
      <sheetName val="14802"/>
      <sheetName val="purch software expensed"/>
      <sheetName val="Headings"/>
      <sheetName val="Update Dates"/>
      <sheetName val="PARTNERSHIP RECAP"/>
      <sheetName val="Electric - FY1997"/>
      <sheetName val="Non-Statutory Deferred Taxes"/>
      <sheetName val="ADFIT Activity   {A}"/>
      <sheetName val="Adj. 2"/>
      <sheetName val="YE DEFN"/>
      <sheetName val="100144-Am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snloffice"/>
      <sheetName val="Instructions"/>
      <sheetName val="Inputs"/>
      <sheetName val="Log"/>
      <sheetName val="Constant_DCF"/>
      <sheetName val="Multi-Stage_DCF_2"/>
      <sheetName val="CAPM_New_Format"/>
      <sheetName val="CAPM"/>
      <sheetName val="Company_Data"/>
      <sheetName val="Growth_Rates"/>
      <sheetName val="Expected_Earnings"/>
      <sheetName val="CapEx"/>
      <sheetName val="Value_Line_Data"/>
      <sheetName val="GDP_Growth"/>
      <sheetName val="Credit_Rating"/>
      <sheetName val="Credit_Rating_Download"/>
      <sheetName val="S&amp;P_500"/>
      <sheetName val="S&amp;P_500_Download"/>
      <sheetName val="Payout_Ratios"/>
      <sheetName val="Business Segment"/>
      <sheetName val="FERC Form 1_2 Data"/>
      <sheetName val="Screening"/>
      <sheetName val="Price"/>
      <sheetName val="Price_Download"/>
      <sheetName val="Dividend"/>
      <sheetName val="Dividend_Download"/>
      <sheetName val="B_Beta"/>
      <sheetName val="B_Beta_Download"/>
      <sheetName val="SNL Data"/>
    </sheetNames>
    <sheetDataSet>
      <sheetData sheetId="0"/>
      <sheetData sheetId="1"/>
      <sheetData sheetId="2">
        <row r="91">
          <cell r="C91" t="str">
            <v>ATO</v>
          </cell>
          <cell r="R91">
            <v>1</v>
          </cell>
        </row>
        <row r="92">
          <cell r="C92" t="str">
            <v>CPK</v>
          </cell>
          <cell r="R92"/>
        </row>
        <row r="93">
          <cell r="C93" t="str">
            <v>NJR</v>
          </cell>
          <cell r="R93">
            <v>1</v>
          </cell>
        </row>
        <row r="94">
          <cell r="C94" t="str">
            <v>NI</v>
          </cell>
          <cell r="R94"/>
        </row>
        <row r="95">
          <cell r="C95" t="str">
            <v>NWN</v>
          </cell>
          <cell r="R95">
            <v>1</v>
          </cell>
        </row>
        <row r="96">
          <cell r="C96" t="str">
            <v>OGS</v>
          </cell>
          <cell r="R96">
            <v>1</v>
          </cell>
        </row>
        <row r="97">
          <cell r="C97" t="str">
            <v>SJI</v>
          </cell>
          <cell r="R97">
            <v>1</v>
          </cell>
        </row>
        <row r="98">
          <cell r="C98" t="str">
            <v>SWX</v>
          </cell>
          <cell r="R98">
            <v>1</v>
          </cell>
        </row>
        <row r="99">
          <cell r="C99" t="str">
            <v>SR</v>
          </cell>
          <cell r="R99">
            <v>1</v>
          </cell>
        </row>
        <row r="100">
          <cell r="C100" t="str">
            <v>UGI</v>
          </cell>
          <cell r="R100"/>
        </row>
        <row r="101">
          <cell r="C101" t="str">
            <v>ALE</v>
          </cell>
          <cell r="R101"/>
        </row>
        <row r="102">
          <cell r="C102" t="str">
            <v>LNT</v>
          </cell>
          <cell r="R102"/>
        </row>
        <row r="103">
          <cell r="C103" t="str">
            <v>AEE</v>
          </cell>
          <cell r="R103"/>
        </row>
        <row r="104">
          <cell r="C104" t="str">
            <v>AEP</v>
          </cell>
          <cell r="R104"/>
        </row>
        <row r="105">
          <cell r="C105" t="str">
            <v>AGR</v>
          </cell>
          <cell r="R105"/>
        </row>
        <row r="106">
          <cell r="C106" t="str">
            <v>AVA</v>
          </cell>
          <cell r="R106"/>
        </row>
        <row r="107">
          <cell r="C107" t="str">
            <v>BKH</v>
          </cell>
          <cell r="R107"/>
        </row>
        <row r="108">
          <cell r="C108" t="str">
            <v>CNP</v>
          </cell>
          <cell r="R108"/>
        </row>
        <row r="109">
          <cell r="C109" t="str">
            <v>CMS</v>
          </cell>
          <cell r="R109"/>
        </row>
        <row r="110">
          <cell r="C110" t="str">
            <v>ED</v>
          </cell>
          <cell r="R110"/>
        </row>
        <row r="111">
          <cell r="C111" t="str">
            <v>D</v>
          </cell>
          <cell r="R111"/>
        </row>
        <row r="112">
          <cell r="C112" t="str">
            <v>DTE</v>
          </cell>
          <cell r="R112"/>
        </row>
        <row r="113">
          <cell r="C113" t="str">
            <v>DUK</v>
          </cell>
          <cell r="R113"/>
        </row>
        <row r="114">
          <cell r="C114" t="str">
            <v>EIX</v>
          </cell>
          <cell r="R114"/>
        </row>
        <row r="115">
          <cell r="C115" t="str">
            <v>EE</v>
          </cell>
          <cell r="R115"/>
        </row>
        <row r="116">
          <cell r="C116" t="str">
            <v>ETR</v>
          </cell>
          <cell r="R116"/>
        </row>
        <row r="117">
          <cell r="C117" t="str">
            <v>ES</v>
          </cell>
          <cell r="R117"/>
        </row>
        <row r="118">
          <cell r="C118" t="str">
            <v>EXC</v>
          </cell>
          <cell r="R118"/>
        </row>
        <row r="119">
          <cell r="C119" t="str">
            <v>FE</v>
          </cell>
          <cell r="R119"/>
        </row>
        <row r="120">
          <cell r="C120" t="str">
            <v>EVRG</v>
          </cell>
          <cell r="R120"/>
        </row>
        <row r="121">
          <cell r="C121" t="str">
            <v>HE</v>
          </cell>
          <cell r="R121"/>
        </row>
        <row r="122">
          <cell r="C122" t="str">
            <v>IDA</v>
          </cell>
          <cell r="R122"/>
        </row>
        <row r="123">
          <cell r="C123" t="str">
            <v>MGEE</v>
          </cell>
          <cell r="R123"/>
        </row>
        <row r="124">
          <cell r="C124" t="str">
            <v>NEE</v>
          </cell>
          <cell r="R124"/>
        </row>
        <row r="125">
          <cell r="C125" t="str">
            <v>NWE</v>
          </cell>
          <cell r="R125"/>
        </row>
        <row r="126">
          <cell r="C126" t="str">
            <v>OGE</v>
          </cell>
          <cell r="R126"/>
        </row>
        <row r="127">
          <cell r="C127" t="str">
            <v>OTTR</v>
          </cell>
          <cell r="R127"/>
        </row>
        <row r="128">
          <cell r="C128" t="str">
            <v>PCG</v>
          </cell>
          <cell r="R128"/>
        </row>
        <row r="129">
          <cell r="C129" t="str">
            <v>PNW</v>
          </cell>
          <cell r="R129"/>
        </row>
        <row r="130">
          <cell r="C130" t="str">
            <v>PNM</v>
          </cell>
          <cell r="R130"/>
        </row>
        <row r="131">
          <cell r="C131" t="str">
            <v>POR</v>
          </cell>
          <cell r="R131"/>
        </row>
        <row r="132">
          <cell r="C132" t="str">
            <v>PPL</v>
          </cell>
          <cell r="R132"/>
        </row>
        <row r="133">
          <cell r="C133" t="str">
            <v>PEG</v>
          </cell>
          <cell r="R133"/>
        </row>
        <row r="134">
          <cell r="C134" t="str">
            <v>SRE</v>
          </cell>
          <cell r="R134"/>
        </row>
        <row r="135">
          <cell r="C135" t="str">
            <v>SO</v>
          </cell>
          <cell r="R135"/>
        </row>
        <row r="136">
          <cell r="C136" t="str">
            <v>WEC</v>
          </cell>
          <cell r="R136"/>
        </row>
        <row r="137">
          <cell r="C137" t="str">
            <v>XEL</v>
          </cell>
          <cell r="R137"/>
        </row>
        <row r="138">
          <cell r="C138" t="str">
            <v>AQN</v>
          </cell>
          <cell r="R138"/>
        </row>
        <row r="139">
          <cell r="C139" t="str">
            <v>ALA</v>
          </cell>
          <cell r="R139"/>
        </row>
        <row r="140">
          <cell r="C140" t="str">
            <v>CU</v>
          </cell>
          <cell r="R140"/>
        </row>
        <row r="141">
          <cell r="C141" t="str">
            <v>EMA</v>
          </cell>
          <cell r="R141"/>
        </row>
        <row r="142">
          <cell r="C142" t="str">
            <v>ENB</v>
          </cell>
          <cell r="R142"/>
        </row>
        <row r="143">
          <cell r="C143" t="str">
            <v>FTS</v>
          </cell>
          <cell r="R143"/>
        </row>
        <row r="144">
          <cell r="C144" t="str">
            <v>H</v>
          </cell>
          <cell r="R144"/>
        </row>
        <row r="145">
          <cell r="C145" t="str">
            <v>TRP</v>
          </cell>
          <cell r="R145"/>
        </row>
        <row r="146">
          <cell r="C146" t="str">
            <v>AWK</v>
          </cell>
          <cell r="R146"/>
        </row>
        <row r="147">
          <cell r="C147" t="str">
            <v>AWR</v>
          </cell>
          <cell r="R147"/>
        </row>
        <row r="148">
          <cell r="C148" t="str">
            <v>CWT</v>
          </cell>
          <cell r="R148"/>
        </row>
        <row r="149">
          <cell r="C149" t="str">
            <v>MSEX</v>
          </cell>
          <cell r="R149"/>
        </row>
        <row r="150">
          <cell r="C150" t="str">
            <v>SJW</v>
          </cell>
          <cell r="R150"/>
        </row>
        <row r="151">
          <cell r="C151" t="str">
            <v>WTRG</v>
          </cell>
          <cell r="R151"/>
        </row>
        <row r="152">
          <cell r="C152" t="str">
            <v>YORW</v>
          </cell>
          <cell r="R152"/>
        </row>
      </sheetData>
      <sheetData sheetId="3"/>
      <sheetData sheetId="4"/>
      <sheetData sheetId="5"/>
      <sheetData sheetId="6"/>
      <sheetData sheetId="7"/>
      <sheetData sheetId="8"/>
      <sheetData sheetId="9">
        <row r="5">
          <cell r="C5" t="str">
            <v>ATO</v>
          </cell>
          <cell r="E5">
            <v>7.1499999999999994E-2</v>
          </cell>
          <cell r="F5">
            <v>7.1999999999999995E-2</v>
          </cell>
          <cell r="G5">
            <v>7.0000000000000007E-2</v>
          </cell>
          <cell r="H5">
            <v>7.4999999999999997E-2</v>
          </cell>
          <cell r="I5">
            <v>7.4999999999999997E-2</v>
          </cell>
          <cell r="R5">
            <v>4.3872222222222222E-2</v>
          </cell>
          <cell r="AD5">
            <v>9.115220975994523E-2</v>
          </cell>
        </row>
        <row r="6">
          <cell r="C6" t="str">
            <v>CPK</v>
          </cell>
          <cell r="E6">
            <v>4.7399999999999998E-2</v>
          </cell>
          <cell r="F6" t="str">
            <v>NA%</v>
          </cell>
          <cell r="G6">
            <v>0.09</v>
          </cell>
          <cell r="H6">
            <v>8.5000000000000006E-2</v>
          </cell>
          <cell r="I6">
            <v>0.1</v>
          </cell>
          <cell r="R6">
            <v>5.0111111111111113E-2</v>
          </cell>
          <cell r="AD6">
            <v>0.10212692333856607</v>
          </cell>
        </row>
        <row r="7">
          <cell r="C7" t="str">
            <v>NJR</v>
          </cell>
          <cell r="E7">
            <v>0.06</v>
          </cell>
          <cell r="F7">
            <v>0.06</v>
          </cell>
          <cell r="G7">
            <v>0.02</v>
          </cell>
          <cell r="H7">
            <v>0.06</v>
          </cell>
          <cell r="I7">
            <v>8.5000000000000006E-2</v>
          </cell>
          <cell r="R7">
            <v>3.2300000000000002E-2</v>
          </cell>
          <cell r="AD7">
            <v>4.484895518836679E-2</v>
          </cell>
        </row>
        <row r="8">
          <cell r="C8" t="str">
            <v>NI</v>
          </cell>
          <cell r="E8">
            <v>4.8899999999999999E-2</v>
          </cell>
          <cell r="F8">
            <v>5.2999999999999999E-2</v>
          </cell>
          <cell r="G8">
            <v>0.13500000000000001</v>
          </cell>
          <cell r="H8">
            <v>7.4999999999999997E-2</v>
          </cell>
          <cell r="I8">
            <v>0.05</v>
          </cell>
          <cell r="R8">
            <v>2.9944444444444447E-2</v>
          </cell>
          <cell r="AD8">
            <v>3.163701338768124E-2</v>
          </cell>
        </row>
        <row r="9">
          <cell r="C9" t="str">
            <v>NWN</v>
          </cell>
          <cell r="E9">
            <v>3.1E-2</v>
          </cell>
          <cell r="F9">
            <v>3.1E-2</v>
          </cell>
          <cell r="G9">
            <v>0.26500000000000001</v>
          </cell>
          <cell r="H9">
            <v>5.0000000000000001E-3</v>
          </cell>
          <cell r="I9">
            <v>0.02</v>
          </cell>
          <cell r="R9">
            <v>3.0083333333333347E-2</v>
          </cell>
          <cell r="AD9">
            <v>4.5801968527407283E-2</v>
          </cell>
        </row>
        <row r="10">
          <cell r="C10" t="str">
            <v>OGS</v>
          </cell>
          <cell r="E10">
            <v>0.05</v>
          </cell>
          <cell r="F10">
            <v>5.5E-2</v>
          </cell>
          <cell r="G10">
            <v>6.5000000000000002E-2</v>
          </cell>
          <cell r="H10">
            <v>7.4999999999999997E-2</v>
          </cell>
          <cell r="I10">
            <v>0.04</v>
          </cell>
          <cell r="R10">
            <v>3.3861111111111106E-2</v>
          </cell>
          <cell r="AD10">
            <v>4.6497338591921657E-2</v>
          </cell>
        </row>
        <row r="11">
          <cell r="C11" t="str">
            <v>SJI</v>
          </cell>
          <cell r="E11">
            <v>0.10199999999999999</v>
          </cell>
          <cell r="F11">
            <v>0.10199999999999999</v>
          </cell>
          <cell r="G11">
            <v>0.125</v>
          </cell>
          <cell r="H11">
            <v>3.5000000000000003E-2</v>
          </cell>
          <cell r="I11">
            <v>5.5E-2</v>
          </cell>
          <cell r="R11">
            <v>3.2377777777777776E-2</v>
          </cell>
          <cell r="AD11">
            <v>5.1201380810258462E-2</v>
          </cell>
        </row>
        <row r="12">
          <cell r="C12" t="str">
            <v>SWX</v>
          </cell>
          <cell r="E12">
            <v>8.2000000000000003E-2</v>
          </cell>
          <cell r="F12">
            <v>0.06</v>
          </cell>
          <cell r="G12">
            <v>0.08</v>
          </cell>
          <cell r="H12">
            <v>0.04</v>
          </cell>
          <cell r="I12">
            <v>0.06</v>
          </cell>
          <cell r="R12">
            <v>3.386666666666667E-2</v>
          </cell>
          <cell r="AD12">
            <v>5.3663618394819659E-2</v>
          </cell>
        </row>
        <row r="13">
          <cell r="C13" t="str">
            <v>SR</v>
          </cell>
          <cell r="E13">
            <v>4.6699999999999998E-2</v>
          </cell>
          <cell r="F13">
            <v>4.7E-2</v>
          </cell>
          <cell r="G13">
            <v>5.5E-2</v>
          </cell>
          <cell r="H13">
            <v>0.05</v>
          </cell>
          <cell r="I13">
            <v>8.5000000000000006E-2</v>
          </cell>
          <cell r="R13">
            <v>1.9933333333333334E-2</v>
          </cell>
          <cell r="AD13">
            <v>2.69621471788602E-2</v>
          </cell>
        </row>
        <row r="14">
          <cell r="C14" t="str">
            <v>UGI</v>
          </cell>
          <cell r="E14">
            <v>0.106</v>
          </cell>
          <cell r="F14" t="str">
            <v>NA%</v>
          </cell>
          <cell r="G14">
            <v>7.0000000000000007E-2</v>
          </cell>
          <cell r="H14">
            <v>0.06</v>
          </cell>
          <cell r="I14">
            <v>6.5000000000000002E-2</v>
          </cell>
          <cell r="R14">
            <v>8.2638888888888873E-2</v>
          </cell>
          <cell r="AD14">
            <v>8.3694484306921724E-2</v>
          </cell>
        </row>
        <row r="15">
          <cell r="C15" t="str">
            <v>ALE</v>
          </cell>
          <cell r="E15">
            <v>7.0000000000000007E-2</v>
          </cell>
          <cell r="F15" t="str">
            <v>NA%</v>
          </cell>
          <cell r="G15">
            <v>5.5E-2</v>
          </cell>
          <cell r="H15">
            <v>4.4999999999999998E-2</v>
          </cell>
          <cell r="I15">
            <v>3.5000000000000003E-2</v>
          </cell>
          <cell r="R15">
            <v>1.857777777777778E-2</v>
          </cell>
          <cell r="AD15">
            <v>2.3392182165245346E-2</v>
          </cell>
        </row>
        <row r="16">
          <cell r="C16" t="str">
            <v>LNT</v>
          </cell>
          <cell r="E16">
            <v>5.2999999999999999E-2</v>
          </cell>
          <cell r="F16">
            <v>5.5E-2</v>
          </cell>
          <cell r="G16">
            <v>6.5000000000000002E-2</v>
          </cell>
          <cell r="H16">
            <v>5.5E-2</v>
          </cell>
          <cell r="I16">
            <v>7.4999999999999997E-2</v>
          </cell>
          <cell r="R16">
            <v>3.6855555555555544E-2</v>
          </cell>
          <cell r="AD16">
            <v>4.7622977859082288E-2</v>
          </cell>
        </row>
        <row r="17">
          <cell r="C17" t="str">
            <v>AEE</v>
          </cell>
          <cell r="E17">
            <v>5.8999999999999997E-2</v>
          </cell>
          <cell r="F17">
            <v>6.8000000000000005E-2</v>
          </cell>
          <cell r="G17">
            <v>0.06</v>
          </cell>
          <cell r="H17">
            <v>0.05</v>
          </cell>
          <cell r="I17">
            <v>5.5E-2</v>
          </cell>
          <cell r="R17">
            <v>4.1566666666666675E-2</v>
          </cell>
          <cell r="AD17">
            <v>5.519556070759709E-2</v>
          </cell>
        </row>
        <row r="18">
          <cell r="C18" t="str">
            <v>AEP</v>
          </cell>
          <cell r="E18">
            <v>5.8799999999999998E-2</v>
          </cell>
          <cell r="F18">
            <v>5.8000000000000003E-2</v>
          </cell>
          <cell r="G18">
            <v>0.05</v>
          </cell>
          <cell r="H18">
            <v>5.5E-2</v>
          </cell>
          <cell r="I18">
            <v>4.4999999999999998E-2</v>
          </cell>
          <cell r="R18">
            <v>3.2899999999999999E-2</v>
          </cell>
          <cell r="AD18">
            <v>4.558814191537424E-2</v>
          </cell>
        </row>
        <row r="19">
          <cell r="C19" t="str">
            <v>AGR</v>
          </cell>
          <cell r="E19">
            <v>6.4000000000000001E-2</v>
          </cell>
          <cell r="F19">
            <v>5.5E-2</v>
          </cell>
          <cell r="G19">
            <v>0.06</v>
          </cell>
          <cell r="H19">
            <v>2.5000000000000001E-2</v>
          </cell>
          <cell r="I19">
            <v>0.01</v>
          </cell>
          <cell r="R19">
            <v>1.1438888888888889E-2</v>
          </cell>
          <cell r="AD19">
            <v>1.14395053047206E-2</v>
          </cell>
        </row>
        <row r="20">
          <cell r="C20" t="str">
            <v>AVA</v>
          </cell>
          <cell r="E20">
            <v>0.06</v>
          </cell>
          <cell r="F20">
            <v>5.1999999999999998E-2</v>
          </cell>
          <cell r="G20">
            <v>0.01</v>
          </cell>
          <cell r="H20">
            <v>0.04</v>
          </cell>
          <cell r="I20">
            <v>0.03</v>
          </cell>
          <cell r="R20">
            <v>1.5766666666666672E-2</v>
          </cell>
          <cell r="AD20">
            <v>2.26111319148663E-2</v>
          </cell>
        </row>
        <row r="21">
          <cell r="C21" t="str">
            <v>BKH</v>
          </cell>
          <cell r="E21">
            <v>5.1299999999999998E-2</v>
          </cell>
          <cell r="F21">
            <v>5.8000000000000003E-2</v>
          </cell>
          <cell r="G21">
            <v>3.5000000000000003E-2</v>
          </cell>
          <cell r="H21">
            <v>0.06</v>
          </cell>
          <cell r="I21">
            <v>0.05</v>
          </cell>
          <cell r="R21">
            <v>3.3272222222222217E-2</v>
          </cell>
          <cell r="AD21">
            <v>3.8506926835786555E-2</v>
          </cell>
        </row>
        <row r="22">
          <cell r="C22" t="str">
            <v>CNP</v>
          </cell>
          <cell r="E22" t="str">
            <v>Negative</v>
          </cell>
          <cell r="F22">
            <v>0.05</v>
          </cell>
          <cell r="G22">
            <v>4.4999999999999998E-2</v>
          </cell>
          <cell r="H22">
            <v>-5.5E-2</v>
          </cell>
          <cell r="I22">
            <v>0.04</v>
          </cell>
          <cell r="R22">
            <v>5.4038888888888886E-2</v>
          </cell>
          <cell r="AD22">
            <v>7.1664542398843969E-2</v>
          </cell>
        </row>
        <row r="23">
          <cell r="C23" t="str">
            <v>CMS</v>
          </cell>
          <cell r="E23">
            <v>7.1599999999999997E-2</v>
          </cell>
          <cell r="F23">
            <v>6.9000000000000006E-2</v>
          </cell>
          <cell r="G23">
            <v>7.4999999999999997E-2</v>
          </cell>
          <cell r="H23">
            <v>7.0000000000000007E-2</v>
          </cell>
          <cell r="I23">
            <v>7.4999999999999997E-2</v>
          </cell>
          <cell r="R23">
            <v>5.1300000000000005E-2</v>
          </cell>
          <cell r="AD23">
            <v>6.6346943635878175E-2</v>
          </cell>
        </row>
        <row r="24">
          <cell r="C24" t="str">
            <v>ED</v>
          </cell>
          <cell r="E24">
            <v>2.6499999999999999E-2</v>
          </cell>
          <cell r="F24">
            <v>0.02</v>
          </cell>
          <cell r="G24">
            <v>0.03</v>
          </cell>
          <cell r="H24">
            <v>3.5000000000000003E-2</v>
          </cell>
          <cell r="I24">
            <v>0.03</v>
          </cell>
          <cell r="R24">
            <v>2.6633333333333328E-2</v>
          </cell>
          <cell r="AD24">
            <v>3.5413914997988891E-2</v>
          </cell>
        </row>
        <row r="25">
          <cell r="C25" t="str">
            <v>D</v>
          </cell>
          <cell r="E25">
            <v>4.7199999999999999E-2</v>
          </cell>
          <cell r="F25">
            <v>4.7E-2</v>
          </cell>
          <cell r="G25">
            <v>7.0000000000000007E-2</v>
          </cell>
          <cell r="H25">
            <v>4.4999999999999998E-2</v>
          </cell>
          <cell r="I25">
            <v>0.06</v>
          </cell>
          <cell r="R25">
            <v>1.8933333333333323E-2</v>
          </cell>
          <cell r="AD25">
            <v>3.1976516459775728E-2</v>
          </cell>
        </row>
        <row r="26">
          <cell r="C26" t="str">
            <v>DTE</v>
          </cell>
          <cell r="E26">
            <v>5.8400000000000001E-2</v>
          </cell>
          <cell r="F26">
            <v>5.5E-2</v>
          </cell>
          <cell r="G26">
            <v>0.05</v>
          </cell>
          <cell r="H26">
            <v>6.5000000000000002E-2</v>
          </cell>
          <cell r="I26">
            <v>5.5E-2</v>
          </cell>
          <cell r="R26">
            <v>3.7888888888888889E-2</v>
          </cell>
          <cell r="AD26">
            <v>4.7437416524106435E-2</v>
          </cell>
        </row>
        <row r="27">
          <cell r="C27" t="str">
            <v>DUK</v>
          </cell>
          <cell r="E27">
            <v>4.1099999999999998E-2</v>
          </cell>
          <cell r="F27">
            <v>4.5999999999999999E-2</v>
          </cell>
          <cell r="G27">
            <v>0.05</v>
          </cell>
          <cell r="H27">
            <v>0.02</v>
          </cell>
          <cell r="I27">
            <v>2.5000000000000001E-2</v>
          </cell>
          <cell r="R27">
            <v>2.1066666666666664E-2</v>
          </cell>
          <cell r="AD27">
            <v>2.5246140428198401E-2</v>
          </cell>
        </row>
        <row r="28">
          <cell r="C28" t="str">
            <v>EIX</v>
          </cell>
          <cell r="E28">
            <v>1.2999999999999999E-2</v>
          </cell>
          <cell r="F28">
            <v>3.3000000000000002E-2</v>
          </cell>
          <cell r="G28" t="str">
            <v>NMF</v>
          </cell>
          <cell r="H28">
            <v>0.04</v>
          </cell>
          <cell r="I28">
            <v>5.5E-2</v>
          </cell>
          <cell r="R28">
            <v>3.6855555555555544E-2</v>
          </cell>
          <cell r="AD28">
            <v>4.8902480260975947E-2</v>
          </cell>
        </row>
        <row r="29">
          <cell r="C29" t="str">
            <v>EE</v>
          </cell>
          <cell r="E29">
            <v>4.4999999999999998E-2</v>
          </cell>
          <cell r="F29" t="str">
            <v>NA%</v>
          </cell>
          <cell r="G29">
            <v>1.4999999999999999E-2</v>
          </cell>
          <cell r="H29">
            <v>6.5000000000000002E-2</v>
          </cell>
          <cell r="I29">
            <v>0.03</v>
          </cell>
          <cell r="R29">
            <v>2.2999999999999996E-2</v>
          </cell>
          <cell r="AD29">
            <v>3.0317830857066842E-2</v>
          </cell>
        </row>
        <row r="30">
          <cell r="C30" t="str">
            <v>ETR</v>
          </cell>
          <cell r="E30">
            <v>6.2E-2</v>
          </cell>
          <cell r="F30">
            <v>5.7000000000000002E-2</v>
          </cell>
          <cell r="G30">
            <v>0.03</v>
          </cell>
          <cell r="H30">
            <v>0.04</v>
          </cell>
          <cell r="I30">
            <v>0.05</v>
          </cell>
          <cell r="R30">
            <v>3.203333333333333E-2</v>
          </cell>
          <cell r="AD30">
            <v>4.3514458098003861E-2</v>
          </cell>
        </row>
        <row r="31">
          <cell r="C31" t="str">
            <v>ES</v>
          </cell>
          <cell r="E31">
            <v>5.9200000000000003E-2</v>
          </cell>
          <cell r="F31">
            <v>6.0999999999999999E-2</v>
          </cell>
          <cell r="G31">
            <v>6.5000000000000002E-2</v>
          </cell>
          <cell r="H31">
            <v>0.06</v>
          </cell>
          <cell r="I31">
            <v>0.05</v>
          </cell>
          <cell r="R31">
            <v>3.5444444444444452E-2</v>
          </cell>
          <cell r="AD31">
            <v>4.5680916293488048E-2</v>
          </cell>
        </row>
        <row r="32">
          <cell r="C32" t="str">
            <v>EXC</v>
          </cell>
          <cell r="E32" t="str">
            <v>Negative</v>
          </cell>
          <cell r="F32">
            <v>2.7E-2</v>
          </cell>
          <cell r="G32">
            <v>0.05</v>
          </cell>
          <cell r="H32">
            <v>5.5E-2</v>
          </cell>
          <cell r="I32">
            <v>0.04</v>
          </cell>
          <cell r="R32">
            <v>3.9444444444444435E-2</v>
          </cell>
          <cell r="AD32">
            <v>4.0500585991115431E-2</v>
          </cell>
        </row>
        <row r="33">
          <cell r="C33" t="str">
            <v>FE</v>
          </cell>
          <cell r="E33" t="str">
            <v>Negative</v>
          </cell>
          <cell r="F33" t="str">
            <v>NA%</v>
          </cell>
          <cell r="G33">
            <v>8.5000000000000006E-2</v>
          </cell>
          <cell r="H33">
            <v>0.03</v>
          </cell>
          <cell r="I33">
            <v>9.5000000000000001E-2</v>
          </cell>
          <cell r="R33">
            <v>5.227222222222222E-2</v>
          </cell>
          <cell r="AD33">
            <v>7.2013654327868104E-2</v>
          </cell>
        </row>
        <row r="34">
          <cell r="C34" t="str">
            <v>EVRG</v>
          </cell>
          <cell r="E34">
            <v>3.9E-2</v>
          </cell>
          <cell r="F34">
            <v>0.05</v>
          </cell>
          <cell r="G34">
            <v>0.03</v>
          </cell>
          <cell r="H34">
            <v>5.5E-2</v>
          </cell>
          <cell r="I34">
            <v>0.02</v>
          </cell>
          <cell r="R34">
            <v>1.950000000000001E-2</v>
          </cell>
          <cell r="AD34">
            <v>1.9679779404874701E-2</v>
          </cell>
        </row>
        <row r="35">
          <cell r="C35" t="str">
            <v>HE</v>
          </cell>
          <cell r="E35">
            <v>3.3000000000000002E-2</v>
          </cell>
          <cell r="F35">
            <v>1.7000000000000001E-2</v>
          </cell>
          <cell r="G35">
            <v>3.5000000000000003E-2</v>
          </cell>
          <cell r="H35">
            <v>0.04</v>
          </cell>
          <cell r="I35">
            <v>0.04</v>
          </cell>
          <cell r="R35">
            <v>2.8500000000000011E-2</v>
          </cell>
          <cell r="AD35">
            <v>3.4846211407900007E-2</v>
          </cell>
        </row>
        <row r="36">
          <cell r="C36" t="str">
            <v>IDA</v>
          </cell>
          <cell r="E36">
            <v>2.5999999999999999E-2</v>
          </cell>
          <cell r="F36">
            <v>2.5999999999999999E-2</v>
          </cell>
          <cell r="G36">
            <v>0.03</v>
          </cell>
          <cell r="H36">
            <v>6.5000000000000002E-2</v>
          </cell>
          <cell r="I36">
            <v>3.5000000000000003E-2</v>
          </cell>
          <cell r="R36">
            <v>3.3600000000000012E-2</v>
          </cell>
          <cell r="AD36">
            <v>3.3541352817258584E-2</v>
          </cell>
        </row>
        <row r="37">
          <cell r="C37" t="str">
            <v>MGEE</v>
          </cell>
          <cell r="E37">
            <v>0.04</v>
          </cell>
          <cell r="F37">
            <v>4.2000000000000003E-2</v>
          </cell>
          <cell r="G37">
            <v>0.04</v>
          </cell>
          <cell r="H37">
            <v>5.5E-2</v>
          </cell>
          <cell r="I37">
            <v>0.05</v>
          </cell>
          <cell r="R37">
            <v>4.1166666666666664E-2</v>
          </cell>
          <cell r="AD37">
            <v>5.1862801695347953E-2</v>
          </cell>
        </row>
        <row r="38">
          <cell r="C38" t="str">
            <v>NEE</v>
          </cell>
          <cell r="E38">
            <v>8.0699999999999994E-2</v>
          </cell>
          <cell r="F38">
            <v>7.8E-2</v>
          </cell>
          <cell r="G38">
            <v>0.1</v>
          </cell>
          <cell r="H38">
            <v>0.105</v>
          </cell>
          <cell r="I38">
            <v>0.06</v>
          </cell>
          <cell r="R38">
            <v>3.7399999999999996E-2</v>
          </cell>
          <cell r="AD38">
            <v>4.1696739025138686E-2</v>
          </cell>
        </row>
        <row r="39">
          <cell r="C39" t="str">
            <v>NWE</v>
          </cell>
          <cell r="E39">
            <v>3.6999999999999998E-2</v>
          </cell>
          <cell r="F39">
            <v>3.4000000000000002E-2</v>
          </cell>
          <cell r="G39">
            <v>2.5000000000000001E-2</v>
          </cell>
          <cell r="H39">
            <v>0.04</v>
          </cell>
          <cell r="I39">
            <v>0.03</v>
          </cell>
          <cell r="R39">
            <v>2.5783333333333335E-2</v>
          </cell>
          <cell r="AD39">
            <v>3.2119632310593074E-2</v>
          </cell>
        </row>
        <row r="40">
          <cell r="C40" t="str">
            <v>OGE</v>
          </cell>
          <cell r="E40">
            <v>2.4E-2</v>
          </cell>
          <cell r="F40">
            <v>3.6999999999999998E-2</v>
          </cell>
          <cell r="G40">
            <v>0.03</v>
          </cell>
          <cell r="H40">
            <v>0.06</v>
          </cell>
          <cell r="I40">
            <v>0.01</v>
          </cell>
          <cell r="R40">
            <v>3.0399999999999996E-2</v>
          </cell>
          <cell r="AD40">
            <v>3.0273847367076979E-2</v>
          </cell>
        </row>
        <row r="41">
          <cell r="C41" t="str">
            <v>OTTR</v>
          </cell>
          <cell r="E41">
            <v>0.09</v>
          </cell>
          <cell r="F41" t="str">
            <v>NA%</v>
          </cell>
          <cell r="G41">
            <v>3.5000000000000003E-2</v>
          </cell>
          <cell r="H41">
            <v>0.05</v>
          </cell>
          <cell r="I41">
            <v>0.04</v>
          </cell>
          <cell r="R41">
            <v>3.1150000000000008E-2</v>
          </cell>
          <cell r="AD41">
            <v>3.9435591771735945E-2</v>
          </cell>
        </row>
        <row r="42">
          <cell r="C42" t="str">
            <v>PCG</v>
          </cell>
          <cell r="E42">
            <v>3.6700000000000003E-2</v>
          </cell>
          <cell r="F42">
            <v>2.5000000000000001E-2</v>
          </cell>
          <cell r="G42" t="str">
            <v>n/a</v>
          </cell>
          <cell r="H42" t="str">
            <v>n/a</v>
          </cell>
          <cell r="I42" t="str">
            <v>n/a</v>
          </cell>
          <cell r="R42" t="e">
            <v>#DIV/0!</v>
          </cell>
          <cell r="AD42" t="e">
            <v>#DIV/0!</v>
          </cell>
        </row>
        <row r="43">
          <cell r="C43" t="str">
            <v>PNW</v>
          </cell>
          <cell r="E43">
            <v>4.48E-2</v>
          </cell>
          <cell r="F43">
            <v>5.1999999999999998E-2</v>
          </cell>
          <cell r="G43">
            <v>4.4999999999999998E-2</v>
          </cell>
          <cell r="H43">
            <v>5.5E-2</v>
          </cell>
          <cell r="I43">
            <v>3.5000000000000003E-2</v>
          </cell>
          <cell r="R43">
            <v>3.3333333333333333E-2</v>
          </cell>
          <cell r="AD43">
            <v>4.1193447964922844E-2</v>
          </cell>
        </row>
        <row r="44">
          <cell r="C44" t="str">
            <v>PNM</v>
          </cell>
          <cell r="E44">
            <v>5.6500000000000002E-2</v>
          </cell>
          <cell r="F44">
            <v>6.0999999999999999E-2</v>
          </cell>
          <cell r="G44">
            <v>0.06</v>
          </cell>
          <cell r="H44">
            <v>5.5E-2</v>
          </cell>
          <cell r="I44">
            <v>5.5E-2</v>
          </cell>
          <cell r="R44">
            <v>3.2866666666666676E-2</v>
          </cell>
          <cell r="AD44">
            <v>4.7616109480036653E-2</v>
          </cell>
        </row>
        <row r="45">
          <cell r="C45" t="str">
            <v>POR</v>
          </cell>
          <cell r="E45">
            <v>4.1500000000000002E-2</v>
          </cell>
          <cell r="F45">
            <v>5.2999999999999999E-2</v>
          </cell>
          <cell r="G45">
            <v>0.04</v>
          </cell>
          <cell r="H45">
            <v>0.06</v>
          </cell>
          <cell r="I45">
            <v>0.03</v>
          </cell>
          <cell r="R45">
            <v>3.0333333333333334E-2</v>
          </cell>
          <cell r="AD45">
            <v>3.1089497609551545E-2</v>
          </cell>
        </row>
        <row r="46">
          <cell r="C46" t="str">
            <v>PPL</v>
          </cell>
          <cell r="E46">
            <v>2.9000000000000001E-2</v>
          </cell>
          <cell r="F46" t="str">
            <v>NA%</v>
          </cell>
          <cell r="G46">
            <v>2.5000000000000001E-2</v>
          </cell>
          <cell r="H46">
            <v>0.02</v>
          </cell>
          <cell r="I46">
            <v>4.4999999999999998E-2</v>
          </cell>
          <cell r="R46">
            <v>4.1599999999999998E-2</v>
          </cell>
          <cell r="AD46">
            <v>4.4517865776365365E-2</v>
          </cell>
        </row>
        <row r="47">
          <cell r="C47" t="str">
            <v>PEG</v>
          </cell>
          <cell r="E47">
            <v>2.4E-2</v>
          </cell>
          <cell r="F47">
            <v>3.4000000000000002E-2</v>
          </cell>
          <cell r="G47">
            <v>0.05</v>
          </cell>
          <cell r="H47">
            <v>0.04</v>
          </cell>
          <cell r="I47">
            <v>0.05</v>
          </cell>
          <cell r="R47">
            <v>4.622222222222222E-2</v>
          </cell>
          <cell r="AD47">
            <v>4.6451781124058095E-2</v>
          </cell>
        </row>
        <row r="48">
          <cell r="C48" t="str">
            <v>SRE</v>
          </cell>
          <cell r="E48">
            <v>5.3499999999999999E-2</v>
          </cell>
          <cell r="F48">
            <v>7.1999999999999995E-2</v>
          </cell>
          <cell r="G48">
            <v>0.1</v>
          </cell>
          <cell r="H48">
            <v>7.4999999999999997E-2</v>
          </cell>
          <cell r="I48">
            <v>0.08</v>
          </cell>
          <cell r="R48">
            <v>4.0327777777777775E-2</v>
          </cell>
          <cell r="AD48">
            <v>6.7384859564722802E-2</v>
          </cell>
        </row>
        <row r="49">
          <cell r="C49" t="str">
            <v>SO</v>
          </cell>
          <cell r="E49">
            <v>4.5199999999999997E-2</v>
          </cell>
          <cell r="F49">
            <v>0.04</v>
          </cell>
          <cell r="G49">
            <v>0.03</v>
          </cell>
          <cell r="H49">
            <v>0.03</v>
          </cell>
          <cell r="I49">
            <v>3.5000000000000003E-2</v>
          </cell>
          <cell r="R49">
            <v>2.5199999999999993E-2</v>
          </cell>
          <cell r="AD49">
            <v>3.1738145528352024E-2</v>
          </cell>
        </row>
        <row r="50">
          <cell r="C50" t="str">
            <v>WEC</v>
          </cell>
          <cell r="E50">
            <v>5.8999999999999997E-2</v>
          </cell>
          <cell r="F50">
            <v>5.8999999999999997E-2</v>
          </cell>
          <cell r="G50">
            <v>0.06</v>
          </cell>
          <cell r="H50">
            <v>6.5000000000000002E-2</v>
          </cell>
          <cell r="I50">
            <v>3.5000000000000003E-2</v>
          </cell>
          <cell r="R50">
            <v>3.82611111111111E-2</v>
          </cell>
          <cell r="AD50">
            <v>3.8321154529078638E-2</v>
          </cell>
        </row>
        <row r="51">
          <cell r="C51" t="str">
            <v>XEL</v>
          </cell>
          <cell r="E51">
            <v>0.06</v>
          </cell>
          <cell r="F51">
            <v>5.8999999999999997E-2</v>
          </cell>
          <cell r="G51">
            <v>0.06</v>
          </cell>
          <cell r="H51">
            <v>0.06</v>
          </cell>
          <cell r="I51">
            <v>5.5E-2</v>
          </cell>
          <cell r="R51">
            <v>3.8922222222222212E-2</v>
          </cell>
          <cell r="AD51">
            <v>4.6235306183881358E-2</v>
          </cell>
        </row>
        <row r="52">
          <cell r="C52" t="str">
            <v>AQN</v>
          </cell>
          <cell r="E52">
            <v>6.3E-2</v>
          </cell>
          <cell r="F52">
            <v>8.5999999999999993E-2</v>
          </cell>
          <cell r="G52" t="str">
            <v>n/a</v>
          </cell>
          <cell r="H52" t="str">
            <v>n/a</v>
          </cell>
          <cell r="I52" t="str">
            <v>n/a</v>
          </cell>
        </row>
        <row r="53">
          <cell r="C53" t="str">
            <v>ALA</v>
          </cell>
          <cell r="E53">
            <v>0.1061</v>
          </cell>
          <cell r="F53" t="str">
            <v>NA%</v>
          </cell>
          <cell r="G53" t="str">
            <v>n/a</v>
          </cell>
          <cell r="H53" t="str">
            <v>n/a</v>
          </cell>
          <cell r="I53" t="str">
            <v>n/a</v>
          </cell>
        </row>
        <row r="54">
          <cell r="C54" t="str">
            <v>CU</v>
          </cell>
          <cell r="E54">
            <v>1.03E-2</v>
          </cell>
          <cell r="F54" t="str">
            <v>NA%</v>
          </cell>
          <cell r="G54" t="str">
            <v>n/a</v>
          </cell>
          <cell r="H54" t="str">
            <v>n/a</v>
          </cell>
          <cell r="I54" t="str">
            <v>n/a</v>
          </cell>
        </row>
        <row r="55">
          <cell r="C55" t="str">
            <v>EMA</v>
          </cell>
          <cell r="E55">
            <v>6.2899999999999998E-2</v>
          </cell>
          <cell r="F55" t="str">
            <v>NA%</v>
          </cell>
          <cell r="G55">
            <v>0.06</v>
          </cell>
          <cell r="H55">
            <v>3.5000000000000003E-2</v>
          </cell>
          <cell r="I55">
            <v>3.5000000000000003E-2</v>
          </cell>
          <cell r="R55">
            <v>2.8677777777777788E-2</v>
          </cell>
          <cell r="AD55">
            <v>3.8214514333591243E-2</v>
          </cell>
        </row>
        <row r="56">
          <cell r="C56" t="str">
            <v>ENB</v>
          </cell>
          <cell r="E56">
            <v>5.4899999999999997E-2</v>
          </cell>
          <cell r="F56">
            <v>9.7000000000000003E-2</v>
          </cell>
          <cell r="G56">
            <v>0.08</v>
          </cell>
          <cell r="H56">
            <v>0.05</v>
          </cell>
          <cell r="I56">
            <v>0.01</v>
          </cell>
          <cell r="R56">
            <v>-9.955555555555556E-3</v>
          </cell>
          <cell r="AD56">
            <v>2.4991150930617143E-2</v>
          </cell>
        </row>
        <row r="57">
          <cell r="C57" t="str">
            <v>FTS</v>
          </cell>
          <cell r="E57">
            <v>4.8500000000000001E-2</v>
          </cell>
          <cell r="F57">
            <v>0.06</v>
          </cell>
          <cell r="G57">
            <v>0.01</v>
          </cell>
          <cell r="H57">
            <v>0.06</v>
          </cell>
          <cell r="I57">
            <v>0.04</v>
          </cell>
          <cell r="R57">
            <v>3.1416666666666662E-2</v>
          </cell>
          <cell r="AD57">
            <v>3.4568149834677105E-2</v>
          </cell>
        </row>
        <row r="58">
          <cell r="C58" t="str">
            <v>H</v>
          </cell>
          <cell r="E58">
            <v>2.53E-2</v>
          </cell>
          <cell r="F58" t="str">
            <v>NA%</v>
          </cell>
          <cell r="G58" t="str">
            <v>n/a</v>
          </cell>
          <cell r="H58" t="str">
            <v>n/a</v>
          </cell>
          <cell r="I58" t="str">
            <v>n/a</v>
          </cell>
        </row>
        <row r="59">
          <cell r="C59" t="str">
            <v>TRP</v>
          </cell>
          <cell r="E59">
            <v>5.8099999999999999E-2</v>
          </cell>
          <cell r="F59">
            <v>0.04</v>
          </cell>
          <cell r="G59">
            <v>7.4999999999999997E-2</v>
          </cell>
          <cell r="H59">
            <v>4.4999999999999998E-2</v>
          </cell>
          <cell r="I59">
            <v>7.4999999999999997E-2</v>
          </cell>
          <cell r="R59">
            <v>3.4877777777777771E-2</v>
          </cell>
          <cell r="AD59">
            <v>3.8645868931766525E-2</v>
          </cell>
        </row>
        <row r="60">
          <cell r="C60" t="str">
            <v>AWK</v>
          </cell>
          <cell r="E60">
            <v>8.3000000000000004E-2</v>
          </cell>
          <cell r="F60">
            <v>8.1000000000000003E-2</v>
          </cell>
          <cell r="G60">
            <v>8.5000000000000006E-2</v>
          </cell>
          <cell r="H60">
            <v>8.5000000000000006E-2</v>
          </cell>
          <cell r="I60">
            <v>0.05</v>
          </cell>
          <cell r="R60">
            <v>4.6933333333333341E-2</v>
          </cell>
          <cell r="AD60">
            <v>6.211469381787571E-2</v>
          </cell>
        </row>
        <row r="61">
          <cell r="C61" t="str">
            <v>AWR</v>
          </cell>
          <cell r="E61">
            <v>0.06</v>
          </cell>
          <cell r="F61">
            <v>4.9000000000000002E-2</v>
          </cell>
          <cell r="G61">
            <v>6.5000000000000002E-2</v>
          </cell>
          <cell r="H61">
            <v>9.5000000000000001E-2</v>
          </cell>
          <cell r="I61">
            <v>5.5E-2</v>
          </cell>
          <cell r="R61">
            <v>5.5799999999999988E-2</v>
          </cell>
          <cell r="AD61">
            <v>6.3782666836137911E-2</v>
          </cell>
        </row>
        <row r="62">
          <cell r="C62" t="str">
            <v>CWT</v>
          </cell>
          <cell r="E62">
            <v>9.8000000000000004E-2</v>
          </cell>
          <cell r="F62" t="str">
            <v>NA%</v>
          </cell>
          <cell r="G62">
            <v>6.5000000000000002E-2</v>
          </cell>
          <cell r="H62">
            <v>5.5E-2</v>
          </cell>
          <cell r="I62">
            <v>0.01</v>
          </cell>
          <cell r="R62">
            <v>5.2066666666666657E-2</v>
          </cell>
          <cell r="AD62">
            <v>8.4133765752357481E-2</v>
          </cell>
        </row>
        <row r="63">
          <cell r="C63" t="str">
            <v>MSEX</v>
          </cell>
          <cell r="E63">
            <v>2.7E-2</v>
          </cell>
          <cell r="F63" t="str">
            <v>NA%</v>
          </cell>
          <cell r="G63">
            <v>0.06</v>
          </cell>
          <cell r="H63">
            <v>5.5E-2</v>
          </cell>
          <cell r="I63">
            <v>1.4999999999999999E-2</v>
          </cell>
          <cell r="R63">
            <v>6.8788888888888913E-2</v>
          </cell>
          <cell r="AD63">
            <v>8.186941702369141E-2</v>
          </cell>
        </row>
        <row r="64">
          <cell r="C64" t="str">
            <v>SJW</v>
          </cell>
          <cell r="E64">
            <v>0.14000000000000001</v>
          </cell>
          <cell r="F64">
            <v>0.14000000000000001</v>
          </cell>
          <cell r="G64">
            <v>0.06</v>
          </cell>
          <cell r="H64">
            <v>7.0000000000000007E-2</v>
          </cell>
          <cell r="I64">
            <v>6.5000000000000002E-2</v>
          </cell>
          <cell r="R64">
            <v>4.2194444444444437E-2</v>
          </cell>
          <cell r="AD64">
            <v>5.3249815673887729E-2</v>
          </cell>
        </row>
        <row r="65">
          <cell r="C65" t="str">
            <v>WTRG</v>
          </cell>
          <cell r="E65">
            <v>6.4000000000000001E-2</v>
          </cell>
          <cell r="F65">
            <v>5.8999999999999997E-2</v>
          </cell>
          <cell r="G65">
            <v>0.1</v>
          </cell>
          <cell r="H65">
            <v>7.4999999999999997E-2</v>
          </cell>
          <cell r="I65">
            <v>6.5000000000000002E-2</v>
          </cell>
          <cell r="R65">
            <v>3.1733333333333329E-2</v>
          </cell>
          <cell r="AD65">
            <v>4.3505718035262653E-2</v>
          </cell>
        </row>
        <row r="66">
          <cell r="C66" t="str">
            <v>YORW</v>
          </cell>
          <cell r="E66">
            <v>4.9000000000000002E-2</v>
          </cell>
          <cell r="F66" t="str">
            <v>NA%</v>
          </cell>
          <cell r="G66">
            <v>7.0000000000000007E-2</v>
          </cell>
          <cell r="H66">
            <v>5.5E-2</v>
          </cell>
          <cell r="I66">
            <v>4.4999999999999998E-2</v>
          </cell>
          <cell r="R66">
            <v>4.268888888888888E-2</v>
          </cell>
          <cell r="AD66">
            <v>3.6190221346536704E-2</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row r="1">
          <cell r="B1" t="str">
            <v>ATO</v>
          </cell>
          <cell r="E1" t="str">
            <v>CPK</v>
          </cell>
          <cell r="H1" t="str">
            <v>SR</v>
          </cell>
          <cell r="K1" t="str">
            <v>NJR</v>
          </cell>
          <cell r="N1" t="str">
            <v>NI</v>
          </cell>
          <cell r="Q1" t="str">
            <v>NWN</v>
          </cell>
          <cell r="T1" t="str">
            <v>OGS</v>
          </cell>
          <cell r="W1" t="str">
            <v>SJI</v>
          </cell>
          <cell r="Z1" t="str">
            <v>SWX</v>
          </cell>
          <cell r="AC1" t="str">
            <v>UGI</v>
          </cell>
          <cell r="AF1" t="str">
            <v>ALE</v>
          </cell>
          <cell r="AI1" t="str">
            <v>LNT</v>
          </cell>
          <cell r="AL1" t="str">
            <v>AEE</v>
          </cell>
          <cell r="AO1" t="str">
            <v>AEP</v>
          </cell>
          <cell r="AR1" t="str">
            <v>AGR</v>
          </cell>
          <cell r="AU1" t="str">
            <v>AVA</v>
          </cell>
          <cell r="AX1" t="str">
            <v>BKH</v>
          </cell>
          <cell r="BA1" t="str">
            <v>CNP</v>
          </cell>
          <cell r="BD1" t="str">
            <v>CMS</v>
          </cell>
          <cell r="BG1" t="str">
            <v>ED</v>
          </cell>
          <cell r="BJ1" t="str">
            <v>D</v>
          </cell>
          <cell r="BM1" t="str">
            <v>DTE</v>
          </cell>
          <cell r="BP1" t="str">
            <v>DUK</v>
          </cell>
          <cell r="BS1" t="str">
            <v>EIX</v>
          </cell>
          <cell r="BV1" t="str">
            <v>EE</v>
          </cell>
          <cell r="BY1" t="str">
            <v>ETR</v>
          </cell>
          <cell r="CB1" t="str">
            <v>ES</v>
          </cell>
          <cell r="CE1" t="str">
            <v>EXC</v>
          </cell>
          <cell r="CH1" t="str">
            <v>FE</v>
          </cell>
          <cell r="CK1" t="str">
            <v>EVRG</v>
          </cell>
          <cell r="CN1" t="str">
            <v>HE</v>
          </cell>
          <cell r="CQ1" t="str">
            <v>IDA</v>
          </cell>
          <cell r="CT1" t="str">
            <v>MGEE</v>
          </cell>
          <cell r="CW1" t="str">
            <v>NEE</v>
          </cell>
          <cell r="CZ1" t="str">
            <v>NWE</v>
          </cell>
          <cell r="DC1" t="str">
            <v>OGE</v>
          </cell>
          <cell r="DF1" t="str">
            <v>OTTR</v>
          </cell>
          <cell r="DI1" t="str">
            <v>PCG</v>
          </cell>
          <cell r="DL1" t="str">
            <v>PNW</v>
          </cell>
          <cell r="DO1" t="str">
            <v>PNM</v>
          </cell>
          <cell r="DR1" t="str">
            <v>POR</v>
          </cell>
          <cell r="DU1" t="str">
            <v>PPL</v>
          </cell>
          <cell r="DX1" t="str">
            <v>PEG</v>
          </cell>
          <cell r="EA1" t="str">
            <v>SRE</v>
          </cell>
          <cell r="ED1" t="str">
            <v>SO</v>
          </cell>
          <cell r="EG1" t="str">
            <v>WEC</v>
          </cell>
          <cell r="EJ1" t="str">
            <v>XEL</v>
          </cell>
          <cell r="EM1" t="str">
            <v>AQN</v>
          </cell>
          <cell r="EP1" t="str">
            <v>ALA</v>
          </cell>
          <cell r="ES1" t="str">
            <v>CU</v>
          </cell>
          <cell r="EV1" t="str">
            <v>EMA</v>
          </cell>
          <cell r="EY1" t="str">
            <v>ENB</v>
          </cell>
          <cell r="FB1" t="str">
            <v>FTS</v>
          </cell>
          <cell r="FE1" t="str">
            <v>H</v>
          </cell>
          <cell r="FH1" t="str">
            <v>TRP</v>
          </cell>
          <cell r="FK1" t="str">
            <v>AWK</v>
          </cell>
          <cell r="FN1" t="str">
            <v>AWR</v>
          </cell>
          <cell r="FQ1" t="str">
            <v>CWT</v>
          </cell>
          <cell r="FT1" t="str">
            <v>MSEX</v>
          </cell>
          <cell r="FW1" t="str">
            <v>SJW</v>
          </cell>
          <cell r="FZ1" t="str">
            <v>WTRG</v>
          </cell>
          <cell r="GC1" t="str">
            <v>YORW</v>
          </cell>
          <cell r="GF1" t="str">
            <v>H15T5Y</v>
          </cell>
          <cell r="GI1" t="str">
            <v>H15T10Y</v>
          </cell>
          <cell r="GL1" t="str">
            <v>H15T30Y</v>
          </cell>
          <cell r="GO1" t="str">
            <v>MOODUA</v>
          </cell>
          <cell r="GR1" t="str">
            <v>MOODUBAA</v>
          </cell>
          <cell r="GU1" t="str">
            <v>GCAN10YR</v>
          </cell>
          <cell r="GX1" t="str">
            <v>GCAN30YR</v>
          </cell>
          <cell r="HA1" t="str">
            <v>C29530Y</v>
          </cell>
        </row>
        <row r="2">
          <cell r="A2" t="str">
            <v>30-day</v>
          </cell>
          <cell r="B2">
            <v>100.75533333333331</v>
          </cell>
          <cell r="D2" t="str">
            <v>30-day</v>
          </cell>
          <cell r="E2">
            <v>87.174333333333323</v>
          </cell>
          <cell r="G2" t="str">
            <v>30-day</v>
          </cell>
          <cell r="H2">
            <v>69.654666666666657</v>
          </cell>
          <cell r="J2" t="str">
            <v>30-day</v>
          </cell>
          <cell r="K2">
            <v>33.349666666666671</v>
          </cell>
          <cell r="M2" t="str">
            <v>30-day</v>
          </cell>
          <cell r="N2">
            <v>23.597000000000001</v>
          </cell>
          <cell r="P2" t="str">
            <v>30-day</v>
          </cell>
          <cell r="Q2">
            <v>60.005666666666656</v>
          </cell>
          <cell r="S2" t="str">
            <v>30-day</v>
          </cell>
          <cell r="T2">
            <v>79.012333333333345</v>
          </cell>
          <cell r="V2" t="str">
            <v>30-day</v>
          </cell>
          <cell r="W2">
            <v>26.488999999999997</v>
          </cell>
          <cell r="Y2" t="str">
            <v>30-day</v>
          </cell>
          <cell r="Z2">
            <v>71.070999999999998</v>
          </cell>
          <cell r="AB2" t="str">
            <v>30-day</v>
          </cell>
          <cell r="AC2">
            <v>32.362666666666669</v>
          </cell>
          <cell r="AE2" t="str">
            <v>30-day</v>
          </cell>
          <cell r="AF2">
            <v>57.071333333333342</v>
          </cell>
          <cell r="AH2" t="str">
            <v>30-day</v>
          </cell>
          <cell r="AI2">
            <v>48.55683333333333</v>
          </cell>
          <cell r="AK2" t="str">
            <v>30-day</v>
          </cell>
          <cell r="AL2">
            <v>72.11333333333333</v>
          </cell>
          <cell r="AN2" t="str">
            <v>30-day</v>
          </cell>
          <cell r="AO2">
            <v>82.013333333333335</v>
          </cell>
          <cell r="AQ2" t="str">
            <v>30-day</v>
          </cell>
          <cell r="AR2">
            <v>42.828999999999994</v>
          </cell>
          <cell r="AT2" t="str">
            <v>30-day</v>
          </cell>
          <cell r="AU2">
            <v>37.521000000000001</v>
          </cell>
          <cell r="AW2" t="str">
            <v>30-day</v>
          </cell>
          <cell r="AX2">
            <v>58.310666666666656</v>
          </cell>
          <cell r="AZ2" t="str">
            <v>30-day</v>
          </cell>
          <cell r="BA2">
            <v>18.005999999999997</v>
          </cell>
          <cell r="BC2" t="str">
            <v>30-day</v>
          </cell>
          <cell r="BD2">
            <v>58.021000000000001</v>
          </cell>
          <cell r="BF2" t="str">
            <v>30-day</v>
          </cell>
          <cell r="BG2">
            <v>73.449666666666658</v>
          </cell>
          <cell r="BI2" t="str">
            <v>30-day</v>
          </cell>
          <cell r="BJ2">
            <v>83.088333333333352</v>
          </cell>
          <cell r="BL2" t="str">
            <v>30-day</v>
          </cell>
          <cell r="BM2">
            <v>107.49300000000001</v>
          </cell>
          <cell r="BO2" t="str">
            <v>30-day</v>
          </cell>
          <cell r="BP2">
            <v>85.001333333333335</v>
          </cell>
          <cell r="BR2" t="str">
            <v>30-day</v>
          </cell>
          <cell r="BS2">
            <v>57.87733333333334</v>
          </cell>
          <cell r="BU2" t="str">
            <v>30-day</v>
          </cell>
          <cell r="BV2">
            <v>67.317666666666653</v>
          </cell>
          <cell r="BX2" t="str">
            <v>30-day</v>
          </cell>
          <cell r="BY2">
            <v>98.498000000000019</v>
          </cell>
          <cell r="CA2" t="str">
            <v>30-day</v>
          </cell>
          <cell r="CB2">
            <v>83.163000000000011</v>
          </cell>
          <cell r="CD2" t="str">
            <v>30-day</v>
          </cell>
          <cell r="CE2">
            <v>37.973666666666674</v>
          </cell>
          <cell r="CG2" t="str">
            <v>30-day</v>
          </cell>
          <cell r="CH2">
            <v>40.728666666666662</v>
          </cell>
          <cell r="CJ2" t="str">
            <v>30-day</v>
          </cell>
          <cell r="CK2">
            <v>60.720000000000013</v>
          </cell>
          <cell r="CM2" t="str">
            <v>30-day</v>
          </cell>
          <cell r="CN2">
            <v>37.590666666666678</v>
          </cell>
          <cell r="CP2" t="str">
            <v>30-day</v>
          </cell>
          <cell r="CQ2">
            <v>89.382999999999996</v>
          </cell>
          <cell r="CS2" t="str">
            <v>30-day</v>
          </cell>
          <cell r="CT2">
            <v>65.295333333333332</v>
          </cell>
          <cell r="CV2" t="str">
            <v>30-day</v>
          </cell>
          <cell r="CW2">
            <v>246.00900000000004</v>
          </cell>
          <cell r="CY2" t="str">
            <v>30-day</v>
          </cell>
          <cell r="CZ2">
            <v>57.59699999999998</v>
          </cell>
          <cell r="DB2" t="str">
            <v>30-day</v>
          </cell>
          <cell r="DC2">
            <v>31.401999999999997</v>
          </cell>
          <cell r="DE2" t="str">
            <v>30-day</v>
          </cell>
          <cell r="DF2">
            <v>40.67583333333333</v>
          </cell>
          <cell r="DH2" t="str">
            <v>30-day</v>
          </cell>
          <cell r="DI2">
            <v>11.059333333333335</v>
          </cell>
          <cell r="DK2" t="str">
            <v>30-day</v>
          </cell>
          <cell r="DL2">
            <v>75.463666666666683</v>
          </cell>
          <cell r="DN2" t="str">
            <v>30-day</v>
          </cell>
          <cell r="DO2">
            <v>39.473333333333336</v>
          </cell>
          <cell r="DQ2" t="str">
            <v>30-day</v>
          </cell>
          <cell r="DR2">
            <v>44.54666666666666</v>
          </cell>
          <cell r="DT2" t="str">
            <v>30-day</v>
          </cell>
          <cell r="DU2">
            <v>27.055666666666674</v>
          </cell>
          <cell r="DW2" t="str">
            <v>30-day</v>
          </cell>
          <cell r="DX2">
            <v>50.29633333333333</v>
          </cell>
          <cell r="DZ2" t="str">
            <v>30-day</v>
          </cell>
          <cell r="EA2">
            <v>124.402</v>
          </cell>
          <cell r="EC2" t="str">
            <v>30-day</v>
          </cell>
          <cell r="ED2">
            <v>55.55533333333333</v>
          </cell>
          <cell r="EF2" t="str">
            <v>30-day</v>
          </cell>
          <cell r="EG2">
            <v>89.546333333333322</v>
          </cell>
          <cell r="EI2" t="str">
            <v>30-day</v>
          </cell>
          <cell r="EJ2">
            <v>63.768666666666668</v>
          </cell>
          <cell r="EL2" t="str">
            <v>30-day</v>
          </cell>
          <cell r="EM2">
            <v>18.728666666666665</v>
          </cell>
          <cell r="EO2" t="str">
            <v>30-day</v>
          </cell>
          <cell r="EP2">
            <v>15.594500000000004</v>
          </cell>
          <cell r="ER2" t="str">
            <v>30-day</v>
          </cell>
          <cell r="ES2">
            <v>32.247333333333337</v>
          </cell>
          <cell r="EU2" t="str">
            <v>30-day</v>
          </cell>
          <cell r="EV2">
            <v>53.843666666666678</v>
          </cell>
          <cell r="EX2" t="str">
            <v>30-day</v>
          </cell>
          <cell r="EY2">
            <v>43.245000000000012</v>
          </cell>
          <cell r="FA2" t="str">
            <v>30-day</v>
          </cell>
          <cell r="FB2">
            <v>52.036999999999999</v>
          </cell>
          <cell r="FD2" t="str">
            <v>30-day</v>
          </cell>
          <cell r="FE2">
            <v>25.748666666666661</v>
          </cell>
          <cell r="FG2" t="str">
            <v>30-day</v>
          </cell>
          <cell r="FH2">
            <v>60.137333333333338</v>
          </cell>
          <cell r="FJ2" t="str">
            <v>30-day</v>
          </cell>
          <cell r="FK2">
            <v>126.55566666666665</v>
          </cell>
          <cell r="FM2" t="str">
            <v>30-day</v>
          </cell>
          <cell r="FN2">
            <v>78.665333333333336</v>
          </cell>
          <cell r="FP2" t="str">
            <v>30-day</v>
          </cell>
          <cell r="FQ2">
            <v>46.29966666666666</v>
          </cell>
          <cell r="FS2" t="str">
            <v>30-day</v>
          </cell>
          <cell r="FT2">
            <v>66.736000000000004</v>
          </cell>
          <cell r="FV2" t="str">
            <v>30-day</v>
          </cell>
          <cell r="FW2">
            <v>61.744666666666653</v>
          </cell>
          <cell r="FY2" t="str">
            <v>30-day</v>
          </cell>
          <cell r="FZ2">
            <v>42.998333333333335</v>
          </cell>
          <cell r="GB2" t="str">
            <v>30-day</v>
          </cell>
          <cell r="GC2">
            <v>45.188333333333347</v>
          </cell>
          <cell r="GE2" t="str">
            <v>30-day</v>
          </cell>
          <cell r="GF2">
            <v>0.34299999999999997</v>
          </cell>
          <cell r="GH2" t="str">
            <v>30-day</v>
          </cell>
          <cell r="GI2">
            <v>0.71566666666666667</v>
          </cell>
          <cell r="GK2" t="str">
            <v>30-day</v>
          </cell>
          <cell r="GL2">
            <v>1.473666666666666</v>
          </cell>
          <cell r="GN2" t="str">
            <v>30-day</v>
          </cell>
          <cell r="GO2">
            <v>3.1033333333333331</v>
          </cell>
          <cell r="GQ2" t="str">
            <v>30-day</v>
          </cell>
          <cell r="GR2">
            <v>3.4966666666666666</v>
          </cell>
          <cell r="GT2" t="str">
            <v>30-day</v>
          </cell>
          <cell r="GU2">
            <v>0.55733333333333335</v>
          </cell>
          <cell r="GW2" t="str">
            <v>30-day</v>
          </cell>
          <cell r="GX2">
            <v>1.0884</v>
          </cell>
          <cell r="GZ2" t="str">
            <v>30-day</v>
          </cell>
          <cell r="HA2">
            <v>2.7705433333333334</v>
          </cell>
        </row>
      </sheetData>
      <sheetData sheetId="23"/>
      <sheetData sheetId="24">
        <row r="1">
          <cell r="E1" t="str">
            <v>ATO</v>
          </cell>
          <cell r="M1" t="str">
            <v>CPK</v>
          </cell>
          <cell r="U1" t="str">
            <v>SR</v>
          </cell>
          <cell r="AC1" t="str">
            <v>NJR</v>
          </cell>
          <cell r="AK1" t="str">
            <v>NI</v>
          </cell>
          <cell r="AS1" t="str">
            <v>NWN</v>
          </cell>
          <cell r="BA1" t="str">
            <v>OGS</v>
          </cell>
          <cell r="BI1" t="str">
            <v>SJI</v>
          </cell>
          <cell r="BQ1" t="str">
            <v>SWX</v>
          </cell>
          <cell r="BY1" t="str">
            <v>UGI</v>
          </cell>
          <cell r="CG1" t="str">
            <v>ALE</v>
          </cell>
          <cell r="CO1" t="str">
            <v>LNT</v>
          </cell>
          <cell r="CW1" t="str">
            <v>AEE</v>
          </cell>
          <cell r="DE1" t="str">
            <v>AEP</v>
          </cell>
          <cell r="DM1" t="str">
            <v>AGR</v>
          </cell>
          <cell r="DU1" t="str">
            <v>AVA</v>
          </cell>
          <cell r="EC1" t="str">
            <v>BKH</v>
          </cell>
          <cell r="EK1" t="str">
            <v>CNP</v>
          </cell>
          <cell r="ES1" t="str">
            <v>CMS</v>
          </cell>
          <cell r="FA1" t="str">
            <v>ED</v>
          </cell>
          <cell r="FI1" t="str">
            <v>D</v>
          </cell>
          <cell r="FQ1" t="str">
            <v>DTE</v>
          </cell>
          <cell r="FY1" t="str">
            <v>DUK</v>
          </cell>
          <cell r="GG1" t="str">
            <v>EIX</v>
          </cell>
          <cell r="GO1" t="str">
            <v>EE</v>
          </cell>
          <cell r="GW1" t="str">
            <v>ETR</v>
          </cell>
          <cell r="HE1" t="str">
            <v>ES</v>
          </cell>
          <cell r="HM1" t="str">
            <v>EXC</v>
          </cell>
          <cell r="HU1" t="str">
            <v>FE</v>
          </cell>
          <cell r="IC1" t="str">
            <v>EVRG</v>
          </cell>
          <cell r="IK1" t="str">
            <v>HE</v>
          </cell>
          <cell r="IS1" t="str">
            <v>IDA</v>
          </cell>
          <cell r="JA1" t="str">
            <v>MGEE</v>
          </cell>
          <cell r="JI1" t="str">
            <v>NEE</v>
          </cell>
          <cell r="JQ1" t="str">
            <v>NWE</v>
          </cell>
          <cell r="JY1" t="str">
            <v>OGE</v>
          </cell>
          <cell r="KG1" t="str">
            <v>OTTR</v>
          </cell>
          <cell r="KO1" t="str">
            <v>PCG</v>
          </cell>
          <cell r="KW1" t="str">
            <v>PNW</v>
          </cell>
          <cell r="LE1" t="str">
            <v>PNM</v>
          </cell>
          <cell r="LM1" t="str">
            <v>POR</v>
          </cell>
          <cell r="LU1" t="str">
            <v>PPL</v>
          </cell>
          <cell r="MC1" t="str">
            <v>PEG</v>
          </cell>
          <cell r="MK1" t="str">
            <v>SRE</v>
          </cell>
          <cell r="MS1" t="str">
            <v>SO</v>
          </cell>
          <cell r="NA1" t="str">
            <v>WEC</v>
          </cell>
          <cell r="NI1" t="str">
            <v>XEL</v>
          </cell>
          <cell r="NQ1" t="str">
            <v>AQN</v>
          </cell>
          <cell r="NY1" t="str">
            <v>ALA</v>
          </cell>
          <cell r="OG1" t="str">
            <v>CU</v>
          </cell>
          <cell r="OO1" t="str">
            <v>EMA</v>
          </cell>
          <cell r="OW1" t="str">
            <v>ENB</v>
          </cell>
          <cell r="PE1" t="str">
            <v>FTS</v>
          </cell>
          <cell r="PM1" t="str">
            <v>H</v>
          </cell>
          <cell r="PU1" t="str">
            <v>TRP</v>
          </cell>
          <cell r="QC1" t="str">
            <v>AWK</v>
          </cell>
          <cell r="QK1" t="str">
            <v>AWR</v>
          </cell>
          <cell r="QS1" t="str">
            <v>CWT</v>
          </cell>
          <cell r="RA1" t="str">
            <v>MSEX</v>
          </cell>
          <cell r="RI1" t="str">
            <v>SJW</v>
          </cell>
          <cell r="RQ1" t="str">
            <v>WTRG</v>
          </cell>
          <cell r="RY1" t="str">
            <v>YORW</v>
          </cell>
        </row>
        <row r="2">
          <cell r="D2" t="str">
            <v>Current dividend as of 6/30/2020:</v>
          </cell>
          <cell r="E2">
            <v>0.57499999999999996</v>
          </cell>
          <cell r="L2" t="str">
            <v>Current dividend as of 6/30/2020:</v>
          </cell>
          <cell r="M2">
            <v>0.44</v>
          </cell>
          <cell r="T2" t="str">
            <v>Current dividend as of 6/30/2020:</v>
          </cell>
          <cell r="U2">
            <v>0.62250000000000005</v>
          </cell>
          <cell r="AB2" t="str">
            <v>Current dividend as of 6/30/2020:</v>
          </cell>
          <cell r="AC2">
            <v>0.3125</v>
          </cell>
          <cell r="AJ2" t="str">
            <v>Current dividend as of 6/30/2020:</v>
          </cell>
          <cell r="AK2">
            <v>0.21</v>
          </cell>
          <cell r="AR2" t="str">
            <v>Current dividend as of 6/30/2020:</v>
          </cell>
          <cell r="AS2">
            <v>0.47749999999999998</v>
          </cell>
          <cell r="AZ2" t="str">
            <v>Current dividend as of 6/30/2020:</v>
          </cell>
          <cell r="BA2">
            <v>0.54</v>
          </cell>
          <cell r="BH2" t="str">
            <v>Current dividend as of 6/30/2020:</v>
          </cell>
          <cell r="BI2">
            <v>0.29499999999999998</v>
          </cell>
          <cell r="BP2" t="str">
            <v>Current dividend as of 6/30/2020:</v>
          </cell>
          <cell r="BQ2">
            <v>0.56999999999999995</v>
          </cell>
          <cell r="BX2" t="str">
            <v>Current dividend as of 6/30/2020:</v>
          </cell>
          <cell r="BY2">
            <v>0.33</v>
          </cell>
          <cell r="CF2" t="str">
            <v>Current dividend as of 6/30/2020:</v>
          </cell>
          <cell r="CG2">
            <v>0.61750000000000005</v>
          </cell>
          <cell r="CN2" t="str">
            <v>Current dividend as of 6/30/2020:</v>
          </cell>
          <cell r="CO2">
            <v>0.38</v>
          </cell>
          <cell r="CV2" t="str">
            <v>Current dividend as of 6/30/2020:</v>
          </cell>
          <cell r="CW2">
            <v>0.495</v>
          </cell>
          <cell r="DD2" t="str">
            <v>Current dividend as of 6/30/2020:</v>
          </cell>
          <cell r="DE2">
            <v>0.7</v>
          </cell>
          <cell r="DL2" t="str">
            <v>Current dividend as of 6/30/2020:</v>
          </cell>
          <cell r="DM2">
            <v>0.44</v>
          </cell>
          <cell r="DT2" t="str">
            <v>Current dividend as of 6/30/2020:</v>
          </cell>
          <cell r="DU2">
            <v>0.40500000000000003</v>
          </cell>
          <cell r="EB2" t="str">
            <v>Current dividend as of 6/30/2020:</v>
          </cell>
          <cell r="EC2">
            <v>0.53500000000000003</v>
          </cell>
          <cell r="EJ2" t="str">
            <v>Current dividend as of 6/30/2020:</v>
          </cell>
          <cell r="EK2">
            <v>0.15</v>
          </cell>
          <cell r="ER2" t="str">
            <v>Current dividend as of 6/30/2020:</v>
          </cell>
          <cell r="ES2">
            <v>0.40749999999999997</v>
          </cell>
          <cell r="EZ2" t="str">
            <v>Current dividend as of 6/30/2020:</v>
          </cell>
          <cell r="FA2">
            <v>0.76500000000000001</v>
          </cell>
          <cell r="FH2" t="str">
            <v>Current dividend as of 6/30/2020:</v>
          </cell>
          <cell r="FI2">
            <v>0.94</v>
          </cell>
          <cell r="FP2" t="str">
            <v>Current dividend as of 6/30/2020:</v>
          </cell>
          <cell r="FQ2">
            <v>1.0125</v>
          </cell>
          <cell r="FX2" t="str">
            <v>Current dividend as of 6/30/2020:</v>
          </cell>
          <cell r="FY2">
            <v>0.94499999999999995</v>
          </cell>
          <cell r="GF2" t="str">
            <v>Current dividend as of 6/30/2020:</v>
          </cell>
          <cell r="GG2">
            <v>0.63749999999999996</v>
          </cell>
          <cell r="GN2" t="str">
            <v>Current dividend as of 6/30/2020:</v>
          </cell>
          <cell r="GO2">
            <v>0.38500000000000001</v>
          </cell>
          <cell r="GV2" t="str">
            <v>Current dividend as of 6/30/2020:</v>
          </cell>
          <cell r="GW2">
            <v>0.93</v>
          </cell>
          <cell r="HD2" t="str">
            <v>Current dividend as of 6/30/2020:</v>
          </cell>
          <cell r="HE2">
            <v>0.5675</v>
          </cell>
          <cell r="HL2" t="str">
            <v>Current dividend as of 6/30/2020:</v>
          </cell>
          <cell r="HM2">
            <v>0.38250000000000001</v>
          </cell>
          <cell r="HT2" t="str">
            <v>Current dividend as of 6/30/2020:</v>
          </cell>
          <cell r="HU2">
            <v>0.39</v>
          </cell>
          <cell r="IB2" t="str">
            <v>Current dividend as of 6/30/2020:</v>
          </cell>
          <cell r="IC2">
            <v>0.505</v>
          </cell>
          <cell r="IJ2" t="str">
            <v>Current dividend as of 6/30/2020:</v>
          </cell>
          <cell r="IK2">
            <v>0.33</v>
          </cell>
          <cell r="IR2" t="str">
            <v>Current dividend as of 6/30/2020:</v>
          </cell>
          <cell r="IS2">
            <v>0.67</v>
          </cell>
          <cell r="IZ2" t="str">
            <v>Current dividend as of 6/30/2020:</v>
          </cell>
          <cell r="JA2">
            <v>0.35249999999999998</v>
          </cell>
          <cell r="JH2" t="str">
            <v>Current dividend as of 6/30/2020:</v>
          </cell>
          <cell r="JI2">
            <v>1.4</v>
          </cell>
          <cell r="JP2" t="str">
            <v>Current dividend as of 6/30/2020:</v>
          </cell>
          <cell r="JQ2">
            <v>0.6</v>
          </cell>
          <cell r="JX2" t="str">
            <v>Current dividend as of 6/30/2020:</v>
          </cell>
          <cell r="JY2">
            <v>0.38750000000000001</v>
          </cell>
          <cell r="KF2" t="str">
            <v>Current dividend as of 6/30/2020:</v>
          </cell>
          <cell r="KG2">
            <v>0.37</v>
          </cell>
          <cell r="KN2" t="str">
            <v>Current dividend as of 6/30/2020:</v>
          </cell>
          <cell r="KO2">
            <v>0.53</v>
          </cell>
          <cell r="KV2" t="str">
            <v>Current dividend as of 6/30/2020:</v>
          </cell>
          <cell r="KW2">
            <v>0.78249999999999997</v>
          </cell>
          <cell r="LD2" t="str">
            <v>Current dividend as of 6/30/2020:</v>
          </cell>
          <cell r="LE2">
            <v>0.3075</v>
          </cell>
          <cell r="LL2" t="str">
            <v>Current dividend as of 6/30/2020:</v>
          </cell>
          <cell r="LM2">
            <v>0.38500000000000001</v>
          </cell>
          <cell r="LT2" t="str">
            <v>Current dividend as of 6/30/2020:</v>
          </cell>
          <cell r="LU2">
            <v>0.41499999999999998</v>
          </cell>
          <cell r="MB2" t="str">
            <v>Current dividend as of 6/30/2020:</v>
          </cell>
          <cell r="MC2">
            <v>0.49</v>
          </cell>
          <cell r="MJ2" t="str">
            <v>Current dividend as of 6/30/2020:</v>
          </cell>
          <cell r="MK2">
            <v>1.0449999999999999</v>
          </cell>
          <cell r="MR2" t="str">
            <v>Current dividend as of 6/30/2020:</v>
          </cell>
          <cell r="MS2">
            <v>0.64</v>
          </cell>
          <cell r="MZ2" t="str">
            <v>Current dividend as of 6/30/2020:</v>
          </cell>
          <cell r="NA2">
            <v>0.63249999999999995</v>
          </cell>
          <cell r="NH2" t="str">
            <v>Current dividend as of 6/30/2020:</v>
          </cell>
          <cell r="NI2">
            <v>0.43</v>
          </cell>
          <cell r="NP2" t="str">
            <v>Current dividend as of 6/30/2020:</v>
          </cell>
          <cell r="NQ2">
            <v>0.15509999999999999</v>
          </cell>
          <cell r="NX2" t="str">
            <v>Current dividend as of 6/30/2020:</v>
          </cell>
          <cell r="NY2">
            <v>0.08</v>
          </cell>
          <cell r="OF2" t="str">
            <v>Current dividend as of 6/30/2020:</v>
          </cell>
          <cell r="OG2">
            <v>0.43540000000000001</v>
          </cell>
          <cell r="ON2" t="str">
            <v>Current dividend as of 6/30/2020:</v>
          </cell>
          <cell r="OO2">
            <v>0.61250000000000004</v>
          </cell>
          <cell r="OV2" t="str">
            <v>Current dividend as of 6/30/2020:</v>
          </cell>
          <cell r="OW2">
            <v>0.81</v>
          </cell>
          <cell r="PD2" t="str">
            <v>Current dividend as of 6/30/2020:</v>
          </cell>
          <cell r="PE2">
            <v>0.47749999999999998</v>
          </cell>
          <cell r="PL2" t="str">
            <v>Current dividend as of 6/30/2020:</v>
          </cell>
          <cell r="PM2">
            <v>0.25359999999999999</v>
          </cell>
          <cell r="PT2" t="str">
            <v>Current dividend as of 6/30/2020:</v>
          </cell>
          <cell r="PU2">
            <v>0.81</v>
          </cell>
          <cell r="QB2" t="str">
            <v>Current dividend as of 6/30/2020:</v>
          </cell>
          <cell r="QC2">
            <v>0.55000000000000004</v>
          </cell>
          <cell r="QJ2" t="str">
            <v>Current dividend as of 6/30/2020:</v>
          </cell>
          <cell r="QK2">
            <v>0.30499999999999999</v>
          </cell>
          <cell r="QR2" t="str">
            <v>Current dividend as of 6/30/2020:</v>
          </cell>
          <cell r="QS2">
            <v>0.21249999999999999</v>
          </cell>
          <cell r="QZ2" t="str">
            <v>Current dividend as of 6/30/2020:</v>
          </cell>
          <cell r="RA2">
            <v>0.25624999999999998</v>
          </cell>
          <cell r="RH2" t="str">
            <v>Current dividend as of 6/30/2020:</v>
          </cell>
          <cell r="RI2">
            <v>0.32</v>
          </cell>
          <cell r="RP2" t="str">
            <v>Current dividend as of 6/30/2020:</v>
          </cell>
          <cell r="RQ2">
            <v>0.23430000000000001</v>
          </cell>
          <cell r="RX2" t="str">
            <v>Current dividend as of 6/30/2020:</v>
          </cell>
          <cell r="RY2">
            <v>0.1802</v>
          </cell>
        </row>
      </sheetData>
      <sheetData sheetId="25"/>
      <sheetData sheetId="26"/>
      <sheetData sheetId="27"/>
      <sheetData sheetId="2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NSP MN"/>
      <sheetName val="NSP WI"/>
      <sheetName val="PSCO"/>
      <sheetName val="SPS"/>
      <sheetName val="CHEY"/>
      <sheetName val="STD Forecast"/>
      <sheetName val="Commercial Paper"/>
      <sheetName val="Std Compare"/>
    </sheetNames>
    <sheetDataSet>
      <sheetData sheetId="0"/>
      <sheetData sheetId="1"/>
      <sheetData sheetId="2"/>
      <sheetData sheetId="3"/>
      <sheetData sheetId="4"/>
      <sheetData sheetId="5"/>
      <sheetData sheetId="6"/>
      <sheetData sheetId="7"/>
      <sheetData sheetId="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NSP MN"/>
      <sheetName val="NSP WI"/>
      <sheetName val="PSCO"/>
      <sheetName val="SPS"/>
      <sheetName val="CHEY"/>
      <sheetName val="STD Forecast"/>
      <sheetName val="Commercial Paper"/>
      <sheetName val="Std Compare"/>
    </sheetNames>
    <sheetDataSet>
      <sheetData sheetId="0"/>
      <sheetData sheetId="1"/>
      <sheetData sheetId="2"/>
      <sheetData sheetId="3"/>
      <sheetData sheetId="4"/>
      <sheetData sheetId="5"/>
      <sheetData sheetId="6"/>
      <sheetData sheetId="7"/>
      <sheetData sheetId="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BneLog"/>
      <sheetName val="G"/>
      <sheetName val="Sheet1 (2)"/>
      <sheetName val="with formulas"/>
      <sheetName val="Oct 14 Swaps"/>
      <sheetName val="Jun 17 Swaps"/>
      <sheetName val="T Lock"/>
    </sheetNames>
    <sheetDataSet>
      <sheetData sheetId="0">
        <row r="1">
          <cell r="A1" t="str">
            <v>No</v>
          </cell>
        </row>
        <row r="2">
          <cell r="A2" t="str">
            <v>Yes</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BneLog"/>
      <sheetName val="G"/>
      <sheetName val="Sheet1 (2)"/>
      <sheetName val="with formulas"/>
      <sheetName val="Oct 14 Swaps"/>
      <sheetName val="Jun 17 Swaps"/>
      <sheetName val="T Lock"/>
    </sheetNames>
    <sheetDataSet>
      <sheetData sheetId="0">
        <row r="1">
          <cell r="A1" t="str">
            <v>No</v>
          </cell>
        </row>
        <row r="2">
          <cell r="A2" t="str">
            <v>Yes</v>
          </cell>
        </row>
      </sheetData>
      <sheetData sheetId="1"/>
      <sheetData sheetId="2"/>
      <sheetData sheetId="3"/>
      <sheetData sheetId="4"/>
      <sheetData sheetId="5"/>
      <sheetData sheetId="6"/>
      <sheetData sheetId="7"/>
      <sheetData sheetId="8"/>
    </sheetDataSet>
  </externalBook>
</externalLink>
</file>

<file path=xl/persons/person.xml><?xml version="1.0" encoding="utf-8"?>
<personList xmlns="http://schemas.microsoft.com/office/spreadsheetml/2018/threadedcomments" xmlns:x="http://schemas.openxmlformats.org/spreadsheetml/2006/main">
  <person displayName="Briana Adams" id="{054694C8-5087-4CF0-BBB3-5709F9132A9E}" userId="S::badams@ceadvisors.com::5387a4ff-85fc-4144-bdb2-9b295f50698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56" dT="2020-09-04T16:50:15.76" personId="{054694C8-5087-4CF0-BBB3-5709F9132A9E}" id="{BE5567D6-6363-4037-A556-275754B0CF63}">
    <text>Acquired AEP TX in 2019</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0.bin"/><Relationship Id="rId4" Type="http://schemas.microsoft.com/office/2017/10/relationships/threadedComment" Target="../threadedComments/threadedComment1.x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62C24-29A2-475A-9546-1703B9627293}">
  <dimension ref="D4:D7"/>
  <sheetViews>
    <sheetView tabSelected="1" workbookViewId="0">
      <selection activeCell="D9" sqref="D9"/>
    </sheetView>
  </sheetViews>
  <sheetFormatPr defaultRowHeight="12.75"/>
  <cols>
    <col min="1" max="1" width="12.140625" style="731" customWidth="1"/>
    <col min="2" max="16384" width="9.140625" style="731"/>
  </cols>
  <sheetData>
    <row r="4" spans="4:4">
      <c r="D4" s="731" t="s">
        <v>763</v>
      </c>
    </row>
    <row r="5" spans="4:4">
      <c r="D5" s="731" t="s">
        <v>764</v>
      </c>
    </row>
    <row r="6" spans="4:4">
      <c r="D6" s="731" t="s">
        <v>765</v>
      </c>
    </row>
    <row r="7" spans="4:4">
      <c r="D7" s="731" t="s">
        <v>766</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92D050"/>
  </sheetPr>
  <dimension ref="B1:AG60"/>
  <sheetViews>
    <sheetView zoomScale="70" zoomScaleNormal="70" workbookViewId="0">
      <selection activeCell="E27" sqref="E27"/>
    </sheetView>
  </sheetViews>
  <sheetFormatPr defaultColWidth="9" defaultRowHeight="14.25"/>
  <cols>
    <col min="1" max="1" width="9.140625" style="207" customWidth="1"/>
    <col min="2" max="2" width="30.28515625" style="207" customWidth="1"/>
    <col min="3" max="3" width="17.85546875" style="207" customWidth="1"/>
    <col min="4" max="4" width="18" style="207" customWidth="1"/>
    <col min="5" max="5" width="17" style="207" customWidth="1"/>
    <col min="6" max="6" width="15.5703125" style="207" customWidth="1"/>
    <col min="7" max="7" width="9.140625" style="207" customWidth="1"/>
    <col min="8" max="8" width="14.28515625" style="207" customWidth="1"/>
    <col min="9" max="11" width="9" style="207"/>
    <col min="12" max="20" width="10.5703125" style="207" customWidth="1"/>
    <col min="21" max="32" width="5.5703125" style="207" customWidth="1"/>
    <col min="33" max="33" width="2.85546875" style="207" customWidth="1"/>
    <col min="34" max="16384" width="9" style="207"/>
  </cols>
  <sheetData>
    <row r="1" spans="2:33" s="208" customFormat="1" ht="26.25" customHeight="1">
      <c r="B1" s="739" t="s">
        <v>576</v>
      </c>
      <c r="C1" s="739"/>
      <c r="D1" s="739"/>
      <c r="E1" s="739"/>
      <c r="O1" s="45"/>
      <c r="P1" s="45"/>
      <c r="Q1" s="45"/>
      <c r="R1" s="45"/>
      <c r="S1" s="45"/>
      <c r="T1" s="45"/>
      <c r="U1" s="45"/>
      <c r="V1" s="45"/>
      <c r="W1" s="45"/>
      <c r="X1" s="45"/>
      <c r="Y1" s="45"/>
      <c r="Z1" s="211"/>
      <c r="AA1" s="211"/>
      <c r="AB1" s="211"/>
      <c r="AC1" s="211"/>
      <c r="AD1" s="211"/>
      <c r="AE1" s="211"/>
      <c r="AF1" s="211"/>
      <c r="AG1" s="45"/>
    </row>
    <row r="2" spans="2:33" s="208" customFormat="1" ht="16.5" customHeight="1" thickBot="1">
      <c r="B2" s="751" t="s">
        <v>579</v>
      </c>
      <c r="C2" s="752"/>
      <c r="D2" s="752"/>
      <c r="E2" s="752"/>
      <c r="F2" s="106"/>
      <c r="L2" s="214"/>
      <c r="M2" s="108"/>
      <c r="O2" s="213"/>
      <c r="P2" s="45"/>
      <c r="Q2" s="45"/>
      <c r="R2" s="45"/>
      <c r="S2" s="45"/>
      <c r="T2" s="45"/>
      <c r="U2" s="45"/>
      <c r="V2" s="45"/>
      <c r="W2" s="45"/>
      <c r="X2" s="211"/>
      <c r="Y2" s="45"/>
      <c r="Z2" s="45"/>
      <c r="AA2" s="45"/>
      <c r="AB2" s="45"/>
      <c r="AC2" s="45"/>
      <c r="AD2" s="45"/>
      <c r="AE2" s="45"/>
      <c r="AF2" s="45"/>
      <c r="AG2" s="45"/>
    </row>
    <row r="3" spans="2:33" s="208" customFormat="1">
      <c r="B3" s="740" t="s">
        <v>0</v>
      </c>
      <c r="C3" s="741"/>
      <c r="D3" s="741"/>
      <c r="E3" s="742"/>
      <c r="F3" s="106"/>
      <c r="J3" s="215"/>
      <c r="K3" s="209"/>
      <c r="L3" s="209"/>
      <c r="M3" s="209"/>
      <c r="N3" s="209"/>
      <c r="O3" s="45"/>
      <c r="P3" s="45"/>
      <c r="Q3" s="45"/>
      <c r="R3" s="45"/>
      <c r="S3" s="45"/>
      <c r="T3" s="45"/>
      <c r="U3" s="45"/>
      <c r="V3" s="45"/>
      <c r="W3" s="45"/>
      <c r="X3" s="45"/>
      <c r="Y3" s="45"/>
      <c r="Z3" s="45"/>
      <c r="AA3" s="45"/>
      <c r="AB3" s="45"/>
      <c r="AC3" s="45"/>
      <c r="AD3" s="45"/>
      <c r="AE3" s="45"/>
      <c r="AF3" s="45"/>
      <c r="AG3" s="45"/>
    </row>
    <row r="4" spans="2:33" s="208" customFormat="1" ht="15">
      <c r="B4" s="372"/>
      <c r="C4" s="373" t="s">
        <v>418</v>
      </c>
      <c r="D4" s="373" t="s">
        <v>99</v>
      </c>
      <c r="E4" s="374" t="s">
        <v>419</v>
      </c>
      <c r="F4" s="106"/>
      <c r="J4" s="209"/>
      <c r="K4" s="209"/>
      <c r="L4" s="209"/>
      <c r="M4" s="209"/>
      <c r="N4" s="209"/>
      <c r="O4" s="45"/>
      <c r="P4" s="45"/>
      <c r="Q4" s="45"/>
      <c r="R4" s="45"/>
      <c r="S4" s="45"/>
      <c r="T4" s="45"/>
      <c r="U4" s="45"/>
      <c r="V4" s="45"/>
      <c r="W4" s="45"/>
      <c r="X4" s="45"/>
      <c r="Y4" s="45"/>
      <c r="Z4" s="45"/>
      <c r="AA4" s="45"/>
      <c r="AB4" s="45"/>
      <c r="AC4" s="45"/>
      <c r="AD4" s="45"/>
      <c r="AE4" s="45"/>
      <c r="AF4" s="45"/>
      <c r="AG4" s="45"/>
    </row>
    <row r="5" spans="2:33" s="209" customFormat="1">
      <c r="B5" s="219" t="s">
        <v>3</v>
      </c>
      <c r="C5" s="218">
        <f>'Schedule-3 Constant DCF 1 Gas P'!O15</f>
        <v>9.7598422291554618E-2</v>
      </c>
      <c r="D5" s="218">
        <f>'Schedule-3 Constant DCF 1 Gas P'!P15</f>
        <v>0.10546881846678452</v>
      </c>
      <c r="E5" s="217">
        <f>'Schedule-3 Constant DCF 1 Gas P'!Q15</f>
        <v>0.1180917915469506</v>
      </c>
      <c r="F5" s="361"/>
      <c r="I5" s="208"/>
      <c r="L5" s="45"/>
      <c r="M5" s="383" t="s">
        <v>1</v>
      </c>
      <c r="N5" s="383" t="s">
        <v>2</v>
      </c>
    </row>
    <row r="6" spans="2:33" s="209" customFormat="1">
      <c r="B6" s="219" t="s">
        <v>4</v>
      </c>
      <c r="C6" s="218">
        <f>'Schedule-3 Constant DCF 1 Gas P'!O46</f>
        <v>9.9011853525451318E-2</v>
      </c>
      <c r="D6" s="218">
        <f>'Schedule-3 Constant DCF 1 Gas P'!P46</f>
        <v>0.10191225739307902</v>
      </c>
      <c r="E6" s="217">
        <f>'Schedule-3 Constant DCF 1 Gas P'!Q46</f>
        <v>0.11451299220600157</v>
      </c>
      <c r="I6" s="208"/>
      <c r="L6" s="46" t="s">
        <v>0</v>
      </c>
      <c r="M6" s="108">
        <f>MIN(C8:E8)</f>
        <v>9.7717558273285751E-2</v>
      </c>
      <c r="N6" s="369">
        <v>5</v>
      </c>
    </row>
    <row r="7" spans="2:33" s="209" customFormat="1">
      <c r="B7" s="219" t="s">
        <v>6</v>
      </c>
      <c r="C7" s="218">
        <f>'Schedule-3 Constant DCF 1 Gas P'!O77</f>
        <v>9.654239900285129E-2</v>
      </c>
      <c r="D7" s="218">
        <f>'Schedule-3 Constant DCF 1 Gas P'!P77</f>
        <v>9.9195606297382929E-2</v>
      </c>
      <c r="E7" s="217">
        <f>'Schedule-3 Constant DCF 1 Gas P'!Q77</f>
        <v>0.11178068346441421</v>
      </c>
      <c r="I7" s="208"/>
      <c r="L7" s="46"/>
      <c r="M7" s="106">
        <f>MAX(C8:E8)</f>
        <v>0.11479515573912213</v>
      </c>
      <c r="N7" s="47">
        <f>N6</f>
        <v>5</v>
      </c>
    </row>
    <row r="8" spans="2:33" s="208" customFormat="1" ht="15" customHeight="1">
      <c r="B8" s="231" t="s">
        <v>7</v>
      </c>
      <c r="C8" s="232">
        <f>AVERAGE(C5:C7)</f>
        <v>9.7717558273285751E-2</v>
      </c>
      <c r="D8" s="232">
        <f>AVERAGE(D5:D7)</f>
        <v>0.10219222738574883</v>
      </c>
      <c r="E8" s="233">
        <f>AVERAGE(E5:E7)</f>
        <v>0.11479515573912213</v>
      </c>
      <c r="J8" s="209"/>
      <c r="N8" s="370"/>
    </row>
    <row r="9" spans="2:33" s="208" customFormat="1" ht="15" customHeight="1">
      <c r="B9" s="732" t="s">
        <v>9</v>
      </c>
      <c r="C9" s="733"/>
      <c r="D9" s="733"/>
      <c r="E9" s="734"/>
      <c r="J9" s="108"/>
      <c r="N9" s="370"/>
    </row>
    <row r="10" spans="2:33" s="208" customFormat="1" ht="42.75">
      <c r="B10" s="227"/>
      <c r="C10" s="226" t="s">
        <v>10</v>
      </c>
      <c r="D10" s="226" t="s">
        <v>11</v>
      </c>
      <c r="E10" s="225" t="s">
        <v>12</v>
      </c>
      <c r="I10" s="209"/>
      <c r="L10" s="48" t="s">
        <v>5</v>
      </c>
      <c r="M10" s="106">
        <f>MIN(C11:E12)</f>
        <v>0.11602182188469441</v>
      </c>
      <c r="N10" s="369">
        <v>4</v>
      </c>
    </row>
    <row r="11" spans="2:33" s="208" customFormat="1" ht="15" customHeight="1">
      <c r="B11" s="222" t="s">
        <v>14</v>
      </c>
      <c r="C11" s="221">
        <f>'Schedule-4 CAPM Gas Proxy 1'!H13</f>
        <v>0.12219164559456862</v>
      </c>
      <c r="D11" s="221">
        <f>'Schedule-4 CAPM Gas Proxy 1'!H36</f>
        <v>0.12263714559456861</v>
      </c>
      <c r="E11" s="220">
        <f>'Schedule-4 CAPM Gas Proxy 1'!H59</f>
        <v>0.1245571455945686</v>
      </c>
      <c r="G11" s="108">
        <f>AVERAGE(C11:E15)</f>
        <v>0.12282648390268841</v>
      </c>
      <c r="I11" s="209"/>
      <c r="L11" s="48"/>
      <c r="M11" s="106">
        <f>MAX(C11:E12)</f>
        <v>0.1245571455945686</v>
      </c>
      <c r="N11" s="47">
        <f>N10</f>
        <v>4</v>
      </c>
    </row>
    <row r="12" spans="2:33" s="208" customFormat="1" ht="15" customHeight="1">
      <c r="B12" s="219" t="s">
        <v>15</v>
      </c>
      <c r="C12" s="218">
        <f>'Schedule-4 CAPM Gas Proxy 1'!H82</f>
        <v>0.11602182188469441</v>
      </c>
      <c r="D12" s="218">
        <f>'Schedule-4 CAPM Gas Proxy 1'!H105</f>
        <v>0.11661159274931304</v>
      </c>
      <c r="E12" s="217">
        <f>'Schedule-4 CAPM Gas Proxy 1'!H128</f>
        <v>0.11915336617258519</v>
      </c>
      <c r="G12" s="368" t="s">
        <v>420</v>
      </c>
      <c r="I12" s="209"/>
      <c r="J12" s="207"/>
      <c r="K12" s="207"/>
      <c r="N12" s="370"/>
      <c r="O12" s="211"/>
      <c r="P12" s="210"/>
      <c r="Q12" s="210"/>
      <c r="R12" s="210"/>
      <c r="AC12" s="213"/>
    </row>
    <row r="13" spans="2:33" s="208" customFormat="1" ht="15">
      <c r="B13" s="732" t="s">
        <v>17</v>
      </c>
      <c r="C13" s="733"/>
      <c r="D13" s="733"/>
      <c r="E13" s="734"/>
      <c r="J13" s="207"/>
      <c r="K13" s="207"/>
      <c r="N13" s="370"/>
      <c r="O13" s="211"/>
      <c r="AC13" s="211"/>
      <c r="AD13" s="210"/>
      <c r="AE13" s="210"/>
      <c r="AF13" s="210"/>
      <c r="AG13" s="210"/>
    </row>
    <row r="14" spans="2:33" s="208" customFormat="1" ht="15">
      <c r="B14" s="222" t="s">
        <v>14</v>
      </c>
      <c r="C14" s="221">
        <f>'Schedule-4 CAPM Gas Proxy 1'!I13</f>
        <v>0.12695465937079958</v>
      </c>
      <c r="D14" s="221">
        <f>'Schedule-4 CAPM Gas Proxy 1'!I36</f>
        <v>0.12728878437079957</v>
      </c>
      <c r="E14" s="220">
        <f>'Schedule-4 CAPM Gas Proxy 1'!I59</f>
        <v>0.12872878437079957</v>
      </c>
      <c r="J14" s="207"/>
      <c r="K14" s="207"/>
      <c r="L14" s="48" t="s">
        <v>8</v>
      </c>
      <c r="M14" s="106">
        <f>MIN(C14:E15)</f>
        <v>0.12232729158839394</v>
      </c>
      <c r="N14" s="369">
        <v>3</v>
      </c>
      <c r="O14" s="211"/>
      <c r="AC14" s="211"/>
      <c r="AD14" s="210"/>
      <c r="AE14" s="210"/>
      <c r="AF14" s="210"/>
      <c r="AG14" s="210"/>
    </row>
    <row r="15" spans="2:33" s="208" customFormat="1" ht="15" customHeight="1">
      <c r="B15" s="222" t="s">
        <v>15</v>
      </c>
      <c r="C15" s="221">
        <f>'Schedule-4 CAPM Gas Proxy 1'!I82</f>
        <v>0.12232729158839394</v>
      </c>
      <c r="D15" s="221">
        <f>'Schedule-4 CAPM Gas Proxy 1'!I105</f>
        <v>0.1227696197368579</v>
      </c>
      <c r="E15" s="220">
        <f>'Schedule-4 CAPM Gas Proxy 1'!I128</f>
        <v>0.12467594980431201</v>
      </c>
      <c r="F15" s="108"/>
      <c r="J15" s="207"/>
      <c r="K15" s="207"/>
      <c r="L15" s="48"/>
      <c r="M15" s="106">
        <f>MAX(C14:E15)</f>
        <v>0.12872878437079957</v>
      </c>
      <c r="N15" s="47">
        <f>N14</f>
        <v>3</v>
      </c>
      <c r="O15" s="211"/>
      <c r="AC15" s="211"/>
      <c r="AD15" s="210"/>
      <c r="AE15" s="210"/>
      <c r="AF15" s="210"/>
      <c r="AG15" s="210"/>
    </row>
    <row r="16" spans="2:33" s="208" customFormat="1" ht="15" customHeight="1">
      <c r="B16" s="732" t="s">
        <v>416</v>
      </c>
      <c r="C16" s="733"/>
      <c r="D16" s="733"/>
      <c r="E16" s="734"/>
      <c r="F16" s="108"/>
      <c r="J16" s="207"/>
      <c r="N16" s="370"/>
      <c r="O16" s="211"/>
      <c r="AC16" s="211"/>
      <c r="AD16" s="210"/>
      <c r="AE16" s="210"/>
      <c r="AF16" s="210"/>
      <c r="AG16" s="210"/>
    </row>
    <row r="17" spans="2:33" s="208" customFormat="1" ht="42.75">
      <c r="B17" s="375"/>
      <c r="C17" s="376" t="s">
        <v>10</v>
      </c>
      <c r="D17" s="376" t="s">
        <v>11</v>
      </c>
      <c r="E17" s="377" t="s">
        <v>12</v>
      </c>
      <c r="F17" s="108"/>
      <c r="L17" s="215" t="s">
        <v>416</v>
      </c>
      <c r="M17" s="371">
        <f>C18</f>
        <v>9.1103926659224982E-2</v>
      </c>
      <c r="N17" s="381">
        <v>2</v>
      </c>
      <c r="O17" s="211"/>
      <c r="AC17" s="211"/>
      <c r="AD17" s="210"/>
      <c r="AE17" s="210"/>
      <c r="AF17" s="210"/>
      <c r="AG17" s="210"/>
    </row>
    <row r="18" spans="2:33" s="208" customFormat="1" ht="15" customHeight="1">
      <c r="B18" s="378" t="s">
        <v>417</v>
      </c>
      <c r="C18" s="379">
        <f>'Schedule-5 Risk Premium Gas P'!M50</f>
        <v>9.1103926659224982E-2</v>
      </c>
      <c r="D18" s="379">
        <f>'Schedule-5 Risk Premium Gas P'!M51</f>
        <v>9.2366423253233243E-2</v>
      </c>
      <c r="E18" s="380">
        <f>'Schedule-5 Risk Premium Gas P'!M52</f>
        <v>9.7807486015289075E-2</v>
      </c>
      <c r="F18" s="108"/>
      <c r="L18" s="215"/>
      <c r="M18" s="371">
        <f>E18</f>
        <v>9.7807486015289075E-2</v>
      </c>
      <c r="N18" s="382">
        <f>N17</f>
        <v>2</v>
      </c>
      <c r="O18" s="211"/>
      <c r="AC18" s="211"/>
      <c r="AD18" s="210"/>
      <c r="AE18" s="210"/>
      <c r="AF18" s="210"/>
      <c r="AG18" s="210"/>
    </row>
    <row r="19" spans="2:33" s="208" customFormat="1" ht="15" customHeight="1">
      <c r="B19" s="732" t="s">
        <v>19</v>
      </c>
      <c r="C19" s="733"/>
      <c r="D19" s="733"/>
      <c r="E19" s="734"/>
      <c r="J19" s="207"/>
      <c r="N19" s="370"/>
      <c r="O19" s="45"/>
      <c r="P19" s="45"/>
      <c r="Q19" s="45"/>
      <c r="R19" s="45"/>
      <c r="S19" s="45"/>
      <c r="T19" s="45"/>
      <c r="U19" s="45"/>
      <c r="V19" s="45"/>
      <c r="W19" s="45"/>
      <c r="X19" s="45"/>
      <c r="Y19" s="45"/>
      <c r="Z19" s="45"/>
      <c r="AA19" s="45"/>
      <c r="AB19" s="45"/>
      <c r="AC19" s="45"/>
      <c r="AD19" s="45"/>
      <c r="AE19" s="45"/>
      <c r="AF19" s="45"/>
      <c r="AG19" s="45"/>
    </row>
    <row r="20" spans="2:33" ht="15" thickBot="1">
      <c r="B20" s="216" t="s">
        <v>19</v>
      </c>
      <c r="C20" s="736">
        <f>'Schedule-6 Exp Earnings Gas P'!M14</f>
        <v>9.5257115746263429E-2</v>
      </c>
      <c r="D20" s="737"/>
      <c r="E20" s="738"/>
      <c r="I20" s="208"/>
      <c r="L20" s="46" t="s">
        <v>13</v>
      </c>
      <c r="M20" s="106">
        <f>MIN(C20:E20)</f>
        <v>9.5257115746263429E-2</v>
      </c>
      <c r="N20" s="369">
        <v>1</v>
      </c>
    </row>
    <row r="21" spans="2:33">
      <c r="L21" s="45"/>
      <c r="M21" s="106">
        <f>MAX(C20:E20)</f>
        <v>9.5257115746263429E-2</v>
      </c>
      <c r="N21" s="47">
        <f>N20</f>
        <v>1</v>
      </c>
    </row>
    <row r="22" spans="2:33" ht="13.9" customHeight="1">
      <c r="I22" s="208"/>
    </row>
    <row r="23" spans="2:33" ht="15">
      <c r="B23" s="212" t="s">
        <v>21</v>
      </c>
      <c r="C23" s="361"/>
      <c r="D23" s="361"/>
      <c r="E23" s="361"/>
      <c r="I23" s="208"/>
      <c r="L23" s="48" t="s">
        <v>16</v>
      </c>
      <c r="M23" s="384">
        <v>9.7500000000000003E-2</v>
      </c>
      <c r="N23" s="369">
        <v>0</v>
      </c>
    </row>
    <row r="24" spans="2:33" ht="13.9" customHeight="1">
      <c r="B24" s="744" t="s">
        <v>22</v>
      </c>
      <c r="C24" s="744"/>
      <c r="D24" s="744"/>
      <c r="E24" s="744"/>
      <c r="L24" s="48"/>
      <c r="M24" s="371">
        <f>M23</f>
        <v>9.7500000000000003E-2</v>
      </c>
      <c r="N24" s="369">
        <v>6</v>
      </c>
    </row>
    <row r="25" spans="2:33" ht="28.15" customHeight="1">
      <c r="B25" s="744"/>
      <c r="C25" s="744"/>
      <c r="D25" s="744"/>
      <c r="E25" s="744"/>
      <c r="L25" s="48" t="s">
        <v>18</v>
      </c>
      <c r="M25" s="384">
        <v>0.10249999999999999</v>
      </c>
      <c r="N25" s="47">
        <f>N23</f>
        <v>0</v>
      </c>
    </row>
    <row r="26" spans="2:33">
      <c r="L26" s="45"/>
      <c r="M26" s="371">
        <f>M25</f>
        <v>0.10249999999999999</v>
      </c>
      <c r="N26" s="47">
        <f>N24</f>
        <v>6</v>
      </c>
    </row>
    <row r="32" spans="2:33" s="209" customFormat="1">
      <c r="B32" s="300"/>
      <c r="C32" s="300"/>
      <c r="D32" s="300"/>
      <c r="E32" s="300"/>
      <c r="F32" s="300"/>
    </row>
    <row r="33" spans="2:33" s="209" customFormat="1">
      <c r="B33" s="739" t="s">
        <v>577</v>
      </c>
      <c r="C33" s="739"/>
      <c r="D33" s="739"/>
      <c r="E33" s="739"/>
    </row>
    <row r="34" spans="2:33" s="209" customFormat="1" ht="15" thickBot="1">
      <c r="B34" s="751" t="s">
        <v>580</v>
      </c>
      <c r="C34" s="752"/>
      <c r="D34" s="752"/>
      <c r="E34" s="752"/>
    </row>
    <row r="35" spans="2:33" s="208" customFormat="1" ht="15" customHeight="1">
      <c r="B35" s="745" t="s">
        <v>0</v>
      </c>
      <c r="C35" s="746"/>
      <c r="D35" s="746"/>
      <c r="E35" s="747"/>
      <c r="J35" s="209"/>
      <c r="K35" s="209"/>
      <c r="L35" s="45"/>
      <c r="M35" s="45" t="s">
        <v>1</v>
      </c>
      <c r="N35" s="45" t="s">
        <v>2</v>
      </c>
    </row>
    <row r="36" spans="2:33" s="208" customFormat="1" ht="15" customHeight="1">
      <c r="B36" s="227"/>
      <c r="C36" s="373" t="s">
        <v>418</v>
      </c>
      <c r="D36" s="373" t="s">
        <v>99</v>
      </c>
      <c r="E36" s="374" t="s">
        <v>419</v>
      </c>
      <c r="J36" s="209"/>
      <c r="K36" s="209"/>
      <c r="L36" s="46" t="s">
        <v>260</v>
      </c>
      <c r="M36" s="108">
        <f>MIN(C40:E40)</f>
        <v>9.7717558273285751E-2</v>
      </c>
      <c r="N36" s="369">
        <v>8</v>
      </c>
    </row>
    <row r="37" spans="2:33" s="208" customFormat="1" ht="15" customHeight="1">
      <c r="B37" s="219" t="s">
        <v>3</v>
      </c>
      <c r="C37" s="218">
        <f>'Schedule-3 Constant DCF 1 Gas P'!O16</f>
        <v>9.7598422291554618E-2</v>
      </c>
      <c r="D37" s="218">
        <f>'Schedule-3 Constant DCF 1 Gas P'!P16</f>
        <v>0.10379529943760021</v>
      </c>
      <c r="E37" s="218">
        <f>'Schedule-3 Constant DCF 1 Gas P'!Q16</f>
        <v>0.1165635752794759</v>
      </c>
      <c r="J37" s="108"/>
      <c r="L37" s="46"/>
      <c r="M37" s="106">
        <f>MAX(C40:E40)</f>
        <v>0.11324520890892996</v>
      </c>
      <c r="N37" s="47">
        <f>N36</f>
        <v>8</v>
      </c>
    </row>
    <row r="38" spans="2:33" s="208" customFormat="1" ht="15" customHeight="1">
      <c r="B38" s="219" t="s">
        <v>4</v>
      </c>
      <c r="C38" s="218">
        <f>'Schedule-3 Constant DCF 1 Gas P'!O47</f>
        <v>9.9011853525451318E-2</v>
      </c>
      <c r="D38" s="218">
        <f>'Schedule-3 Constant DCF 1 Gas P'!P47</f>
        <v>0.10023480368491679</v>
      </c>
      <c r="E38" s="218">
        <f>'Schedule-3 Constant DCF 1 Gas P'!Q47</f>
        <v>0.11298068255335569</v>
      </c>
      <c r="L38" s="46" t="s">
        <v>0</v>
      </c>
      <c r="M38" s="108">
        <f>MIN($C$8:$E$8)</f>
        <v>9.7717558273285751E-2</v>
      </c>
      <c r="N38" s="370">
        <v>8.5</v>
      </c>
    </row>
    <row r="39" spans="2:33" s="208" customFormat="1" ht="15" customHeight="1">
      <c r="B39" s="219" t="s">
        <v>6</v>
      </c>
      <c r="C39" s="218">
        <f>'Schedule-3 Constant DCF 1 Gas P'!O78</f>
        <v>9.654239900285129E-2</v>
      </c>
      <c r="D39" s="218">
        <f>'Schedule-3 Constant DCF 1 Gas P'!P78</f>
        <v>9.7461806235327478E-2</v>
      </c>
      <c r="E39" s="218">
        <f>'Schedule-3 Constant DCF 1 Gas P'!Q78</f>
        <v>0.11019136889395827</v>
      </c>
      <c r="M39" s="108">
        <f>MAX($C$8:$E$8)</f>
        <v>0.11479515573912213</v>
      </c>
      <c r="N39" s="208">
        <f>N38</f>
        <v>8.5</v>
      </c>
      <c r="O39" s="211"/>
      <c r="P39" s="210"/>
      <c r="Q39" s="210"/>
      <c r="R39" s="210"/>
      <c r="AC39" s="213"/>
    </row>
    <row r="40" spans="2:33" s="208" customFormat="1" ht="15" customHeight="1">
      <c r="B40" s="231" t="s">
        <v>7</v>
      </c>
      <c r="C40" s="232">
        <f>AVERAGE(C37:C39)</f>
        <v>9.7717558273285751E-2</v>
      </c>
      <c r="D40" s="232">
        <f>AVERAGE(D37:D39)</f>
        <v>0.1004973031192815</v>
      </c>
      <c r="E40" s="233">
        <f>AVERAGE(E37:E39)</f>
        <v>0.11324520890892996</v>
      </c>
      <c r="L40" s="48" t="s">
        <v>261</v>
      </c>
      <c r="M40" s="106">
        <f>MIN(C43:E44)</f>
        <v>0.11638819718378703</v>
      </c>
      <c r="N40" s="369">
        <v>6.5</v>
      </c>
      <c r="O40" s="211"/>
      <c r="AC40" s="211"/>
      <c r="AD40" s="210"/>
      <c r="AE40" s="210"/>
      <c r="AF40" s="210"/>
      <c r="AG40" s="210"/>
    </row>
    <row r="41" spans="2:33" s="208" customFormat="1" ht="15">
      <c r="B41" s="748" t="s">
        <v>9</v>
      </c>
      <c r="C41" s="749"/>
      <c r="D41" s="749"/>
      <c r="E41" s="750"/>
      <c r="L41" s="48"/>
      <c r="M41" s="106">
        <f>MAX(C43:E44)</f>
        <v>0.12535174345670783</v>
      </c>
      <c r="N41" s="47">
        <f>N40</f>
        <v>6.5</v>
      </c>
      <c r="O41" s="211"/>
      <c r="AC41" s="211"/>
      <c r="AD41" s="210"/>
      <c r="AE41" s="210"/>
      <c r="AF41" s="210"/>
      <c r="AG41" s="210"/>
    </row>
    <row r="42" spans="2:33" s="208" customFormat="1" ht="42.75">
      <c r="B42" s="227"/>
      <c r="C42" s="226" t="s">
        <v>10</v>
      </c>
      <c r="D42" s="226" t="s">
        <v>11</v>
      </c>
      <c r="E42" s="225" t="s">
        <v>12</v>
      </c>
      <c r="L42" s="48" t="s">
        <v>5</v>
      </c>
      <c r="M42" s="108">
        <f>MIN($C$11:$E$12)</f>
        <v>0.11602182188469441</v>
      </c>
      <c r="N42" s="370">
        <v>7</v>
      </c>
      <c r="O42" s="211"/>
      <c r="AC42" s="211"/>
      <c r="AD42" s="210"/>
      <c r="AE42" s="210"/>
      <c r="AF42" s="210"/>
      <c r="AG42" s="210"/>
    </row>
    <row r="43" spans="2:33" s="208" customFormat="1" ht="15">
      <c r="B43" s="222" t="s">
        <v>14</v>
      </c>
      <c r="C43" s="221">
        <f>'Schedule-4 CAPM Gas Proxy 1'!H14</f>
        <v>0.1230988863138507</v>
      </c>
      <c r="D43" s="221">
        <f>'Schedule-4 CAPM Gas Proxy 1'!H37</f>
        <v>0.12352317202813641</v>
      </c>
      <c r="E43" s="220">
        <f>'Schedule-4 CAPM Gas Proxy 1'!H60</f>
        <v>0.12535174345670783</v>
      </c>
      <c r="F43" s="108"/>
      <c r="M43" s="108">
        <f>MAX($C$11:$E$12)</f>
        <v>0.1245571455945686</v>
      </c>
      <c r="N43" s="208">
        <f>N42</f>
        <v>7</v>
      </c>
      <c r="O43" s="211"/>
      <c r="AC43" s="211"/>
      <c r="AD43" s="210"/>
      <c r="AE43" s="210"/>
      <c r="AF43" s="210"/>
      <c r="AG43" s="210"/>
    </row>
    <row r="44" spans="2:33" s="208" customFormat="1" ht="15" customHeight="1">
      <c r="B44" s="219" t="s">
        <v>15</v>
      </c>
      <c r="C44" s="218">
        <f>'Schedule-4 CAPM Gas Proxy 1'!H83</f>
        <v>0.11638819718378703</v>
      </c>
      <c r="D44" s="218">
        <f>'Schedule-4 CAPM Gas Proxy 1'!H106</f>
        <v>0.11696940098333855</v>
      </c>
      <c r="E44" s="217">
        <f>'Schedule-4 CAPM Gas Proxy 1'!H129</f>
        <v>0.11947425237534512</v>
      </c>
      <c r="L44" s="48" t="s">
        <v>259</v>
      </c>
      <c r="M44" s="106">
        <f>MIN(C46:E47)</f>
        <v>0.1226020730627134</v>
      </c>
      <c r="N44" s="369">
        <v>4.5</v>
      </c>
      <c r="O44" s="45"/>
      <c r="P44" s="45"/>
      <c r="Q44" s="45"/>
      <c r="R44" s="45"/>
      <c r="S44" s="45"/>
      <c r="T44" s="45"/>
      <c r="U44" s="45"/>
      <c r="V44" s="45"/>
      <c r="W44" s="45"/>
      <c r="X44" s="45"/>
      <c r="Y44" s="45"/>
      <c r="Z44" s="45"/>
      <c r="AA44" s="45"/>
      <c r="AB44" s="45"/>
      <c r="AC44" s="45"/>
      <c r="AD44" s="45"/>
      <c r="AE44" s="45"/>
      <c r="AF44" s="45"/>
      <c r="AG44" s="45"/>
    </row>
    <row r="45" spans="2:33" s="208" customFormat="1">
      <c r="B45" s="748" t="s">
        <v>17</v>
      </c>
      <c r="C45" s="749"/>
      <c r="D45" s="749"/>
      <c r="E45" s="750"/>
      <c r="L45" s="48"/>
      <c r="M45" s="106">
        <f>MAX(C46:E47)</f>
        <v>0.129324732767404</v>
      </c>
      <c r="N45" s="47">
        <f>N44</f>
        <v>4.5</v>
      </c>
      <c r="O45" s="107"/>
      <c r="P45" s="107"/>
      <c r="Q45" s="107"/>
      <c r="R45" s="107"/>
      <c r="S45" s="107"/>
      <c r="T45" s="107"/>
      <c r="U45" s="107"/>
      <c r="V45" s="107"/>
      <c r="W45" s="107"/>
      <c r="X45" s="107"/>
      <c r="Y45" s="107"/>
      <c r="Z45" s="107"/>
      <c r="AA45" s="107"/>
      <c r="AB45" s="107"/>
      <c r="AC45" s="107"/>
      <c r="AD45" s="107"/>
      <c r="AE45" s="107"/>
      <c r="AF45" s="45"/>
      <c r="AG45" s="45"/>
    </row>
    <row r="46" spans="2:33" s="208" customFormat="1">
      <c r="B46" s="222" t="s">
        <v>14</v>
      </c>
      <c r="C46" s="221">
        <f>'Schedule-4 CAPM Gas Proxy 1'!I14</f>
        <v>0.12763508991026115</v>
      </c>
      <c r="D46" s="221">
        <f>'Schedule-4 CAPM Gas Proxy 1'!I37</f>
        <v>0.12795330419597542</v>
      </c>
      <c r="E46" s="220">
        <f>'Schedule-4 CAPM Gas Proxy 1'!I60</f>
        <v>0.129324732767404</v>
      </c>
      <c r="L46" s="48" t="s">
        <v>8</v>
      </c>
      <c r="M46" s="108">
        <f>MIN(C14:E15)</f>
        <v>0.12232729158839394</v>
      </c>
      <c r="N46" s="370">
        <v>5</v>
      </c>
      <c r="O46" s="107"/>
      <c r="P46" s="107"/>
      <c r="Q46" s="107"/>
      <c r="R46" s="107"/>
      <c r="S46" s="107"/>
      <c r="T46" s="107"/>
      <c r="U46" s="107"/>
      <c r="V46" s="107"/>
      <c r="W46" s="107"/>
      <c r="X46" s="107"/>
      <c r="Y46" s="107"/>
      <c r="Z46" s="107"/>
      <c r="AA46" s="107"/>
      <c r="AB46" s="107"/>
      <c r="AC46" s="107"/>
      <c r="AD46" s="107"/>
      <c r="AE46" s="107"/>
      <c r="AF46" s="45"/>
      <c r="AG46" s="45"/>
    </row>
    <row r="47" spans="2:33" s="208" customFormat="1" ht="15" customHeight="1">
      <c r="B47" s="222" t="s">
        <v>15</v>
      </c>
      <c r="C47" s="221">
        <f>'Schedule-4 CAPM Gas Proxy 1'!I83</f>
        <v>0.1226020730627134</v>
      </c>
      <c r="D47" s="221">
        <f>'Schedule-4 CAPM Gas Proxy 1'!I106</f>
        <v>0.12303797591237702</v>
      </c>
      <c r="E47" s="220">
        <f>'Schedule-4 CAPM Gas Proxy 1'!I129</f>
        <v>0.12491661445638194</v>
      </c>
      <c r="M47" s="108">
        <f>MAX(C14:E15)</f>
        <v>0.12872878437079957</v>
      </c>
      <c r="N47" s="208">
        <f>N46</f>
        <v>5</v>
      </c>
      <c r="O47" s="45"/>
      <c r="P47" s="45"/>
      <c r="Q47" s="45"/>
      <c r="R47" s="45"/>
      <c r="S47" s="45"/>
      <c r="T47" s="45"/>
      <c r="U47" s="45"/>
      <c r="V47" s="45"/>
      <c r="W47" s="45"/>
      <c r="X47" s="45"/>
      <c r="Y47" s="45"/>
      <c r="Z47" s="45"/>
      <c r="AA47" s="45"/>
      <c r="AB47" s="45"/>
      <c r="AC47" s="45"/>
      <c r="AD47" s="45"/>
      <c r="AE47" s="45"/>
      <c r="AF47" s="45"/>
      <c r="AG47" s="45"/>
    </row>
    <row r="48" spans="2:33" s="208" customFormat="1" ht="15" customHeight="1">
      <c r="B48" s="732" t="s">
        <v>416</v>
      </c>
      <c r="C48" s="733"/>
      <c r="D48" s="733"/>
      <c r="E48" s="734"/>
      <c r="M48" s="108"/>
      <c r="N48" s="370"/>
      <c r="O48" s="45"/>
      <c r="P48" s="45"/>
      <c r="Q48" s="45"/>
      <c r="R48" s="45"/>
      <c r="S48" s="45"/>
      <c r="T48" s="45"/>
      <c r="U48" s="45"/>
      <c r="V48" s="45"/>
      <c r="W48" s="45"/>
      <c r="X48" s="45"/>
      <c r="Y48" s="45"/>
      <c r="Z48" s="45"/>
      <c r="AA48" s="45"/>
      <c r="AB48" s="45"/>
      <c r="AC48" s="45"/>
      <c r="AD48" s="45"/>
      <c r="AE48" s="45"/>
      <c r="AF48" s="45"/>
      <c r="AG48" s="45"/>
    </row>
    <row r="49" spans="2:33" s="208" customFormat="1" ht="42.75">
      <c r="B49" s="375"/>
      <c r="C49" s="376" t="s">
        <v>10</v>
      </c>
      <c r="D49" s="376" t="s">
        <v>11</v>
      </c>
      <c r="E49" s="377" t="s">
        <v>12</v>
      </c>
      <c r="L49" s="215" t="s">
        <v>416</v>
      </c>
      <c r="M49" s="371">
        <f>C50</f>
        <v>9.1103926659224982E-2</v>
      </c>
      <c r="N49" s="381">
        <v>3</v>
      </c>
      <c r="O49" s="45"/>
      <c r="P49" s="45"/>
      <c r="Q49" s="45"/>
      <c r="R49" s="45"/>
      <c r="S49" s="45"/>
      <c r="T49" s="45"/>
      <c r="U49" s="45"/>
      <c r="V49" s="45"/>
      <c r="W49" s="45"/>
      <c r="X49" s="45"/>
      <c r="Y49" s="45"/>
      <c r="Z49" s="45"/>
      <c r="AA49" s="45"/>
      <c r="AB49" s="45"/>
      <c r="AC49" s="45"/>
      <c r="AD49" s="45"/>
      <c r="AE49" s="45"/>
      <c r="AF49" s="45"/>
      <c r="AG49" s="45"/>
    </row>
    <row r="50" spans="2:33" s="208" customFormat="1" ht="15" customHeight="1">
      <c r="B50" s="378" t="s">
        <v>417</v>
      </c>
      <c r="C50" s="379">
        <f>'Schedule-5 Risk Premium Gas P'!M50</f>
        <v>9.1103926659224982E-2</v>
      </c>
      <c r="D50" s="379">
        <f>'Schedule-5 Risk Premium Gas P'!M51</f>
        <v>9.2366423253233243E-2</v>
      </c>
      <c r="E50" s="380">
        <f>'Schedule-5 Risk Premium Gas P'!M52</f>
        <v>9.7807486015289075E-2</v>
      </c>
      <c r="L50" s="215"/>
      <c r="M50" s="371">
        <f>E50</f>
        <v>9.7807486015289075E-2</v>
      </c>
      <c r="N50" s="382">
        <f>N49</f>
        <v>3</v>
      </c>
      <c r="O50" s="45"/>
      <c r="P50" s="45"/>
      <c r="Q50" s="45"/>
      <c r="R50" s="45"/>
      <c r="S50" s="45"/>
      <c r="T50" s="45"/>
      <c r="U50" s="45"/>
      <c r="V50" s="45"/>
      <c r="W50" s="45"/>
      <c r="X50" s="45"/>
      <c r="Y50" s="45"/>
      <c r="Z50" s="45"/>
      <c r="AA50" s="45"/>
      <c r="AB50" s="45"/>
      <c r="AC50" s="45"/>
      <c r="AD50" s="45"/>
      <c r="AE50" s="45"/>
      <c r="AF50" s="45"/>
      <c r="AG50" s="45"/>
    </row>
    <row r="51" spans="2:33" s="208" customFormat="1">
      <c r="B51" s="732" t="s">
        <v>19</v>
      </c>
      <c r="C51" s="733"/>
      <c r="D51" s="733"/>
      <c r="E51" s="734"/>
      <c r="O51" s="45"/>
      <c r="P51" s="45"/>
      <c r="Q51" s="45"/>
      <c r="R51" s="45"/>
      <c r="S51" s="45"/>
      <c r="T51" s="45"/>
      <c r="U51" s="45"/>
      <c r="V51" s="45"/>
      <c r="W51" s="45"/>
      <c r="X51" s="45"/>
      <c r="Y51" s="45"/>
      <c r="Z51" s="45"/>
      <c r="AA51" s="45"/>
      <c r="AB51" s="45"/>
      <c r="AC51" s="45"/>
      <c r="AD51" s="45"/>
      <c r="AE51" s="45"/>
      <c r="AF51" s="45"/>
      <c r="AG51" s="45"/>
    </row>
    <row r="52" spans="2:33" s="208" customFormat="1" ht="15" customHeight="1" thickBot="1">
      <c r="B52" s="216" t="s">
        <v>19</v>
      </c>
      <c r="C52" s="736">
        <f>'Schedule-6 Exp Earnings Gas P'!M15</f>
        <v>9.5914783840498577E-2</v>
      </c>
      <c r="D52" s="737"/>
      <c r="E52" s="738"/>
      <c r="L52" s="46" t="s">
        <v>262</v>
      </c>
      <c r="M52" s="106">
        <f>MIN(C52:E52)</f>
        <v>9.5914783840498577E-2</v>
      </c>
      <c r="N52" s="369">
        <v>1</v>
      </c>
      <c r="O52" s="45"/>
      <c r="P52" s="45"/>
      <c r="Q52" s="45"/>
      <c r="R52" s="45"/>
      <c r="S52" s="45"/>
      <c r="T52" s="45"/>
      <c r="U52" s="45"/>
      <c r="V52" s="45"/>
      <c r="W52" s="45"/>
      <c r="X52" s="45"/>
      <c r="Y52" s="45"/>
      <c r="Z52" s="45"/>
      <c r="AA52" s="45"/>
      <c r="AB52" s="45"/>
      <c r="AC52" s="45"/>
      <c r="AD52" s="45"/>
      <c r="AE52" s="45"/>
      <c r="AF52" s="45"/>
      <c r="AG52" s="45"/>
    </row>
    <row r="53" spans="2:33" s="208" customFormat="1" ht="15" customHeight="1">
      <c r="C53" s="108"/>
      <c r="D53" s="108"/>
      <c r="E53" s="108"/>
      <c r="L53" s="45"/>
      <c r="M53" s="106">
        <f>MAX(C52:E52)</f>
        <v>9.5914783840498577E-2</v>
      </c>
      <c r="N53" s="47">
        <f>N52</f>
        <v>1</v>
      </c>
      <c r="O53" s="45"/>
      <c r="P53" s="45"/>
      <c r="Q53" s="45"/>
      <c r="R53" s="45"/>
      <c r="S53" s="45"/>
      <c r="T53" s="45"/>
      <c r="U53" s="45"/>
      <c r="V53" s="45"/>
      <c r="W53" s="45"/>
      <c r="X53" s="45"/>
      <c r="Y53" s="45"/>
      <c r="Z53" s="45"/>
      <c r="AA53" s="45"/>
      <c r="AB53" s="45"/>
      <c r="AC53" s="45"/>
      <c r="AD53" s="45"/>
      <c r="AE53" s="45"/>
      <c r="AF53" s="45"/>
      <c r="AG53" s="45"/>
    </row>
    <row r="54" spans="2:33" s="208" customFormat="1">
      <c r="B54" s="209"/>
      <c r="C54" s="209"/>
      <c r="D54" s="209"/>
      <c r="E54" s="209"/>
      <c r="L54" s="46" t="s">
        <v>13</v>
      </c>
      <c r="M54" s="108">
        <f>MAX($C$20:$E$20)</f>
        <v>9.5257115746263429E-2</v>
      </c>
      <c r="N54" s="370">
        <v>1.5</v>
      </c>
      <c r="O54" s="107"/>
      <c r="P54" s="107"/>
      <c r="Q54" s="107"/>
      <c r="R54" s="107"/>
      <c r="S54" s="107"/>
      <c r="T54" s="107"/>
      <c r="U54" s="107"/>
      <c r="V54" s="107"/>
      <c r="W54" s="107"/>
      <c r="X54" s="107"/>
      <c r="Y54" s="107"/>
      <c r="Z54" s="107"/>
      <c r="AA54" s="107"/>
      <c r="AB54" s="107"/>
      <c r="AC54" s="107"/>
      <c r="AD54" s="107"/>
      <c r="AE54" s="107"/>
      <c r="AF54" s="45"/>
      <c r="AG54" s="45"/>
    </row>
    <row r="55" spans="2:33" s="208" customFormat="1" ht="15" customHeight="1">
      <c r="B55" s="212" t="s">
        <v>21</v>
      </c>
      <c r="C55" s="361"/>
      <c r="D55" s="361"/>
      <c r="E55" s="361"/>
      <c r="M55" s="108">
        <f>MIN($C$20:$E$20)</f>
        <v>9.5257115746263429E-2</v>
      </c>
      <c r="N55" s="208">
        <f>N54</f>
        <v>1.5</v>
      </c>
      <c r="O55" s="45"/>
      <c r="P55" s="45"/>
      <c r="Q55" s="45"/>
      <c r="R55" s="45"/>
      <c r="S55" s="45"/>
      <c r="T55" s="45"/>
      <c r="U55" s="45"/>
      <c r="V55" s="45"/>
      <c r="W55" s="45"/>
      <c r="X55" s="45"/>
      <c r="Y55" s="45"/>
      <c r="Z55" s="45"/>
      <c r="AA55" s="45"/>
      <c r="AB55" s="45"/>
      <c r="AC55" s="45"/>
      <c r="AD55" s="45"/>
      <c r="AE55" s="45"/>
      <c r="AF55" s="45"/>
      <c r="AG55" s="45"/>
    </row>
    <row r="56" spans="2:33" s="208" customFormat="1" ht="15" customHeight="1">
      <c r="B56" s="743" t="s">
        <v>22</v>
      </c>
      <c r="C56" s="743"/>
      <c r="D56" s="743"/>
      <c r="E56" s="743"/>
      <c r="G56" s="224"/>
      <c r="O56" s="45"/>
      <c r="P56" s="45"/>
      <c r="Q56" s="45"/>
      <c r="R56" s="45"/>
      <c r="S56" s="45"/>
      <c r="T56" s="45"/>
      <c r="U56" s="45"/>
      <c r="V56" s="45"/>
      <c r="W56" s="45"/>
      <c r="X56" s="45"/>
      <c r="Y56" s="45"/>
      <c r="Z56" s="45"/>
      <c r="AA56" s="45"/>
      <c r="AB56" s="45"/>
      <c r="AC56" s="45"/>
      <c r="AD56" s="45"/>
      <c r="AE56" s="45"/>
      <c r="AF56" s="45"/>
      <c r="AG56" s="45"/>
    </row>
    <row r="57" spans="2:33" s="208" customFormat="1" ht="28.9" customHeight="1">
      <c r="B57" s="743"/>
      <c r="C57" s="743"/>
      <c r="D57" s="743"/>
      <c r="E57" s="743"/>
      <c r="G57" s="108"/>
      <c r="L57" s="48" t="s">
        <v>16</v>
      </c>
      <c r="M57" s="371">
        <f>M23</f>
        <v>9.7500000000000003E-2</v>
      </c>
      <c r="N57" s="369">
        <v>0</v>
      </c>
      <c r="O57" s="107"/>
      <c r="P57" s="107"/>
      <c r="Q57" s="107"/>
      <c r="R57" s="107"/>
      <c r="S57" s="107"/>
      <c r="T57" s="107"/>
      <c r="U57" s="107"/>
      <c r="V57" s="107"/>
      <c r="W57" s="107"/>
      <c r="X57" s="107"/>
      <c r="Y57" s="107"/>
      <c r="Z57" s="107"/>
      <c r="AA57" s="107"/>
      <c r="AB57" s="107"/>
      <c r="AC57" s="107"/>
      <c r="AD57" s="107"/>
      <c r="AE57" s="107"/>
      <c r="AF57" s="45"/>
      <c r="AG57" s="45"/>
    </row>
    <row r="58" spans="2:33" s="208" customFormat="1" ht="42" customHeight="1">
      <c r="B58" s="735"/>
      <c r="C58" s="735"/>
      <c r="D58" s="735"/>
      <c r="E58" s="735"/>
      <c r="G58" s="223"/>
      <c r="L58" s="48"/>
      <c r="M58" s="371">
        <f>M57</f>
        <v>9.7500000000000003E-2</v>
      </c>
      <c r="N58" s="369">
        <v>9</v>
      </c>
      <c r="O58" s="45"/>
      <c r="P58" s="45"/>
      <c r="Q58" s="45"/>
      <c r="R58" s="45"/>
      <c r="S58" s="45"/>
      <c r="T58" s="45"/>
      <c r="U58" s="45"/>
      <c r="V58" s="45"/>
      <c r="W58" s="45"/>
      <c r="X58" s="45"/>
      <c r="Y58" s="45"/>
      <c r="Z58" s="45"/>
      <c r="AA58" s="45"/>
      <c r="AB58" s="45"/>
      <c r="AC58" s="45"/>
      <c r="AD58" s="45"/>
      <c r="AE58" s="45"/>
      <c r="AF58" s="45"/>
      <c r="AG58" s="45"/>
    </row>
    <row r="59" spans="2:33" s="208" customFormat="1" ht="26.25" customHeight="1">
      <c r="B59" s="361"/>
      <c r="C59" s="361"/>
      <c r="D59" s="361"/>
      <c r="E59" s="361"/>
      <c r="L59" s="48" t="s">
        <v>18</v>
      </c>
      <c r="M59" s="371">
        <f>M25</f>
        <v>0.10249999999999999</v>
      </c>
      <c r="N59" s="47">
        <f>N57</f>
        <v>0</v>
      </c>
      <c r="O59" s="45"/>
      <c r="P59" s="45"/>
      <c r="Q59" s="45"/>
      <c r="R59" s="45"/>
      <c r="S59" s="45"/>
      <c r="T59" s="45"/>
      <c r="U59" s="45"/>
      <c r="V59" s="45"/>
      <c r="W59" s="45"/>
      <c r="X59" s="45"/>
      <c r="Y59" s="45"/>
      <c r="Z59" s="45"/>
      <c r="AA59" s="45"/>
      <c r="AB59" s="45"/>
      <c r="AC59" s="45"/>
      <c r="AD59" s="45"/>
      <c r="AE59" s="45"/>
      <c r="AF59" s="45"/>
      <c r="AG59" s="45"/>
    </row>
    <row r="60" spans="2:33" s="208" customFormat="1" ht="26.25" customHeight="1">
      <c r="B60" s="361"/>
      <c r="C60" s="361"/>
      <c r="D60" s="361"/>
      <c r="E60" s="361"/>
      <c r="L60" s="45"/>
      <c r="M60" s="371">
        <f>M59</f>
        <v>0.10249999999999999</v>
      </c>
      <c r="N60" s="47">
        <f>N58</f>
        <v>9</v>
      </c>
      <c r="O60" s="45"/>
      <c r="P60" s="45"/>
      <c r="Q60" s="45"/>
      <c r="R60" s="45"/>
      <c r="S60" s="45"/>
      <c r="T60" s="45"/>
      <c r="U60" s="45"/>
      <c r="V60" s="45"/>
      <c r="W60" s="45"/>
      <c r="X60" s="45"/>
      <c r="Y60" s="45"/>
      <c r="Z60" s="45"/>
      <c r="AA60" s="45"/>
      <c r="AB60" s="45"/>
      <c r="AC60" s="45"/>
      <c r="AD60" s="45"/>
      <c r="AE60" s="45"/>
      <c r="AF60" s="45"/>
      <c r="AG60" s="45"/>
    </row>
  </sheetData>
  <mergeCells count="19">
    <mergeCell ref="B2:E2"/>
    <mergeCell ref="B34:E34"/>
    <mergeCell ref="B45:E45"/>
    <mergeCell ref="B51:E51"/>
    <mergeCell ref="B58:E58"/>
    <mergeCell ref="C20:E20"/>
    <mergeCell ref="B1:E1"/>
    <mergeCell ref="B3:E3"/>
    <mergeCell ref="B56:E57"/>
    <mergeCell ref="B48:E48"/>
    <mergeCell ref="B16:E16"/>
    <mergeCell ref="C52:E52"/>
    <mergeCell ref="B24:E25"/>
    <mergeCell ref="B9:E9"/>
    <mergeCell ref="B13:E13"/>
    <mergeCell ref="B19:E19"/>
    <mergeCell ref="B33:E33"/>
    <mergeCell ref="B35:E35"/>
    <mergeCell ref="B41:E41"/>
  </mergeCells>
  <printOptions horizontalCentered="1"/>
  <pageMargins left="0.7" right="0.7" top="1.25" bottom="0.75" header="0.3" footer="0.3"/>
  <pageSetup scale="65" orientation="landscape" useFirstPageNumber="1" r:id="rId1"/>
  <headerFooter>
    <oddHeader>&amp;RPetitioner's Exhibit No.12
 Attachment AEB-2
Vectren South
Schedule 1 (Natural Gas Utility Proxy Group)
Page &amp;P of 6</oddHeader>
  </headerFooter>
  <rowBreaks count="1" manualBreakCount="1">
    <brk id="30" max="16383" man="1"/>
  </rowBreaks>
  <colBreaks count="1" manualBreakCount="1">
    <brk id="8"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B1:AG24"/>
  <sheetViews>
    <sheetView zoomScaleNormal="100" workbookViewId="0">
      <selection activeCell="E27" sqref="E27"/>
    </sheetView>
  </sheetViews>
  <sheetFormatPr defaultColWidth="9" defaultRowHeight="14.25"/>
  <cols>
    <col min="1" max="1" width="9.140625" style="207" customWidth="1"/>
    <col min="2" max="2" width="30.28515625" style="207" customWidth="1"/>
    <col min="3" max="3" width="17.85546875" style="207" customWidth="1"/>
    <col min="4" max="4" width="18" style="207" customWidth="1"/>
    <col min="5" max="5" width="17" style="207" customWidth="1"/>
    <col min="6" max="6" width="15.5703125" style="207" customWidth="1"/>
    <col min="7" max="7" width="9.140625" style="207" customWidth="1"/>
    <col min="8" max="8" width="14.28515625" style="207" customWidth="1"/>
    <col min="9" max="11" width="9" style="207"/>
    <col min="12" max="20" width="10.5703125" style="207" customWidth="1"/>
    <col min="21" max="32" width="5.5703125" style="207" customWidth="1"/>
    <col min="33" max="33" width="2.85546875" style="207" customWidth="1"/>
    <col min="34" max="16384" width="9" style="207"/>
  </cols>
  <sheetData>
    <row r="1" spans="2:33" s="382" customFormat="1" ht="26.25" customHeight="1">
      <c r="B1" s="753" t="s">
        <v>576</v>
      </c>
      <c r="C1" s="753"/>
      <c r="D1" s="753"/>
      <c r="E1" s="753"/>
      <c r="Z1" s="443"/>
      <c r="AA1" s="443"/>
      <c r="AB1" s="443"/>
      <c r="AC1" s="443"/>
      <c r="AD1" s="443"/>
      <c r="AE1" s="443"/>
      <c r="AF1" s="443"/>
    </row>
    <row r="2" spans="2:33" s="208" customFormat="1" ht="16.5" customHeight="1" thickBot="1">
      <c r="B2" s="751" t="s">
        <v>578</v>
      </c>
      <c r="C2" s="752"/>
      <c r="D2" s="752"/>
      <c r="E2" s="752"/>
      <c r="L2" s="214"/>
      <c r="M2" s="108"/>
      <c r="O2" s="213"/>
      <c r="P2" s="45"/>
      <c r="Q2" s="45"/>
      <c r="R2" s="45"/>
      <c r="S2" s="45"/>
      <c r="T2" s="45"/>
      <c r="U2" s="45"/>
      <c r="V2" s="45"/>
      <c r="W2" s="45"/>
      <c r="X2" s="211"/>
      <c r="Y2" s="45"/>
      <c r="Z2" s="45"/>
      <c r="AA2" s="45"/>
      <c r="AB2" s="45"/>
      <c r="AC2" s="45"/>
      <c r="AD2" s="45"/>
      <c r="AE2" s="45"/>
      <c r="AF2" s="45"/>
      <c r="AG2" s="45"/>
    </row>
    <row r="3" spans="2:33" s="208" customFormat="1">
      <c r="B3" s="740" t="s">
        <v>0</v>
      </c>
      <c r="C3" s="741"/>
      <c r="D3" s="741"/>
      <c r="E3" s="742"/>
      <c r="J3" s="215"/>
      <c r="K3" s="209"/>
      <c r="L3" s="209"/>
      <c r="M3" s="209"/>
      <c r="N3" s="209"/>
      <c r="O3" s="45"/>
      <c r="P3" s="45"/>
      <c r="Q3" s="45"/>
      <c r="R3" s="45"/>
      <c r="S3" s="45"/>
      <c r="T3" s="45"/>
      <c r="U3" s="45"/>
      <c r="V3" s="45"/>
      <c r="W3" s="45"/>
      <c r="X3" s="45"/>
      <c r="Y3" s="45"/>
      <c r="Z3" s="45"/>
      <c r="AA3" s="45"/>
      <c r="AB3" s="45"/>
      <c r="AC3" s="45"/>
      <c r="AD3" s="45"/>
      <c r="AE3" s="45"/>
      <c r="AF3" s="45"/>
      <c r="AG3" s="45"/>
    </row>
    <row r="4" spans="2:33" s="208" customFormat="1" ht="15">
      <c r="B4" s="372"/>
      <c r="C4" s="373" t="s">
        <v>418</v>
      </c>
      <c r="D4" s="373" t="s">
        <v>99</v>
      </c>
      <c r="E4" s="374" t="s">
        <v>419</v>
      </c>
      <c r="J4" s="209"/>
      <c r="K4" s="209"/>
      <c r="L4" s="209"/>
      <c r="M4" s="209"/>
      <c r="N4" s="209"/>
      <c r="O4" s="45"/>
      <c r="P4" s="45"/>
      <c r="Q4" s="45"/>
      <c r="R4" s="45"/>
      <c r="S4" s="45"/>
      <c r="T4" s="45"/>
      <c r="U4" s="45"/>
      <c r="V4" s="45"/>
      <c r="W4" s="45"/>
      <c r="X4" s="45"/>
      <c r="Y4" s="45"/>
      <c r="Z4" s="45"/>
      <c r="AA4" s="45"/>
      <c r="AB4" s="45"/>
      <c r="AC4" s="45"/>
      <c r="AD4" s="45"/>
      <c r="AE4" s="45"/>
      <c r="AF4" s="45"/>
      <c r="AG4" s="45"/>
    </row>
    <row r="5" spans="2:33" s="209" customFormat="1">
      <c r="B5" s="219" t="s">
        <v>3</v>
      </c>
      <c r="C5" s="444">
        <f>'Schedule-3 Constant DCF 1 Alt P'!O23</f>
        <v>9.1838154001005187E-2</v>
      </c>
      <c r="D5" s="444">
        <f>'Schedule-3 Constant DCF 1 Alt P'!P23</f>
        <v>9.5810841375632907E-2</v>
      </c>
      <c r="E5" s="445">
        <f>'Schedule-3 Constant DCF 1 Alt P'!Q23</f>
        <v>0.10510435345483742</v>
      </c>
      <c r="F5" s="208"/>
      <c r="I5" s="208"/>
      <c r="L5" s="45"/>
      <c r="M5" s="383" t="s">
        <v>1</v>
      </c>
      <c r="N5" s="383" t="s">
        <v>2</v>
      </c>
    </row>
    <row r="6" spans="2:33" s="209" customFormat="1">
      <c r="B6" s="219" t="s">
        <v>4</v>
      </c>
      <c r="C6" s="444">
        <f>'Schedule-3 Constant DCF 1 Alt P'!O62</f>
        <v>9.1976988986543592E-2</v>
      </c>
      <c r="D6" s="444">
        <f>'Schedule-3 Constant DCF 1 Alt P'!P62</f>
        <v>9.4337670723138881E-2</v>
      </c>
      <c r="E6" s="445">
        <f>'Schedule-3 Constant DCF 1 Alt P'!Q62</f>
        <v>0.10350586410426378</v>
      </c>
      <c r="I6" s="208"/>
      <c r="L6" s="46" t="s">
        <v>0</v>
      </c>
      <c r="M6" s="108">
        <f>MIN(C8:E8)</f>
        <v>9.1527562901146928E-2</v>
      </c>
      <c r="N6" s="369">
        <v>5</v>
      </c>
    </row>
    <row r="7" spans="2:33" s="209" customFormat="1">
      <c r="B7" s="219" t="s">
        <v>6</v>
      </c>
      <c r="C7" s="444">
        <f>'Schedule-3 Constant DCF 1 Alt P'!O101</f>
        <v>9.0767545715892003E-2</v>
      </c>
      <c r="D7" s="444">
        <f>'Schedule-3 Constant DCF 1 Alt P'!P101</f>
        <v>9.3591391236048427E-2</v>
      </c>
      <c r="E7" s="445">
        <f>'Schedule-3 Constant DCF 1 Alt P'!Q101</f>
        <v>0.10169498715953709</v>
      </c>
      <c r="I7" s="208"/>
      <c r="L7" s="46"/>
      <c r="M7" s="106">
        <f>MAX(C8:E8)</f>
        <v>0.10343506823954611</v>
      </c>
      <c r="N7" s="47">
        <f>N6</f>
        <v>5</v>
      </c>
    </row>
    <row r="8" spans="2:33" s="208" customFormat="1" ht="15" customHeight="1">
      <c r="B8" s="231" t="s">
        <v>7</v>
      </c>
      <c r="C8" s="232">
        <f>AVERAGE(C5:C7)</f>
        <v>9.1527562901146928E-2</v>
      </c>
      <c r="D8" s="232">
        <f>AVERAGE(D5:D7)</f>
        <v>9.4579967778273419E-2</v>
      </c>
      <c r="E8" s="233">
        <f>AVERAGE(E5:E7)</f>
        <v>0.10343506823954611</v>
      </c>
      <c r="J8" s="209"/>
      <c r="N8" s="370"/>
    </row>
    <row r="9" spans="2:33" s="208" customFormat="1" ht="15" customHeight="1">
      <c r="B9" s="732" t="s">
        <v>9</v>
      </c>
      <c r="C9" s="733"/>
      <c r="D9" s="733"/>
      <c r="E9" s="734"/>
      <c r="J9" s="108"/>
      <c r="N9" s="370"/>
    </row>
    <row r="10" spans="2:33" s="208" customFormat="1" ht="42.75">
      <c r="B10" s="227"/>
      <c r="C10" s="226" t="s">
        <v>10</v>
      </c>
      <c r="D10" s="226" t="s">
        <v>11</v>
      </c>
      <c r="E10" s="225" t="s">
        <v>12</v>
      </c>
      <c r="I10" s="209"/>
      <c r="L10" s="48" t="s">
        <v>5</v>
      </c>
      <c r="M10" s="106">
        <f>MIN(C11:E12)</f>
        <v>0.11459435138711045</v>
      </c>
      <c r="N10" s="369">
        <v>4</v>
      </c>
    </row>
    <row r="11" spans="2:33" s="208" customFormat="1" ht="15" customHeight="1">
      <c r="B11" s="222" t="s">
        <v>14</v>
      </c>
      <c r="C11" s="221">
        <f>'Schedule-4 CAPM Alt Proxy 1'!H22</f>
        <v>0.12258856340925453</v>
      </c>
      <c r="D11" s="221">
        <f>'Schedule-4 CAPM Alt Proxy 1'!H53</f>
        <v>0.12302478215925453</v>
      </c>
      <c r="E11" s="220">
        <f>'Schedule-4 CAPM Alt Proxy 1'!H84</f>
        <v>0.1249047821592545</v>
      </c>
      <c r="G11" s="108">
        <f>AVERAGE(C11:E15)</f>
        <v>0.12237331281589074</v>
      </c>
      <c r="I11" s="209"/>
      <c r="L11" s="48"/>
      <c r="M11" s="106">
        <f>MAX(C11:E12)</f>
        <v>0.1249047821592545</v>
      </c>
      <c r="N11" s="47">
        <f>N10</f>
        <v>4</v>
      </c>
    </row>
    <row r="12" spans="2:33" s="208" customFormat="1" ht="15" customHeight="1">
      <c r="B12" s="219" t="s">
        <v>15</v>
      </c>
      <c r="C12" s="218">
        <f>'Schedule-4 CAPM Alt Proxy 1'!H115</f>
        <v>0.11459435138711045</v>
      </c>
      <c r="D12" s="218">
        <f>'Schedule-4 CAPM Alt Proxy 1'!H146</f>
        <v>0.11504964941944391</v>
      </c>
      <c r="E12" s="217">
        <f>'Schedule-4 CAPM Alt Proxy 1'!H177</f>
        <v>0.11790313017508212</v>
      </c>
      <c r="G12" s="368" t="s">
        <v>420</v>
      </c>
      <c r="I12" s="209"/>
      <c r="J12" s="207"/>
      <c r="K12" s="207"/>
      <c r="N12" s="370"/>
      <c r="O12" s="211"/>
      <c r="P12" s="210"/>
      <c r="Q12" s="210"/>
      <c r="R12" s="210"/>
      <c r="AC12" s="213"/>
    </row>
    <row r="13" spans="2:33" s="208" customFormat="1" ht="15">
      <c r="B13" s="732" t="s">
        <v>17</v>
      </c>
      <c r="C13" s="733"/>
      <c r="D13" s="733"/>
      <c r="E13" s="734"/>
      <c r="J13" s="207"/>
      <c r="K13" s="207"/>
      <c r="N13" s="370"/>
      <c r="O13" s="211"/>
      <c r="AC13" s="211"/>
      <c r="AD13" s="210"/>
      <c r="AE13" s="210"/>
      <c r="AF13" s="210"/>
      <c r="AG13" s="210"/>
    </row>
    <row r="14" spans="2:33" s="208" customFormat="1" ht="15">
      <c r="B14" s="222" t="s">
        <v>14</v>
      </c>
      <c r="C14" s="221">
        <f>'Schedule-4 CAPM Alt Proxy 1'!I22</f>
        <v>0.12725234773181404</v>
      </c>
      <c r="D14" s="221">
        <f>'Schedule-4 CAPM Alt Proxy 1'!I53</f>
        <v>0.12757951179431398</v>
      </c>
      <c r="E14" s="220">
        <f>'Schedule-4 CAPM Alt Proxy 1'!I84</f>
        <v>0.12898951179431403</v>
      </c>
      <c r="J14" s="207"/>
      <c r="K14" s="207"/>
      <c r="L14" s="48" t="s">
        <v>8</v>
      </c>
      <c r="M14" s="106">
        <f>MIN(C14:E15)</f>
        <v>0.12125668871520595</v>
      </c>
      <c r="N14" s="369">
        <v>3</v>
      </c>
      <c r="O14" s="211"/>
      <c r="AC14" s="211"/>
      <c r="AD14" s="210"/>
      <c r="AE14" s="210"/>
      <c r="AF14" s="210"/>
      <c r="AG14" s="210"/>
    </row>
    <row r="15" spans="2:33" s="208" customFormat="1" ht="15" customHeight="1">
      <c r="B15" s="222" t="s">
        <v>15</v>
      </c>
      <c r="C15" s="221">
        <f>'Schedule-4 CAPM Alt Proxy 1'!I115</f>
        <v>0.12125668871520595</v>
      </c>
      <c r="D15" s="221">
        <f>'Schedule-4 CAPM Alt Proxy 1'!I146</f>
        <v>0.12159816223945603</v>
      </c>
      <c r="E15" s="220">
        <f>'Schedule-4 CAPM Alt Proxy 1'!I177</f>
        <v>0.12373827280618471</v>
      </c>
      <c r="F15" s="108"/>
      <c r="J15" s="207"/>
      <c r="K15" s="207"/>
      <c r="L15" s="48"/>
      <c r="M15" s="106">
        <f>MAX(C14:E15)</f>
        <v>0.12898951179431403</v>
      </c>
      <c r="N15" s="47">
        <f>N14</f>
        <v>3</v>
      </c>
      <c r="O15" s="211"/>
      <c r="AC15" s="211"/>
      <c r="AD15" s="210"/>
      <c r="AE15" s="210"/>
      <c r="AF15" s="210"/>
      <c r="AG15" s="210"/>
    </row>
    <row r="16" spans="2:33" s="208" customFormat="1" ht="15" customHeight="1">
      <c r="B16" s="732" t="s">
        <v>19</v>
      </c>
      <c r="C16" s="733"/>
      <c r="D16" s="733"/>
      <c r="E16" s="734"/>
      <c r="F16" s="108"/>
      <c r="J16" s="207"/>
      <c r="N16" s="370"/>
      <c r="O16" s="211"/>
      <c r="AC16" s="211"/>
      <c r="AD16" s="210"/>
      <c r="AE16" s="210"/>
      <c r="AF16" s="210"/>
      <c r="AG16" s="210"/>
    </row>
    <row r="17" spans="2:33" s="208" customFormat="1" ht="15" customHeight="1" thickBot="1">
      <c r="B17" s="216" t="s">
        <v>19</v>
      </c>
      <c r="C17" s="736">
        <f>'Schedule-6 Exp Earnings Alt P'!M23</f>
        <v>0.1048482633755321</v>
      </c>
      <c r="D17" s="737"/>
      <c r="E17" s="738"/>
      <c r="J17" s="207"/>
      <c r="N17" s="370"/>
      <c r="O17" s="45"/>
      <c r="P17" s="45"/>
      <c r="Q17" s="45"/>
      <c r="R17" s="45"/>
      <c r="S17" s="45"/>
      <c r="T17" s="45"/>
      <c r="U17" s="45"/>
      <c r="V17" s="45"/>
      <c r="W17" s="45"/>
      <c r="X17" s="45"/>
      <c r="Y17" s="45"/>
      <c r="Z17" s="45"/>
      <c r="AA17" s="45"/>
      <c r="AB17" s="45"/>
      <c r="AC17" s="45"/>
      <c r="AD17" s="45"/>
      <c r="AE17" s="45"/>
      <c r="AF17" s="45"/>
      <c r="AG17" s="45"/>
    </row>
    <row r="18" spans="2:33">
      <c r="I18" s="208"/>
      <c r="L18" s="46" t="s">
        <v>13</v>
      </c>
      <c r="M18" s="106">
        <f>MIN(C17:E17)</f>
        <v>0.1048482633755321</v>
      </c>
      <c r="N18" s="369">
        <v>1</v>
      </c>
    </row>
    <row r="19" spans="2:33">
      <c r="L19" s="45"/>
      <c r="M19" s="106">
        <f>MAX(C17:E17)</f>
        <v>0.1048482633755321</v>
      </c>
      <c r="N19" s="47">
        <f>N18</f>
        <v>1</v>
      </c>
    </row>
    <row r="20" spans="2:33" ht="13.9" customHeight="1">
      <c r="I20" s="208"/>
    </row>
    <row r="21" spans="2:33" ht="15">
      <c r="B21" s="212" t="s">
        <v>21</v>
      </c>
      <c r="C21" s="424"/>
      <c r="D21" s="424"/>
      <c r="E21" s="424"/>
      <c r="I21" s="208"/>
      <c r="L21" s="48" t="s">
        <v>16</v>
      </c>
      <c r="M21" s="384">
        <v>9.7500000000000003E-2</v>
      </c>
      <c r="N21" s="369">
        <v>0</v>
      </c>
    </row>
    <row r="22" spans="2:33" ht="13.9" customHeight="1">
      <c r="B22" s="744" t="s">
        <v>22</v>
      </c>
      <c r="C22" s="744"/>
      <c r="D22" s="744"/>
      <c r="E22" s="744"/>
      <c r="L22" s="48"/>
      <c r="M22" s="371">
        <f>M21</f>
        <v>9.7500000000000003E-2</v>
      </c>
      <c r="N22" s="369">
        <v>6</v>
      </c>
    </row>
    <row r="23" spans="2:33" ht="31.5" customHeight="1">
      <c r="B23" s="744"/>
      <c r="C23" s="744"/>
      <c r="D23" s="744"/>
      <c r="E23" s="744"/>
      <c r="L23" s="48" t="s">
        <v>18</v>
      </c>
      <c r="M23" s="384">
        <v>0.10249999999999999</v>
      </c>
      <c r="N23" s="47">
        <f>N21</f>
        <v>0</v>
      </c>
    </row>
    <row r="24" spans="2:33">
      <c r="L24" s="45"/>
      <c r="M24" s="371">
        <f>M23</f>
        <v>0.10249999999999999</v>
      </c>
      <c r="N24" s="47">
        <f>N22</f>
        <v>6</v>
      </c>
    </row>
  </sheetData>
  <mergeCells count="8">
    <mergeCell ref="C17:E17"/>
    <mergeCell ref="B22:E23"/>
    <mergeCell ref="B1:E1"/>
    <mergeCell ref="B3:E3"/>
    <mergeCell ref="B9:E9"/>
    <mergeCell ref="B13:E13"/>
    <mergeCell ref="B16:E16"/>
    <mergeCell ref="B2:E2"/>
  </mergeCells>
  <printOptions horizontalCentered="1"/>
  <pageMargins left="0.7" right="0.7" top="1.25" bottom="0.75" header="0.3" footer="0.3"/>
  <pageSetup scale="65" orientation="landscape" useFirstPageNumber="1" r:id="rId1"/>
  <headerFooter>
    <oddHeader>&amp;RPetitioner's Exhibit No.12
 Attachment AEB-2
Vectren South
Schedule 1 (Alternative Proxy Group)
Page &amp;P of 6</oddHeader>
  </headerFooter>
  <colBreaks count="1" manualBreakCount="1">
    <brk id="8"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tabColor rgb="FF92D050"/>
  </sheetPr>
  <dimension ref="B1:N28"/>
  <sheetViews>
    <sheetView zoomScaleNormal="100" workbookViewId="0">
      <selection activeCell="E27" sqref="E27"/>
    </sheetView>
  </sheetViews>
  <sheetFormatPr defaultColWidth="9.140625" defaultRowHeight="12.75"/>
  <cols>
    <col min="1" max="1" width="3.140625" style="26" customWidth="1"/>
    <col min="2" max="2" width="33" style="26" customWidth="1"/>
    <col min="3" max="3" width="9.28515625" style="26" customWidth="1"/>
    <col min="4" max="4" width="11.42578125" style="26" customWidth="1"/>
    <col min="5" max="5" width="15.5703125" style="26" customWidth="1"/>
    <col min="6" max="6" width="23.140625" style="26" customWidth="1"/>
    <col min="7" max="9" width="15.5703125" style="26" customWidth="1"/>
    <col min="10" max="10" width="23.42578125" style="26" bestFit="1" customWidth="1"/>
    <col min="11" max="16384" width="9.140625" style="26"/>
  </cols>
  <sheetData>
    <row r="1" spans="2:14">
      <c r="B1" s="27"/>
      <c r="C1" s="27"/>
      <c r="D1" s="27"/>
      <c r="E1" s="27"/>
      <c r="I1" s="27"/>
    </row>
    <row r="2" spans="2:14">
      <c r="B2" s="754" t="s">
        <v>23</v>
      </c>
      <c r="C2" s="754"/>
      <c r="D2" s="754"/>
      <c r="E2" s="754"/>
      <c r="F2" s="754"/>
      <c r="G2" s="754"/>
      <c r="H2" s="754"/>
      <c r="I2" s="754"/>
    </row>
    <row r="3" spans="2:14">
      <c r="B3" s="27"/>
      <c r="C3" s="27"/>
      <c r="D3" s="27"/>
      <c r="E3" s="27"/>
      <c r="I3" s="27"/>
    </row>
    <row r="4" spans="2:14" ht="13.5" thickBot="1">
      <c r="B4" s="27"/>
      <c r="C4" s="27"/>
      <c r="D4" s="301" t="s">
        <v>24</v>
      </c>
      <c r="E4" s="301" t="s">
        <v>25</v>
      </c>
      <c r="F4" s="30" t="s">
        <v>26</v>
      </c>
      <c r="G4" s="30" t="s">
        <v>27</v>
      </c>
      <c r="H4" s="30" t="s">
        <v>28</v>
      </c>
      <c r="I4" s="30" t="s">
        <v>29</v>
      </c>
    </row>
    <row r="5" spans="2:14" ht="51">
      <c r="B5" s="32" t="s">
        <v>574</v>
      </c>
      <c r="C5" s="31" t="s">
        <v>31</v>
      </c>
      <c r="D5" s="35" t="s">
        <v>32</v>
      </c>
      <c r="E5" s="36" t="s">
        <v>33</v>
      </c>
      <c r="F5" s="36" t="s">
        <v>34</v>
      </c>
      <c r="G5" s="36" t="s">
        <v>35</v>
      </c>
      <c r="H5" s="36" t="s">
        <v>36</v>
      </c>
      <c r="I5" s="36" t="s">
        <v>37</v>
      </c>
    </row>
    <row r="6" spans="2:14">
      <c r="B6" s="6" t="s">
        <v>38</v>
      </c>
      <c r="C6" s="5" t="s">
        <v>39</v>
      </c>
      <c r="D6" s="28" t="s">
        <v>40</v>
      </c>
      <c r="E6" s="28" t="s">
        <v>41</v>
      </c>
      <c r="F6" s="301" t="s">
        <v>40</v>
      </c>
      <c r="G6" s="24">
        <v>1</v>
      </c>
      <c r="H6" s="24">
        <v>0.66551520772842443</v>
      </c>
      <c r="I6" s="28" t="s">
        <v>42</v>
      </c>
    </row>
    <row r="7" spans="2:14">
      <c r="B7" s="6" t="s">
        <v>43</v>
      </c>
      <c r="C7" s="5" t="s">
        <v>44</v>
      </c>
      <c r="D7" s="28" t="s">
        <v>40</v>
      </c>
      <c r="E7" s="28" t="s">
        <v>45</v>
      </c>
      <c r="F7" s="301" t="s">
        <v>40</v>
      </c>
      <c r="G7" s="24">
        <v>1</v>
      </c>
      <c r="H7" s="24">
        <v>0.90902474113188425</v>
      </c>
      <c r="I7" s="28" t="s">
        <v>42</v>
      </c>
    </row>
    <row r="8" spans="2:14">
      <c r="B8" s="6" t="s">
        <v>46</v>
      </c>
      <c r="C8" s="5" t="s">
        <v>47</v>
      </c>
      <c r="D8" s="28" t="s">
        <v>40</v>
      </c>
      <c r="E8" s="28" t="s">
        <v>41</v>
      </c>
      <c r="F8" s="301" t="s">
        <v>40</v>
      </c>
      <c r="G8" s="24">
        <v>1</v>
      </c>
      <c r="H8" s="24">
        <v>1</v>
      </c>
      <c r="I8" s="28" t="s">
        <v>42</v>
      </c>
    </row>
    <row r="9" spans="2:14">
      <c r="B9" s="6" t="s">
        <v>48</v>
      </c>
      <c r="C9" s="5" t="s">
        <v>49</v>
      </c>
      <c r="D9" s="28" t="s">
        <v>40</v>
      </c>
      <c r="E9" s="28" t="s">
        <v>50</v>
      </c>
      <c r="F9" s="301" t="s">
        <v>40</v>
      </c>
      <c r="G9" s="24">
        <v>1</v>
      </c>
      <c r="H9" s="24">
        <v>1</v>
      </c>
      <c r="I9" s="28" t="s">
        <v>42</v>
      </c>
    </row>
    <row r="10" spans="2:14">
      <c r="B10" s="6" t="s">
        <v>51</v>
      </c>
      <c r="C10" s="5" t="s">
        <v>52</v>
      </c>
      <c r="D10" s="28" t="s">
        <v>40</v>
      </c>
      <c r="E10" s="28" t="s">
        <v>53</v>
      </c>
      <c r="F10" s="301" t="s">
        <v>40</v>
      </c>
      <c r="G10" s="24">
        <v>0.80461749752473777</v>
      </c>
      <c r="H10" s="24">
        <v>0.80459999999999998</v>
      </c>
      <c r="I10" s="28" t="s">
        <v>42</v>
      </c>
    </row>
    <row r="11" spans="2:14" ht="13.5" thickBot="1">
      <c r="B11" s="21" t="s">
        <v>54</v>
      </c>
      <c r="C11" s="37" t="s">
        <v>55</v>
      </c>
      <c r="D11" s="38" t="s">
        <v>40</v>
      </c>
      <c r="E11" s="38" t="s">
        <v>56</v>
      </c>
      <c r="F11" s="30" t="s">
        <v>40</v>
      </c>
      <c r="G11" s="104">
        <v>0.97025404531134196</v>
      </c>
      <c r="H11" s="104">
        <v>0.97030000000000005</v>
      </c>
      <c r="I11" s="38" t="s">
        <v>42</v>
      </c>
    </row>
    <row r="12" spans="2:14">
      <c r="B12" s="27"/>
      <c r="C12" s="27"/>
      <c r="D12" s="27"/>
      <c r="E12" s="27"/>
      <c r="I12" s="27"/>
      <c r="J12" s="293"/>
      <c r="N12" s="509"/>
    </row>
    <row r="13" spans="2:14">
      <c r="B13" s="27"/>
      <c r="J13" s="293"/>
    </row>
    <row r="14" spans="2:14">
      <c r="B14" s="27"/>
      <c r="C14" s="27"/>
      <c r="D14" s="27"/>
      <c r="E14" s="27"/>
      <c r="I14" s="27"/>
    </row>
    <row r="15" spans="2:14">
      <c r="B15" s="61" t="s">
        <v>21</v>
      </c>
      <c r="C15" s="27"/>
      <c r="D15" s="27"/>
      <c r="E15" s="27"/>
      <c r="I15" s="27"/>
    </row>
    <row r="16" spans="2:14">
      <c r="B16" s="33" t="s">
        <v>57</v>
      </c>
      <c r="C16" s="27"/>
      <c r="D16" s="27"/>
      <c r="E16" s="27"/>
      <c r="I16" s="27"/>
    </row>
    <row r="17" spans="2:9">
      <c r="B17" s="33" t="s">
        <v>58</v>
      </c>
      <c r="C17" s="27"/>
      <c r="D17" s="27"/>
      <c r="E17" s="27"/>
      <c r="I17" s="27"/>
    </row>
    <row r="18" spans="2:9">
      <c r="B18" s="26" t="s">
        <v>59</v>
      </c>
    </row>
    <row r="19" spans="2:9">
      <c r="B19" s="26" t="s">
        <v>60</v>
      </c>
    </row>
    <row r="20" spans="2:9">
      <c r="B20" s="26" t="s">
        <v>61</v>
      </c>
    </row>
    <row r="21" spans="2:9">
      <c r="B21" s="33" t="s">
        <v>62</v>
      </c>
      <c r="C21" s="27"/>
      <c r="D21" s="27"/>
      <c r="E21" s="27"/>
      <c r="I21" s="27"/>
    </row>
    <row r="22" spans="2:9" ht="26.25" customHeight="1">
      <c r="B22" s="755" t="s">
        <v>575</v>
      </c>
      <c r="C22" s="755"/>
      <c r="D22" s="755"/>
      <c r="E22" s="755"/>
      <c r="F22" s="755"/>
      <c r="G22" s="755"/>
      <c r="H22" s="755"/>
      <c r="I22" s="755"/>
    </row>
    <row r="26" spans="2:9">
      <c r="C26" s="39"/>
    </row>
    <row r="27" spans="2:9">
      <c r="C27" s="39"/>
    </row>
    <row r="28" spans="2:9">
      <c r="C28" s="29"/>
    </row>
  </sheetData>
  <mergeCells count="2">
    <mergeCell ref="B2:I2"/>
    <mergeCell ref="B22:I22"/>
  </mergeCells>
  <conditionalFormatting sqref="B6:C11">
    <cfRule type="expression" dxfId="96" priority="1">
      <formula>"(blank)"</formula>
    </cfRule>
  </conditionalFormatting>
  <conditionalFormatting sqref="B6:C11">
    <cfRule type="expression" dxfId="95" priority="2">
      <formula>#REF!</formula>
    </cfRule>
  </conditionalFormatting>
  <printOptions horizontalCentered="1"/>
  <pageMargins left="0.7" right="0.7" top="1.25" bottom="0.75" header="0.3" footer="0.3"/>
  <pageSetup scale="74" orientation="landscape" useFirstPageNumber="1" r:id="rId1"/>
  <headerFooter>
    <oddHeader>&amp;RPetitioner's Exhibit No.12
Attachment AEB-2 
Vectren South
Schedule 2 (Natural Gas Utility Proxy Group)
Page &amp;P of 2</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B1:K38"/>
  <sheetViews>
    <sheetView zoomScaleNormal="100" workbookViewId="0">
      <selection activeCell="E27" sqref="E27"/>
    </sheetView>
  </sheetViews>
  <sheetFormatPr defaultColWidth="9.140625" defaultRowHeight="12.75"/>
  <cols>
    <col min="1" max="1" width="3.140625" style="26" customWidth="1"/>
    <col min="2" max="2" width="33" style="26" customWidth="1"/>
    <col min="3" max="3" width="9.28515625" style="26" customWidth="1"/>
    <col min="4" max="4" width="11.42578125" style="26" customWidth="1"/>
    <col min="5" max="5" width="15.5703125" style="26" customWidth="1"/>
    <col min="6" max="6" width="16" style="26" customWidth="1"/>
    <col min="7" max="10" width="15.5703125" style="26" customWidth="1"/>
    <col min="11" max="11" width="23.42578125" style="26" bestFit="1" customWidth="1"/>
    <col min="12" max="16384" width="9.140625" style="26"/>
  </cols>
  <sheetData>
    <row r="1" spans="2:11">
      <c r="B1" s="27"/>
      <c r="C1" s="27"/>
      <c r="D1" s="27"/>
      <c r="E1" s="27"/>
      <c r="J1" s="27"/>
    </row>
    <row r="2" spans="2:11">
      <c r="B2" s="754" t="s">
        <v>23</v>
      </c>
      <c r="C2" s="754"/>
      <c r="D2" s="754"/>
      <c r="E2" s="754"/>
      <c r="F2" s="754"/>
      <c r="G2" s="754"/>
      <c r="H2" s="754"/>
      <c r="I2" s="754"/>
      <c r="J2" s="754"/>
    </row>
    <row r="3" spans="2:11">
      <c r="B3" s="27"/>
      <c r="C3" s="27"/>
      <c r="D3" s="27"/>
      <c r="E3" s="27"/>
      <c r="F3" s="545"/>
      <c r="J3" s="27"/>
    </row>
    <row r="4" spans="2:11" ht="13.5" thickBot="1">
      <c r="B4" s="27"/>
      <c r="C4" s="27"/>
      <c r="D4" s="425" t="s">
        <v>24</v>
      </c>
      <c r="E4" s="425" t="s">
        <v>25</v>
      </c>
      <c r="F4" s="38" t="s">
        <v>26</v>
      </c>
      <c r="G4" s="30" t="s">
        <v>27</v>
      </c>
      <c r="H4" s="30" t="s">
        <v>28</v>
      </c>
      <c r="I4" s="30"/>
      <c r="J4" s="30" t="s">
        <v>29</v>
      </c>
    </row>
    <row r="5" spans="2:11" ht="76.5">
      <c r="B5" s="549" t="s">
        <v>30</v>
      </c>
      <c r="C5" s="550" t="s">
        <v>31</v>
      </c>
      <c r="D5" s="551" t="s">
        <v>32</v>
      </c>
      <c r="E5" s="546" t="s">
        <v>33</v>
      </c>
      <c r="F5" s="546" t="s">
        <v>34</v>
      </c>
      <c r="G5" s="546" t="s">
        <v>35</v>
      </c>
      <c r="H5" s="552" t="s">
        <v>572</v>
      </c>
      <c r="I5" s="552" t="s">
        <v>573</v>
      </c>
      <c r="J5" s="546" t="s">
        <v>37</v>
      </c>
    </row>
    <row r="6" spans="2:11">
      <c r="B6" s="4" t="s">
        <v>38</v>
      </c>
      <c r="C6" s="548" t="s">
        <v>39</v>
      </c>
      <c r="D6" s="548" t="s">
        <v>40</v>
      </c>
      <c r="E6" s="548" t="s">
        <v>41</v>
      </c>
      <c r="F6" s="28" t="s">
        <v>40</v>
      </c>
      <c r="G6" s="544">
        <v>1</v>
      </c>
      <c r="H6" s="555"/>
      <c r="I6" s="544">
        <v>0.66551520772842443</v>
      </c>
      <c r="J6" s="544" t="s">
        <v>42</v>
      </c>
    </row>
    <row r="7" spans="2:11">
      <c r="B7" s="4" t="s">
        <v>43</v>
      </c>
      <c r="C7" s="548" t="s">
        <v>44</v>
      </c>
      <c r="D7" s="28" t="s">
        <v>40</v>
      </c>
      <c r="E7" s="548" t="s">
        <v>45</v>
      </c>
      <c r="F7" s="28" t="s">
        <v>40</v>
      </c>
      <c r="G7" s="544">
        <v>1</v>
      </c>
      <c r="H7" s="555"/>
      <c r="I7" s="544">
        <v>0.90902474113188425</v>
      </c>
      <c r="J7" s="544" t="s">
        <v>42</v>
      </c>
    </row>
    <row r="8" spans="2:11">
      <c r="B8" s="4" t="s">
        <v>180</v>
      </c>
      <c r="C8" s="548" t="s">
        <v>47</v>
      </c>
      <c r="D8" s="28" t="s">
        <v>40</v>
      </c>
      <c r="E8" s="548" t="s">
        <v>41</v>
      </c>
      <c r="F8" s="28" t="s">
        <v>40</v>
      </c>
      <c r="G8" s="544">
        <v>1</v>
      </c>
      <c r="H8" s="555"/>
      <c r="I8" s="544">
        <v>1</v>
      </c>
      <c r="J8" s="544" t="s">
        <v>42</v>
      </c>
    </row>
    <row r="9" spans="2:11">
      <c r="B9" s="4" t="s">
        <v>48</v>
      </c>
      <c r="C9" s="548" t="s">
        <v>49</v>
      </c>
      <c r="D9" s="28" t="s">
        <v>40</v>
      </c>
      <c r="E9" s="548" t="s">
        <v>50</v>
      </c>
      <c r="F9" s="28" t="s">
        <v>40</v>
      </c>
      <c r="G9" s="544">
        <v>1</v>
      </c>
      <c r="H9" s="555"/>
      <c r="I9" s="544">
        <v>1</v>
      </c>
      <c r="J9" s="544" t="s">
        <v>42</v>
      </c>
    </row>
    <row r="10" spans="2:11">
      <c r="B10" s="4" t="s">
        <v>51</v>
      </c>
      <c r="C10" s="548" t="s">
        <v>52</v>
      </c>
      <c r="D10" s="28" t="s">
        <v>40</v>
      </c>
      <c r="E10" s="548" t="s">
        <v>53</v>
      </c>
      <c r="F10" s="28" t="s">
        <v>40</v>
      </c>
      <c r="G10" s="544">
        <v>0.80461749752473777</v>
      </c>
      <c r="H10" s="555"/>
      <c r="I10" s="544">
        <v>1</v>
      </c>
      <c r="J10" s="544" t="s">
        <v>42</v>
      </c>
    </row>
    <row r="11" spans="2:11">
      <c r="B11" s="4" t="s">
        <v>54</v>
      </c>
      <c r="C11" s="548" t="s">
        <v>55</v>
      </c>
      <c r="D11" s="28" t="s">
        <v>40</v>
      </c>
      <c r="E11" s="548" t="s">
        <v>56</v>
      </c>
      <c r="F11" s="28" t="s">
        <v>40</v>
      </c>
      <c r="G11" s="544">
        <v>0.97025404531134196</v>
      </c>
      <c r="H11" s="555"/>
      <c r="I11" s="544">
        <v>1</v>
      </c>
      <c r="J11" s="544" t="s">
        <v>42</v>
      </c>
    </row>
    <row r="12" spans="2:11">
      <c r="B12" s="4" t="s">
        <v>463</v>
      </c>
      <c r="C12" s="548" t="s">
        <v>464</v>
      </c>
      <c r="D12" s="28" t="s">
        <v>40</v>
      </c>
      <c r="E12" s="548" t="s">
        <v>53</v>
      </c>
      <c r="F12" s="28" t="s">
        <v>40</v>
      </c>
      <c r="G12" s="544">
        <v>1</v>
      </c>
      <c r="H12" s="544">
        <v>0.87725436086321018</v>
      </c>
      <c r="I12" s="544">
        <v>0.12274563913678993</v>
      </c>
      <c r="J12" s="544" t="s">
        <v>42</v>
      </c>
      <c r="K12" s="556"/>
    </row>
    <row r="13" spans="2:11">
      <c r="B13" s="4" t="s">
        <v>465</v>
      </c>
      <c r="C13" s="548" t="s">
        <v>466</v>
      </c>
      <c r="D13" s="28" t="s">
        <v>40</v>
      </c>
      <c r="E13" s="548" t="s">
        <v>50</v>
      </c>
      <c r="F13" s="28" t="s">
        <v>40</v>
      </c>
      <c r="G13" s="544">
        <v>1</v>
      </c>
      <c r="H13" s="544">
        <v>0.78221495556458842</v>
      </c>
      <c r="I13" s="544">
        <v>0.21778504443541169</v>
      </c>
      <c r="J13" s="544" t="s">
        <v>42</v>
      </c>
      <c r="K13" s="556"/>
    </row>
    <row r="14" spans="2:11">
      <c r="B14" s="4" t="s">
        <v>467</v>
      </c>
      <c r="C14" s="548" t="s">
        <v>468</v>
      </c>
      <c r="D14" s="28" t="s">
        <v>40</v>
      </c>
      <c r="E14" s="548" t="s">
        <v>53</v>
      </c>
      <c r="F14" s="28" t="s">
        <v>40</v>
      </c>
      <c r="G14" s="544">
        <v>0.92612295610984585</v>
      </c>
      <c r="H14" s="544">
        <v>0.7254664489067647</v>
      </c>
      <c r="I14" s="544">
        <v>0.27453355109323524</v>
      </c>
      <c r="J14" s="544" t="s">
        <v>42</v>
      </c>
      <c r="K14" s="556"/>
    </row>
    <row r="15" spans="2:11">
      <c r="B15" s="4" t="s">
        <v>469</v>
      </c>
      <c r="C15" s="548" t="s">
        <v>470</v>
      </c>
      <c r="D15" s="28" t="s">
        <v>40</v>
      </c>
      <c r="E15" s="548" t="s">
        <v>53</v>
      </c>
      <c r="F15" s="28" t="s">
        <v>40</v>
      </c>
      <c r="G15" s="544">
        <v>1</v>
      </c>
      <c r="H15" s="544">
        <v>0.66781824218895114</v>
      </c>
      <c r="I15" s="544">
        <v>0.13087469234942364</v>
      </c>
      <c r="J15" s="544" t="s">
        <v>42</v>
      </c>
      <c r="K15" s="556"/>
    </row>
    <row r="16" spans="2:11">
      <c r="B16" s="4" t="s">
        <v>471</v>
      </c>
      <c r="C16" s="548" t="s">
        <v>472</v>
      </c>
      <c r="D16" s="28" t="s">
        <v>40</v>
      </c>
      <c r="E16" s="548" t="s">
        <v>53</v>
      </c>
      <c r="F16" s="28" t="s">
        <v>40</v>
      </c>
      <c r="G16" s="544">
        <v>0.88228269643057999</v>
      </c>
      <c r="H16" s="544">
        <v>0.79494573500545107</v>
      </c>
      <c r="I16" s="544">
        <v>0.20505426499454896</v>
      </c>
      <c r="J16" s="544" t="s">
        <v>42</v>
      </c>
      <c r="K16" s="556"/>
    </row>
    <row r="17" spans="2:11">
      <c r="B17" s="4" t="s">
        <v>473</v>
      </c>
      <c r="C17" s="548" t="s">
        <v>474</v>
      </c>
      <c r="D17" s="28" t="s">
        <v>40</v>
      </c>
      <c r="E17" s="548" t="s">
        <v>50</v>
      </c>
      <c r="F17" s="28" t="s">
        <v>40</v>
      </c>
      <c r="G17" s="544">
        <v>1</v>
      </c>
      <c r="H17" s="544">
        <v>0.82802576734337541</v>
      </c>
      <c r="I17" s="544">
        <v>0.17197423265662456</v>
      </c>
      <c r="J17" s="544" t="s">
        <v>42</v>
      </c>
      <c r="K17" s="556"/>
    </row>
    <row r="18" spans="2:11">
      <c r="B18" s="4" t="s">
        <v>475</v>
      </c>
      <c r="C18" s="548" t="s">
        <v>476</v>
      </c>
      <c r="D18" s="28" t="s">
        <v>40</v>
      </c>
      <c r="E18" s="548" t="s">
        <v>53</v>
      </c>
      <c r="F18" s="28" t="s">
        <v>40</v>
      </c>
      <c r="G18" s="544">
        <v>0.70285171369654043</v>
      </c>
      <c r="H18" s="544">
        <v>0.51337043795912507</v>
      </c>
      <c r="I18" s="544">
        <v>0.48662956204087493</v>
      </c>
      <c r="J18" s="544" t="s">
        <v>42</v>
      </c>
      <c r="K18" s="556"/>
    </row>
    <row r="19" spans="2:11">
      <c r="B19" s="4" t="s">
        <v>477</v>
      </c>
      <c r="C19" s="548" t="s">
        <v>478</v>
      </c>
      <c r="D19" s="28" t="s">
        <v>40</v>
      </c>
      <c r="E19" s="548" t="s">
        <v>56</v>
      </c>
      <c r="F19" s="28" t="s">
        <v>40</v>
      </c>
      <c r="G19" s="544">
        <v>0.84883281752033446</v>
      </c>
      <c r="H19" s="544">
        <v>0.7781259069198091</v>
      </c>
      <c r="I19" s="544">
        <v>0.22187409308019099</v>
      </c>
      <c r="J19" s="544" t="s">
        <v>42</v>
      </c>
      <c r="K19" s="556"/>
    </row>
    <row r="20" spans="2:11">
      <c r="B20" s="4" t="s">
        <v>479</v>
      </c>
      <c r="C20" s="548" t="s">
        <v>480</v>
      </c>
      <c r="D20" s="28" t="s">
        <v>40</v>
      </c>
      <c r="E20" s="548" t="s">
        <v>56</v>
      </c>
      <c r="F20" s="28" t="s">
        <v>40</v>
      </c>
      <c r="G20" s="544">
        <v>0.84987978775353323</v>
      </c>
      <c r="H20" s="544">
        <v>0.55409700341737678</v>
      </c>
      <c r="I20" s="544">
        <v>0.44466309039630697</v>
      </c>
      <c r="J20" s="544" t="s">
        <v>42</v>
      </c>
      <c r="K20" s="556"/>
    </row>
    <row r="21" spans="2:11" ht="13.5" thickBot="1">
      <c r="B21" s="553" t="s">
        <v>481</v>
      </c>
      <c r="C21" s="547" t="s">
        <v>482</v>
      </c>
      <c r="D21" s="547" t="s">
        <v>40</v>
      </c>
      <c r="E21" s="547" t="s">
        <v>56</v>
      </c>
      <c r="F21" s="547" t="s">
        <v>40</v>
      </c>
      <c r="G21" s="554">
        <v>1</v>
      </c>
      <c r="H21" s="554">
        <v>0.86981998973012742</v>
      </c>
      <c r="I21" s="554">
        <v>0.13018001026987247</v>
      </c>
      <c r="J21" s="554" t="s">
        <v>42</v>
      </c>
      <c r="K21" s="556"/>
    </row>
    <row r="22" spans="2:11" ht="13.5" thickTop="1">
      <c r="B22" s="27"/>
      <c r="C22" s="27"/>
      <c r="D22" s="27"/>
      <c r="E22" s="27"/>
      <c r="J22" s="27"/>
      <c r="K22" s="293"/>
    </row>
    <row r="23" spans="2:11">
      <c r="K23" s="293"/>
    </row>
    <row r="24" spans="2:11">
      <c r="B24" s="27"/>
      <c r="C24" s="27"/>
      <c r="D24" s="27"/>
      <c r="E24" s="27"/>
      <c r="J24" s="27"/>
    </row>
    <row r="25" spans="2:11">
      <c r="B25" s="61" t="s">
        <v>21</v>
      </c>
      <c r="C25" s="27"/>
      <c r="D25" s="27"/>
      <c r="E25" s="27"/>
      <c r="J25" s="27"/>
    </row>
    <row r="26" spans="2:11">
      <c r="B26" s="33" t="s">
        <v>57</v>
      </c>
      <c r="C26" s="27"/>
      <c r="D26" s="27"/>
      <c r="E26" s="27"/>
      <c r="J26" s="27"/>
    </row>
    <row r="27" spans="2:11">
      <c r="B27" s="33" t="s">
        <v>58</v>
      </c>
      <c r="C27" s="27"/>
      <c r="D27" s="27"/>
      <c r="E27" s="27"/>
      <c r="J27" s="27"/>
    </row>
    <row r="28" spans="2:11">
      <c r="B28" s="26" t="s">
        <v>59</v>
      </c>
    </row>
    <row r="29" spans="2:11">
      <c r="B29" s="26" t="s">
        <v>60</v>
      </c>
    </row>
    <row r="30" spans="2:11">
      <c r="B30" s="26" t="s">
        <v>61</v>
      </c>
    </row>
    <row r="31" spans="2:11">
      <c r="B31" s="33" t="s">
        <v>62</v>
      </c>
      <c r="C31" s="27"/>
      <c r="D31" s="27"/>
      <c r="E31" s="27"/>
      <c r="J31" s="27"/>
    </row>
    <row r="36" spans="3:3">
      <c r="C36" s="39"/>
    </row>
    <row r="37" spans="3:3">
      <c r="C37" s="39"/>
    </row>
    <row r="38" spans="3:3">
      <c r="C38" s="29"/>
    </row>
  </sheetData>
  <mergeCells count="1">
    <mergeCell ref="B2:J2"/>
  </mergeCells>
  <conditionalFormatting sqref="B6:C11 C6:C20">
    <cfRule type="expression" dxfId="94" priority="11">
      <formula>"(blank)"</formula>
    </cfRule>
  </conditionalFormatting>
  <conditionalFormatting sqref="B6:C11 C6:C20">
    <cfRule type="expression" dxfId="93" priority="12">
      <formula>#REF!</formula>
    </cfRule>
  </conditionalFormatting>
  <conditionalFormatting sqref="D6">
    <cfRule type="expression" dxfId="92" priority="9">
      <formula>"(blank)"</formula>
    </cfRule>
  </conditionalFormatting>
  <conditionalFormatting sqref="D6">
    <cfRule type="expression" dxfId="91" priority="10">
      <formula>#REF!</formula>
    </cfRule>
  </conditionalFormatting>
  <conditionalFormatting sqref="E6:E20">
    <cfRule type="expression" dxfId="90" priority="7">
      <formula>"(blank)"</formula>
    </cfRule>
  </conditionalFormatting>
  <conditionalFormatting sqref="E6:E20">
    <cfRule type="expression" dxfId="89" priority="8">
      <formula>#REF!</formula>
    </cfRule>
  </conditionalFormatting>
  <conditionalFormatting sqref="G6:G20">
    <cfRule type="expression" dxfId="88" priority="5">
      <formula>"(blank)"</formula>
    </cfRule>
  </conditionalFormatting>
  <conditionalFormatting sqref="G6:G20">
    <cfRule type="expression" dxfId="87" priority="6">
      <formula>#REF!</formula>
    </cfRule>
  </conditionalFormatting>
  <conditionalFormatting sqref="H6:I20">
    <cfRule type="expression" dxfId="86" priority="3">
      <formula>"(blank)"</formula>
    </cfRule>
  </conditionalFormatting>
  <conditionalFormatting sqref="H6:I20">
    <cfRule type="expression" dxfId="85" priority="4">
      <formula>#REF!</formula>
    </cfRule>
  </conditionalFormatting>
  <conditionalFormatting sqref="J6:J20">
    <cfRule type="expression" dxfId="84" priority="1">
      <formula>"(blank)"</formula>
    </cfRule>
  </conditionalFormatting>
  <conditionalFormatting sqref="J6:J20">
    <cfRule type="expression" dxfId="83" priority="2">
      <formula>#REF!</formula>
    </cfRule>
  </conditionalFormatting>
  <printOptions horizontalCentered="1"/>
  <pageMargins left="0.7" right="0.7" top="1.25" bottom="0.75" header="0.3" footer="0.3"/>
  <pageSetup scale="74" firstPageNumber="2" orientation="landscape" useFirstPageNumber="1" r:id="rId1"/>
  <headerFooter>
    <oddHeader>&amp;RPetitioner's Exhibit No.12
 Attachment AEB-2
Vectren South
Schedule 2 (Alternative Proxy Group)
Page &amp;P of 2</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92D050"/>
  </sheetPr>
  <dimension ref="A2:AC92"/>
  <sheetViews>
    <sheetView topLeftCell="A36" zoomScaleNormal="100" workbookViewId="0">
      <selection activeCell="E27" sqref="E27"/>
    </sheetView>
  </sheetViews>
  <sheetFormatPr defaultRowHeight="12.75" outlineLevelCol="1"/>
  <cols>
    <col min="1" max="1" width="33.5703125" style="8" customWidth="1"/>
    <col min="2" max="2" width="8.5703125" customWidth="1"/>
    <col min="3" max="3" width="12.140625" customWidth="1"/>
    <col min="4" max="4" width="9.140625" customWidth="1"/>
    <col min="5" max="5" width="10.28515625" customWidth="1"/>
    <col min="6" max="10" width="10.5703125" customWidth="1"/>
    <col min="11" max="11" width="9" customWidth="1" outlineLevel="1"/>
    <col min="12" max="12" width="9.42578125" customWidth="1" outlineLevel="1"/>
    <col min="13" max="13" width="9.85546875" customWidth="1" outlineLevel="1"/>
    <col min="14" max="14" width="3.5703125" customWidth="1" outlineLevel="1"/>
    <col min="15" max="15" width="10" customWidth="1"/>
    <col min="16" max="16" width="9.42578125" customWidth="1"/>
    <col min="17" max="17" width="10" customWidth="1"/>
  </cols>
  <sheetData>
    <row r="2" spans="1:25">
      <c r="A2" s="756" t="s">
        <v>485</v>
      </c>
      <c r="B2" s="756"/>
      <c r="C2" s="756"/>
      <c r="D2" s="756"/>
      <c r="E2" s="756"/>
      <c r="F2" s="756"/>
      <c r="G2" s="756"/>
      <c r="H2" s="756"/>
      <c r="I2" s="756"/>
      <c r="J2" s="756"/>
      <c r="K2" s="756"/>
      <c r="L2" s="756"/>
      <c r="M2" s="756"/>
      <c r="N2" s="756"/>
      <c r="O2" s="756"/>
      <c r="P2" s="756"/>
      <c r="Q2" s="756"/>
    </row>
    <row r="3" spans="1:25">
      <c r="A3" s="4"/>
      <c r="B3" s="3"/>
      <c r="C3" s="4"/>
      <c r="D3" s="4"/>
      <c r="E3" s="3"/>
      <c r="F3" s="3"/>
      <c r="G3" s="3"/>
      <c r="H3" s="3"/>
      <c r="I3" s="3"/>
      <c r="J3" s="3"/>
      <c r="K3" s="756" t="s">
        <v>63</v>
      </c>
      <c r="L3" s="756"/>
      <c r="M3" s="756"/>
      <c r="N3" s="302"/>
      <c r="O3" s="757" t="s">
        <v>64</v>
      </c>
      <c r="P3" s="757"/>
      <c r="Q3" s="757"/>
    </row>
    <row r="4" spans="1:25" ht="13.5" thickBot="1">
      <c r="A4" s="4"/>
      <c r="B4" s="3"/>
      <c r="C4" s="17">
        <v>1</v>
      </c>
      <c r="D4" s="17">
        <v>2</v>
      </c>
      <c r="E4" s="17">
        <v>3</v>
      </c>
      <c r="F4" s="17">
        <v>4</v>
      </c>
      <c r="G4" s="17">
        <v>5</v>
      </c>
      <c r="H4" s="17">
        <v>6</v>
      </c>
      <c r="I4" s="17">
        <v>7</v>
      </c>
      <c r="J4" s="17">
        <v>8</v>
      </c>
      <c r="K4" s="17">
        <v>9</v>
      </c>
      <c r="L4" s="17">
        <v>10</v>
      </c>
      <c r="M4" s="17">
        <v>11</v>
      </c>
      <c r="N4" s="17"/>
      <c r="O4" s="17" t="s">
        <v>65</v>
      </c>
      <c r="P4" s="17" t="s">
        <v>66</v>
      </c>
      <c r="Q4" s="17" t="s">
        <v>67</v>
      </c>
    </row>
    <row r="5" spans="1:25" ht="51">
      <c r="A5" s="244" t="s">
        <v>30</v>
      </c>
      <c r="B5" s="125" t="s">
        <v>31</v>
      </c>
      <c r="C5" s="245" t="s">
        <v>68</v>
      </c>
      <c r="D5" s="245" t="s">
        <v>69</v>
      </c>
      <c r="E5" s="126" t="s">
        <v>70</v>
      </c>
      <c r="F5" s="126" t="s">
        <v>71</v>
      </c>
      <c r="G5" s="126" t="s">
        <v>72</v>
      </c>
      <c r="H5" s="126" t="s">
        <v>73</v>
      </c>
      <c r="I5" s="126" t="s">
        <v>74</v>
      </c>
      <c r="J5" s="126" t="s">
        <v>75</v>
      </c>
      <c r="K5" s="125" t="s">
        <v>76</v>
      </c>
      <c r="L5" s="126" t="s">
        <v>77</v>
      </c>
      <c r="M5" s="125" t="s">
        <v>78</v>
      </c>
      <c r="N5" s="125"/>
      <c r="O5" s="125" t="s">
        <v>76</v>
      </c>
      <c r="P5" s="126" t="s">
        <v>77</v>
      </c>
      <c r="Q5" s="125" t="s">
        <v>78</v>
      </c>
    </row>
    <row r="6" spans="1:25">
      <c r="A6" s="6"/>
      <c r="B6" s="18"/>
      <c r="C6" s="6"/>
      <c r="D6" s="6"/>
      <c r="E6" s="18"/>
      <c r="F6" s="18"/>
      <c r="G6" s="18"/>
      <c r="H6" s="18"/>
      <c r="I6" s="18"/>
      <c r="J6" s="18"/>
      <c r="K6" s="18"/>
      <c r="L6" s="18"/>
      <c r="M6" s="18"/>
      <c r="N6" s="18"/>
      <c r="O6" s="25"/>
      <c r="P6" s="25"/>
      <c r="Q6" s="25"/>
    </row>
    <row r="7" spans="1:25">
      <c r="A7" s="6" t="s">
        <v>38</v>
      </c>
      <c r="B7" s="5" t="s">
        <v>39</v>
      </c>
      <c r="C7" s="144">
        <v>2.2999999999999998</v>
      </c>
      <c r="D7" s="144">
        <v>96.501333333333335</v>
      </c>
      <c r="E7" s="116">
        <v>2.3833867580413396E-2</v>
      </c>
      <c r="F7" s="11">
        <f>IFERROR(E7*(1+0.5*J7),"")</f>
        <v>2.4689900657676577E-2</v>
      </c>
      <c r="G7" s="24">
        <v>7.0000000000000007E-2</v>
      </c>
      <c r="H7" s="116">
        <v>7.2499999999999995E-2</v>
      </c>
      <c r="I7" s="24">
        <v>7.2999999999999995E-2</v>
      </c>
      <c r="J7" s="11">
        <f>AVERAGE(G7:I7)</f>
        <v>7.1833333333333346E-2</v>
      </c>
      <c r="K7" s="24">
        <f>$E7*(1+0.5*MIN($G7:$I7))+MIN($G7:$I7)</f>
        <v>9.4668052945727874E-2</v>
      </c>
      <c r="L7" s="11">
        <f>F7+J7</f>
        <v>9.6523233991009927E-2</v>
      </c>
      <c r="M7" s="11">
        <f>$E7*(1+0.5*MAX($G7:$I7))+MAX($G7:$I7)</f>
        <v>9.7703803747098472E-2</v>
      </c>
      <c r="N7" s="11"/>
      <c r="O7" s="24">
        <f>IF(K7&gt;7%, K7, "")</f>
        <v>9.4668052945727874E-2</v>
      </c>
      <c r="P7" s="24">
        <f>IF(L7&gt;7%, L7, "")</f>
        <v>9.6523233991009927E-2</v>
      </c>
      <c r="Q7" s="24">
        <f>IF(M7&gt;7%, M7, "")</f>
        <v>9.7703803747098472E-2</v>
      </c>
      <c r="S7" s="34"/>
      <c r="T7" s="34"/>
      <c r="U7" s="34"/>
      <c r="V7" s="12"/>
      <c r="W7" s="12"/>
      <c r="X7" s="12"/>
      <c r="Y7" s="22"/>
    </row>
    <row r="8" spans="1:25">
      <c r="A8" s="6" t="s">
        <v>79</v>
      </c>
      <c r="B8" s="5" t="s">
        <v>80</v>
      </c>
      <c r="C8" s="144">
        <v>1.33</v>
      </c>
      <c r="D8" s="144">
        <v>28.904333333333337</v>
      </c>
      <c r="E8" s="116">
        <v>4.601386182002698E-2</v>
      </c>
      <c r="F8" s="11">
        <f t="shared" ref="F8:F13" si="0">IFERROR(E8*(1+0.5*J8),"")</f>
        <v>4.7087518595827611E-2</v>
      </c>
      <c r="G8" s="24">
        <v>0.02</v>
      </c>
      <c r="H8" s="116">
        <v>0.06</v>
      </c>
      <c r="I8" s="24">
        <v>0.06</v>
      </c>
      <c r="J8" s="11">
        <f>AVERAGE(G8:I8)</f>
        <v>4.6666666666666669E-2</v>
      </c>
      <c r="K8" s="24">
        <f t="shared" ref="K8:K13" si="1">$E8*(1+0.5*MIN($G8:$I8))+MIN($G8:$I8)</f>
        <v>6.6474000438227251E-2</v>
      </c>
      <c r="L8" s="11">
        <f t="shared" ref="L8:L13" si="2">F8+J8</f>
        <v>9.375418526249428E-2</v>
      </c>
      <c r="M8" s="11">
        <f t="shared" ref="M8:M13" si="3">$E8*(1+0.5*MAX($G8:$I8))+MAX($G8:$I8)</f>
        <v>0.10739427767462778</v>
      </c>
      <c r="N8" s="11"/>
      <c r="O8" s="24" t="str">
        <f t="shared" ref="O8:O13" si="4">IF(K8&gt;7%, K8, "")</f>
        <v/>
      </c>
      <c r="P8" s="24">
        <f t="shared" ref="P8:P13" si="5">IF(L8&gt;7%, L8, "")</f>
        <v>9.375418526249428E-2</v>
      </c>
      <c r="Q8" s="24">
        <f t="shared" ref="Q8:Q13" si="6">IF(M8&gt;7%, M8, "")</f>
        <v>0.10739427767462778</v>
      </c>
      <c r="S8" s="34"/>
      <c r="T8" s="34"/>
      <c r="U8" s="34"/>
      <c r="V8" s="12"/>
      <c r="W8" s="12"/>
      <c r="X8" s="12"/>
      <c r="Y8" s="22"/>
    </row>
    <row r="9" spans="1:25">
      <c r="A9" s="6" t="s">
        <v>43</v>
      </c>
      <c r="B9" s="5" t="s">
        <v>44</v>
      </c>
      <c r="C9" s="144">
        <v>1.91</v>
      </c>
      <c r="D9" s="144">
        <v>48.104999999999997</v>
      </c>
      <c r="E9" s="116">
        <v>3.9704812389564498E-2</v>
      </c>
      <c r="F9" s="11">
        <f t="shared" si="0"/>
        <v>4.0536477325997806E-2</v>
      </c>
      <c r="G9" s="24">
        <f>'Schedule-3 Constant DCF 2'!E12</f>
        <v>5.9677199268453274E-2</v>
      </c>
      <c r="H9" s="116">
        <v>3.3000000000000002E-2</v>
      </c>
      <c r="I9" s="24">
        <v>3.3000000000000002E-2</v>
      </c>
      <c r="J9" s="11">
        <f t="shared" ref="J9:J13" si="7">AVERAGE(G9:I9)</f>
        <v>4.189239975615109E-2</v>
      </c>
      <c r="K9" s="24">
        <f t="shared" si="1"/>
        <v>7.3359941793992314E-2</v>
      </c>
      <c r="L9" s="11">
        <f>F9+J9</f>
        <v>8.2428877082148896E-2</v>
      </c>
      <c r="M9" s="11">
        <f t="shared" si="3"/>
        <v>0.10056674765846206</v>
      </c>
      <c r="N9" s="11"/>
      <c r="O9" s="24">
        <f t="shared" si="4"/>
        <v>7.3359941793992314E-2</v>
      </c>
      <c r="P9" s="24">
        <f t="shared" si="5"/>
        <v>8.2428877082148896E-2</v>
      </c>
      <c r="Q9" s="24">
        <f t="shared" si="6"/>
        <v>0.10056674765846206</v>
      </c>
      <c r="S9" s="34"/>
      <c r="T9" s="34"/>
      <c r="U9" s="34"/>
      <c r="V9" s="12"/>
      <c r="W9" s="12"/>
      <c r="X9" s="12"/>
      <c r="Y9" s="22"/>
    </row>
    <row r="10" spans="1:25">
      <c r="A10" s="6" t="s">
        <v>46</v>
      </c>
      <c r="B10" s="5" t="s">
        <v>47</v>
      </c>
      <c r="C10" s="144">
        <v>2.16</v>
      </c>
      <c r="D10" s="144">
        <v>71.150000000000034</v>
      </c>
      <c r="E10" s="116">
        <v>3.0358397751229782E-2</v>
      </c>
      <c r="F10" s="11">
        <f t="shared" si="0"/>
        <v>3.1218552354181292E-2</v>
      </c>
      <c r="G10" s="24">
        <v>6.5000000000000002E-2</v>
      </c>
      <c r="H10" s="116">
        <v>0.05</v>
      </c>
      <c r="I10" s="24">
        <v>5.5E-2</v>
      </c>
      <c r="J10" s="11">
        <f t="shared" si="7"/>
        <v>5.6666666666666671E-2</v>
      </c>
      <c r="K10" s="24">
        <f t="shared" si="1"/>
        <v>8.1117357695010522E-2</v>
      </c>
      <c r="L10" s="11">
        <f t="shared" si="2"/>
        <v>8.7885219020847963E-2</v>
      </c>
      <c r="M10" s="11">
        <f t="shared" si="3"/>
        <v>9.6345045678144753E-2</v>
      </c>
      <c r="N10" s="11"/>
      <c r="O10" s="24">
        <f t="shared" si="4"/>
        <v>8.1117357695010522E-2</v>
      </c>
      <c r="P10" s="24">
        <f t="shared" si="5"/>
        <v>8.7885219020847963E-2</v>
      </c>
      <c r="Q10" s="24">
        <f t="shared" si="6"/>
        <v>9.6345045678144753E-2</v>
      </c>
      <c r="S10" s="34"/>
      <c r="T10" s="34"/>
      <c r="U10" s="34"/>
      <c r="V10" s="12"/>
      <c r="W10" s="12"/>
      <c r="X10" s="12"/>
      <c r="Y10" s="22"/>
    </row>
    <row r="11" spans="1:25">
      <c r="A11" s="6" t="s">
        <v>48</v>
      </c>
      <c r="B11" s="5" t="s">
        <v>49</v>
      </c>
      <c r="C11" s="144">
        <v>1.18</v>
      </c>
      <c r="D11" s="144">
        <v>20.931000000000001</v>
      </c>
      <c r="E11" s="116">
        <v>5.6375710668386599E-2</v>
      </c>
      <c r="F11" s="11">
        <f t="shared" si="0"/>
        <v>5.956093832115044E-2</v>
      </c>
      <c r="G11" s="24">
        <v>0.125</v>
      </c>
      <c r="H11" s="116">
        <v>0.107</v>
      </c>
      <c r="I11" s="24">
        <v>0.107</v>
      </c>
      <c r="J11" s="11">
        <f t="shared" si="7"/>
        <v>0.11299999999999999</v>
      </c>
      <c r="K11" s="24">
        <f t="shared" si="1"/>
        <v>0.16639181118914528</v>
      </c>
      <c r="L11" s="11">
        <f t="shared" si="2"/>
        <v>0.17256093832115044</v>
      </c>
      <c r="M11" s="11">
        <f t="shared" si="3"/>
        <v>0.18489919258516077</v>
      </c>
      <c r="N11" s="11"/>
      <c r="O11" s="24">
        <f t="shared" si="4"/>
        <v>0.16639181118914528</v>
      </c>
      <c r="P11" s="24">
        <f t="shared" si="5"/>
        <v>0.17256093832115044</v>
      </c>
      <c r="Q11" s="24">
        <f t="shared" si="6"/>
        <v>0.18489919258516077</v>
      </c>
      <c r="S11" s="34"/>
      <c r="T11" s="34"/>
      <c r="U11" s="34"/>
      <c r="V11" s="12"/>
      <c r="W11" s="12"/>
      <c r="X11" s="12"/>
      <c r="Y11" s="22"/>
    </row>
    <row r="12" spans="1:25">
      <c r="A12" s="6" t="s">
        <v>51</v>
      </c>
      <c r="B12" s="5" t="s">
        <v>52</v>
      </c>
      <c r="C12" s="144">
        <v>2.2799999999999998</v>
      </c>
      <c r="D12" s="144">
        <v>62.986999999999995</v>
      </c>
      <c r="E12" s="116">
        <v>3.6197945607823835E-2</v>
      </c>
      <c r="F12" s="11">
        <f t="shared" si="0"/>
        <v>3.728388397605855E-2</v>
      </c>
      <c r="G12" s="24">
        <v>0.09</v>
      </c>
      <c r="H12" s="116">
        <v>0.04</v>
      </c>
      <c r="I12" s="24">
        <v>0.05</v>
      </c>
      <c r="J12" s="11">
        <f t="shared" si="7"/>
        <v>0.06</v>
      </c>
      <c r="K12" s="24">
        <f t="shared" si="1"/>
        <v>7.6921904519980322E-2</v>
      </c>
      <c r="L12" s="11">
        <f t="shared" si="2"/>
        <v>9.7283883976058555E-2</v>
      </c>
      <c r="M12" s="11">
        <f t="shared" si="3"/>
        <v>0.12782685316017589</v>
      </c>
      <c r="N12" s="11"/>
      <c r="O12" s="24">
        <f t="shared" si="4"/>
        <v>7.6921904519980322E-2</v>
      </c>
      <c r="P12" s="24">
        <f t="shared" si="5"/>
        <v>9.7283883976058555E-2</v>
      </c>
      <c r="Q12" s="24">
        <f t="shared" si="6"/>
        <v>0.12782685316017589</v>
      </c>
      <c r="S12" s="34"/>
      <c r="T12" s="34"/>
      <c r="U12" s="34"/>
      <c r="V12" s="12"/>
      <c r="W12" s="12"/>
      <c r="X12" s="12"/>
      <c r="Y12" s="22"/>
    </row>
    <row r="13" spans="1:25">
      <c r="A13" s="6" t="s">
        <v>54</v>
      </c>
      <c r="B13" s="5" t="s">
        <v>55</v>
      </c>
      <c r="C13" s="144">
        <v>2.4900000000000002</v>
      </c>
      <c r="D13" s="144">
        <v>55.367333333333328</v>
      </c>
      <c r="E13" s="116">
        <v>4.4972366377286258E-2</v>
      </c>
      <c r="F13" s="11">
        <f t="shared" si="0"/>
        <v>4.6097425076158036E-2</v>
      </c>
      <c r="G13" s="24">
        <v>5.5E-2</v>
      </c>
      <c r="H13" s="116">
        <v>4.7100000000000003E-2</v>
      </c>
      <c r="I13" s="24">
        <v>4.8000000000000001E-2</v>
      </c>
      <c r="J13" s="11">
        <f t="shared" si="7"/>
        <v>5.0033333333333339E-2</v>
      </c>
      <c r="K13" s="24">
        <f t="shared" si="1"/>
        <v>9.313146560547135E-2</v>
      </c>
      <c r="L13" s="11">
        <f t="shared" si="2"/>
        <v>9.6130758409491368E-2</v>
      </c>
      <c r="M13" s="11">
        <f t="shared" si="3"/>
        <v>0.10120910645266162</v>
      </c>
      <c r="N13" s="11"/>
      <c r="O13" s="24">
        <f t="shared" si="4"/>
        <v>9.313146560547135E-2</v>
      </c>
      <c r="P13" s="24">
        <f t="shared" si="5"/>
        <v>9.6130758409491368E-2</v>
      </c>
      <c r="Q13" s="24">
        <f t="shared" si="6"/>
        <v>0.10120910645266162</v>
      </c>
      <c r="S13" s="34"/>
      <c r="T13" s="34"/>
      <c r="U13" s="34"/>
      <c r="V13" s="12"/>
      <c r="W13" s="12"/>
      <c r="X13" s="12"/>
      <c r="Y13" s="22"/>
    </row>
    <row r="14" spans="1:25">
      <c r="A14" s="6"/>
      <c r="B14" s="5"/>
      <c r="C14" s="10"/>
      <c r="D14" s="10"/>
      <c r="E14" s="11"/>
      <c r="F14" s="11"/>
      <c r="G14" s="11"/>
      <c r="H14" s="11"/>
      <c r="I14" s="11"/>
      <c r="J14" s="11"/>
      <c r="K14" s="11"/>
      <c r="L14" s="11"/>
      <c r="M14" s="11"/>
      <c r="N14" s="11"/>
      <c r="O14" s="11"/>
      <c r="P14" s="11"/>
      <c r="Q14" s="11"/>
    </row>
    <row r="15" spans="1:25">
      <c r="A15" s="238" t="s">
        <v>20</v>
      </c>
      <c r="B15" s="239"/>
      <c r="C15" s="240"/>
      <c r="D15" s="240"/>
      <c r="E15" s="241">
        <f>IFERROR(AVERAGE(E7, E9:E13),"")</f>
        <v>3.8573850062450725E-2</v>
      </c>
      <c r="F15" s="241">
        <f>IFERROR(AVERAGE(F7, F9:F13),"")</f>
        <v>3.989786295187045E-2</v>
      </c>
      <c r="G15" s="241">
        <f>IFERROR(AVERAGE(G7, G9:G13),"")</f>
        <v>7.7446199878075536E-2</v>
      </c>
      <c r="H15" s="241">
        <f t="shared" ref="H15:Q15" si="8">IFERROR(AVERAGE(H7, H9:H13),"")</f>
        <v>5.8266666666666668E-2</v>
      </c>
      <c r="I15" s="241">
        <f t="shared" si="8"/>
        <v>6.0999999999999999E-2</v>
      </c>
      <c r="J15" s="241">
        <f t="shared" si="8"/>
        <v>6.557095551491407E-2</v>
      </c>
      <c r="K15" s="241">
        <f>IFERROR(AVERAGE(K7, K9:K13),"")</f>
        <v>9.7598422291554618E-2</v>
      </c>
      <c r="L15" s="241">
        <f>IFERROR(AVERAGE(L7, L9:L13),"")</f>
        <v>0.10546881846678452</v>
      </c>
      <c r="M15" s="241">
        <f t="shared" si="8"/>
        <v>0.1180917915469506</v>
      </c>
      <c r="N15" s="241"/>
      <c r="O15" s="241">
        <f t="shared" si="8"/>
        <v>9.7598422291554618E-2</v>
      </c>
      <c r="P15" s="241">
        <f t="shared" si="8"/>
        <v>0.10546881846678452</v>
      </c>
      <c r="Q15" s="241">
        <f t="shared" si="8"/>
        <v>0.1180917915469506</v>
      </c>
    </row>
    <row r="16" spans="1:25" ht="13.5" thickBot="1">
      <c r="A16" s="236" t="s">
        <v>100</v>
      </c>
      <c r="B16" s="146"/>
      <c r="C16" s="21"/>
      <c r="D16" s="21"/>
      <c r="E16" s="237">
        <f>AVERAGE(E7:E13)</f>
        <v>3.9636708884961618E-2</v>
      </c>
      <c r="F16" s="237">
        <f>AVERAGE(F7:F13)</f>
        <v>4.0924956615292898E-2</v>
      </c>
      <c r="G16" s="237">
        <f>AVERAGE(G7:G13)</f>
        <v>6.9239599895493317E-2</v>
      </c>
      <c r="H16" s="237">
        <f t="shared" ref="H16:Q16" si="9">AVERAGE(H7:H13)</f>
        <v>5.8514285714285706E-2</v>
      </c>
      <c r="I16" s="237">
        <f t="shared" si="9"/>
        <v>6.0857142857142853E-2</v>
      </c>
      <c r="J16" s="237">
        <f t="shared" si="9"/>
        <v>6.2870342822307301E-2</v>
      </c>
      <c r="K16" s="237">
        <f t="shared" si="9"/>
        <v>9.3152076312507839E-2</v>
      </c>
      <c r="L16" s="237">
        <f>AVERAGE(L7:L13)</f>
        <v>0.10379529943760021</v>
      </c>
      <c r="M16" s="237">
        <f t="shared" si="9"/>
        <v>0.1165635752794759</v>
      </c>
      <c r="N16" s="237"/>
      <c r="O16" s="237">
        <f>AVERAGE(O7:O13)</f>
        <v>9.7598422291554618E-2</v>
      </c>
      <c r="P16" s="237">
        <f t="shared" si="9"/>
        <v>0.10379529943760021</v>
      </c>
      <c r="Q16" s="237">
        <f t="shared" si="9"/>
        <v>0.1165635752794759</v>
      </c>
    </row>
    <row r="17" spans="1:17">
      <c r="A17" s="7"/>
      <c r="B17" s="18"/>
      <c r="C17" s="6"/>
      <c r="D17" s="6"/>
      <c r="E17" s="40"/>
      <c r="F17" s="40"/>
      <c r="G17" s="40"/>
      <c r="H17" s="40"/>
      <c r="I17" s="40"/>
      <c r="J17" s="40"/>
      <c r="K17" s="40"/>
      <c r="L17" s="40"/>
      <c r="M17" s="40"/>
      <c r="N17" s="40"/>
      <c r="O17" s="40"/>
      <c r="P17" s="40"/>
      <c r="Q17" s="40"/>
    </row>
    <row r="18" spans="1:17">
      <c r="A18" s="23" t="s">
        <v>21</v>
      </c>
      <c r="B18" s="19"/>
      <c r="C18" s="4"/>
      <c r="D18" s="4"/>
      <c r="E18" s="3"/>
      <c r="F18" s="3"/>
      <c r="G18" s="3"/>
      <c r="H18" s="3"/>
      <c r="I18" s="3"/>
      <c r="J18" s="3"/>
      <c r="K18" s="3"/>
      <c r="L18" s="3"/>
      <c r="M18" s="3"/>
      <c r="N18" s="3"/>
      <c r="P18" s="566"/>
    </row>
    <row r="19" spans="1:17">
      <c r="A19" s="4" t="s">
        <v>57</v>
      </c>
      <c r="B19" s="3"/>
      <c r="C19" s="4"/>
      <c r="D19" s="4"/>
      <c r="E19" s="3"/>
      <c r="F19" s="3"/>
      <c r="G19" s="3"/>
      <c r="H19" s="3"/>
      <c r="I19" s="3"/>
      <c r="J19" s="3"/>
      <c r="K19" s="3"/>
      <c r="L19" s="3"/>
      <c r="M19" s="3"/>
      <c r="N19" s="3"/>
    </row>
    <row r="20" spans="1:17">
      <c r="A20" s="4" t="s">
        <v>581</v>
      </c>
      <c r="B20" s="3"/>
      <c r="C20" s="4"/>
      <c r="D20" s="4"/>
      <c r="E20" s="3"/>
      <c r="F20" s="3"/>
      <c r="G20" s="3"/>
      <c r="H20" s="3"/>
      <c r="I20" s="3"/>
      <c r="J20" s="3"/>
      <c r="K20" s="3"/>
      <c r="L20" s="3"/>
      <c r="M20" s="3"/>
      <c r="N20" s="3"/>
    </row>
    <row r="21" spans="1:17">
      <c r="A21" s="4" t="s">
        <v>81</v>
      </c>
      <c r="B21" s="3"/>
      <c r="C21" s="4"/>
      <c r="D21" s="4"/>
      <c r="E21" s="3"/>
      <c r="F21" s="3"/>
      <c r="G21" s="3"/>
      <c r="H21" s="3"/>
      <c r="I21" s="3"/>
      <c r="J21" s="3"/>
      <c r="K21" s="3"/>
      <c r="L21" s="3"/>
      <c r="M21" s="3"/>
      <c r="N21" s="3"/>
    </row>
    <row r="22" spans="1:17">
      <c r="A22" s="4" t="s">
        <v>82</v>
      </c>
      <c r="B22" s="3"/>
      <c r="C22" s="4"/>
      <c r="D22" s="4"/>
      <c r="E22" s="3"/>
      <c r="F22" s="3"/>
      <c r="G22" s="3"/>
      <c r="H22" s="3"/>
      <c r="I22" s="3"/>
      <c r="J22" s="3"/>
      <c r="K22" s="3"/>
      <c r="L22" s="3"/>
      <c r="M22" s="3"/>
      <c r="N22" s="3"/>
    </row>
    <row r="23" spans="1:17">
      <c r="A23" s="4" t="s">
        <v>83</v>
      </c>
      <c r="B23" s="3"/>
      <c r="C23" s="4"/>
      <c r="D23" s="4"/>
      <c r="E23" s="3"/>
      <c r="F23" s="3"/>
      <c r="G23" s="3"/>
      <c r="H23" s="3"/>
      <c r="I23" s="3"/>
      <c r="J23" s="3"/>
      <c r="K23" s="3"/>
      <c r="L23" s="3"/>
      <c r="M23" s="3"/>
      <c r="N23" s="3"/>
    </row>
    <row r="24" spans="1:17">
      <c r="A24" s="4" t="s">
        <v>84</v>
      </c>
      <c r="B24" s="3"/>
      <c r="C24" s="4"/>
      <c r="D24" s="4"/>
      <c r="E24" s="3"/>
      <c r="F24" s="3"/>
      <c r="G24" s="3"/>
      <c r="H24" s="3"/>
      <c r="I24" s="3"/>
      <c r="J24" s="3"/>
      <c r="K24" s="3"/>
      <c r="L24" s="3"/>
      <c r="M24" s="3"/>
      <c r="N24" s="3"/>
    </row>
    <row r="25" spans="1:17">
      <c r="A25" s="4" t="s">
        <v>85</v>
      </c>
      <c r="B25" s="3"/>
      <c r="C25" s="4"/>
      <c r="D25" s="4"/>
      <c r="E25" s="3"/>
      <c r="F25" s="3"/>
      <c r="G25" s="3"/>
      <c r="H25" s="3"/>
      <c r="I25" s="3"/>
      <c r="J25" s="3"/>
      <c r="K25" s="3"/>
      <c r="L25" s="3"/>
      <c r="M25" s="3"/>
      <c r="N25" s="3"/>
    </row>
    <row r="26" spans="1:17">
      <c r="A26" s="9" t="s">
        <v>86</v>
      </c>
      <c r="B26" s="3"/>
      <c r="C26" s="4"/>
      <c r="D26" s="4"/>
      <c r="E26" s="3"/>
      <c r="F26" s="3"/>
      <c r="G26" s="3"/>
      <c r="H26" s="3"/>
      <c r="I26" s="3"/>
      <c r="J26" s="3"/>
      <c r="K26" s="3"/>
      <c r="L26" s="3"/>
      <c r="M26" s="3"/>
      <c r="N26" s="3"/>
    </row>
    <row r="27" spans="1:17">
      <c r="A27" s="4" t="s">
        <v>87</v>
      </c>
      <c r="B27" s="3"/>
      <c r="C27" s="4"/>
      <c r="D27" s="4"/>
      <c r="E27" s="3"/>
      <c r="F27" s="3"/>
      <c r="J27" s="3"/>
      <c r="K27" s="3"/>
      <c r="L27" s="3"/>
      <c r="M27" s="3"/>
      <c r="N27" s="3"/>
    </row>
    <row r="28" spans="1:17">
      <c r="A28" s="4" t="s">
        <v>88</v>
      </c>
      <c r="B28" s="3"/>
      <c r="C28" s="4"/>
      <c r="D28" s="4"/>
      <c r="E28" s="3"/>
      <c r="G28" s="3"/>
      <c r="H28" s="3"/>
      <c r="I28" s="3"/>
      <c r="K28" s="3"/>
      <c r="L28" s="3"/>
      <c r="M28" s="3"/>
      <c r="N28" s="3"/>
    </row>
    <row r="29" spans="1:17">
      <c r="A29" s="4" t="s">
        <v>89</v>
      </c>
      <c r="B29" s="3"/>
      <c r="C29" s="4"/>
      <c r="D29" s="4"/>
      <c r="E29" s="3"/>
      <c r="F29" s="3"/>
      <c r="J29" s="3"/>
      <c r="K29" s="3"/>
      <c r="L29" s="3"/>
      <c r="M29" s="3"/>
      <c r="N29" s="3"/>
    </row>
    <row r="30" spans="1:17" s="8" customFormat="1">
      <c r="A30" s="4" t="s">
        <v>90</v>
      </c>
    </row>
    <row r="33" spans="1:29">
      <c r="A33" s="756" t="s">
        <v>483</v>
      </c>
      <c r="B33" s="756"/>
      <c r="C33" s="756"/>
      <c r="D33" s="756"/>
      <c r="E33" s="756"/>
      <c r="F33" s="756"/>
      <c r="G33" s="756"/>
      <c r="H33" s="756"/>
      <c r="I33" s="756"/>
      <c r="J33" s="756"/>
      <c r="K33" s="756"/>
      <c r="L33" s="756"/>
      <c r="M33" s="756"/>
      <c r="N33" s="756"/>
      <c r="O33" s="756"/>
      <c r="P33" s="756"/>
      <c r="Q33" s="756"/>
    </row>
    <row r="34" spans="1:29">
      <c r="A34" s="4"/>
      <c r="B34" s="3"/>
      <c r="C34" s="4"/>
      <c r="D34" s="4"/>
      <c r="E34" s="3"/>
      <c r="F34" s="3"/>
      <c r="G34" s="3"/>
      <c r="H34" s="3"/>
      <c r="I34" s="3"/>
      <c r="J34" s="3"/>
      <c r="K34" s="756" t="s">
        <v>63</v>
      </c>
      <c r="L34" s="756"/>
      <c r="M34" s="756"/>
      <c r="N34" s="302"/>
      <c r="O34" s="757" t="s">
        <v>64</v>
      </c>
      <c r="P34" s="757"/>
      <c r="Q34" s="757"/>
    </row>
    <row r="35" spans="1:29" ht="13.5" thickBot="1">
      <c r="A35" s="4"/>
      <c r="B35" s="3"/>
      <c r="C35" s="17">
        <v>1</v>
      </c>
      <c r="D35" s="17">
        <v>2</v>
      </c>
      <c r="E35" s="17">
        <v>3</v>
      </c>
      <c r="F35" s="17">
        <v>4</v>
      </c>
      <c r="G35" s="17">
        <v>5</v>
      </c>
      <c r="H35" s="17">
        <v>6</v>
      </c>
      <c r="I35" s="17">
        <v>7</v>
      </c>
      <c r="J35" s="17">
        <v>8</v>
      </c>
      <c r="K35" s="17">
        <v>9</v>
      </c>
      <c r="L35" s="17">
        <v>10</v>
      </c>
      <c r="M35" s="17">
        <v>11</v>
      </c>
      <c r="N35" s="17"/>
      <c r="O35" s="17" t="s">
        <v>65</v>
      </c>
      <c r="P35" s="17" t="s">
        <v>66</v>
      </c>
      <c r="Q35" s="17" t="s">
        <v>67</v>
      </c>
    </row>
    <row r="36" spans="1:29" ht="51">
      <c r="A36" s="244" t="s">
        <v>30</v>
      </c>
      <c r="B36" s="125" t="s">
        <v>31</v>
      </c>
      <c r="C36" s="245" t="s">
        <v>68</v>
      </c>
      <c r="D36" s="245" t="s">
        <v>69</v>
      </c>
      <c r="E36" s="126" t="s">
        <v>70</v>
      </c>
      <c r="F36" s="126" t="s">
        <v>71</v>
      </c>
      <c r="G36" s="126" t="s">
        <v>72</v>
      </c>
      <c r="H36" s="126" t="s">
        <v>73</v>
      </c>
      <c r="I36" s="126" t="s">
        <v>74</v>
      </c>
      <c r="J36" s="126" t="s">
        <v>75</v>
      </c>
      <c r="K36" s="125" t="s">
        <v>76</v>
      </c>
      <c r="L36" s="126" t="s">
        <v>77</v>
      </c>
      <c r="M36" s="125" t="s">
        <v>78</v>
      </c>
      <c r="N36" s="125"/>
      <c r="O36" s="125" t="s">
        <v>76</v>
      </c>
      <c r="P36" s="126" t="s">
        <v>77</v>
      </c>
      <c r="Q36" s="125" t="s">
        <v>78</v>
      </c>
    </row>
    <row r="37" spans="1:29">
      <c r="A37" s="6"/>
      <c r="B37" s="18"/>
      <c r="C37" s="6"/>
      <c r="D37" s="6"/>
      <c r="E37" s="18"/>
      <c r="F37" s="18"/>
      <c r="G37" s="18"/>
      <c r="H37" s="18"/>
      <c r="I37" s="18"/>
      <c r="J37" s="18"/>
      <c r="K37" s="18"/>
      <c r="L37" s="18"/>
      <c r="M37" s="18"/>
      <c r="N37" s="18"/>
      <c r="O37" s="25"/>
      <c r="P37" s="25"/>
      <c r="Q37" s="25"/>
      <c r="AC37" t="s">
        <v>91</v>
      </c>
    </row>
    <row r="38" spans="1:29">
      <c r="A38" s="6" t="s">
        <v>38</v>
      </c>
      <c r="B38" s="5" t="s">
        <v>39</v>
      </c>
      <c r="C38" s="10">
        <v>2.2999999999999998</v>
      </c>
      <c r="D38" s="10">
        <v>100.21677777777781</v>
      </c>
      <c r="E38" s="11">
        <v>2.2950248960309366E-2</v>
      </c>
      <c r="F38" s="11">
        <f>IFERROR(E38*(1+0.5*J38),"")</f>
        <v>2.377454540213381E-2</v>
      </c>
      <c r="G38" s="11">
        <v>7.0000000000000007E-2</v>
      </c>
      <c r="H38" s="11">
        <v>7.2499999999999995E-2</v>
      </c>
      <c r="I38" s="11">
        <v>7.2999999999999995E-2</v>
      </c>
      <c r="J38" s="11">
        <f>AVERAGE(G38:I38)</f>
        <v>7.1833333333333346E-2</v>
      </c>
      <c r="K38" s="24">
        <f>$E38*(1+0.5*MIN($G38:$I38))+MIN($G38:$I38)</f>
        <v>9.3753507673920197E-2</v>
      </c>
      <c r="L38" s="11">
        <f>F38+J38</f>
        <v>9.5607878735467153E-2</v>
      </c>
      <c r="M38" s="11">
        <f>$E38*(1+0.5*MAX($G38:$I38))+MAX($G38:$I38)</f>
        <v>9.678793304736065E-2</v>
      </c>
      <c r="N38" s="11"/>
      <c r="O38" s="24">
        <f>IF(K38&gt;7%, K38, "")</f>
        <v>9.3753507673920197E-2</v>
      </c>
      <c r="P38" s="24">
        <f t="shared" ref="P38:Q38" si="10">IF(L38&gt;7%, L38, "")</f>
        <v>9.5607878735467153E-2</v>
      </c>
      <c r="Q38" s="24">
        <f t="shared" si="10"/>
        <v>9.678793304736065E-2</v>
      </c>
      <c r="S38" s="34"/>
      <c r="T38" s="34"/>
      <c r="U38" s="34"/>
      <c r="AC38" t="s">
        <v>91</v>
      </c>
    </row>
    <row r="39" spans="1:29">
      <c r="A39" s="6" t="s">
        <v>79</v>
      </c>
      <c r="B39" s="5" t="s">
        <v>80</v>
      </c>
      <c r="C39" s="10">
        <v>1.33</v>
      </c>
      <c r="D39" s="10">
        <v>31.285666666666671</v>
      </c>
      <c r="E39" s="11">
        <v>4.251148023056351E-2</v>
      </c>
      <c r="F39" s="11">
        <f t="shared" ref="F39:F44" si="11">IFERROR(E39*(1+0.5*J39),"")</f>
        <v>4.350341476927666E-2</v>
      </c>
      <c r="G39" s="11">
        <v>0.02</v>
      </c>
      <c r="H39" s="11">
        <v>0.06</v>
      </c>
      <c r="I39" s="11">
        <v>0.06</v>
      </c>
      <c r="J39" s="11">
        <f>AVERAGE(G39:I39)</f>
        <v>4.6666666666666669E-2</v>
      </c>
      <c r="K39" s="11">
        <f t="shared" ref="K39:K44" si="12">$E39*(1+0.5*MIN($G39:$I39))+MIN($G39:$I39)</f>
        <v>6.293659503286915E-2</v>
      </c>
      <c r="L39" s="11">
        <f t="shared" ref="L39:L44" si="13">F39+J39</f>
        <v>9.0170081435943322E-2</v>
      </c>
      <c r="M39" s="11">
        <f t="shared" ref="M39:M43" si="14">$E39*(1+0.5*MAX($G39:$I39))+MAX($G39:$I39)</f>
        <v>0.10378682463748042</v>
      </c>
      <c r="N39" s="11"/>
      <c r="O39" s="24" t="str">
        <f t="shared" ref="O39:O44" si="15">IF(K39&gt;7%, K39, "")</f>
        <v/>
      </c>
      <c r="P39" s="24">
        <f t="shared" ref="P39:P44" si="16">IF(L39&gt;7%, L39, "")</f>
        <v>9.0170081435943322E-2</v>
      </c>
      <c r="Q39" s="24">
        <f t="shared" ref="Q39:Q44" si="17">IF(M39&gt;7%, M39, "")</f>
        <v>0.10378682463748042</v>
      </c>
      <c r="S39" s="34"/>
      <c r="T39" s="34"/>
      <c r="U39" s="34"/>
      <c r="AC39" t="s">
        <v>91</v>
      </c>
    </row>
    <row r="40" spans="1:29">
      <c r="A40" s="6" t="s">
        <v>43</v>
      </c>
      <c r="B40" s="5" t="s">
        <v>44</v>
      </c>
      <c r="C40" s="10">
        <v>1.91</v>
      </c>
      <c r="D40" s="10">
        <v>53.530888888888875</v>
      </c>
      <c r="E40" s="11">
        <v>3.5680334095786866E-2</v>
      </c>
      <c r="F40" s="11">
        <f t="shared" si="11"/>
        <v>3.6427701505473732E-2</v>
      </c>
      <c r="G40" s="11">
        <f>'Schedule-3 Constant DCF 2'!E12</f>
        <v>5.9677199268453274E-2</v>
      </c>
      <c r="H40" s="11">
        <v>3.3000000000000002E-2</v>
      </c>
      <c r="I40" s="11">
        <v>3.3000000000000002E-2</v>
      </c>
      <c r="J40" s="11">
        <f t="shared" ref="J40:J43" si="18">AVERAGE(G40:I40)</f>
        <v>4.189239975615109E-2</v>
      </c>
      <c r="K40" s="11">
        <f t="shared" si="12"/>
        <v>6.926905960836735E-2</v>
      </c>
      <c r="L40" s="11">
        <f t="shared" si="13"/>
        <v>7.8320101261624822E-2</v>
      </c>
      <c r="M40" s="11">
        <f t="shared" si="14"/>
        <v>9.6422184568139765E-2</v>
      </c>
      <c r="N40" s="11"/>
      <c r="O40" s="24" t="str">
        <f t="shared" si="15"/>
        <v/>
      </c>
      <c r="P40" s="24">
        <f t="shared" si="16"/>
        <v>7.8320101261624822E-2</v>
      </c>
      <c r="Q40" s="24">
        <f t="shared" si="17"/>
        <v>9.6422184568139765E-2</v>
      </c>
      <c r="S40" s="34"/>
      <c r="T40" s="34"/>
      <c r="U40" s="34"/>
      <c r="AC40" t="s">
        <v>91</v>
      </c>
    </row>
    <row r="41" spans="1:29">
      <c r="A41" s="6" t="s">
        <v>46</v>
      </c>
      <c r="B41" s="5" t="s">
        <v>47</v>
      </c>
      <c r="C41" s="10">
        <v>2.16</v>
      </c>
      <c r="D41" s="10">
        <v>75.275111111111144</v>
      </c>
      <c r="E41" s="11">
        <v>2.8694743430025555E-2</v>
      </c>
      <c r="F41" s="11">
        <f t="shared" si="11"/>
        <v>2.9507761160542944E-2</v>
      </c>
      <c r="G41" s="11">
        <v>6.5000000000000002E-2</v>
      </c>
      <c r="H41" s="11">
        <v>0.05</v>
      </c>
      <c r="I41" s="11">
        <v>5.5E-2</v>
      </c>
      <c r="J41" s="11">
        <f t="shared" ref="J41" si="19">AVERAGE(G41:I41)</f>
        <v>5.6666666666666671E-2</v>
      </c>
      <c r="K41" s="11">
        <f t="shared" si="12"/>
        <v>7.9412112015776193E-2</v>
      </c>
      <c r="L41" s="11">
        <f t="shared" ref="L41" si="20">F41+J41</f>
        <v>8.6174427827209618E-2</v>
      </c>
      <c r="M41" s="11">
        <f t="shared" si="14"/>
        <v>9.4627322591501389E-2</v>
      </c>
      <c r="N41" s="11"/>
      <c r="O41" s="24">
        <f t="shared" si="15"/>
        <v>7.9412112015776193E-2</v>
      </c>
      <c r="P41" s="24">
        <f t="shared" si="16"/>
        <v>8.6174427827209618E-2</v>
      </c>
      <c r="Q41" s="24">
        <f t="shared" si="17"/>
        <v>9.4627322591501389E-2</v>
      </c>
      <c r="S41" s="34"/>
      <c r="T41" s="34"/>
      <c r="U41" s="34"/>
      <c r="AC41" t="s">
        <v>91</v>
      </c>
    </row>
    <row r="42" spans="1:29">
      <c r="A42" s="6" t="s">
        <v>48</v>
      </c>
      <c r="B42" s="5" t="s">
        <v>49</v>
      </c>
      <c r="C42" s="10">
        <v>1.18</v>
      </c>
      <c r="D42" s="10">
        <v>23.541000000000004</v>
      </c>
      <c r="E42" s="11">
        <v>5.012531328320801E-2</v>
      </c>
      <c r="F42" s="11">
        <f t="shared" si="11"/>
        <v>5.2957393483709266E-2</v>
      </c>
      <c r="G42" s="11">
        <v>0.125</v>
      </c>
      <c r="H42" s="11">
        <v>0.107</v>
      </c>
      <c r="I42" s="11">
        <v>0.107</v>
      </c>
      <c r="J42" s="11">
        <f t="shared" si="18"/>
        <v>0.11299999999999999</v>
      </c>
      <c r="K42" s="11">
        <f t="shared" si="12"/>
        <v>0.15980701754385965</v>
      </c>
      <c r="L42" s="11">
        <f t="shared" si="13"/>
        <v>0.16595739348370925</v>
      </c>
      <c r="M42" s="11">
        <f t="shared" si="14"/>
        <v>0.1782581453634085</v>
      </c>
      <c r="N42" s="11"/>
      <c r="O42" s="24">
        <f t="shared" si="15"/>
        <v>0.15980701754385965</v>
      </c>
      <c r="P42" s="24">
        <f t="shared" si="16"/>
        <v>0.16595739348370925</v>
      </c>
      <c r="Q42" s="24">
        <f t="shared" si="17"/>
        <v>0.1782581453634085</v>
      </c>
      <c r="S42" s="34"/>
      <c r="T42" s="34"/>
      <c r="U42" s="34"/>
      <c r="AC42" t="s">
        <v>91</v>
      </c>
    </row>
    <row r="43" spans="1:29">
      <c r="A43" s="6" t="s">
        <v>51</v>
      </c>
      <c r="B43" s="5" t="s">
        <v>52</v>
      </c>
      <c r="C43" s="10">
        <v>2.2799999999999998</v>
      </c>
      <c r="D43" s="10">
        <v>67.990222222222229</v>
      </c>
      <c r="E43" s="11">
        <v>3.3534233680659956E-2</v>
      </c>
      <c r="F43" s="11">
        <f t="shared" si="11"/>
        <v>3.4540260691079752E-2</v>
      </c>
      <c r="G43" s="11">
        <v>0.09</v>
      </c>
      <c r="H43" s="11">
        <v>0.04</v>
      </c>
      <c r="I43" s="11">
        <v>0.05</v>
      </c>
      <c r="J43" s="11">
        <f t="shared" si="18"/>
        <v>0.06</v>
      </c>
      <c r="K43" s="11">
        <f t="shared" si="12"/>
        <v>7.4204918354273147E-2</v>
      </c>
      <c r="L43" s="11">
        <f t="shared" si="13"/>
        <v>9.454026069107975E-2</v>
      </c>
      <c r="M43" s="11">
        <f t="shared" si="14"/>
        <v>0.12504327419628963</v>
      </c>
      <c r="N43" s="11"/>
      <c r="O43" s="24">
        <f t="shared" si="15"/>
        <v>7.4204918354273147E-2</v>
      </c>
      <c r="P43" s="24">
        <f t="shared" si="16"/>
        <v>9.454026069107975E-2</v>
      </c>
      <c r="Q43" s="24">
        <f t="shared" si="17"/>
        <v>0.12504327419628963</v>
      </c>
      <c r="S43" s="34"/>
      <c r="T43" s="34"/>
      <c r="U43" s="34"/>
      <c r="AC43" t="s">
        <v>91</v>
      </c>
    </row>
    <row r="44" spans="1:29">
      <c r="A44" s="6" t="s">
        <v>54</v>
      </c>
      <c r="B44" s="5" t="s">
        <v>55</v>
      </c>
      <c r="C44" s="10">
        <v>2.4900000000000002</v>
      </c>
      <c r="D44" s="10">
        <v>62.49466666666666</v>
      </c>
      <c r="E44" s="11">
        <v>3.984339997013079E-2</v>
      </c>
      <c r="F44" s="11">
        <f t="shared" si="11"/>
        <v>4.0840149026050231E-2</v>
      </c>
      <c r="G44" s="11">
        <v>5.5E-2</v>
      </c>
      <c r="H44" s="11">
        <v>4.7100000000000003E-2</v>
      </c>
      <c r="I44" s="11">
        <v>4.8000000000000001E-2</v>
      </c>
      <c r="J44" s="11">
        <f>AVERAGE(G44:I44)</f>
        <v>5.0033333333333339E-2</v>
      </c>
      <c r="K44" s="11">
        <f t="shared" si="12"/>
        <v>8.7881712039427379E-2</v>
      </c>
      <c r="L44" s="11">
        <f t="shared" si="13"/>
        <v>9.087348235938357E-2</v>
      </c>
      <c r="M44" s="11">
        <f>$E44*(1+0.5*MAX($G44:$I44))+MAX($G44:$I44)</f>
        <v>9.59390934693094E-2</v>
      </c>
      <c r="N44" s="11"/>
      <c r="O44" s="24">
        <f t="shared" si="15"/>
        <v>8.7881712039427379E-2</v>
      </c>
      <c r="P44" s="24">
        <f t="shared" si="16"/>
        <v>9.087348235938357E-2</v>
      </c>
      <c r="Q44" s="24">
        <f t="shared" si="17"/>
        <v>9.59390934693094E-2</v>
      </c>
      <c r="AC44" t="s">
        <v>91</v>
      </c>
    </row>
    <row r="45" spans="1:29" ht="13.35" customHeight="1">
      <c r="A45" s="6"/>
      <c r="B45" s="5"/>
      <c r="C45" s="10"/>
      <c r="D45" s="10"/>
      <c r="E45" s="11"/>
      <c r="F45" s="11"/>
      <c r="G45" s="11"/>
      <c r="H45" s="11"/>
      <c r="I45" s="11"/>
      <c r="J45" s="11"/>
      <c r="K45" s="11"/>
      <c r="L45" s="11"/>
      <c r="M45" s="11"/>
      <c r="N45" s="11"/>
      <c r="O45" s="24" t="str">
        <f t="shared" ref="O45" si="21">IF(K45&gt;7.63%, K45, "")</f>
        <v/>
      </c>
      <c r="P45" s="24" t="str">
        <f t="shared" ref="P45" si="22">IF(L45&gt;7.63%, L45, "")</f>
        <v/>
      </c>
      <c r="Q45" s="24" t="str">
        <f t="shared" ref="Q45" si="23">IF(M45&gt;7.63%, M45, "")</f>
        <v/>
      </c>
      <c r="T45" s="22"/>
    </row>
    <row r="46" spans="1:29">
      <c r="A46" s="238" t="s">
        <v>20</v>
      </c>
      <c r="B46" s="239"/>
      <c r="C46" s="240"/>
      <c r="D46" s="240"/>
      <c r="E46" s="241">
        <f>IFERROR(AVERAGE(E38, E40:E44),"")</f>
        <v>3.5138045570020086E-2</v>
      </c>
      <c r="F46" s="241">
        <f t="shared" ref="F46:Q46" si="24">IFERROR(AVERAGE(F38, F40:F44),"")</f>
        <v>3.6341301878164957E-2</v>
      </c>
      <c r="G46" s="241">
        <f t="shared" si="24"/>
        <v>7.7446199878075536E-2</v>
      </c>
      <c r="H46" s="241">
        <f t="shared" si="24"/>
        <v>5.8266666666666668E-2</v>
      </c>
      <c r="I46" s="241">
        <f t="shared" si="24"/>
        <v>6.0999999999999999E-2</v>
      </c>
      <c r="J46" s="241">
        <f t="shared" si="24"/>
        <v>6.557095551491407E-2</v>
      </c>
      <c r="K46" s="241">
        <f t="shared" si="24"/>
        <v>9.4054721205937317E-2</v>
      </c>
      <c r="L46" s="241">
        <f t="shared" si="24"/>
        <v>0.10191225739307902</v>
      </c>
      <c r="M46" s="241">
        <f t="shared" si="24"/>
        <v>0.11451299220600157</v>
      </c>
      <c r="N46" s="241"/>
      <c r="O46" s="241">
        <f t="shared" si="24"/>
        <v>9.9011853525451318E-2</v>
      </c>
      <c r="P46" s="241">
        <f t="shared" si="24"/>
        <v>0.10191225739307902</v>
      </c>
      <c r="Q46" s="241">
        <f t="shared" si="24"/>
        <v>0.11451299220600157</v>
      </c>
    </row>
    <row r="47" spans="1:29" ht="13.5" thickBot="1">
      <c r="A47" s="236" t="s">
        <v>100</v>
      </c>
      <c r="B47" s="146"/>
      <c r="C47" s="21"/>
      <c r="D47" s="21"/>
      <c r="E47" s="237">
        <f t="shared" ref="E47:F47" si="25">AVERAGE(E38:E44)</f>
        <v>3.6191393378669154E-2</v>
      </c>
      <c r="F47" s="237">
        <f t="shared" si="25"/>
        <v>3.7364460862609479E-2</v>
      </c>
      <c r="G47" s="237">
        <f>AVERAGE(G38:G44)</f>
        <v>6.9239599895493317E-2</v>
      </c>
      <c r="H47" s="237">
        <f t="shared" ref="H47:Q47" si="26">AVERAGE(H38:H44)</f>
        <v>5.8514285714285706E-2</v>
      </c>
      <c r="I47" s="237">
        <f t="shared" si="26"/>
        <v>6.0857142857142853E-2</v>
      </c>
      <c r="J47" s="237">
        <f t="shared" si="26"/>
        <v>6.2870342822307301E-2</v>
      </c>
      <c r="K47" s="237">
        <f t="shared" si="26"/>
        <v>8.9609274609784725E-2</v>
      </c>
      <c r="L47" s="237">
        <f t="shared" si="26"/>
        <v>0.10023480368491679</v>
      </c>
      <c r="M47" s="237">
        <f t="shared" si="26"/>
        <v>0.11298068255335569</v>
      </c>
      <c r="N47" s="237"/>
      <c r="O47" s="237">
        <f t="shared" si="26"/>
        <v>9.9011853525451318E-2</v>
      </c>
      <c r="P47" s="237">
        <f t="shared" si="26"/>
        <v>0.10023480368491679</v>
      </c>
      <c r="Q47" s="237">
        <f t="shared" si="26"/>
        <v>0.11298068255335569</v>
      </c>
    </row>
    <row r="48" spans="1:29">
      <c r="A48" s="7"/>
      <c r="B48" s="6"/>
      <c r="C48" s="6"/>
      <c r="D48" s="6"/>
      <c r="E48" s="6"/>
      <c r="F48" s="6"/>
      <c r="G48" s="20"/>
      <c r="H48" s="20"/>
      <c r="I48" s="20"/>
      <c r="J48" s="20"/>
      <c r="K48" s="20"/>
      <c r="L48" s="20"/>
      <c r="O48" s="20"/>
      <c r="P48" s="20"/>
      <c r="Q48" s="20"/>
    </row>
    <row r="49" spans="1:17">
      <c r="A49" s="23" t="s">
        <v>21</v>
      </c>
      <c r="B49" s="19"/>
      <c r="C49" s="4"/>
      <c r="D49" s="4"/>
      <c r="E49" s="3"/>
      <c r="F49" s="3"/>
      <c r="G49" s="3"/>
      <c r="H49" s="3"/>
      <c r="I49" s="3"/>
      <c r="J49" s="3"/>
      <c r="K49" s="3"/>
      <c r="L49" s="3"/>
      <c r="M49" s="3"/>
      <c r="N49" s="3"/>
    </row>
    <row r="50" spans="1:17">
      <c r="A50" s="4" t="s">
        <v>57</v>
      </c>
      <c r="B50" s="3"/>
      <c r="C50" s="3"/>
      <c r="D50" s="3"/>
      <c r="E50" s="3"/>
      <c r="F50" s="3"/>
      <c r="G50" s="3"/>
      <c r="J50" s="3"/>
      <c r="K50" t="s">
        <v>91</v>
      </c>
    </row>
    <row r="51" spans="1:17">
      <c r="A51" s="4" t="s">
        <v>582</v>
      </c>
      <c r="B51" s="3"/>
      <c r="C51" s="3"/>
      <c r="D51" s="3"/>
      <c r="E51" s="3"/>
      <c r="F51" s="3"/>
      <c r="G51" s="3"/>
      <c r="J51" s="3"/>
      <c r="K51" t="s">
        <v>91</v>
      </c>
    </row>
    <row r="52" spans="1:17">
      <c r="A52" s="4" t="s">
        <v>81</v>
      </c>
      <c r="B52" s="3"/>
      <c r="C52" s="3"/>
      <c r="D52" s="3"/>
      <c r="E52" s="3"/>
      <c r="F52" s="3"/>
      <c r="G52" s="3"/>
      <c r="J52" s="3"/>
      <c r="K52" t="s">
        <v>91</v>
      </c>
    </row>
    <row r="53" spans="1:17">
      <c r="A53" s="4" t="s">
        <v>82</v>
      </c>
      <c r="B53" s="3"/>
      <c r="C53" s="3"/>
      <c r="D53" s="3"/>
      <c r="E53" s="3"/>
      <c r="F53" s="3"/>
      <c r="G53" s="3"/>
      <c r="J53" s="3"/>
      <c r="K53" t="s">
        <v>91</v>
      </c>
    </row>
    <row r="54" spans="1:17">
      <c r="A54" s="4" t="s">
        <v>83</v>
      </c>
      <c r="B54" s="3"/>
      <c r="C54" s="3"/>
      <c r="D54" s="3"/>
      <c r="E54" s="3"/>
      <c r="F54" s="3"/>
      <c r="G54" s="3"/>
      <c r="J54" s="3"/>
      <c r="K54" t="s">
        <v>91</v>
      </c>
    </row>
    <row r="55" spans="1:17">
      <c r="A55" s="4" t="s">
        <v>84</v>
      </c>
      <c r="B55" s="3"/>
      <c r="C55" s="3"/>
      <c r="D55" s="3"/>
      <c r="E55" s="3"/>
      <c r="F55" s="3"/>
      <c r="G55" s="3"/>
      <c r="J55" s="3"/>
      <c r="K55" t="s">
        <v>91</v>
      </c>
    </row>
    <row r="56" spans="1:17">
      <c r="A56" s="4" t="s">
        <v>85</v>
      </c>
      <c r="B56" s="3"/>
      <c r="C56" s="3"/>
      <c r="D56" s="3"/>
      <c r="E56" s="3"/>
      <c r="F56" s="3"/>
      <c r="G56" s="3"/>
      <c r="J56" s="3"/>
      <c r="K56" t="s">
        <v>91</v>
      </c>
    </row>
    <row r="57" spans="1:17">
      <c r="A57" s="9" t="s">
        <v>86</v>
      </c>
      <c r="B57" s="3"/>
      <c r="C57" s="3"/>
      <c r="D57" s="3"/>
      <c r="E57" s="3"/>
      <c r="F57" s="3"/>
      <c r="G57" s="3"/>
      <c r="J57" s="3"/>
      <c r="K57" t="s">
        <v>91</v>
      </c>
    </row>
    <row r="58" spans="1:17">
      <c r="A58" s="4" t="s">
        <v>87</v>
      </c>
      <c r="J58" s="3"/>
      <c r="K58" t="s">
        <v>91</v>
      </c>
    </row>
    <row r="59" spans="1:17">
      <c r="A59" s="4" t="s">
        <v>88</v>
      </c>
      <c r="B59" s="3"/>
      <c r="C59" s="3"/>
      <c r="D59" s="3"/>
      <c r="E59" s="3"/>
      <c r="F59" s="3"/>
      <c r="G59" s="3"/>
      <c r="J59" s="3"/>
      <c r="K59" t="s">
        <v>91</v>
      </c>
    </row>
    <row r="60" spans="1:17">
      <c r="A60" s="4" t="s">
        <v>89</v>
      </c>
      <c r="B60" s="3"/>
      <c r="C60" s="4"/>
      <c r="D60" s="4"/>
      <c r="E60" s="3"/>
      <c r="F60" s="3"/>
      <c r="G60" s="3"/>
      <c r="H60" s="3"/>
      <c r="I60" s="3"/>
      <c r="J60" s="3"/>
      <c r="K60" s="3"/>
      <c r="L60" s="3"/>
      <c r="M60" s="3"/>
      <c r="N60" s="3"/>
    </row>
    <row r="61" spans="1:17" s="8" customFormat="1">
      <c r="A61" s="4" t="s">
        <v>90</v>
      </c>
    </row>
    <row r="62" spans="1:17" s="8" customFormat="1">
      <c r="A62" s="4"/>
    </row>
    <row r="64" spans="1:17">
      <c r="A64" s="756" t="s">
        <v>484</v>
      </c>
      <c r="B64" s="756"/>
      <c r="C64" s="756"/>
      <c r="D64" s="756"/>
      <c r="E64" s="756"/>
      <c r="F64" s="756"/>
      <c r="G64" s="756"/>
      <c r="H64" s="756"/>
      <c r="I64" s="756"/>
      <c r="J64" s="756"/>
      <c r="K64" s="756"/>
      <c r="L64" s="756"/>
      <c r="M64" s="756"/>
      <c r="N64" s="756"/>
      <c r="O64" s="756"/>
      <c r="P64" s="756"/>
      <c r="Q64" s="756"/>
    </row>
    <row r="65" spans="1:21">
      <c r="A65" s="4"/>
      <c r="B65" s="3"/>
      <c r="C65" s="4"/>
      <c r="D65" s="4"/>
      <c r="E65" s="3"/>
      <c r="F65" s="3"/>
      <c r="G65" s="3"/>
      <c r="H65" s="3"/>
      <c r="I65" s="3"/>
      <c r="J65" s="3"/>
      <c r="K65" s="756" t="s">
        <v>63</v>
      </c>
      <c r="L65" s="756"/>
      <c r="M65" s="756"/>
      <c r="N65" s="302"/>
      <c r="O65" s="757" t="s">
        <v>64</v>
      </c>
      <c r="P65" s="757"/>
      <c r="Q65" s="757"/>
    </row>
    <row r="66" spans="1:21" ht="13.5" thickBot="1">
      <c r="A66" s="4"/>
      <c r="B66" s="3"/>
      <c r="C66" s="17">
        <v>1</v>
      </c>
      <c r="D66" s="17">
        <v>2</v>
      </c>
      <c r="E66" s="17">
        <v>3</v>
      </c>
      <c r="F66" s="17">
        <v>4</v>
      </c>
      <c r="G66" s="17">
        <v>5</v>
      </c>
      <c r="H66" s="17">
        <v>6</v>
      </c>
      <c r="I66" s="17">
        <v>7</v>
      </c>
      <c r="J66" s="17">
        <v>8</v>
      </c>
      <c r="K66" s="17">
        <v>9</v>
      </c>
      <c r="L66" s="17">
        <v>10</v>
      </c>
      <c r="M66" s="17">
        <v>11</v>
      </c>
      <c r="N66" s="17"/>
      <c r="O66" s="17" t="s">
        <v>65</v>
      </c>
      <c r="P66" s="17" t="s">
        <v>66</v>
      </c>
      <c r="Q66" s="17" t="s">
        <v>67</v>
      </c>
    </row>
    <row r="67" spans="1:21" ht="51">
      <c r="A67" s="244" t="s">
        <v>30</v>
      </c>
      <c r="B67" s="125" t="s">
        <v>31</v>
      </c>
      <c r="C67" s="245" t="s">
        <v>68</v>
      </c>
      <c r="D67" s="245" t="s">
        <v>69</v>
      </c>
      <c r="E67" s="126" t="s">
        <v>70</v>
      </c>
      <c r="F67" s="126" t="s">
        <v>71</v>
      </c>
      <c r="G67" s="126" t="s">
        <v>72</v>
      </c>
      <c r="H67" s="126" t="s">
        <v>73</v>
      </c>
      <c r="I67" s="126" t="s">
        <v>74</v>
      </c>
      <c r="J67" s="126" t="s">
        <v>75</v>
      </c>
      <c r="K67" s="125" t="s">
        <v>76</v>
      </c>
      <c r="L67" s="126" t="s">
        <v>77</v>
      </c>
      <c r="M67" s="125" t="s">
        <v>78</v>
      </c>
      <c r="N67" s="125"/>
      <c r="O67" s="125" t="s">
        <v>76</v>
      </c>
      <c r="P67" s="126" t="s">
        <v>77</v>
      </c>
      <c r="Q67" s="125" t="s">
        <v>78</v>
      </c>
    </row>
    <row r="68" spans="1:21">
      <c r="A68" s="6"/>
      <c r="B68" s="18"/>
      <c r="C68" s="6"/>
      <c r="D68" s="6"/>
      <c r="E68" s="18"/>
      <c r="F68" s="18"/>
      <c r="G68" s="18"/>
      <c r="H68" s="18"/>
      <c r="I68" s="18"/>
      <c r="J68" s="18"/>
      <c r="K68" s="18"/>
      <c r="L68" s="18"/>
      <c r="M68" s="18"/>
      <c r="N68" s="18"/>
      <c r="O68" s="25"/>
      <c r="P68" s="25"/>
      <c r="Q68" s="25"/>
    </row>
    <row r="69" spans="1:21">
      <c r="A69" s="6" t="s">
        <v>38</v>
      </c>
      <c r="B69" s="5" t="s">
        <v>39</v>
      </c>
      <c r="C69" s="144">
        <v>2.2999999999999998</v>
      </c>
      <c r="D69" s="144">
        <v>103.09688888888893</v>
      </c>
      <c r="E69" s="116">
        <v>2.230911160160021E-2</v>
      </c>
      <c r="F69" s="11">
        <f>IFERROR(E69*(1+0.5*J69),"")</f>
        <v>2.3110380526624348E-2</v>
      </c>
      <c r="G69" s="11">
        <v>7.0000000000000007E-2</v>
      </c>
      <c r="H69" s="11">
        <v>7.2499999999999995E-2</v>
      </c>
      <c r="I69" s="11">
        <v>7.2999999999999995E-2</v>
      </c>
      <c r="J69" s="11">
        <f>AVERAGE(G69:I69)</f>
        <v>7.1833333333333346E-2</v>
      </c>
      <c r="K69" s="24">
        <f>$E69*(1+0.5*MIN($G69:$I69))+MIN($G69:$I69)</f>
        <v>9.3089930507656224E-2</v>
      </c>
      <c r="L69" s="11">
        <f>F69+J69</f>
        <v>9.4943713859957701E-2</v>
      </c>
      <c r="M69" s="11">
        <f>$E69*(1+0.5*MAX($G69:$I69))+MAX($G69:$I69)</f>
        <v>9.6123394175058607E-2</v>
      </c>
      <c r="N69" s="11"/>
      <c r="O69" s="24">
        <f t="shared" ref="O69:Q69" si="27">IF(K69&gt;7%, K69, "")</f>
        <v>9.3089930507656224E-2</v>
      </c>
      <c r="P69" s="24">
        <f t="shared" si="27"/>
        <v>9.4943713859957701E-2</v>
      </c>
      <c r="Q69" s="24">
        <f t="shared" si="27"/>
        <v>9.6123394175058607E-2</v>
      </c>
      <c r="S69" s="34"/>
      <c r="T69" s="34"/>
      <c r="U69" s="34"/>
    </row>
    <row r="70" spans="1:21">
      <c r="A70" s="6" t="s">
        <v>79</v>
      </c>
      <c r="B70" s="5" t="s">
        <v>80</v>
      </c>
      <c r="C70" s="144">
        <v>1.33</v>
      </c>
      <c r="D70" s="144">
        <v>33.69533333333333</v>
      </c>
      <c r="E70" s="116">
        <v>3.9471341234196627E-2</v>
      </c>
      <c r="F70" s="11">
        <f t="shared" ref="F70:F75" si="28">IFERROR(E70*(1+0.5*J70),"")</f>
        <v>4.0392339196327884E-2</v>
      </c>
      <c r="G70" s="11">
        <v>0.02</v>
      </c>
      <c r="H70" s="11">
        <v>0.06</v>
      </c>
      <c r="I70" s="11">
        <v>0.06</v>
      </c>
      <c r="J70" s="11">
        <f>AVERAGE(G70:I70)</f>
        <v>4.6666666666666669E-2</v>
      </c>
      <c r="K70" s="11">
        <f t="shared" ref="K70:K75" si="29">$E70*(1+0.5*MIN($G70:$I70))+MIN($G70:$I70)</f>
        <v>5.9866054646538588E-2</v>
      </c>
      <c r="L70" s="11">
        <f t="shared" ref="L70:L75" si="30">F70+J70</f>
        <v>8.705900586299456E-2</v>
      </c>
      <c r="M70" s="11">
        <f t="shared" ref="M70:M74" si="31">$E70*(1+0.5*MAX($G70:$I70))+MAX($G70:$I70)</f>
        <v>0.10065548147122252</v>
      </c>
      <c r="N70" s="11"/>
      <c r="O70" s="24" t="str">
        <f t="shared" ref="O70:O74" si="32">IF(K70&gt;7%, K70, "")</f>
        <v/>
      </c>
      <c r="P70" s="24">
        <f t="shared" ref="P70:P75" si="33">IF(L70&gt;7%, L70, "")</f>
        <v>8.705900586299456E-2</v>
      </c>
      <c r="Q70" s="24">
        <f t="shared" ref="Q70:Q75" si="34">IF(M70&gt;7%, M70, "")</f>
        <v>0.10065548147122252</v>
      </c>
      <c r="S70" s="34"/>
      <c r="T70" s="34"/>
      <c r="U70" s="34"/>
    </row>
    <row r="71" spans="1:21">
      <c r="A71" s="6" t="s">
        <v>43</v>
      </c>
      <c r="B71" s="5" t="s">
        <v>44</v>
      </c>
      <c r="C71" s="144">
        <v>1.91</v>
      </c>
      <c r="D71" s="144">
        <v>59.979555555555507</v>
      </c>
      <c r="E71" s="116">
        <v>3.1844183944158777E-2</v>
      </c>
      <c r="F71" s="11">
        <f t="shared" si="28"/>
        <v>3.2511198586007331E-2</v>
      </c>
      <c r="G71" s="11">
        <f>'Schedule-3 Constant DCF 2'!E12</f>
        <v>5.9677199268453274E-2</v>
      </c>
      <c r="H71" s="11">
        <v>3.3000000000000002E-2</v>
      </c>
      <c r="I71" s="11">
        <v>3.3000000000000002E-2</v>
      </c>
      <c r="J71" s="11">
        <f t="shared" ref="J71:J74" si="35">AVERAGE(G71:I71)</f>
        <v>4.189239975615109E-2</v>
      </c>
      <c r="K71" s="11">
        <f t="shared" si="29"/>
        <v>6.5369612979237407E-2</v>
      </c>
      <c r="L71" s="11">
        <f t="shared" si="30"/>
        <v>7.4403598342158428E-2</v>
      </c>
      <c r="M71" s="11">
        <f t="shared" si="31"/>
        <v>9.247156906800047E-2</v>
      </c>
      <c r="N71" s="11"/>
      <c r="O71" s="24" t="str">
        <f t="shared" si="32"/>
        <v/>
      </c>
      <c r="P71" s="24">
        <f t="shared" si="33"/>
        <v>7.4403598342158428E-2</v>
      </c>
      <c r="Q71" s="24">
        <f t="shared" si="34"/>
        <v>9.247156906800047E-2</v>
      </c>
      <c r="S71" s="34"/>
      <c r="T71" s="34"/>
      <c r="U71" s="34"/>
    </row>
    <row r="72" spans="1:21">
      <c r="A72" s="6" t="s">
        <v>46</v>
      </c>
      <c r="B72" s="5" t="s">
        <v>47</v>
      </c>
      <c r="C72" s="144">
        <v>2.16</v>
      </c>
      <c r="D72" s="144">
        <v>80.350277777777777</v>
      </c>
      <c r="E72" s="116">
        <v>2.6882296611019117E-2</v>
      </c>
      <c r="F72" s="11">
        <f t="shared" si="28"/>
        <v>2.7643961681664657E-2</v>
      </c>
      <c r="G72" s="11">
        <v>6.5000000000000002E-2</v>
      </c>
      <c r="H72" s="11">
        <v>0.05</v>
      </c>
      <c r="I72" s="11">
        <v>5.5E-2</v>
      </c>
      <c r="J72" s="11">
        <f t="shared" ref="J72" si="36">AVERAGE(G72:I72)</f>
        <v>5.6666666666666671E-2</v>
      </c>
      <c r="K72" s="11">
        <f t="shared" si="29"/>
        <v>7.7554354026294597E-2</v>
      </c>
      <c r="L72" s="11">
        <f t="shared" ref="L72" si="37">F72+J72</f>
        <v>8.4310628348331335E-2</v>
      </c>
      <c r="M72" s="11">
        <f t="shared" si="31"/>
        <v>9.2755971250877242E-2</v>
      </c>
      <c r="N72" s="11"/>
      <c r="O72" s="24">
        <f t="shared" si="32"/>
        <v>7.7554354026294597E-2</v>
      </c>
      <c r="P72" s="24">
        <f t="shared" si="33"/>
        <v>8.4310628348331335E-2</v>
      </c>
      <c r="Q72" s="24">
        <f t="shared" si="34"/>
        <v>9.2755971250877242E-2</v>
      </c>
      <c r="S72" s="34"/>
      <c r="T72" s="34"/>
      <c r="U72" s="34"/>
    </row>
    <row r="73" spans="1:21">
      <c r="A73" s="6" t="s">
        <v>48</v>
      </c>
      <c r="B73" s="5" t="s">
        <v>49</v>
      </c>
      <c r="C73" s="144">
        <v>1.18</v>
      </c>
      <c r="D73" s="144">
        <v>25.766388888888912</v>
      </c>
      <c r="E73" s="116">
        <v>4.5796095257602989E-2</v>
      </c>
      <c r="F73" s="11">
        <f t="shared" si="28"/>
        <v>4.8383574639657555E-2</v>
      </c>
      <c r="G73" s="11">
        <v>0.125</v>
      </c>
      <c r="H73" s="11">
        <v>0.107</v>
      </c>
      <c r="I73" s="11">
        <v>0.107</v>
      </c>
      <c r="J73" s="11">
        <f t="shared" si="35"/>
        <v>0.11299999999999999</v>
      </c>
      <c r="K73" s="11">
        <f t="shared" si="29"/>
        <v>0.15524618635388476</v>
      </c>
      <c r="L73" s="11">
        <f t="shared" si="30"/>
        <v>0.16138357463965755</v>
      </c>
      <c r="M73" s="11">
        <f t="shared" si="31"/>
        <v>0.17365835121120318</v>
      </c>
      <c r="N73" s="11"/>
      <c r="O73" s="24">
        <f t="shared" si="32"/>
        <v>0.15524618635388476</v>
      </c>
      <c r="P73" s="24">
        <f t="shared" si="33"/>
        <v>0.16138357463965755</v>
      </c>
      <c r="Q73" s="24">
        <f t="shared" si="34"/>
        <v>0.17365835121120318</v>
      </c>
      <c r="S73" s="34"/>
      <c r="T73" s="34"/>
      <c r="U73" s="34"/>
    </row>
    <row r="74" spans="1:21">
      <c r="A74" s="6" t="s">
        <v>51</v>
      </c>
      <c r="B74" s="5" t="s">
        <v>52</v>
      </c>
      <c r="C74" s="144">
        <v>2.2799999999999998</v>
      </c>
      <c r="D74" s="144">
        <v>70.189000000000007</v>
      </c>
      <c r="E74" s="116">
        <v>3.2483722520622885E-2</v>
      </c>
      <c r="F74" s="11">
        <f t="shared" si="28"/>
        <v>3.3458234196241575E-2</v>
      </c>
      <c r="G74" s="11">
        <v>0.09</v>
      </c>
      <c r="H74" s="11">
        <v>0.04</v>
      </c>
      <c r="I74" s="11">
        <v>0.05</v>
      </c>
      <c r="J74" s="11">
        <f t="shared" si="35"/>
        <v>0.06</v>
      </c>
      <c r="K74" s="11">
        <f t="shared" si="29"/>
        <v>7.3133396971035353E-2</v>
      </c>
      <c r="L74" s="11">
        <f t="shared" si="30"/>
        <v>9.345823419624158E-2</v>
      </c>
      <c r="M74" s="11">
        <f t="shared" si="31"/>
        <v>0.12394549003405091</v>
      </c>
      <c r="N74" s="11"/>
      <c r="O74" s="24">
        <f t="shared" si="32"/>
        <v>7.3133396971035353E-2</v>
      </c>
      <c r="P74" s="24">
        <f t="shared" si="33"/>
        <v>9.345823419624158E-2</v>
      </c>
      <c r="Q74" s="24">
        <f t="shared" si="34"/>
        <v>0.12394549003405091</v>
      </c>
      <c r="S74" s="34"/>
      <c r="T74" s="34"/>
      <c r="U74" s="34"/>
    </row>
    <row r="75" spans="1:21">
      <c r="A75" s="6" t="s">
        <v>54</v>
      </c>
      <c r="B75" s="5" t="s">
        <v>55</v>
      </c>
      <c r="C75" s="144">
        <v>2.4900000000000002</v>
      </c>
      <c r="D75" s="144">
        <v>69.657555555555575</v>
      </c>
      <c r="E75" s="116">
        <v>3.5746301749192071E-2</v>
      </c>
      <c r="F75" s="11">
        <f t="shared" si="28"/>
        <v>3.6640555064617691E-2</v>
      </c>
      <c r="G75" s="11">
        <v>5.5E-2</v>
      </c>
      <c r="H75" s="11">
        <v>4.7100000000000003E-2</v>
      </c>
      <c r="I75" s="11">
        <v>4.8000000000000001E-2</v>
      </c>
      <c r="J75" s="11">
        <f>AVERAGE(G75:I75)</f>
        <v>5.0033333333333339E-2</v>
      </c>
      <c r="K75" s="11">
        <f t="shared" si="29"/>
        <v>8.3688127155385539E-2</v>
      </c>
      <c r="L75" s="11">
        <f t="shared" si="30"/>
        <v>8.6673888397951038E-2</v>
      </c>
      <c r="M75" s="11">
        <f>$E75*(1+0.5*MAX($G75:$I75))+MAX($G75:$I75)</f>
        <v>9.1729325047294863E-2</v>
      </c>
      <c r="N75" s="11"/>
      <c r="O75" s="24">
        <f>IF(K75&gt;7%, K75, "")</f>
        <v>8.3688127155385539E-2</v>
      </c>
      <c r="P75" s="24">
        <f t="shared" si="33"/>
        <v>8.6673888397951038E-2</v>
      </c>
      <c r="Q75" s="24">
        <f t="shared" si="34"/>
        <v>9.1729325047294863E-2</v>
      </c>
      <c r="S75" s="34"/>
      <c r="T75" s="34"/>
      <c r="U75" s="34"/>
    </row>
    <row r="76" spans="1:21">
      <c r="A76" s="6"/>
      <c r="B76" s="5"/>
      <c r="C76" s="10"/>
      <c r="D76" s="10"/>
      <c r="E76" s="11"/>
      <c r="F76" s="11"/>
      <c r="G76" s="11"/>
      <c r="H76" s="11"/>
      <c r="I76" s="11"/>
      <c r="J76" s="11"/>
      <c r="K76" s="11"/>
      <c r="L76" s="11"/>
      <c r="M76" s="11"/>
      <c r="N76" s="11"/>
      <c r="O76" s="24" t="str">
        <f t="shared" ref="O76" si="38">IF(K76&gt;7.63%, K76, "")</f>
        <v/>
      </c>
      <c r="P76" s="24" t="str">
        <f t="shared" ref="P76" si="39">IF(L76&gt;7.63%, L76, "")</f>
        <v/>
      </c>
      <c r="Q76" s="24" t="str">
        <f t="shared" ref="Q76" si="40">IF(M76&gt;7.63%, M76, "")</f>
        <v/>
      </c>
    </row>
    <row r="77" spans="1:21">
      <c r="A77" s="238" t="s">
        <v>99</v>
      </c>
      <c r="B77" s="239"/>
      <c r="C77" s="240"/>
      <c r="D77" s="240"/>
      <c r="E77" s="241">
        <f>IFERROR(AVERAGE(E69, E71:E75),"")</f>
        <v>3.2510285280699346E-2</v>
      </c>
      <c r="F77" s="241">
        <f t="shared" ref="F77:Q77" si="41">IFERROR(AVERAGE(F69, F71:F75),"")</f>
        <v>3.362465078246886E-2</v>
      </c>
      <c r="G77" s="241">
        <f t="shared" si="41"/>
        <v>7.7446199878075536E-2</v>
      </c>
      <c r="H77" s="241">
        <f t="shared" si="41"/>
        <v>5.8266666666666668E-2</v>
      </c>
      <c r="I77" s="241">
        <f t="shared" si="41"/>
        <v>6.0999999999999999E-2</v>
      </c>
      <c r="J77" s="241">
        <f t="shared" si="41"/>
        <v>6.557095551491407E-2</v>
      </c>
      <c r="K77" s="241">
        <f t="shared" si="41"/>
        <v>9.1346934665582316E-2</v>
      </c>
      <c r="L77" s="241">
        <f t="shared" si="41"/>
        <v>9.9195606297382929E-2</v>
      </c>
      <c r="M77" s="241">
        <f t="shared" si="41"/>
        <v>0.11178068346441421</v>
      </c>
      <c r="N77" s="241"/>
      <c r="O77" s="241">
        <f t="shared" si="41"/>
        <v>9.654239900285129E-2</v>
      </c>
      <c r="P77" s="241">
        <f t="shared" si="41"/>
        <v>9.9195606297382929E-2</v>
      </c>
      <c r="Q77" s="241">
        <f t="shared" si="41"/>
        <v>0.11178068346441421</v>
      </c>
    </row>
    <row r="78" spans="1:21" ht="13.5" thickBot="1">
      <c r="A78" s="236" t="s">
        <v>100</v>
      </c>
      <c r="B78" s="146"/>
      <c r="C78" s="21"/>
      <c r="D78" s="21"/>
      <c r="E78" s="237">
        <f t="shared" ref="E78:F78" si="42">AVERAGE(E69:E75)</f>
        <v>3.3504721845484663E-2</v>
      </c>
      <c r="F78" s="237">
        <f t="shared" si="42"/>
        <v>3.4591463413020149E-2</v>
      </c>
      <c r="G78" s="237">
        <f>AVERAGE(G69:G75)</f>
        <v>6.9239599895493317E-2</v>
      </c>
      <c r="H78" s="237">
        <f t="shared" ref="H78:Q78" si="43">AVERAGE(H69:H75)</f>
        <v>5.8514285714285706E-2</v>
      </c>
      <c r="I78" s="237">
        <f t="shared" si="43"/>
        <v>6.0857142857142853E-2</v>
      </c>
      <c r="J78" s="237">
        <f t="shared" si="43"/>
        <v>6.2870342822307301E-2</v>
      </c>
      <c r="K78" s="237">
        <f t="shared" si="43"/>
        <v>8.6849666091433214E-2</v>
      </c>
      <c r="L78" s="237">
        <f t="shared" si="43"/>
        <v>9.7461806235327478E-2</v>
      </c>
      <c r="M78" s="237">
        <f t="shared" si="43"/>
        <v>0.11019136889395827</v>
      </c>
      <c r="N78" s="237"/>
      <c r="O78" s="237">
        <f t="shared" si="43"/>
        <v>9.654239900285129E-2</v>
      </c>
      <c r="P78" s="237">
        <f t="shared" si="43"/>
        <v>9.7461806235327478E-2</v>
      </c>
      <c r="Q78" s="237">
        <f t="shared" si="43"/>
        <v>0.11019136889395827</v>
      </c>
    </row>
    <row r="79" spans="1:21">
      <c r="A79" s="7"/>
      <c r="B79" s="6"/>
      <c r="C79" s="6"/>
      <c r="D79" s="6"/>
      <c r="E79" s="6"/>
      <c r="F79" s="6"/>
      <c r="G79" s="20"/>
      <c r="H79" s="20"/>
      <c r="I79" s="20"/>
      <c r="J79" s="20"/>
      <c r="K79" s="20"/>
      <c r="L79" s="20"/>
      <c r="O79" s="20"/>
      <c r="P79" s="20"/>
      <c r="Q79" s="20"/>
    </row>
    <row r="80" spans="1:21">
      <c r="A80" s="23" t="s">
        <v>21</v>
      </c>
      <c r="B80" s="19"/>
      <c r="C80" s="4"/>
      <c r="D80" s="4"/>
      <c r="E80" s="3"/>
      <c r="F80" s="3"/>
      <c r="G80" s="3"/>
      <c r="H80" s="3"/>
      <c r="I80" s="3"/>
      <c r="J80" s="3"/>
      <c r="K80" s="3"/>
      <c r="L80" s="3"/>
      <c r="M80" s="3"/>
      <c r="N80" s="3"/>
      <c r="O80" s="12"/>
      <c r="P80" s="12"/>
    </row>
    <row r="81" spans="1:14">
      <c r="A81" s="4" t="s">
        <v>57</v>
      </c>
      <c r="B81" s="3"/>
      <c r="C81" s="4"/>
      <c r="D81" s="4"/>
      <c r="E81" s="3"/>
      <c r="F81" s="3"/>
      <c r="G81" s="3"/>
      <c r="H81" s="3"/>
      <c r="I81" s="3"/>
      <c r="J81" s="3"/>
      <c r="K81" s="3" t="s">
        <v>91</v>
      </c>
      <c r="N81" s="3"/>
    </row>
    <row r="82" spans="1:14">
      <c r="A82" s="4" t="s">
        <v>583</v>
      </c>
      <c r="B82" s="3"/>
      <c r="C82" s="4"/>
      <c r="D82" s="4"/>
      <c r="E82" s="3"/>
      <c r="F82" s="3"/>
      <c r="G82" s="3"/>
      <c r="H82" s="3"/>
      <c r="I82" s="3"/>
      <c r="J82" s="3"/>
      <c r="K82" s="3" t="s">
        <v>91</v>
      </c>
      <c r="N82" s="3"/>
    </row>
    <row r="83" spans="1:14">
      <c r="A83" s="4" t="s">
        <v>81</v>
      </c>
      <c r="B83" s="3"/>
      <c r="C83" s="4"/>
      <c r="D83" s="4"/>
      <c r="E83" s="3"/>
      <c r="F83" s="3"/>
      <c r="G83" s="3"/>
      <c r="H83" s="3"/>
      <c r="I83" s="3"/>
      <c r="J83" s="3"/>
      <c r="K83" s="3" t="s">
        <v>91</v>
      </c>
      <c r="N83" s="3"/>
    </row>
    <row r="84" spans="1:14">
      <c r="A84" s="4" t="s">
        <v>82</v>
      </c>
      <c r="B84" s="3"/>
      <c r="C84" s="4"/>
      <c r="D84" s="4"/>
      <c r="E84" s="3"/>
      <c r="F84" s="3"/>
      <c r="G84" s="3"/>
      <c r="H84" s="3"/>
      <c r="I84" s="3"/>
      <c r="J84" s="3"/>
      <c r="K84" s="3" t="s">
        <v>91</v>
      </c>
      <c r="N84" s="3"/>
    </row>
    <row r="85" spans="1:14">
      <c r="A85" s="4" t="s">
        <v>83</v>
      </c>
      <c r="B85" s="3"/>
      <c r="C85" s="4"/>
      <c r="D85" s="4"/>
      <c r="E85" s="3"/>
      <c r="F85" s="3"/>
      <c r="G85" s="3"/>
      <c r="H85" s="3"/>
      <c r="I85" s="3"/>
      <c r="J85" s="3"/>
      <c r="K85" s="3" t="s">
        <v>91</v>
      </c>
      <c r="N85" s="3"/>
    </row>
    <row r="86" spans="1:14">
      <c r="A86" s="4" t="s">
        <v>84</v>
      </c>
      <c r="B86" s="3"/>
      <c r="C86" s="4"/>
      <c r="D86" s="4"/>
      <c r="E86" s="3"/>
      <c r="F86" s="3"/>
      <c r="G86" s="3"/>
      <c r="H86" s="3"/>
      <c r="I86" s="3"/>
      <c r="J86" s="3"/>
      <c r="K86" s="3" t="s">
        <v>91</v>
      </c>
      <c r="N86" s="3"/>
    </row>
    <row r="87" spans="1:14">
      <c r="A87" s="4" t="s">
        <v>85</v>
      </c>
      <c r="B87" s="3"/>
      <c r="C87" s="4"/>
      <c r="D87" s="4"/>
      <c r="E87" s="3"/>
      <c r="F87" s="3"/>
      <c r="G87" s="3"/>
      <c r="H87" s="3"/>
      <c r="I87" s="3"/>
      <c r="J87" s="3"/>
      <c r="K87" s="3" t="s">
        <v>91</v>
      </c>
      <c r="N87" s="3"/>
    </row>
    <row r="88" spans="1:14">
      <c r="A88" s="9" t="s">
        <v>86</v>
      </c>
      <c r="B88" s="3"/>
      <c r="C88" s="4"/>
      <c r="D88" s="4"/>
      <c r="E88" s="3"/>
      <c r="F88" s="3"/>
      <c r="G88" s="3"/>
      <c r="H88" s="3"/>
      <c r="I88" s="3"/>
      <c r="J88" s="3"/>
      <c r="K88" s="3" t="s">
        <v>91</v>
      </c>
      <c r="N88" s="3"/>
    </row>
    <row r="89" spans="1:14">
      <c r="A89" s="4" t="s">
        <v>87</v>
      </c>
      <c r="J89" s="3"/>
      <c r="K89" s="3" t="s">
        <v>91</v>
      </c>
      <c r="N89" s="3"/>
    </row>
    <row r="90" spans="1:14">
      <c r="A90" s="4" t="s">
        <v>88</v>
      </c>
      <c r="B90" s="3"/>
      <c r="C90" s="4"/>
      <c r="D90" s="4"/>
      <c r="E90" s="3"/>
      <c r="F90" s="3"/>
      <c r="G90" s="3"/>
      <c r="H90" s="3"/>
      <c r="I90" s="3"/>
      <c r="J90" s="3"/>
      <c r="K90" s="3" t="s">
        <v>91</v>
      </c>
      <c r="N90" s="3"/>
    </row>
    <row r="91" spans="1:14">
      <c r="A91" s="4" t="s">
        <v>89</v>
      </c>
      <c r="B91" s="3"/>
      <c r="C91" s="4"/>
      <c r="D91" s="4"/>
      <c r="E91" s="3"/>
      <c r="F91" s="3"/>
      <c r="G91" s="3"/>
      <c r="H91" s="3"/>
      <c r="I91" s="3"/>
      <c r="J91" s="3"/>
      <c r="K91" s="3"/>
      <c r="L91" s="3"/>
      <c r="M91" s="3"/>
      <c r="N91" s="3"/>
    </row>
    <row r="92" spans="1:14" s="8" customFormat="1">
      <c r="A92" s="4" t="s">
        <v>90</v>
      </c>
    </row>
  </sheetData>
  <mergeCells count="9">
    <mergeCell ref="A2:Q2"/>
    <mergeCell ref="K3:M3"/>
    <mergeCell ref="O3:Q3"/>
    <mergeCell ref="O34:Q34"/>
    <mergeCell ref="O65:Q65"/>
    <mergeCell ref="K34:M34"/>
    <mergeCell ref="K65:M65"/>
    <mergeCell ref="A33:Q33"/>
    <mergeCell ref="A64:Q64"/>
  </mergeCells>
  <printOptions horizontalCentered="1"/>
  <pageMargins left="0.7" right="0.7" top="1.25" bottom="0.75" header="0.3" footer="0.3"/>
  <pageSetup scale="65" orientation="landscape" useFirstPageNumber="1" r:id="rId1"/>
  <headerFooter>
    <oddHeader>&amp;RPetitioner's Exhibit No.12
 Attachment AEB-2
Vectren South
Schedule 3 (Natural Gas Utility Proxy Group)
Page &amp;P of 7</oddHeader>
  </headerFooter>
  <rowBreaks count="2" manualBreakCount="2">
    <brk id="31" max="15" man="1"/>
    <brk id="62" max="1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F0"/>
  </sheetPr>
  <dimension ref="A2:AC116"/>
  <sheetViews>
    <sheetView zoomScaleNormal="100" workbookViewId="0">
      <selection activeCell="E27" sqref="E27"/>
    </sheetView>
  </sheetViews>
  <sheetFormatPr defaultRowHeight="12.75" outlineLevelCol="1"/>
  <cols>
    <col min="1" max="1" width="33.5703125" style="8" customWidth="1"/>
    <col min="2" max="2" width="8.5703125" customWidth="1"/>
    <col min="3" max="3" width="12.140625" customWidth="1"/>
    <col min="4" max="4" width="9.140625" customWidth="1"/>
    <col min="5" max="5" width="10.28515625" customWidth="1"/>
    <col min="6" max="10" width="10.5703125" customWidth="1"/>
    <col min="11" max="11" width="9" customWidth="1" outlineLevel="1"/>
    <col min="12" max="12" width="9.42578125" customWidth="1" outlineLevel="1"/>
    <col min="13" max="13" width="9.85546875" customWidth="1" outlineLevel="1"/>
    <col min="14" max="14" width="3.5703125" customWidth="1" outlineLevel="1"/>
    <col min="15" max="15" width="10" customWidth="1"/>
    <col min="16" max="16" width="9.42578125" customWidth="1"/>
    <col min="17" max="17" width="10" customWidth="1"/>
  </cols>
  <sheetData>
    <row r="2" spans="1:25">
      <c r="A2" s="756" t="s">
        <v>487</v>
      </c>
      <c r="B2" s="756"/>
      <c r="C2" s="756"/>
      <c r="D2" s="756"/>
      <c r="E2" s="756"/>
      <c r="F2" s="756"/>
      <c r="G2" s="756"/>
      <c r="H2" s="756"/>
      <c r="I2" s="756"/>
      <c r="J2" s="756"/>
      <c r="K2" s="756"/>
      <c r="L2" s="756"/>
      <c r="M2" s="756"/>
      <c r="N2" s="756"/>
      <c r="O2" s="756"/>
      <c r="P2" s="756"/>
      <c r="Q2" s="756"/>
    </row>
    <row r="3" spans="1:25">
      <c r="A3" s="4"/>
      <c r="B3" s="3"/>
      <c r="C3" s="4"/>
      <c r="D3" s="4"/>
      <c r="E3" s="3"/>
      <c r="F3" s="3"/>
      <c r="G3" s="3"/>
      <c r="H3" s="3"/>
      <c r="I3" s="3"/>
      <c r="J3" s="3"/>
      <c r="K3" s="756" t="s">
        <v>63</v>
      </c>
      <c r="L3" s="756"/>
      <c r="M3" s="756"/>
      <c r="N3" s="427"/>
      <c r="O3" s="757" t="s">
        <v>64</v>
      </c>
      <c r="P3" s="757"/>
      <c r="Q3" s="757"/>
    </row>
    <row r="4" spans="1:25" ht="13.5" thickBot="1">
      <c r="A4" s="4"/>
      <c r="B4" s="3"/>
      <c r="C4" s="17">
        <v>1</v>
      </c>
      <c r="D4" s="17">
        <v>2</v>
      </c>
      <c r="E4" s="17">
        <v>3</v>
      </c>
      <c r="F4" s="17">
        <v>4</v>
      </c>
      <c r="G4" s="17">
        <v>5</v>
      </c>
      <c r="H4" s="17">
        <v>6</v>
      </c>
      <c r="I4" s="17">
        <v>7</v>
      </c>
      <c r="J4" s="17">
        <v>8</v>
      </c>
      <c r="K4" s="17">
        <v>9</v>
      </c>
      <c r="L4" s="17">
        <v>10</v>
      </c>
      <c r="M4" s="17">
        <v>11</v>
      </c>
      <c r="N4" s="17"/>
      <c r="O4" s="17" t="s">
        <v>65</v>
      </c>
      <c r="P4" s="17" t="s">
        <v>66</v>
      </c>
      <c r="Q4" s="17" t="s">
        <v>67</v>
      </c>
    </row>
    <row r="5" spans="1:25" ht="51">
      <c r="A5" s="244" t="s">
        <v>30</v>
      </c>
      <c r="B5" s="125" t="s">
        <v>31</v>
      </c>
      <c r="C5" s="245" t="s">
        <v>68</v>
      </c>
      <c r="D5" s="245" t="s">
        <v>69</v>
      </c>
      <c r="E5" s="126" t="s">
        <v>70</v>
      </c>
      <c r="F5" s="126" t="s">
        <v>71</v>
      </c>
      <c r="G5" s="126" t="s">
        <v>72</v>
      </c>
      <c r="H5" s="126" t="s">
        <v>73</v>
      </c>
      <c r="I5" s="126" t="s">
        <v>74</v>
      </c>
      <c r="J5" s="126" t="s">
        <v>75</v>
      </c>
      <c r="K5" s="125" t="s">
        <v>76</v>
      </c>
      <c r="L5" s="126" t="s">
        <v>77</v>
      </c>
      <c r="M5" s="125" t="s">
        <v>78</v>
      </c>
      <c r="N5" s="125"/>
      <c r="O5" s="125" t="s">
        <v>76</v>
      </c>
      <c r="P5" s="126" t="s">
        <v>77</v>
      </c>
      <c r="Q5" s="125" t="s">
        <v>78</v>
      </c>
    </row>
    <row r="6" spans="1:25">
      <c r="A6" s="6"/>
      <c r="B6" s="18"/>
      <c r="C6" s="6"/>
      <c r="D6" s="6"/>
      <c r="E6" s="18"/>
      <c r="F6" s="18"/>
      <c r="G6" s="18"/>
      <c r="H6" s="18"/>
      <c r="I6" s="18"/>
      <c r="J6" s="18"/>
      <c r="K6" s="18"/>
      <c r="L6" s="18"/>
      <c r="M6" s="18"/>
      <c r="N6" s="18"/>
      <c r="O6" s="25"/>
      <c r="P6" s="25"/>
      <c r="Q6" s="25"/>
    </row>
    <row r="7" spans="1:25">
      <c r="A7" s="6" t="s">
        <v>38</v>
      </c>
      <c r="B7" s="5" t="s">
        <v>39</v>
      </c>
      <c r="C7" s="10">
        <v>2.2999999999999998</v>
      </c>
      <c r="D7" s="10">
        <v>96.501333333333335</v>
      </c>
      <c r="E7" s="11">
        <v>2.3833867580413396E-2</v>
      </c>
      <c r="F7" s="11">
        <f>IFERROR(E7*(1+0.5*J7),"")</f>
        <v>2.4689900657676577E-2</v>
      </c>
      <c r="G7" s="24">
        <v>7.0000000000000007E-2</v>
      </c>
      <c r="H7" s="24">
        <v>7.2499999999999995E-2</v>
      </c>
      <c r="I7" s="24">
        <v>7.2999999999999995E-2</v>
      </c>
      <c r="J7" s="11">
        <f>AVERAGE(G7:I7)</f>
        <v>7.1833333333333346E-2</v>
      </c>
      <c r="K7" s="24">
        <f>$E7*(1+0.5*MIN($G7:$I7))+MIN($G7:$I7)</f>
        <v>9.4668052945727874E-2</v>
      </c>
      <c r="L7" s="11">
        <f>F7+J7</f>
        <v>9.6523233991009927E-2</v>
      </c>
      <c r="M7" s="11">
        <f>$E7*(1+0.5*MAX($G7:$I7))+MAX($G7:$I7)</f>
        <v>9.7703803747098472E-2</v>
      </c>
      <c r="N7" s="11"/>
      <c r="O7" s="24">
        <f>IF(K7&gt;7%, K7, "")</f>
        <v>9.4668052945727874E-2</v>
      </c>
      <c r="P7" s="24">
        <f>IF(L7&gt;7%, L7, "")</f>
        <v>9.6523233991009927E-2</v>
      </c>
      <c r="Q7" s="24">
        <f>IF(M7&gt;7%, M7, "")</f>
        <v>9.7703803747098472E-2</v>
      </c>
      <c r="S7" s="34"/>
      <c r="T7" s="34"/>
      <c r="U7" s="34"/>
      <c r="V7" s="12"/>
      <c r="W7" s="12"/>
      <c r="X7" s="12"/>
      <c r="Y7" s="22"/>
    </row>
    <row r="8" spans="1:25">
      <c r="A8" s="6" t="s">
        <v>43</v>
      </c>
      <c r="B8" s="5" t="s">
        <v>44</v>
      </c>
      <c r="C8" s="10">
        <v>1.91</v>
      </c>
      <c r="D8" s="10">
        <v>48.104999999999997</v>
      </c>
      <c r="E8" s="11">
        <v>3.9704812389564498E-2</v>
      </c>
      <c r="F8" s="11">
        <f t="shared" ref="F8:F22" si="0">IFERROR(E8*(1+0.5*J8),"")</f>
        <v>4.0536477325997806E-2</v>
      </c>
      <c r="G8" s="24">
        <f>'Schedule-3 Constant DCF 2'!E12</f>
        <v>5.9677199268453274E-2</v>
      </c>
      <c r="H8" s="24">
        <v>3.3000000000000002E-2</v>
      </c>
      <c r="I8" s="24">
        <v>3.3000000000000002E-2</v>
      </c>
      <c r="J8" s="11">
        <f t="shared" ref="J8:J22" si="1">AVERAGE(G8:I8)</f>
        <v>4.189239975615109E-2</v>
      </c>
      <c r="K8" s="24">
        <f t="shared" ref="K8:K22" si="2">$E8*(1+0.5*MIN($G8:$I8))+MIN($G8:$I8)</f>
        <v>7.3359941793992314E-2</v>
      </c>
      <c r="L8" s="11">
        <f t="shared" ref="L8:L22" si="3">F8+J8</f>
        <v>8.2428877082148896E-2</v>
      </c>
      <c r="M8" s="11">
        <f>$E8*(1+0.5*MAX($G8:$I8))+MAX($G8:$I8)</f>
        <v>0.10056674765846206</v>
      </c>
      <c r="N8" s="11"/>
      <c r="O8" s="24">
        <f t="shared" ref="O8:Q12" si="4">IF(K8&gt;7%, K8, "")</f>
        <v>7.3359941793992314E-2</v>
      </c>
      <c r="P8" s="24">
        <f t="shared" si="4"/>
        <v>8.2428877082148896E-2</v>
      </c>
      <c r="Q8" s="24">
        <f t="shared" si="4"/>
        <v>0.10056674765846206</v>
      </c>
      <c r="S8" s="34"/>
      <c r="T8" s="34"/>
      <c r="U8" s="34"/>
      <c r="V8" s="12"/>
      <c r="W8" s="12"/>
      <c r="X8" s="12"/>
      <c r="Y8" s="22"/>
    </row>
    <row r="9" spans="1:25">
      <c r="A9" s="6" t="s">
        <v>46</v>
      </c>
      <c r="B9" s="5" t="s">
        <v>47</v>
      </c>
      <c r="C9" s="10">
        <v>2.16</v>
      </c>
      <c r="D9" s="10">
        <v>71.150000000000034</v>
      </c>
      <c r="E9" s="11">
        <v>3.0358397751229782E-2</v>
      </c>
      <c r="F9" s="11">
        <f t="shared" si="0"/>
        <v>3.1218552354181292E-2</v>
      </c>
      <c r="G9" s="24">
        <v>6.5000000000000002E-2</v>
      </c>
      <c r="H9" s="24">
        <v>0.05</v>
      </c>
      <c r="I9" s="24">
        <v>5.5E-2</v>
      </c>
      <c r="J9" s="11">
        <f t="shared" si="1"/>
        <v>5.6666666666666671E-2</v>
      </c>
      <c r="K9" s="24">
        <f t="shared" si="2"/>
        <v>8.1117357695010522E-2</v>
      </c>
      <c r="L9" s="11">
        <f t="shared" si="3"/>
        <v>8.7885219020847963E-2</v>
      </c>
      <c r="M9" s="11">
        <f t="shared" ref="M9" si="5">$E9*(1+0.5*MAX($G9:$I9))+MAX($G9:$I9)</f>
        <v>9.6345045678144753E-2</v>
      </c>
      <c r="N9" s="11"/>
      <c r="O9" s="24">
        <f t="shared" si="4"/>
        <v>8.1117357695010522E-2</v>
      </c>
      <c r="P9" s="24">
        <f t="shared" si="4"/>
        <v>8.7885219020847963E-2</v>
      </c>
      <c r="Q9" s="24">
        <f t="shared" si="4"/>
        <v>9.6345045678144753E-2</v>
      </c>
      <c r="S9" s="34"/>
      <c r="T9" s="34"/>
      <c r="U9" s="34"/>
      <c r="V9" s="12"/>
      <c r="W9" s="12"/>
      <c r="X9" s="12"/>
      <c r="Y9" s="22"/>
    </row>
    <row r="10" spans="1:25">
      <c r="A10" s="6" t="s">
        <v>48</v>
      </c>
      <c r="B10" s="5" t="s">
        <v>49</v>
      </c>
      <c r="C10" s="10">
        <v>1.18</v>
      </c>
      <c r="D10" s="10">
        <v>20.931000000000001</v>
      </c>
      <c r="E10" s="11">
        <v>5.6375710668386599E-2</v>
      </c>
      <c r="F10" s="11">
        <f t="shared" si="0"/>
        <v>5.956093832115044E-2</v>
      </c>
      <c r="G10" s="24">
        <v>0.125</v>
      </c>
      <c r="H10" s="24">
        <v>0.107</v>
      </c>
      <c r="I10" s="24">
        <v>0.107</v>
      </c>
      <c r="J10" s="11">
        <f t="shared" si="1"/>
        <v>0.11299999999999999</v>
      </c>
      <c r="K10" s="24">
        <f t="shared" si="2"/>
        <v>0.16639181118914528</v>
      </c>
      <c r="L10" s="11">
        <f t="shared" si="3"/>
        <v>0.17256093832115044</v>
      </c>
      <c r="M10" s="11">
        <f t="shared" ref="M10:M22" si="6">$E10*(1+0.5*MAX($G10:$I10))+MAX($G10:$I10)</f>
        <v>0.18489919258516077</v>
      </c>
      <c r="N10" s="11"/>
      <c r="O10" s="24">
        <f t="shared" si="4"/>
        <v>0.16639181118914528</v>
      </c>
      <c r="P10" s="24">
        <f t="shared" si="4"/>
        <v>0.17256093832115044</v>
      </c>
      <c r="Q10" s="24">
        <f t="shared" si="4"/>
        <v>0.18489919258516077</v>
      </c>
      <c r="S10" s="34"/>
      <c r="T10" s="34"/>
      <c r="U10" s="34"/>
      <c r="V10" s="12"/>
      <c r="W10" s="12"/>
      <c r="X10" s="12"/>
      <c r="Y10" s="22"/>
    </row>
    <row r="11" spans="1:25">
      <c r="A11" s="6" t="s">
        <v>51</v>
      </c>
      <c r="B11" s="5" t="s">
        <v>52</v>
      </c>
      <c r="C11" s="10">
        <v>2.2799999999999998</v>
      </c>
      <c r="D11" s="10">
        <v>62.986999999999995</v>
      </c>
      <c r="E11" s="11">
        <v>3.6197945607823835E-2</v>
      </c>
      <c r="F11" s="11">
        <f t="shared" si="0"/>
        <v>3.728388397605855E-2</v>
      </c>
      <c r="G11" s="24">
        <v>0.09</v>
      </c>
      <c r="H11" s="24">
        <v>0.04</v>
      </c>
      <c r="I11" s="24">
        <v>0.05</v>
      </c>
      <c r="J11" s="11">
        <f t="shared" si="1"/>
        <v>0.06</v>
      </c>
      <c r="K11" s="24">
        <f t="shared" si="2"/>
        <v>7.6921904519980322E-2</v>
      </c>
      <c r="L11" s="11">
        <f t="shared" si="3"/>
        <v>9.7283883976058555E-2</v>
      </c>
      <c r="M11" s="11">
        <f t="shared" si="6"/>
        <v>0.12782685316017589</v>
      </c>
      <c r="N11" s="11"/>
      <c r="O11" s="24">
        <f t="shared" si="4"/>
        <v>7.6921904519980322E-2</v>
      </c>
      <c r="P11" s="24">
        <f t="shared" si="4"/>
        <v>9.7283883976058555E-2</v>
      </c>
      <c r="Q11" s="24">
        <f t="shared" si="4"/>
        <v>0.12782685316017589</v>
      </c>
      <c r="S11" s="34"/>
      <c r="T11" s="34"/>
      <c r="U11" s="34"/>
      <c r="V11" s="12"/>
      <c r="W11" s="12"/>
      <c r="X11" s="12"/>
      <c r="Y11" s="22"/>
    </row>
    <row r="12" spans="1:25">
      <c r="A12" s="6" t="s">
        <v>54</v>
      </c>
      <c r="B12" s="5" t="s">
        <v>55</v>
      </c>
      <c r="C12" s="10">
        <v>2.4900000000000002</v>
      </c>
      <c r="D12" s="10">
        <v>55.367333333333328</v>
      </c>
      <c r="E12" s="11">
        <v>4.4972366377286258E-2</v>
      </c>
      <c r="F12" s="11">
        <f t="shared" si="0"/>
        <v>4.6097425076158036E-2</v>
      </c>
      <c r="G12" s="24">
        <v>5.5E-2</v>
      </c>
      <c r="H12" s="24">
        <v>4.7100000000000003E-2</v>
      </c>
      <c r="I12" s="24">
        <v>4.8000000000000001E-2</v>
      </c>
      <c r="J12" s="11">
        <f t="shared" si="1"/>
        <v>5.0033333333333339E-2</v>
      </c>
      <c r="K12" s="24">
        <f t="shared" si="2"/>
        <v>9.313146560547135E-2</v>
      </c>
      <c r="L12" s="11">
        <f t="shared" si="3"/>
        <v>9.6130758409491368E-2</v>
      </c>
      <c r="M12" s="11">
        <f t="shared" si="6"/>
        <v>0.10120910645266162</v>
      </c>
      <c r="N12" s="11"/>
      <c r="O12" s="24">
        <f t="shared" si="4"/>
        <v>9.313146560547135E-2</v>
      </c>
      <c r="P12" s="24">
        <f t="shared" si="4"/>
        <v>9.6130758409491368E-2</v>
      </c>
      <c r="Q12" s="24">
        <f t="shared" si="4"/>
        <v>0.10120910645266162</v>
      </c>
      <c r="S12" s="34"/>
      <c r="T12" s="34"/>
      <c r="U12" s="34"/>
      <c r="V12" s="12"/>
      <c r="W12" s="12"/>
      <c r="X12" s="12"/>
      <c r="Y12" s="22"/>
    </row>
    <row r="13" spans="1:25">
      <c r="A13" s="3" t="s">
        <v>463</v>
      </c>
      <c r="B13" s="427" t="s">
        <v>464</v>
      </c>
      <c r="C13" s="10">
        <v>1.98</v>
      </c>
      <c r="D13" s="10">
        <v>78.385333333333335</v>
      </c>
      <c r="E13" s="11">
        <v>2.5259827518753507E-2</v>
      </c>
      <c r="F13" s="11">
        <f t="shared" si="0"/>
        <v>2.6055512085594246E-2</v>
      </c>
      <c r="G13" s="24">
        <v>0.06</v>
      </c>
      <c r="H13" s="24">
        <v>0.06</v>
      </c>
      <c r="I13" s="24">
        <v>6.9000000000000006E-2</v>
      </c>
      <c r="J13" s="11">
        <f t="shared" si="1"/>
        <v>6.3E-2</v>
      </c>
      <c r="K13" s="24">
        <f t="shared" si="2"/>
        <v>8.6017622344316119E-2</v>
      </c>
      <c r="L13" s="11">
        <f t="shared" si="3"/>
        <v>8.9055512085594243E-2</v>
      </c>
      <c r="M13" s="11">
        <f t="shared" si="6"/>
        <v>9.5131291568150506E-2</v>
      </c>
      <c r="N13" s="11"/>
      <c r="O13" s="24">
        <f t="shared" ref="O13:O22" si="7">IF(K13&gt;7%, K13, "")</f>
        <v>8.6017622344316119E-2</v>
      </c>
      <c r="P13" s="24">
        <f t="shared" ref="P13:P22" si="8">IF(L13&gt;7%, L13, "")</f>
        <v>8.9055512085594243E-2</v>
      </c>
      <c r="Q13" s="24">
        <f t="shared" ref="Q13:Q22" si="9">IF(M13&gt;7%, M13, "")</f>
        <v>9.5131291568150506E-2</v>
      </c>
      <c r="S13" s="34"/>
      <c r="T13" s="34"/>
      <c r="U13" s="34"/>
      <c r="V13" s="12"/>
      <c r="W13" s="12"/>
      <c r="X13" s="12"/>
      <c r="Y13" s="22"/>
    </row>
    <row r="14" spans="1:25">
      <c r="A14" s="3" t="s">
        <v>465</v>
      </c>
      <c r="B14" s="427" t="s">
        <v>466</v>
      </c>
      <c r="C14" s="10">
        <v>1.62</v>
      </c>
      <c r="D14" s="10">
        <v>35.435333333333325</v>
      </c>
      <c r="E14" s="11">
        <v>4.5717080879724585E-2</v>
      </c>
      <c r="F14" s="11">
        <f t="shared" si="0"/>
        <v>4.6623802983839127E-2</v>
      </c>
      <c r="G14" s="24">
        <v>0.01</v>
      </c>
      <c r="H14" s="24">
        <v>5.8000000000000003E-2</v>
      </c>
      <c r="I14" s="24">
        <v>5.0999999999999997E-2</v>
      </c>
      <c r="J14" s="11">
        <f t="shared" si="1"/>
        <v>3.9666666666666663E-2</v>
      </c>
      <c r="K14" s="24">
        <f t="shared" si="2"/>
        <v>5.5945666284123202E-2</v>
      </c>
      <c r="L14" s="11">
        <f t="shared" si="3"/>
        <v>8.6290469650505797E-2</v>
      </c>
      <c r="M14" s="11">
        <f t="shared" si="6"/>
        <v>0.1050428762252366</v>
      </c>
      <c r="N14" s="11"/>
      <c r="O14" s="24" t="str">
        <f t="shared" si="7"/>
        <v/>
      </c>
      <c r="P14" s="24">
        <f t="shared" si="8"/>
        <v>8.6290469650505797E-2</v>
      </c>
      <c r="Q14" s="24">
        <f t="shared" si="9"/>
        <v>0.1050428762252366</v>
      </c>
      <c r="S14" s="34"/>
      <c r="T14" s="34"/>
      <c r="U14" s="34"/>
      <c r="V14" s="12"/>
      <c r="W14" s="12"/>
      <c r="X14" s="12"/>
      <c r="Y14" s="22"/>
    </row>
    <row r="15" spans="1:25">
      <c r="A15" s="3" t="s">
        <v>467</v>
      </c>
      <c r="B15" s="427" t="s">
        <v>468</v>
      </c>
      <c r="C15" s="10">
        <v>1.63</v>
      </c>
      <c r="D15" s="10">
        <v>60.786333333333339</v>
      </c>
      <c r="E15" s="11">
        <v>2.6815238074347849E-2</v>
      </c>
      <c r="F15" s="11">
        <f t="shared" si="0"/>
        <v>2.7779692803755227E-2</v>
      </c>
      <c r="G15" s="24">
        <v>7.4999999999999997E-2</v>
      </c>
      <c r="H15" s="24">
        <v>7.0800000000000002E-2</v>
      </c>
      <c r="I15" s="24">
        <v>7.0000000000000007E-2</v>
      </c>
      <c r="J15" s="11">
        <f t="shared" si="1"/>
        <v>7.1933333333333335E-2</v>
      </c>
      <c r="K15" s="24">
        <f t="shared" si="2"/>
        <v>9.7753771406950032E-2</v>
      </c>
      <c r="L15" s="11">
        <f t="shared" si="3"/>
        <v>9.9713026137088559E-2</v>
      </c>
      <c r="M15" s="11">
        <f t="shared" si="6"/>
        <v>0.1028208095021359</v>
      </c>
      <c r="N15" s="11"/>
      <c r="O15" s="24">
        <f t="shared" si="7"/>
        <v>9.7753771406950032E-2</v>
      </c>
      <c r="P15" s="24">
        <f t="shared" si="8"/>
        <v>9.9713026137088559E-2</v>
      </c>
      <c r="Q15" s="24">
        <f t="shared" si="9"/>
        <v>0.1028208095021359</v>
      </c>
      <c r="S15" s="34"/>
      <c r="T15" s="34"/>
      <c r="U15" s="34"/>
      <c r="V15" s="12"/>
      <c r="W15" s="12"/>
      <c r="X15" s="12"/>
      <c r="Y15" s="22"/>
    </row>
    <row r="16" spans="1:25">
      <c r="A16" s="3" t="s">
        <v>469</v>
      </c>
      <c r="B16" s="427" t="s">
        <v>470</v>
      </c>
      <c r="C16" s="10">
        <v>3.76</v>
      </c>
      <c r="D16" s="10">
        <v>78.521000000000001</v>
      </c>
      <c r="E16" s="11">
        <v>4.7885279097311544E-2</v>
      </c>
      <c r="F16" s="11">
        <f t="shared" si="0"/>
        <v>4.8622712395410148E-2</v>
      </c>
      <c r="G16" s="24">
        <v>0.03</v>
      </c>
      <c r="H16" s="24">
        <v>2.7400000000000001E-2</v>
      </c>
      <c r="I16" s="24">
        <v>3.5000000000000003E-2</v>
      </c>
      <c r="J16" s="11">
        <f t="shared" si="1"/>
        <v>3.0800000000000004E-2</v>
      </c>
      <c r="K16" s="24">
        <f t="shared" si="2"/>
        <v>7.5941307420944709E-2</v>
      </c>
      <c r="L16" s="11">
        <f t="shared" si="3"/>
        <v>7.9422712395410155E-2</v>
      </c>
      <c r="M16" s="11">
        <f t="shared" si="6"/>
        <v>8.3723271481514511E-2</v>
      </c>
      <c r="N16" s="11"/>
      <c r="O16" s="24">
        <f t="shared" si="7"/>
        <v>7.5941307420944709E-2</v>
      </c>
      <c r="P16" s="24">
        <f t="shared" si="8"/>
        <v>7.9422712395410155E-2</v>
      </c>
      <c r="Q16" s="24">
        <f t="shared" si="9"/>
        <v>8.3723271481514511E-2</v>
      </c>
      <c r="S16" s="34"/>
      <c r="T16" s="34"/>
      <c r="U16" s="34"/>
      <c r="V16" s="12"/>
      <c r="W16" s="12"/>
      <c r="X16" s="12"/>
      <c r="Y16" s="22"/>
    </row>
    <row r="17" spans="1:25">
      <c r="A17" s="3" t="s">
        <v>471</v>
      </c>
      <c r="B17" s="427" t="s">
        <v>472</v>
      </c>
      <c r="C17" s="10">
        <v>4.05</v>
      </c>
      <c r="D17" s="10">
        <v>116.56466666666665</v>
      </c>
      <c r="E17" s="11">
        <v>3.4744662476336459E-2</v>
      </c>
      <c r="F17" s="11">
        <f t="shared" si="0"/>
        <v>3.5766734630848687E-2</v>
      </c>
      <c r="G17" s="24">
        <v>0.06</v>
      </c>
      <c r="H17" s="24">
        <v>5.9499999999999997E-2</v>
      </c>
      <c r="I17" s="24">
        <v>5.7000000000000002E-2</v>
      </c>
      <c r="J17" s="11">
        <f t="shared" si="1"/>
        <v>5.8833333333333328E-2</v>
      </c>
      <c r="K17" s="24">
        <f t="shared" si="2"/>
        <v>9.2734885356912045E-2</v>
      </c>
      <c r="L17" s="11">
        <f t="shared" si="3"/>
        <v>9.4600067964182022E-2</v>
      </c>
      <c r="M17" s="11">
        <f t="shared" si="6"/>
        <v>9.5787002350626552E-2</v>
      </c>
      <c r="N17" s="11"/>
      <c r="O17" s="24">
        <f t="shared" si="7"/>
        <v>9.2734885356912045E-2</v>
      </c>
      <c r="P17" s="24">
        <f t="shared" si="8"/>
        <v>9.4600067964182022E-2</v>
      </c>
      <c r="Q17" s="24">
        <f t="shared" si="9"/>
        <v>9.5787002350626552E-2</v>
      </c>
      <c r="S17" s="34"/>
      <c r="T17" s="34"/>
      <c r="U17" s="34"/>
      <c r="V17" s="12"/>
      <c r="W17" s="12"/>
      <c r="X17" s="12"/>
      <c r="Y17" s="22"/>
    </row>
    <row r="18" spans="1:25">
      <c r="A18" s="3" t="s">
        <v>473</v>
      </c>
      <c r="B18" s="427" t="s">
        <v>474</v>
      </c>
      <c r="C18" s="10">
        <v>2.4</v>
      </c>
      <c r="D18" s="10">
        <v>50.888333333333335</v>
      </c>
      <c r="E18" s="11">
        <v>4.7162086922346309E-2</v>
      </c>
      <c r="F18" s="11">
        <f t="shared" si="0"/>
        <v>4.784593718272033E-2</v>
      </c>
      <c r="G18" s="24">
        <v>1.4999999999999999E-2</v>
      </c>
      <c r="H18" s="24">
        <v>3.7999999999999999E-2</v>
      </c>
      <c r="I18" s="24">
        <v>3.4000000000000002E-2</v>
      </c>
      <c r="J18" s="11">
        <f t="shared" si="1"/>
        <v>2.8999999999999998E-2</v>
      </c>
      <c r="K18" s="24">
        <f t="shared" si="2"/>
        <v>6.251580257426391E-2</v>
      </c>
      <c r="L18" s="11">
        <f t="shared" si="3"/>
        <v>7.6845937182720328E-2</v>
      </c>
      <c r="M18" s="11">
        <f t="shared" si="6"/>
        <v>8.6058166573870887E-2</v>
      </c>
      <c r="N18" s="11"/>
      <c r="O18" s="24" t="str">
        <f t="shared" si="7"/>
        <v/>
      </c>
      <c r="P18" s="24">
        <f t="shared" si="8"/>
        <v>7.6845937182720328E-2</v>
      </c>
      <c r="Q18" s="24">
        <f t="shared" si="9"/>
        <v>8.6058166573870887E-2</v>
      </c>
      <c r="S18" s="34"/>
      <c r="T18" s="34"/>
      <c r="U18" s="34"/>
      <c r="V18" s="12"/>
      <c r="W18" s="12"/>
      <c r="X18" s="12"/>
      <c r="Y18" s="22"/>
    </row>
    <row r="19" spans="1:25">
      <c r="A19" s="3" t="s">
        <v>475</v>
      </c>
      <c r="B19" s="427" t="s">
        <v>476</v>
      </c>
      <c r="C19" s="10">
        <v>4.18</v>
      </c>
      <c r="D19" s="10">
        <v>120.81700000000001</v>
      </c>
      <c r="E19" s="11">
        <v>3.4597780113725711E-2</v>
      </c>
      <c r="F19" s="11">
        <f t="shared" si="0"/>
        <v>3.5962662539212188E-2</v>
      </c>
      <c r="G19" s="24">
        <v>0.1</v>
      </c>
      <c r="H19" s="24">
        <v>6.2700000000000006E-2</v>
      </c>
      <c r="I19" s="24">
        <v>7.3999999999999996E-2</v>
      </c>
      <c r="J19" s="11">
        <f t="shared" si="1"/>
        <v>7.8900000000000012E-2</v>
      </c>
      <c r="K19" s="24">
        <f t="shared" si="2"/>
        <v>9.8382420520291017E-2</v>
      </c>
      <c r="L19" s="11">
        <f t="shared" si="3"/>
        <v>0.11486266253921221</v>
      </c>
      <c r="M19" s="11">
        <f t="shared" si="6"/>
        <v>0.13632766911941202</v>
      </c>
      <c r="N19" s="11"/>
      <c r="O19" s="24">
        <f t="shared" si="7"/>
        <v>9.8382420520291017E-2</v>
      </c>
      <c r="P19" s="24">
        <f t="shared" si="8"/>
        <v>0.11486266253921221</v>
      </c>
      <c r="Q19" s="24">
        <f t="shared" si="9"/>
        <v>0.13632766911941202</v>
      </c>
      <c r="S19" s="34"/>
      <c r="T19" s="34"/>
      <c r="U19" s="34"/>
      <c r="V19" s="12"/>
      <c r="W19" s="12"/>
      <c r="X19" s="12"/>
      <c r="Y19" s="22"/>
    </row>
    <row r="20" spans="1:25">
      <c r="A20" s="3" t="s">
        <v>477</v>
      </c>
      <c r="B20" s="427" t="s">
        <v>478</v>
      </c>
      <c r="C20" s="10">
        <v>2.56</v>
      </c>
      <c r="D20" s="10">
        <v>52.773000000000003</v>
      </c>
      <c r="E20" s="11">
        <v>4.8509654558202109E-2</v>
      </c>
      <c r="F20" s="11">
        <f t="shared" si="0"/>
        <v>4.9443465408447497E-2</v>
      </c>
      <c r="G20" s="24">
        <v>0.03</v>
      </c>
      <c r="H20" s="24">
        <v>4.5499999999999999E-2</v>
      </c>
      <c r="I20" s="24">
        <v>0.04</v>
      </c>
      <c r="J20" s="11">
        <f t="shared" si="1"/>
        <v>3.85E-2</v>
      </c>
      <c r="K20" s="24">
        <f t="shared" si="2"/>
        <v>7.9237299376575143E-2</v>
      </c>
      <c r="L20" s="11">
        <f t="shared" si="3"/>
        <v>8.7943465408447496E-2</v>
      </c>
      <c r="M20" s="11">
        <f t="shared" si="6"/>
        <v>9.5113249199401201E-2</v>
      </c>
      <c r="N20" s="11"/>
      <c r="O20" s="24">
        <f t="shared" si="7"/>
        <v>7.9237299376575143E-2</v>
      </c>
      <c r="P20" s="24">
        <f t="shared" si="8"/>
        <v>8.7943465408447496E-2</v>
      </c>
      <c r="Q20" s="24">
        <f t="shared" si="9"/>
        <v>9.5113249199401201E-2</v>
      </c>
      <c r="S20" s="34"/>
      <c r="T20" s="34"/>
      <c r="U20" s="34"/>
      <c r="V20" s="12"/>
      <c r="W20" s="12"/>
      <c r="X20" s="12"/>
      <c r="Y20" s="22"/>
    </row>
    <row r="21" spans="1:25">
      <c r="A21" s="3" t="s">
        <v>479</v>
      </c>
      <c r="B21" s="427" t="s">
        <v>480</v>
      </c>
      <c r="C21" s="10">
        <v>2.5299999999999998</v>
      </c>
      <c r="D21" s="10">
        <v>95.016999999999982</v>
      </c>
      <c r="E21" s="11">
        <v>2.6626814149047016E-2</v>
      </c>
      <c r="F21" s="11">
        <f t="shared" si="0"/>
        <v>2.7418961869981162E-2</v>
      </c>
      <c r="G21" s="24">
        <v>0.06</v>
      </c>
      <c r="H21" s="24">
        <v>5.9499999999999997E-2</v>
      </c>
      <c r="I21" s="24">
        <v>5.8999999999999997E-2</v>
      </c>
      <c r="J21" s="11">
        <f t="shared" si="1"/>
        <v>5.9499999999999997E-2</v>
      </c>
      <c r="K21" s="24">
        <f t="shared" si="2"/>
        <v>8.6412305166443909E-2</v>
      </c>
      <c r="L21" s="11">
        <f t="shared" si="3"/>
        <v>8.6918961869981159E-2</v>
      </c>
      <c r="M21" s="11">
        <f t="shared" si="6"/>
        <v>8.7425618573518424E-2</v>
      </c>
      <c r="N21" s="11"/>
      <c r="O21" s="24">
        <f t="shared" si="7"/>
        <v>8.6412305166443909E-2</v>
      </c>
      <c r="P21" s="24">
        <f t="shared" si="8"/>
        <v>8.6918961869981159E-2</v>
      </c>
      <c r="Q21" s="24">
        <f t="shared" si="9"/>
        <v>8.7425618573518424E-2</v>
      </c>
      <c r="S21" s="34"/>
      <c r="T21" s="34"/>
      <c r="U21" s="34"/>
      <c r="V21" s="12"/>
      <c r="W21" s="12"/>
      <c r="X21" s="12"/>
      <c r="Y21" s="22"/>
    </row>
    <row r="22" spans="1:25" ht="13.5" thickBot="1">
      <c r="A22" s="431" t="s">
        <v>481</v>
      </c>
      <c r="B22" s="432" t="s">
        <v>482</v>
      </c>
      <c r="C22" s="433">
        <v>1.72</v>
      </c>
      <c r="D22" s="433">
        <v>68.963499999999996</v>
      </c>
      <c r="E22" s="434">
        <v>2.4940729516338352E-2</v>
      </c>
      <c r="F22" s="434">
        <f t="shared" si="0"/>
        <v>2.5674402642943971E-2</v>
      </c>
      <c r="G22" s="434">
        <v>0.06</v>
      </c>
      <c r="H22" s="434">
        <v>5.8500000000000003E-2</v>
      </c>
      <c r="I22" s="434">
        <v>5.8000000000000003E-2</v>
      </c>
      <c r="J22" s="434">
        <f t="shared" si="1"/>
        <v>5.8833333333333328E-2</v>
      </c>
      <c r="K22" s="434">
        <f t="shared" si="2"/>
        <v>8.3664010672312161E-2</v>
      </c>
      <c r="L22" s="434">
        <f t="shared" si="3"/>
        <v>8.4507735976277296E-2</v>
      </c>
      <c r="M22" s="434">
        <f t="shared" si="6"/>
        <v>8.56889514018285E-2</v>
      </c>
      <c r="N22" s="434"/>
      <c r="O22" s="434">
        <f t="shared" si="7"/>
        <v>8.3664010672312161E-2</v>
      </c>
      <c r="P22" s="434">
        <f t="shared" si="8"/>
        <v>8.4507735976277296E-2</v>
      </c>
      <c r="Q22" s="434">
        <f t="shared" si="9"/>
        <v>8.56889514018285E-2</v>
      </c>
    </row>
    <row r="23" spans="1:25" ht="13.5" thickTop="1">
      <c r="A23" s="7" t="s">
        <v>20</v>
      </c>
      <c r="B23" s="18"/>
      <c r="C23" s="6"/>
      <c r="D23" s="6"/>
      <c r="E23" s="40">
        <f>AVERAGE(E7:E22)</f>
        <v>3.7106390855052351E-2</v>
      </c>
      <c r="F23" s="40">
        <f t="shared" ref="F23:J23" si="10">IFERROR(AVERAGE(F7, F8:F22),"")</f>
        <v>3.8161316390873452E-2</v>
      </c>
      <c r="G23" s="40">
        <f t="shared" si="10"/>
        <v>6.0292324954278331E-2</v>
      </c>
      <c r="H23" s="40">
        <f t="shared" si="10"/>
        <v>5.5593749999999997E-2</v>
      </c>
      <c r="I23" s="40">
        <f t="shared" si="10"/>
        <v>5.7062500000000016E-2</v>
      </c>
      <c r="J23" s="40">
        <f t="shared" si="10"/>
        <v>5.7649524984759441E-2</v>
      </c>
      <c r="K23" s="40">
        <f>IFERROR(AVERAGE(K7:K22),"")</f>
        <v>8.7762226554528727E-2</v>
      </c>
      <c r="L23" s="40">
        <f t="shared" ref="L23:M23" si="11">IFERROR(AVERAGE(L7:L22),"")</f>
        <v>9.5810841375632907E-2</v>
      </c>
      <c r="M23" s="40">
        <f t="shared" si="11"/>
        <v>0.10510435345483742</v>
      </c>
      <c r="N23" s="40"/>
      <c r="O23" s="40">
        <f>IFERROR(AVERAGE(O7, O8:O22),"")</f>
        <v>9.1838154001005187E-2</v>
      </c>
      <c r="P23" s="40">
        <f t="shared" ref="P23:Q23" si="12">IFERROR(AVERAGE(P7, P8:P22),"")</f>
        <v>9.5810841375632907E-2</v>
      </c>
      <c r="Q23" s="40">
        <f t="shared" si="12"/>
        <v>0.10510435345483742</v>
      </c>
    </row>
    <row r="24" spans="1:25" ht="13.5" thickBot="1">
      <c r="A24" s="236"/>
      <c r="B24" s="146"/>
      <c r="C24" s="21"/>
      <c r="D24" s="21"/>
      <c r="E24" s="237"/>
      <c r="F24" s="237"/>
      <c r="G24" s="237"/>
      <c r="H24" s="237"/>
      <c r="I24" s="237"/>
      <c r="J24" s="237"/>
      <c r="K24" s="237"/>
      <c r="L24" s="237"/>
      <c r="M24" s="237"/>
      <c r="N24" s="237"/>
      <c r="O24" s="237"/>
      <c r="P24" s="237"/>
      <c r="Q24" s="237"/>
    </row>
    <row r="25" spans="1:25">
      <c r="A25" s="7"/>
      <c r="B25" s="18"/>
      <c r="C25" s="6"/>
      <c r="D25" s="6"/>
      <c r="E25" s="40"/>
      <c r="F25" s="40"/>
      <c r="G25" s="40"/>
      <c r="H25" s="40"/>
      <c r="I25" s="40"/>
      <c r="J25" s="40"/>
      <c r="K25" s="40"/>
      <c r="L25" s="40"/>
      <c r="M25" s="40"/>
      <c r="N25" s="40"/>
      <c r="O25" s="40"/>
      <c r="P25" s="40"/>
      <c r="Q25" s="40"/>
    </row>
    <row r="26" spans="1:25">
      <c r="A26" s="23" t="s">
        <v>21</v>
      </c>
      <c r="B26" s="19"/>
      <c r="C26" s="4"/>
      <c r="D26" s="4"/>
      <c r="E26" s="3"/>
      <c r="F26" s="3"/>
      <c r="G26" s="3"/>
      <c r="H26" s="3"/>
      <c r="I26" s="3"/>
      <c r="J26" s="3"/>
      <c r="K26" s="3"/>
      <c r="L26" s="3"/>
      <c r="M26" s="3"/>
      <c r="N26" s="3"/>
    </row>
    <row r="27" spans="1:25">
      <c r="A27" s="4" t="s">
        <v>57</v>
      </c>
      <c r="B27" s="3"/>
      <c r="C27" s="4"/>
      <c r="D27" s="4"/>
      <c r="E27" s="3"/>
      <c r="F27" s="3"/>
      <c r="G27" s="3"/>
      <c r="H27" s="3"/>
      <c r="I27" s="3"/>
      <c r="J27" s="3"/>
      <c r="K27" s="3"/>
      <c r="L27" s="3"/>
      <c r="M27" s="3"/>
      <c r="N27" s="3"/>
    </row>
    <row r="28" spans="1:25">
      <c r="A28" s="4" t="s">
        <v>581</v>
      </c>
      <c r="B28" s="3"/>
      <c r="C28" s="4"/>
      <c r="D28" s="4"/>
      <c r="E28" s="3"/>
      <c r="F28" s="3"/>
      <c r="G28" s="3"/>
      <c r="H28" s="3"/>
      <c r="I28" s="3"/>
      <c r="J28" s="3"/>
      <c r="K28" s="3"/>
      <c r="L28" s="3"/>
      <c r="M28" s="3"/>
      <c r="N28" s="3"/>
    </row>
    <row r="29" spans="1:25">
      <c r="A29" s="4" t="s">
        <v>81</v>
      </c>
      <c r="B29" s="3"/>
      <c r="C29" s="4"/>
      <c r="D29" s="4"/>
      <c r="E29" s="3"/>
      <c r="F29" s="3"/>
      <c r="G29" s="3"/>
      <c r="H29" s="3"/>
      <c r="I29" s="3"/>
      <c r="J29" s="3"/>
      <c r="K29" s="3"/>
      <c r="L29" s="3"/>
      <c r="M29" s="3"/>
      <c r="N29" s="3"/>
    </row>
    <row r="30" spans="1:25">
      <c r="A30" s="4" t="s">
        <v>82</v>
      </c>
      <c r="B30" s="3"/>
      <c r="C30" s="4"/>
      <c r="D30" s="4"/>
      <c r="E30" s="3"/>
      <c r="F30" s="3"/>
      <c r="G30" s="3"/>
      <c r="H30" s="3"/>
      <c r="I30" s="3"/>
      <c r="J30" s="3"/>
      <c r="K30" s="3"/>
      <c r="L30" s="3"/>
      <c r="M30" s="3"/>
      <c r="N30" s="3"/>
    </row>
    <row r="31" spans="1:25">
      <c r="A31" s="4" t="s">
        <v>83</v>
      </c>
      <c r="B31" s="3"/>
      <c r="C31" s="4"/>
      <c r="D31" s="4"/>
      <c r="E31" s="3"/>
      <c r="F31" s="3"/>
      <c r="G31" s="3"/>
      <c r="H31" s="3"/>
      <c r="I31" s="3"/>
      <c r="J31" s="3"/>
      <c r="K31" s="3"/>
      <c r="L31" s="3"/>
      <c r="M31" s="3"/>
      <c r="N31" s="3"/>
    </row>
    <row r="32" spans="1:25">
      <c r="A32" s="4" t="s">
        <v>84</v>
      </c>
      <c r="B32" s="3"/>
      <c r="C32" s="4"/>
      <c r="D32" s="4"/>
      <c r="E32" s="3"/>
      <c r="F32" s="3"/>
      <c r="G32" s="3"/>
      <c r="H32" s="3"/>
      <c r="I32" s="3"/>
      <c r="J32" s="3"/>
      <c r="K32" s="3"/>
      <c r="L32" s="3"/>
      <c r="M32" s="3"/>
      <c r="N32" s="3"/>
    </row>
    <row r="33" spans="1:29">
      <c r="A33" s="4" t="s">
        <v>85</v>
      </c>
      <c r="B33" s="3"/>
      <c r="C33" s="4"/>
      <c r="D33" s="4"/>
      <c r="E33" s="3"/>
      <c r="F33" s="3"/>
      <c r="G33" s="3"/>
      <c r="H33" s="3"/>
      <c r="I33" s="3"/>
      <c r="J33" s="3"/>
      <c r="K33" s="3"/>
      <c r="L33" s="3"/>
      <c r="M33" s="3"/>
      <c r="N33" s="3"/>
    </row>
    <row r="34" spans="1:29">
      <c r="A34" s="9" t="s">
        <v>86</v>
      </c>
      <c r="B34" s="3"/>
      <c r="C34" s="4"/>
      <c r="D34" s="4"/>
      <c r="E34" s="3"/>
      <c r="F34" s="3"/>
      <c r="G34" s="3"/>
      <c r="H34" s="3"/>
      <c r="I34" s="3"/>
      <c r="J34" s="3"/>
      <c r="K34" s="3"/>
      <c r="L34" s="3"/>
      <c r="M34" s="3"/>
      <c r="N34" s="3"/>
    </row>
    <row r="35" spans="1:29">
      <c r="A35" s="4" t="s">
        <v>87</v>
      </c>
      <c r="B35" s="3"/>
      <c r="C35" s="4"/>
      <c r="D35" s="4"/>
      <c r="E35" s="3"/>
      <c r="F35" s="3"/>
      <c r="J35" s="3"/>
      <c r="K35" s="3"/>
      <c r="L35" s="3"/>
      <c r="M35" s="3"/>
      <c r="N35" s="3"/>
    </row>
    <row r="36" spans="1:29">
      <c r="A36" s="4" t="s">
        <v>88</v>
      </c>
      <c r="B36" s="3"/>
      <c r="C36" s="4"/>
      <c r="D36" s="4"/>
      <c r="E36" s="3"/>
      <c r="G36" s="3"/>
      <c r="H36" s="3"/>
      <c r="I36" s="3"/>
      <c r="K36" s="3"/>
      <c r="L36" s="3"/>
      <c r="M36" s="3"/>
      <c r="N36" s="3"/>
    </row>
    <row r="37" spans="1:29">
      <c r="A37" s="4" t="s">
        <v>89</v>
      </c>
      <c r="B37" s="3"/>
      <c r="C37" s="4"/>
      <c r="D37" s="4"/>
      <c r="E37" s="3"/>
      <c r="F37" s="3"/>
      <c r="J37" s="3"/>
      <c r="K37" s="3"/>
      <c r="L37" s="3"/>
      <c r="M37" s="3"/>
      <c r="N37" s="3"/>
    </row>
    <row r="38" spans="1:29" s="8" customFormat="1">
      <c r="A38" s="4" t="s">
        <v>90</v>
      </c>
    </row>
    <row r="41" spans="1:29">
      <c r="A41" s="756" t="s">
        <v>488</v>
      </c>
      <c r="B41" s="756"/>
      <c r="C41" s="756"/>
      <c r="D41" s="756"/>
      <c r="E41" s="756"/>
      <c r="F41" s="756"/>
      <c r="G41" s="756"/>
      <c r="H41" s="756"/>
      <c r="I41" s="756"/>
      <c r="J41" s="756"/>
      <c r="K41" s="756"/>
      <c r="L41" s="756"/>
      <c r="M41" s="756"/>
      <c r="N41" s="756"/>
      <c r="O41" s="756"/>
      <c r="P41" s="756"/>
      <c r="Q41" s="756"/>
    </row>
    <row r="42" spans="1:29">
      <c r="A42" s="4"/>
      <c r="B42" s="3"/>
      <c r="C42" s="4"/>
      <c r="D42" s="4"/>
      <c r="E42" s="3"/>
      <c r="F42" s="3"/>
      <c r="G42" s="3"/>
      <c r="H42" s="3"/>
      <c r="I42" s="3"/>
      <c r="J42" s="3"/>
      <c r="K42" s="756" t="s">
        <v>63</v>
      </c>
      <c r="L42" s="756"/>
      <c r="M42" s="756"/>
      <c r="N42" s="427"/>
      <c r="O42" s="757" t="s">
        <v>64</v>
      </c>
      <c r="P42" s="757"/>
      <c r="Q42" s="757"/>
    </row>
    <row r="43" spans="1:29" ht="13.5" thickBot="1">
      <c r="A43" s="4"/>
      <c r="B43" s="3"/>
      <c r="C43" s="17">
        <v>1</v>
      </c>
      <c r="D43" s="17">
        <v>2</v>
      </c>
      <c r="E43" s="17">
        <v>3</v>
      </c>
      <c r="F43" s="17">
        <v>4</v>
      </c>
      <c r="G43" s="17">
        <v>5</v>
      </c>
      <c r="H43" s="17">
        <v>6</v>
      </c>
      <c r="I43" s="17">
        <v>7</v>
      </c>
      <c r="J43" s="17">
        <v>8</v>
      </c>
      <c r="K43" s="17">
        <v>9</v>
      </c>
      <c r="L43" s="17">
        <v>10</v>
      </c>
      <c r="M43" s="17">
        <v>11</v>
      </c>
      <c r="N43" s="17"/>
      <c r="O43" s="17" t="s">
        <v>65</v>
      </c>
      <c r="P43" s="17" t="s">
        <v>66</v>
      </c>
      <c r="Q43" s="17" t="s">
        <v>67</v>
      </c>
    </row>
    <row r="44" spans="1:29" ht="51">
      <c r="A44" s="244" t="s">
        <v>30</v>
      </c>
      <c r="B44" s="125" t="s">
        <v>31</v>
      </c>
      <c r="C44" s="245" t="s">
        <v>68</v>
      </c>
      <c r="D44" s="245" t="s">
        <v>69</v>
      </c>
      <c r="E44" s="126" t="s">
        <v>70</v>
      </c>
      <c r="F44" s="126" t="s">
        <v>71</v>
      </c>
      <c r="G44" s="126" t="s">
        <v>72</v>
      </c>
      <c r="H44" s="126" t="s">
        <v>73</v>
      </c>
      <c r="I44" s="126" t="s">
        <v>74</v>
      </c>
      <c r="J44" s="126" t="s">
        <v>75</v>
      </c>
      <c r="K44" s="125" t="s">
        <v>76</v>
      </c>
      <c r="L44" s="126" t="s">
        <v>77</v>
      </c>
      <c r="M44" s="125" t="s">
        <v>78</v>
      </c>
      <c r="N44" s="125"/>
      <c r="O44" s="125" t="s">
        <v>76</v>
      </c>
      <c r="P44" s="126" t="s">
        <v>77</v>
      </c>
      <c r="Q44" s="125" t="s">
        <v>78</v>
      </c>
    </row>
    <row r="45" spans="1:29">
      <c r="A45" s="6"/>
      <c r="B45" s="18"/>
      <c r="C45" s="6"/>
      <c r="D45" s="6"/>
      <c r="E45" s="18"/>
      <c r="F45" s="18"/>
      <c r="G45" s="18"/>
      <c r="H45" s="18"/>
      <c r="I45" s="18"/>
      <c r="J45" s="18"/>
      <c r="K45" s="18"/>
      <c r="L45" s="18"/>
      <c r="M45" s="18"/>
      <c r="N45" s="18"/>
      <c r="O45" s="25"/>
      <c r="P45" s="25"/>
      <c r="Q45" s="25"/>
      <c r="AC45" t="s">
        <v>91</v>
      </c>
    </row>
    <row r="46" spans="1:29">
      <c r="A46" s="6" t="s">
        <v>38</v>
      </c>
      <c r="B46" s="5" t="s">
        <v>39</v>
      </c>
      <c r="C46" s="144">
        <v>2.2999999999999998</v>
      </c>
      <c r="D46" s="144">
        <v>100.21677777777781</v>
      </c>
      <c r="E46" s="116">
        <v>2.2950248960309366E-2</v>
      </c>
      <c r="F46" s="11">
        <f>IFERROR(E46*(1+0.5*J46),"")</f>
        <v>2.377454540213381E-2</v>
      </c>
      <c r="G46" s="11">
        <v>7.0000000000000007E-2</v>
      </c>
      <c r="H46" s="11">
        <v>7.2499999999999995E-2</v>
      </c>
      <c r="I46" s="11">
        <v>7.2999999999999995E-2</v>
      </c>
      <c r="J46" s="11">
        <f>AVERAGE(G46:I46)</f>
        <v>7.1833333333333346E-2</v>
      </c>
      <c r="K46" s="24">
        <f>$E46*(1+0.5*MIN($G46:$I46))+MIN($G46:$I46)</f>
        <v>9.3753507673920197E-2</v>
      </c>
      <c r="L46" s="11">
        <f>F46+J46</f>
        <v>9.5607878735467153E-2</v>
      </c>
      <c r="M46" s="11">
        <f>$E46*(1+0.5*MAX($G46:$I46))+MAX($G46:$I46)</f>
        <v>9.678793304736065E-2</v>
      </c>
      <c r="N46" s="11"/>
      <c r="O46" s="24">
        <f>IF(K46&gt;7%, K46, "")</f>
        <v>9.3753507673920197E-2</v>
      </c>
      <c r="P46" s="24">
        <f t="shared" ref="P46:Q51" si="13">IF(L46&gt;7%, L46, "")</f>
        <v>9.5607878735467153E-2</v>
      </c>
      <c r="Q46" s="24">
        <f t="shared" si="13"/>
        <v>9.678793304736065E-2</v>
      </c>
      <c r="S46" s="34"/>
      <c r="T46" s="34"/>
      <c r="U46" s="34"/>
      <c r="AC46" t="s">
        <v>91</v>
      </c>
    </row>
    <row r="47" spans="1:29">
      <c r="A47" s="6" t="s">
        <v>43</v>
      </c>
      <c r="B47" s="5" t="s">
        <v>44</v>
      </c>
      <c r="C47" s="144">
        <v>1.91</v>
      </c>
      <c r="D47" s="144">
        <v>53.530888888888875</v>
      </c>
      <c r="E47" s="116">
        <v>3.5680334095786866E-2</v>
      </c>
      <c r="F47" s="11">
        <f t="shared" ref="F47:F51" si="14">IFERROR(E47*(1+0.5*J47),"")</f>
        <v>3.6427701505473732E-2</v>
      </c>
      <c r="G47" s="11">
        <f>'Schedule-3 Constant DCF 2'!E12</f>
        <v>5.9677199268453274E-2</v>
      </c>
      <c r="H47" s="11">
        <v>3.3000000000000002E-2</v>
      </c>
      <c r="I47" s="11">
        <v>3.3000000000000002E-2</v>
      </c>
      <c r="J47" s="11">
        <f t="shared" ref="J47:J50" si="15">AVERAGE(G47:I47)</f>
        <v>4.189239975615109E-2</v>
      </c>
      <c r="K47" s="11">
        <f t="shared" ref="K47:K61" si="16">$E47*(1+0.5*MIN($G47:$I47))+MIN($G47:$I47)</f>
        <v>6.926905960836735E-2</v>
      </c>
      <c r="L47" s="11">
        <f t="shared" ref="L47:L51" si="17">F47+J47</f>
        <v>7.8320101261624822E-2</v>
      </c>
      <c r="M47" s="11">
        <f t="shared" ref="M47:M50" si="18">$E47*(1+0.5*MAX($G47:$I47))+MAX($G47:$I47)</f>
        <v>9.6422184568139765E-2</v>
      </c>
      <c r="N47" s="11"/>
      <c r="O47" s="24" t="str">
        <f t="shared" ref="O47:O51" si="19">IF(K47&gt;7%, K47, "")</f>
        <v/>
      </c>
      <c r="P47" s="24">
        <f t="shared" si="13"/>
        <v>7.8320101261624822E-2</v>
      </c>
      <c r="Q47" s="24">
        <f t="shared" si="13"/>
        <v>9.6422184568139765E-2</v>
      </c>
      <c r="S47" s="34"/>
      <c r="T47" s="34"/>
      <c r="U47" s="34"/>
      <c r="AC47" t="s">
        <v>91</v>
      </c>
    </row>
    <row r="48" spans="1:29">
      <c r="A48" s="6" t="s">
        <v>46</v>
      </c>
      <c r="B48" s="5" t="s">
        <v>47</v>
      </c>
      <c r="C48" s="144">
        <v>2.16</v>
      </c>
      <c r="D48" s="144">
        <v>75.275111111111144</v>
      </c>
      <c r="E48" s="116">
        <v>2.8694743430025555E-2</v>
      </c>
      <c r="F48" s="11">
        <f t="shared" si="14"/>
        <v>2.9507761160542944E-2</v>
      </c>
      <c r="G48" s="11">
        <v>6.5000000000000002E-2</v>
      </c>
      <c r="H48" s="11">
        <v>0.05</v>
      </c>
      <c r="I48" s="11">
        <v>5.5E-2</v>
      </c>
      <c r="J48" s="11">
        <f t="shared" si="15"/>
        <v>5.6666666666666671E-2</v>
      </c>
      <c r="K48" s="11">
        <f t="shared" si="16"/>
        <v>7.9412112015776193E-2</v>
      </c>
      <c r="L48" s="11">
        <f t="shared" si="17"/>
        <v>8.6174427827209618E-2</v>
      </c>
      <c r="M48" s="11">
        <f t="shared" si="18"/>
        <v>9.4627322591501389E-2</v>
      </c>
      <c r="N48" s="11"/>
      <c r="O48" s="24">
        <f t="shared" si="19"/>
        <v>7.9412112015776193E-2</v>
      </c>
      <c r="P48" s="24">
        <f t="shared" si="13"/>
        <v>8.6174427827209618E-2</v>
      </c>
      <c r="Q48" s="24">
        <f t="shared" si="13"/>
        <v>9.4627322591501389E-2</v>
      </c>
      <c r="S48" s="34"/>
      <c r="T48" s="34"/>
      <c r="U48" s="34"/>
      <c r="AC48" t="s">
        <v>91</v>
      </c>
    </row>
    <row r="49" spans="1:29">
      <c r="A49" s="6" t="s">
        <v>48</v>
      </c>
      <c r="B49" s="5" t="s">
        <v>49</v>
      </c>
      <c r="C49" s="144">
        <v>1.18</v>
      </c>
      <c r="D49" s="144">
        <v>23.541000000000004</v>
      </c>
      <c r="E49" s="116">
        <v>5.012531328320801E-2</v>
      </c>
      <c r="F49" s="11">
        <f t="shared" si="14"/>
        <v>5.2957393483709266E-2</v>
      </c>
      <c r="G49" s="11">
        <v>0.125</v>
      </c>
      <c r="H49" s="11">
        <v>0.107</v>
      </c>
      <c r="I49" s="11">
        <v>0.107</v>
      </c>
      <c r="J49" s="11">
        <f t="shared" si="15"/>
        <v>0.11299999999999999</v>
      </c>
      <c r="K49" s="11">
        <f t="shared" si="16"/>
        <v>0.15980701754385965</v>
      </c>
      <c r="L49" s="11">
        <f t="shared" si="17"/>
        <v>0.16595739348370925</v>
      </c>
      <c r="M49" s="11">
        <f t="shared" si="18"/>
        <v>0.1782581453634085</v>
      </c>
      <c r="N49" s="11"/>
      <c r="O49" s="24">
        <f t="shared" si="19"/>
        <v>0.15980701754385965</v>
      </c>
      <c r="P49" s="24">
        <f t="shared" si="13"/>
        <v>0.16595739348370925</v>
      </c>
      <c r="Q49" s="24">
        <f t="shared" si="13"/>
        <v>0.1782581453634085</v>
      </c>
      <c r="S49" s="34"/>
      <c r="T49" s="34"/>
      <c r="U49" s="34"/>
      <c r="AC49" t="s">
        <v>91</v>
      </c>
    </row>
    <row r="50" spans="1:29">
      <c r="A50" s="6" t="s">
        <v>51</v>
      </c>
      <c r="B50" s="5" t="s">
        <v>52</v>
      </c>
      <c r="C50" s="144">
        <v>2.2799999999999998</v>
      </c>
      <c r="D50" s="144">
        <v>67.990222222222229</v>
      </c>
      <c r="E50" s="116">
        <v>3.3534233680659956E-2</v>
      </c>
      <c r="F50" s="11">
        <f t="shared" si="14"/>
        <v>3.4540260691079752E-2</v>
      </c>
      <c r="G50" s="11">
        <v>0.09</v>
      </c>
      <c r="H50" s="11">
        <v>0.04</v>
      </c>
      <c r="I50" s="11">
        <v>0.05</v>
      </c>
      <c r="J50" s="11">
        <f t="shared" si="15"/>
        <v>0.06</v>
      </c>
      <c r="K50" s="11">
        <f t="shared" si="16"/>
        <v>7.4204918354273147E-2</v>
      </c>
      <c r="L50" s="11">
        <f t="shared" si="17"/>
        <v>9.454026069107975E-2</v>
      </c>
      <c r="M50" s="11">
        <f t="shared" si="18"/>
        <v>0.12504327419628963</v>
      </c>
      <c r="N50" s="11"/>
      <c r="O50" s="24">
        <f t="shared" si="19"/>
        <v>7.4204918354273147E-2</v>
      </c>
      <c r="P50" s="24">
        <f t="shared" si="13"/>
        <v>9.454026069107975E-2</v>
      </c>
      <c r="Q50" s="24">
        <f t="shared" si="13"/>
        <v>0.12504327419628963</v>
      </c>
      <c r="S50" s="34"/>
      <c r="T50" s="34"/>
      <c r="U50" s="34"/>
      <c r="AC50" t="s">
        <v>91</v>
      </c>
    </row>
    <row r="51" spans="1:29">
      <c r="A51" s="6" t="s">
        <v>54</v>
      </c>
      <c r="B51" s="5" t="s">
        <v>55</v>
      </c>
      <c r="C51" s="144">
        <v>2.4900000000000002</v>
      </c>
      <c r="D51" s="144">
        <v>62.49466666666666</v>
      </c>
      <c r="E51" s="116">
        <v>3.984339997013079E-2</v>
      </c>
      <c r="F51" s="11">
        <f t="shared" si="14"/>
        <v>4.0840149026050231E-2</v>
      </c>
      <c r="G51" s="11">
        <v>5.5E-2</v>
      </c>
      <c r="H51" s="11">
        <v>4.7100000000000003E-2</v>
      </c>
      <c r="I51" s="11">
        <v>4.8000000000000001E-2</v>
      </c>
      <c r="J51" s="11">
        <f>AVERAGE(G51:I51)</f>
        <v>5.0033333333333339E-2</v>
      </c>
      <c r="K51" s="11">
        <f t="shared" si="16"/>
        <v>8.7881712039427379E-2</v>
      </c>
      <c r="L51" s="11">
        <f t="shared" si="17"/>
        <v>9.087348235938357E-2</v>
      </c>
      <c r="M51" s="11">
        <f>$E51*(1+0.5*MAX($G51:$I51))+MAX($G51:$I51)</f>
        <v>9.59390934693094E-2</v>
      </c>
      <c r="N51" s="11"/>
      <c r="O51" s="24">
        <f t="shared" si="19"/>
        <v>8.7881712039427379E-2</v>
      </c>
      <c r="P51" s="24">
        <f t="shared" si="13"/>
        <v>9.087348235938357E-2</v>
      </c>
      <c r="Q51" s="24">
        <f t="shared" si="13"/>
        <v>9.59390934693094E-2</v>
      </c>
      <c r="AC51" t="s">
        <v>91</v>
      </c>
    </row>
    <row r="52" spans="1:29">
      <c r="A52" s="3" t="s">
        <v>463</v>
      </c>
      <c r="B52" s="427" t="s">
        <v>464</v>
      </c>
      <c r="C52" s="144">
        <v>1.98</v>
      </c>
      <c r="D52" s="144">
        <v>76.71599999999998</v>
      </c>
      <c r="E52" s="116">
        <v>2.5809479117785084E-2</v>
      </c>
      <c r="F52" s="116">
        <v>2.7736415139626269E-2</v>
      </c>
      <c r="G52" s="116">
        <v>0.06</v>
      </c>
      <c r="H52" s="116">
        <v>0.06</v>
      </c>
      <c r="I52" s="116">
        <v>6.9000000000000006E-2</v>
      </c>
      <c r="J52" s="11">
        <f t="shared" ref="J52:J61" si="20">AVERAGE(G52:I52)</f>
        <v>6.3E-2</v>
      </c>
      <c r="K52" s="11">
        <f t="shared" si="16"/>
        <v>8.6583763491318633E-2</v>
      </c>
      <c r="L52" s="11">
        <f t="shared" ref="L52:L61" si="21">F52+J52</f>
        <v>9.073641513962627E-2</v>
      </c>
      <c r="M52" s="11">
        <f t="shared" ref="M52:M61" si="22">$E52*(1+0.5*MAX($G52:$I52))+MAX($G52:$I52)</f>
        <v>9.5699906147348676E-2</v>
      </c>
      <c r="N52" s="11"/>
      <c r="O52" s="24">
        <f t="shared" ref="O52:O61" si="23">IF(K52&gt;7%, K52, "")</f>
        <v>8.6583763491318633E-2</v>
      </c>
      <c r="P52" s="24">
        <f t="shared" ref="P52:P61" si="24">IF(L52&gt;7%, L52, "")</f>
        <v>9.073641513962627E-2</v>
      </c>
      <c r="Q52" s="24">
        <f t="shared" ref="Q52:Q61" si="25">IF(M52&gt;7%, M52, "")</f>
        <v>9.5699906147348676E-2</v>
      </c>
    </row>
    <row r="53" spans="1:29">
      <c r="A53" s="3" t="s">
        <v>465</v>
      </c>
      <c r="B53" s="427" t="s">
        <v>466</v>
      </c>
      <c r="C53" s="144">
        <v>1.62</v>
      </c>
      <c r="D53" s="144">
        <v>36.583222222222226</v>
      </c>
      <c r="E53" s="116">
        <v>4.4282594632026218E-2</v>
      </c>
      <c r="F53" s="116">
        <v>4.2393463925634201E-2</v>
      </c>
      <c r="G53" s="116">
        <v>0.01</v>
      </c>
      <c r="H53" s="116">
        <v>5.8000000000000003E-2</v>
      </c>
      <c r="I53" s="116">
        <v>5.0999999999999997E-2</v>
      </c>
      <c r="J53" s="11">
        <f t="shared" si="20"/>
        <v>3.9666666666666663E-2</v>
      </c>
      <c r="K53" s="11">
        <f t="shared" si="16"/>
        <v>5.4504007605186346E-2</v>
      </c>
      <c r="L53" s="11">
        <f t="shared" si="21"/>
        <v>8.2060130592300856E-2</v>
      </c>
      <c r="M53" s="11">
        <f t="shared" si="22"/>
        <v>0.10356678987635498</v>
      </c>
      <c r="N53" s="11"/>
      <c r="O53" s="24" t="str">
        <f t="shared" si="23"/>
        <v/>
      </c>
      <c r="P53" s="24">
        <f t="shared" si="24"/>
        <v>8.2060130592300856E-2</v>
      </c>
      <c r="Q53" s="24">
        <f t="shared" si="25"/>
        <v>0.10356678987635498</v>
      </c>
    </row>
    <row r="54" spans="1:29">
      <c r="A54" s="3" t="s">
        <v>467</v>
      </c>
      <c r="B54" s="427" t="s">
        <v>468</v>
      </c>
      <c r="C54" s="144">
        <v>1.63</v>
      </c>
      <c r="D54" s="144">
        <v>60.423777777777779</v>
      </c>
      <c r="E54" s="116">
        <v>2.6976135222704818E-2</v>
      </c>
      <c r="F54" s="116">
        <v>2.8729252639438946E-2</v>
      </c>
      <c r="G54" s="116">
        <v>7.4999999999999997E-2</v>
      </c>
      <c r="H54" s="116">
        <v>7.0800000000000002E-2</v>
      </c>
      <c r="I54" s="116">
        <v>7.0000000000000007E-2</v>
      </c>
      <c r="J54" s="11">
        <f t="shared" si="20"/>
        <v>7.1933333333333335E-2</v>
      </c>
      <c r="K54" s="11">
        <f t="shared" si="16"/>
        <v>9.7920299955499487E-2</v>
      </c>
      <c r="L54" s="11">
        <f t="shared" si="21"/>
        <v>0.10066258597277228</v>
      </c>
      <c r="M54" s="11">
        <f t="shared" si="22"/>
        <v>0.10298774029355626</v>
      </c>
      <c r="N54" s="11"/>
      <c r="O54" s="24">
        <f t="shared" si="23"/>
        <v>9.7920299955499487E-2</v>
      </c>
      <c r="P54" s="24">
        <f t="shared" si="24"/>
        <v>0.10066258597277228</v>
      </c>
      <c r="Q54" s="24">
        <f t="shared" si="25"/>
        <v>0.10298774029355626</v>
      </c>
    </row>
    <row r="55" spans="1:29">
      <c r="A55" s="3" t="s">
        <v>469</v>
      </c>
      <c r="B55" s="427" t="s">
        <v>470</v>
      </c>
      <c r="C55" s="144">
        <v>3.76</v>
      </c>
      <c r="D55" s="144">
        <v>80.038222222222231</v>
      </c>
      <c r="E55" s="116">
        <v>4.6977555168086348E-2</v>
      </c>
      <c r="F55" s="116">
        <v>4.8456640979910481E-2</v>
      </c>
      <c r="G55" s="116">
        <v>0.03</v>
      </c>
      <c r="H55" s="116">
        <v>2.7400000000000001E-2</v>
      </c>
      <c r="I55" s="116">
        <v>3.5000000000000003E-2</v>
      </c>
      <c r="J55" s="11">
        <f t="shared" si="20"/>
        <v>3.0800000000000004E-2</v>
      </c>
      <c r="K55" s="11">
        <f t="shared" si="16"/>
        <v>7.5021147673889135E-2</v>
      </c>
      <c r="L55" s="11">
        <f t="shared" si="21"/>
        <v>7.9256640979910489E-2</v>
      </c>
      <c r="M55" s="11">
        <f t="shared" si="22"/>
        <v>8.2799662383527872E-2</v>
      </c>
      <c r="N55" s="11"/>
      <c r="O55" s="24">
        <f t="shared" si="23"/>
        <v>7.5021147673889135E-2</v>
      </c>
      <c r="P55" s="24">
        <f t="shared" si="24"/>
        <v>7.9256640979910489E-2</v>
      </c>
      <c r="Q55" s="24">
        <f t="shared" si="25"/>
        <v>8.2799662383527872E-2</v>
      </c>
    </row>
    <row r="56" spans="1:29">
      <c r="A56" s="3" t="s">
        <v>471</v>
      </c>
      <c r="B56" s="427" t="s">
        <v>472</v>
      </c>
      <c r="C56" s="144">
        <v>4.05</v>
      </c>
      <c r="D56" s="144">
        <v>112.92100000000002</v>
      </c>
      <c r="E56" s="116">
        <v>3.5865782272562229E-2</v>
      </c>
      <c r="F56" s="116">
        <v>3.953664434445292E-2</v>
      </c>
      <c r="G56" s="116">
        <v>0.06</v>
      </c>
      <c r="H56" s="116">
        <v>5.9499999999999997E-2</v>
      </c>
      <c r="I56" s="116">
        <v>5.7000000000000002E-2</v>
      </c>
      <c r="J56" s="11">
        <f t="shared" si="20"/>
        <v>5.8833333333333328E-2</v>
      </c>
      <c r="K56" s="11">
        <f t="shared" si="16"/>
        <v>9.3887957067330247E-2</v>
      </c>
      <c r="L56" s="11">
        <f t="shared" si="21"/>
        <v>9.8369977677786241E-2</v>
      </c>
      <c r="M56" s="11">
        <f t="shared" si="22"/>
        <v>9.69417557407391E-2</v>
      </c>
      <c r="N56" s="11"/>
      <c r="O56" s="24">
        <f t="shared" si="23"/>
        <v>9.3887957067330247E-2</v>
      </c>
      <c r="P56" s="24">
        <f t="shared" si="24"/>
        <v>9.8369977677786241E-2</v>
      </c>
      <c r="Q56" s="24">
        <f t="shared" si="25"/>
        <v>9.69417557407391E-2</v>
      </c>
    </row>
    <row r="57" spans="1:29">
      <c r="A57" s="3" t="s">
        <v>473</v>
      </c>
      <c r="B57" s="427" t="s">
        <v>474</v>
      </c>
      <c r="C57" s="144">
        <v>2.4</v>
      </c>
      <c r="D57" s="144">
        <v>54.401666666666671</v>
      </c>
      <c r="E57" s="116">
        <v>4.4116295456634293E-2</v>
      </c>
      <c r="F57" s="116">
        <v>4.2614111111975522E-2</v>
      </c>
      <c r="G57" s="116">
        <v>1.4999999999999999E-2</v>
      </c>
      <c r="H57" s="116">
        <v>3.7999999999999999E-2</v>
      </c>
      <c r="I57" s="116">
        <v>3.4000000000000002E-2</v>
      </c>
      <c r="J57" s="11">
        <f t="shared" si="20"/>
        <v>2.8999999999999998E-2</v>
      </c>
      <c r="K57" s="11">
        <f t="shared" si="16"/>
        <v>5.9447167672559052E-2</v>
      </c>
      <c r="L57" s="11">
        <f t="shared" si="21"/>
        <v>7.161411111197552E-2</v>
      </c>
      <c r="M57" s="11">
        <f t="shared" si="22"/>
        <v>8.2954505070310339E-2</v>
      </c>
      <c r="N57" s="11"/>
      <c r="O57" s="24" t="str">
        <f t="shared" si="23"/>
        <v/>
      </c>
      <c r="P57" s="24">
        <f t="shared" si="24"/>
        <v>7.161411111197552E-2</v>
      </c>
      <c r="Q57" s="24">
        <f t="shared" si="25"/>
        <v>8.2954505070310339E-2</v>
      </c>
    </row>
    <row r="58" spans="1:29">
      <c r="A58" s="3" t="s">
        <v>475</v>
      </c>
      <c r="B58" s="427" t="s">
        <v>476</v>
      </c>
      <c r="C58" s="144">
        <v>4.18</v>
      </c>
      <c r="D58" s="144">
        <v>123.52222222222218</v>
      </c>
      <c r="E58" s="116">
        <v>3.3840064765674201E-2</v>
      </c>
      <c r="F58" s="116">
        <v>3.5393808740122129E-2</v>
      </c>
      <c r="G58" s="116">
        <v>0.1</v>
      </c>
      <c r="H58" s="116">
        <v>6.2700000000000006E-2</v>
      </c>
      <c r="I58" s="116">
        <v>7.3999999999999996E-2</v>
      </c>
      <c r="J58" s="11">
        <f t="shared" si="20"/>
        <v>7.8900000000000012E-2</v>
      </c>
      <c r="K58" s="11">
        <f t="shared" si="16"/>
        <v>9.7600950796078084E-2</v>
      </c>
      <c r="L58" s="11">
        <f t="shared" si="21"/>
        <v>0.11429380874012214</v>
      </c>
      <c r="M58" s="11">
        <f t="shared" si="22"/>
        <v>0.13553206800395792</v>
      </c>
      <c r="N58" s="11"/>
      <c r="O58" s="24">
        <f t="shared" si="23"/>
        <v>9.7600950796078084E-2</v>
      </c>
      <c r="P58" s="24">
        <f t="shared" si="24"/>
        <v>0.11429380874012214</v>
      </c>
      <c r="Q58" s="24">
        <f t="shared" si="25"/>
        <v>0.13553206800395792</v>
      </c>
    </row>
    <row r="59" spans="1:29">
      <c r="A59" s="3" t="s">
        <v>477</v>
      </c>
      <c r="B59" s="427" t="s">
        <v>478</v>
      </c>
      <c r="C59" s="144">
        <v>2.56</v>
      </c>
      <c r="D59" s="144">
        <v>54.11466666666665</v>
      </c>
      <c r="E59" s="116">
        <v>4.7306953136549562E-2</v>
      </c>
      <c r="F59" s="116">
        <v>4.7314114394861335E-2</v>
      </c>
      <c r="G59" s="116">
        <v>0.03</v>
      </c>
      <c r="H59" s="116">
        <v>4.5499999999999999E-2</v>
      </c>
      <c r="I59" s="116">
        <v>0.04</v>
      </c>
      <c r="J59" s="11">
        <f t="shared" si="20"/>
        <v>3.85E-2</v>
      </c>
      <c r="K59" s="11">
        <f t="shared" si="16"/>
        <v>7.8016557433597797E-2</v>
      </c>
      <c r="L59" s="11">
        <f t="shared" si="21"/>
        <v>8.5814114394861335E-2</v>
      </c>
      <c r="M59" s="11">
        <f t="shared" si="22"/>
        <v>9.388318632040607E-2</v>
      </c>
      <c r="N59" s="11"/>
      <c r="O59" s="24">
        <f t="shared" si="23"/>
        <v>7.8016557433597797E-2</v>
      </c>
      <c r="P59" s="24">
        <f t="shared" si="24"/>
        <v>8.5814114394861335E-2</v>
      </c>
      <c r="Q59" s="24">
        <f t="shared" si="25"/>
        <v>9.388318632040607E-2</v>
      </c>
    </row>
    <row r="60" spans="1:29">
      <c r="A60" s="3" t="s">
        <v>479</v>
      </c>
      <c r="B60" s="427" t="s">
        <v>480</v>
      </c>
      <c r="C60" s="144">
        <v>2.5299999999999998</v>
      </c>
      <c r="D60" s="144">
        <v>92.250333333333344</v>
      </c>
      <c r="E60" s="116">
        <v>2.7425375156729329E-2</v>
      </c>
      <c r="F60" s="116">
        <v>2.8881756582010022E-2</v>
      </c>
      <c r="G60" s="116">
        <v>0.06</v>
      </c>
      <c r="H60" s="116">
        <v>5.9499999999999997E-2</v>
      </c>
      <c r="I60" s="116">
        <v>5.8999999999999997E-2</v>
      </c>
      <c r="J60" s="11">
        <f t="shared" si="20"/>
        <v>5.9499999999999997E-2</v>
      </c>
      <c r="K60" s="11">
        <f t="shared" si="16"/>
        <v>8.7234423723852844E-2</v>
      </c>
      <c r="L60" s="11">
        <f t="shared" si="21"/>
        <v>8.8381756582010015E-2</v>
      </c>
      <c r="M60" s="11">
        <f t="shared" si="22"/>
        <v>8.8248136411431199E-2</v>
      </c>
      <c r="N60" s="11"/>
      <c r="O60" s="24">
        <f t="shared" si="23"/>
        <v>8.7234423723852844E-2</v>
      </c>
      <c r="P60" s="24">
        <f t="shared" si="24"/>
        <v>8.8381756582010015E-2</v>
      </c>
      <c r="Q60" s="24">
        <f t="shared" si="25"/>
        <v>8.8248136411431199E-2</v>
      </c>
    </row>
    <row r="61" spans="1:29" ht="13.35" customHeight="1" thickBot="1">
      <c r="A61" s="431" t="s">
        <v>481</v>
      </c>
      <c r="B61" s="432" t="s">
        <v>482</v>
      </c>
      <c r="C61" s="433">
        <v>1.72</v>
      </c>
      <c r="D61" s="433">
        <v>67.100666666666655</v>
      </c>
      <c r="E61" s="434">
        <v>2.5633128334542135E-2</v>
      </c>
      <c r="F61" s="434">
        <v>2.7906312687049621E-2</v>
      </c>
      <c r="G61" s="434">
        <v>0.06</v>
      </c>
      <c r="H61" s="434">
        <v>5.8500000000000003E-2</v>
      </c>
      <c r="I61" s="434">
        <v>5.8000000000000003E-2</v>
      </c>
      <c r="J61" s="434">
        <f t="shared" si="20"/>
        <v>5.8833333333333328E-2</v>
      </c>
      <c r="K61" s="434">
        <f t="shared" si="16"/>
        <v>8.4376489056243856E-2</v>
      </c>
      <c r="L61" s="434">
        <f t="shared" si="21"/>
        <v>8.6739646020382949E-2</v>
      </c>
      <c r="M61" s="434">
        <f t="shared" si="22"/>
        <v>8.6402122184578406E-2</v>
      </c>
      <c r="N61" s="434"/>
      <c r="O61" s="434">
        <f t="shared" si="23"/>
        <v>8.4376489056243856E-2</v>
      </c>
      <c r="P61" s="434">
        <f t="shared" si="24"/>
        <v>8.6739646020382949E-2</v>
      </c>
      <c r="Q61" s="434">
        <f t="shared" si="25"/>
        <v>8.6402122184578406E-2</v>
      </c>
      <c r="T61" s="22"/>
    </row>
    <row r="62" spans="1:29" ht="13.5" thickTop="1">
      <c r="A62" s="238" t="s">
        <v>20</v>
      </c>
      <c r="B62" s="239"/>
      <c r="C62" s="240"/>
      <c r="D62" s="240"/>
      <c r="E62" s="241">
        <f>AVERAGE(E46:E61)</f>
        <v>3.5566352292713425E-2</v>
      </c>
      <c r="F62" s="241">
        <f t="shared" ref="F62:M62" si="26">IFERROR(AVERAGE(F46, F47:F61),"")</f>
        <v>3.6688145738379439E-2</v>
      </c>
      <c r="G62" s="241">
        <f t="shared" si="26"/>
        <v>6.0292324954278331E-2</v>
      </c>
      <c r="H62" s="241">
        <f t="shared" si="26"/>
        <v>5.5593749999999997E-2</v>
      </c>
      <c r="I62" s="241">
        <f t="shared" si="26"/>
        <v>5.7062500000000016E-2</v>
      </c>
      <c r="J62" s="241">
        <f t="shared" si="26"/>
        <v>5.7649524984759441E-2</v>
      </c>
      <c r="K62" s="241">
        <f t="shared" si="26"/>
        <v>8.6182568231948711E-2</v>
      </c>
      <c r="L62" s="241">
        <f t="shared" si="26"/>
        <v>9.4337670723138881E-2</v>
      </c>
      <c r="M62" s="241">
        <f t="shared" si="26"/>
        <v>0.10350586410426378</v>
      </c>
      <c r="N62" s="241"/>
      <c r="O62" s="241">
        <f>IFERROR(AVERAGE(O46, O47:O61),"")</f>
        <v>9.1976988986543592E-2</v>
      </c>
      <c r="P62" s="241">
        <f t="shared" ref="P62" si="27">IFERROR(AVERAGE(P46, P47:P61),"")</f>
        <v>9.4337670723138881E-2</v>
      </c>
      <c r="Q62" s="241">
        <f t="shared" ref="Q62" si="28">IFERROR(AVERAGE(Q46, Q47:Q61),"")</f>
        <v>0.10350586410426378</v>
      </c>
    </row>
    <row r="63" spans="1:29" ht="13.5" thickBot="1">
      <c r="A63" s="236"/>
      <c r="B63" s="146"/>
      <c r="C63" s="21"/>
      <c r="D63" s="21"/>
      <c r="E63" s="237"/>
      <c r="F63" s="237"/>
      <c r="G63" s="237"/>
      <c r="H63" s="237"/>
      <c r="I63" s="237"/>
      <c r="J63" s="237"/>
      <c r="K63" s="237"/>
      <c r="L63" s="237"/>
      <c r="M63" s="237"/>
      <c r="N63" s="237"/>
      <c r="O63" s="237"/>
      <c r="P63" s="237"/>
      <c r="Q63" s="237"/>
    </row>
    <row r="64" spans="1:29">
      <c r="A64" s="7"/>
      <c r="B64" s="6"/>
      <c r="C64" s="6"/>
      <c r="D64" s="6"/>
      <c r="E64" s="6"/>
      <c r="F64" s="6"/>
      <c r="G64" s="20"/>
      <c r="H64" s="20"/>
      <c r="I64" s="20"/>
      <c r="J64" s="20"/>
      <c r="K64" s="20"/>
      <c r="L64" s="20"/>
      <c r="O64" s="20"/>
      <c r="P64" s="20"/>
      <c r="Q64" s="20"/>
    </row>
    <row r="65" spans="1:17">
      <c r="A65" s="23" t="s">
        <v>21</v>
      </c>
      <c r="B65" s="19"/>
      <c r="C65" s="4"/>
      <c r="D65" s="4"/>
      <c r="E65" s="3"/>
      <c r="F65" s="3"/>
      <c r="G65" s="3"/>
      <c r="H65" s="3"/>
      <c r="I65" s="3"/>
      <c r="J65" s="3"/>
      <c r="K65" s="3"/>
      <c r="L65" s="3"/>
      <c r="M65" s="3"/>
      <c r="N65" s="3"/>
    </row>
    <row r="66" spans="1:17">
      <c r="A66" s="4" t="s">
        <v>57</v>
      </c>
      <c r="B66" s="3"/>
      <c r="C66" s="3"/>
      <c r="D66" s="3"/>
      <c r="E66" s="3"/>
      <c r="F66" s="3"/>
      <c r="G66" s="3"/>
      <c r="J66" s="3"/>
      <c r="K66" t="s">
        <v>91</v>
      </c>
    </row>
    <row r="67" spans="1:17">
      <c r="A67" s="4" t="s">
        <v>582</v>
      </c>
      <c r="B67" s="3"/>
      <c r="C67" s="3"/>
      <c r="D67" s="3"/>
      <c r="E67" s="3"/>
      <c r="F67" s="3"/>
      <c r="G67" s="3"/>
      <c r="J67" s="3"/>
      <c r="K67" t="s">
        <v>91</v>
      </c>
    </row>
    <row r="68" spans="1:17">
      <c r="A68" s="4" t="s">
        <v>81</v>
      </c>
      <c r="B68" s="3"/>
      <c r="C68" s="3"/>
      <c r="D68" s="3"/>
      <c r="E68" s="3"/>
      <c r="F68" s="3"/>
      <c r="G68" s="3"/>
      <c r="J68" s="3"/>
      <c r="K68" t="s">
        <v>91</v>
      </c>
    </row>
    <row r="69" spans="1:17">
      <c r="A69" s="4" t="s">
        <v>82</v>
      </c>
      <c r="B69" s="3"/>
      <c r="C69" s="3"/>
      <c r="D69" s="3"/>
      <c r="E69" s="3"/>
      <c r="F69" s="3"/>
      <c r="G69" s="3"/>
      <c r="J69" s="3"/>
      <c r="K69" t="s">
        <v>91</v>
      </c>
    </row>
    <row r="70" spans="1:17">
      <c r="A70" s="4" t="s">
        <v>83</v>
      </c>
      <c r="B70" s="3"/>
      <c r="C70" s="3"/>
      <c r="D70" s="3"/>
      <c r="E70" s="3"/>
      <c r="F70" s="3"/>
      <c r="G70" s="3"/>
      <c r="J70" s="3"/>
      <c r="K70" t="s">
        <v>91</v>
      </c>
    </row>
    <row r="71" spans="1:17">
      <c r="A71" s="4" t="s">
        <v>84</v>
      </c>
      <c r="B71" s="3"/>
      <c r="C71" s="3"/>
      <c r="D71" s="3"/>
      <c r="E71" s="3"/>
      <c r="F71" s="3"/>
      <c r="G71" s="3"/>
      <c r="J71" s="3"/>
      <c r="K71" t="s">
        <v>91</v>
      </c>
    </row>
    <row r="72" spans="1:17">
      <c r="A72" s="4" t="s">
        <v>85</v>
      </c>
      <c r="B72" s="3"/>
      <c r="C72" s="3"/>
      <c r="D72" s="3"/>
      <c r="E72" s="3"/>
      <c r="F72" s="3"/>
      <c r="G72" s="3"/>
      <c r="J72" s="3"/>
      <c r="K72" t="s">
        <v>91</v>
      </c>
    </row>
    <row r="73" spans="1:17">
      <c r="A73" s="9" t="s">
        <v>86</v>
      </c>
      <c r="B73" s="3"/>
      <c r="C73" s="3"/>
      <c r="D73" s="3"/>
      <c r="E73" s="3"/>
      <c r="F73" s="3"/>
      <c r="G73" s="3"/>
      <c r="J73" s="3"/>
      <c r="K73" t="s">
        <v>91</v>
      </c>
    </row>
    <row r="74" spans="1:17">
      <c r="A74" s="4" t="s">
        <v>87</v>
      </c>
      <c r="J74" s="3"/>
      <c r="K74" t="s">
        <v>91</v>
      </c>
    </row>
    <row r="75" spans="1:17">
      <c r="A75" s="4" t="s">
        <v>88</v>
      </c>
      <c r="B75" s="3"/>
      <c r="C75" s="3"/>
      <c r="D75" s="3"/>
      <c r="E75" s="3"/>
      <c r="F75" s="3"/>
      <c r="G75" s="3"/>
      <c r="J75" s="3"/>
      <c r="K75" t="s">
        <v>91</v>
      </c>
    </row>
    <row r="76" spans="1:17">
      <c r="A76" s="4" t="s">
        <v>89</v>
      </c>
      <c r="B76" s="3"/>
      <c r="C76" s="4"/>
      <c r="D76" s="4"/>
      <c r="E76" s="3"/>
      <c r="F76" s="3"/>
      <c r="G76" s="3"/>
      <c r="H76" s="3"/>
      <c r="I76" s="3"/>
      <c r="J76" s="3"/>
      <c r="K76" s="3"/>
      <c r="L76" s="3"/>
      <c r="M76" s="3"/>
      <c r="N76" s="3"/>
    </row>
    <row r="77" spans="1:17" s="8" customFormat="1">
      <c r="A77" s="4" t="s">
        <v>90</v>
      </c>
    </row>
    <row r="78" spans="1:17" s="8" customFormat="1">
      <c r="A78" s="4"/>
    </row>
    <row r="80" spans="1:17">
      <c r="A80" s="756" t="s">
        <v>486</v>
      </c>
      <c r="B80" s="756"/>
      <c r="C80" s="756"/>
      <c r="D80" s="756"/>
      <c r="E80" s="756"/>
      <c r="F80" s="756"/>
      <c r="G80" s="756"/>
      <c r="H80" s="756"/>
      <c r="I80" s="756"/>
      <c r="J80" s="756"/>
      <c r="K80" s="756"/>
      <c r="L80" s="756"/>
      <c r="M80" s="756"/>
      <c r="N80" s="756"/>
      <c r="O80" s="756"/>
      <c r="P80" s="756"/>
      <c r="Q80" s="756"/>
    </row>
    <row r="81" spans="1:21">
      <c r="A81" s="4"/>
      <c r="B81" s="3"/>
      <c r="C81" s="4"/>
      <c r="D81" s="4"/>
      <c r="E81" s="3"/>
      <c r="F81" s="3"/>
      <c r="G81" s="3"/>
      <c r="H81" s="3"/>
      <c r="I81" s="3"/>
      <c r="J81" s="3"/>
      <c r="K81" s="756" t="s">
        <v>63</v>
      </c>
      <c r="L81" s="756"/>
      <c r="M81" s="756"/>
      <c r="N81" s="427"/>
      <c r="O81" s="757" t="s">
        <v>64</v>
      </c>
      <c r="P81" s="757"/>
      <c r="Q81" s="757"/>
    </row>
    <row r="82" spans="1:21" ht="13.5" thickBot="1">
      <c r="A82" s="4"/>
      <c r="B82" s="3"/>
      <c r="C82" s="17">
        <v>1</v>
      </c>
      <c r="D82" s="17">
        <v>2</v>
      </c>
      <c r="E82" s="17">
        <v>3</v>
      </c>
      <c r="F82" s="17">
        <v>4</v>
      </c>
      <c r="G82" s="17">
        <v>5</v>
      </c>
      <c r="H82" s="17">
        <v>6</v>
      </c>
      <c r="I82" s="17">
        <v>7</v>
      </c>
      <c r="J82" s="17">
        <v>8</v>
      </c>
      <c r="K82" s="17">
        <v>9</v>
      </c>
      <c r="L82" s="17">
        <v>10</v>
      </c>
      <c r="M82" s="17">
        <v>11</v>
      </c>
      <c r="N82" s="17"/>
      <c r="O82" s="17" t="s">
        <v>65</v>
      </c>
      <c r="P82" s="17" t="s">
        <v>66</v>
      </c>
      <c r="Q82" s="17" t="s">
        <v>67</v>
      </c>
    </row>
    <row r="83" spans="1:21" ht="51">
      <c r="A83" s="244" t="s">
        <v>30</v>
      </c>
      <c r="B83" s="125" t="s">
        <v>31</v>
      </c>
      <c r="C83" s="245" t="s">
        <v>68</v>
      </c>
      <c r="D83" s="245" t="s">
        <v>69</v>
      </c>
      <c r="E83" s="126" t="s">
        <v>70</v>
      </c>
      <c r="F83" s="126" t="s">
        <v>71</v>
      </c>
      <c r="G83" s="126" t="s">
        <v>72</v>
      </c>
      <c r="H83" s="126" t="s">
        <v>73</v>
      </c>
      <c r="I83" s="126" t="s">
        <v>74</v>
      </c>
      <c r="J83" s="126" t="s">
        <v>75</v>
      </c>
      <c r="K83" s="125" t="s">
        <v>76</v>
      </c>
      <c r="L83" s="126" t="s">
        <v>77</v>
      </c>
      <c r="M83" s="125" t="s">
        <v>78</v>
      </c>
      <c r="N83" s="125"/>
      <c r="O83" s="125" t="s">
        <v>76</v>
      </c>
      <c r="P83" s="126" t="s">
        <v>77</v>
      </c>
      <c r="Q83" s="125" t="s">
        <v>78</v>
      </c>
    </row>
    <row r="84" spans="1:21">
      <c r="A84" s="6"/>
      <c r="B84" s="18"/>
      <c r="C84" s="6"/>
      <c r="D84" s="6"/>
      <c r="E84" s="18"/>
      <c r="F84" s="18"/>
      <c r="G84" s="18"/>
      <c r="H84" s="18"/>
      <c r="I84" s="18"/>
      <c r="J84" s="18"/>
      <c r="K84" s="18"/>
      <c r="L84" s="18"/>
      <c r="M84" s="18"/>
      <c r="N84" s="18"/>
      <c r="O84" s="25"/>
      <c r="P84" s="25"/>
      <c r="Q84" s="25"/>
    </row>
    <row r="85" spans="1:21">
      <c r="A85" s="6" t="s">
        <v>38</v>
      </c>
      <c r="B85" s="5" t="s">
        <v>39</v>
      </c>
      <c r="C85" s="10">
        <v>2.2999999999999998</v>
      </c>
      <c r="D85" s="10">
        <v>103.09688888888893</v>
      </c>
      <c r="E85" s="11">
        <v>2.230911160160021E-2</v>
      </c>
      <c r="F85" s="11">
        <f>IFERROR(E85*(1+0.5*J85),"")</f>
        <v>2.3110380526624348E-2</v>
      </c>
      <c r="G85" s="11">
        <v>7.0000000000000007E-2</v>
      </c>
      <c r="H85" s="11">
        <v>7.2499999999999995E-2</v>
      </c>
      <c r="I85" s="11">
        <v>7.2999999999999995E-2</v>
      </c>
      <c r="J85" s="11">
        <f>AVERAGE(G85:I85)</f>
        <v>7.1833333333333346E-2</v>
      </c>
      <c r="K85" s="24">
        <f>$E85*(1+0.5*MIN($G85:$I85))+MIN($G85:$I85)</f>
        <v>9.3089930507656224E-2</v>
      </c>
      <c r="L85" s="11">
        <f>F85+J85</f>
        <v>9.4943713859957701E-2</v>
      </c>
      <c r="M85" s="11">
        <f>$E85*(1+0.5*MAX($G85:$I85))+MAX($G85:$I85)</f>
        <v>9.6123394175058607E-2</v>
      </c>
      <c r="N85" s="11"/>
      <c r="O85" s="24">
        <f t="shared" ref="O85:Q90" si="29">IF(K85&gt;7%, K85, "")</f>
        <v>9.3089930507656224E-2</v>
      </c>
      <c r="P85" s="24">
        <f t="shared" si="29"/>
        <v>9.4943713859957701E-2</v>
      </c>
      <c r="Q85" s="24">
        <f t="shared" si="29"/>
        <v>9.6123394175058607E-2</v>
      </c>
      <c r="S85" s="34"/>
      <c r="T85" s="34"/>
      <c r="U85" s="34"/>
    </row>
    <row r="86" spans="1:21">
      <c r="A86" s="6" t="s">
        <v>43</v>
      </c>
      <c r="B86" s="5" t="s">
        <v>44</v>
      </c>
      <c r="C86" s="10">
        <v>1.91</v>
      </c>
      <c r="D86" s="10">
        <v>59.979555555555507</v>
      </c>
      <c r="E86" s="11">
        <v>3.1844183944158777E-2</v>
      </c>
      <c r="F86" s="11">
        <f t="shared" ref="F86:F90" si="30">IFERROR(E86*(1+0.5*J86),"")</f>
        <v>3.2511198586007331E-2</v>
      </c>
      <c r="G86" s="11">
        <f>'Schedule-3 Constant DCF 2'!E12</f>
        <v>5.9677199268453274E-2</v>
      </c>
      <c r="H86" s="11">
        <v>3.3000000000000002E-2</v>
      </c>
      <c r="I86" s="11">
        <v>3.3000000000000002E-2</v>
      </c>
      <c r="J86" s="11">
        <f t="shared" ref="J86:J88" si="31">AVERAGE(G86:I86)</f>
        <v>4.189239975615109E-2</v>
      </c>
      <c r="K86" s="11">
        <f t="shared" ref="K86:K100" si="32">$E86*(1+0.5*MIN($G86:$I86))+MIN($G86:$I86)</f>
        <v>6.5369612979237407E-2</v>
      </c>
      <c r="L86" s="11">
        <f t="shared" ref="L86:L90" si="33">F86+J86</f>
        <v>7.4403598342158428E-2</v>
      </c>
      <c r="M86" s="11">
        <f t="shared" ref="M86:M89" si="34">$E86*(1+0.5*MAX($G86:$I86))+MAX($G86:$I86)</f>
        <v>9.247156906800047E-2</v>
      </c>
      <c r="N86" s="11"/>
      <c r="O86" s="24" t="str">
        <f t="shared" si="29"/>
        <v/>
      </c>
      <c r="P86" s="24">
        <f t="shared" si="29"/>
        <v>7.4403598342158428E-2</v>
      </c>
      <c r="Q86" s="24">
        <f t="shared" si="29"/>
        <v>9.247156906800047E-2</v>
      </c>
      <c r="S86" s="34"/>
      <c r="T86" s="34"/>
      <c r="U86" s="34"/>
    </row>
    <row r="87" spans="1:21">
      <c r="A87" s="6" t="s">
        <v>46</v>
      </c>
      <c r="B87" s="5" t="s">
        <v>47</v>
      </c>
      <c r="C87" s="10">
        <v>2.16</v>
      </c>
      <c r="D87" s="10">
        <v>80.350277777777777</v>
      </c>
      <c r="E87" s="11">
        <v>2.6882296611019117E-2</v>
      </c>
      <c r="F87" s="11">
        <f t="shared" si="30"/>
        <v>2.7643961681664657E-2</v>
      </c>
      <c r="G87" s="11">
        <v>6.5000000000000002E-2</v>
      </c>
      <c r="H87" s="11">
        <v>0.05</v>
      </c>
      <c r="I87" s="11">
        <v>5.5E-2</v>
      </c>
      <c r="J87" s="11">
        <f t="shared" si="31"/>
        <v>5.6666666666666671E-2</v>
      </c>
      <c r="K87" s="11">
        <f t="shared" si="32"/>
        <v>7.7554354026294597E-2</v>
      </c>
      <c r="L87" s="11">
        <f t="shared" si="33"/>
        <v>8.4310628348331335E-2</v>
      </c>
      <c r="M87" s="11">
        <f t="shared" si="34"/>
        <v>9.2755971250877242E-2</v>
      </c>
      <c r="N87" s="11"/>
      <c r="O87" s="24">
        <f t="shared" si="29"/>
        <v>7.7554354026294597E-2</v>
      </c>
      <c r="P87" s="24">
        <f t="shared" si="29"/>
        <v>8.4310628348331335E-2</v>
      </c>
      <c r="Q87" s="24">
        <f t="shared" si="29"/>
        <v>9.2755971250877242E-2</v>
      </c>
      <c r="S87" s="34"/>
      <c r="T87" s="34"/>
      <c r="U87" s="34"/>
    </row>
    <row r="88" spans="1:21">
      <c r="A88" s="6" t="s">
        <v>48</v>
      </c>
      <c r="B88" s="5" t="s">
        <v>49</v>
      </c>
      <c r="C88" s="10">
        <v>1.18</v>
      </c>
      <c r="D88" s="10">
        <v>25.766388888888912</v>
      </c>
      <c r="E88" s="11">
        <v>4.5796095257602989E-2</v>
      </c>
      <c r="F88" s="11">
        <f t="shared" si="30"/>
        <v>4.8383574639657555E-2</v>
      </c>
      <c r="G88" s="11">
        <v>0.125</v>
      </c>
      <c r="H88" s="11">
        <v>0.107</v>
      </c>
      <c r="I88" s="11">
        <v>0.107</v>
      </c>
      <c r="J88" s="11">
        <f t="shared" si="31"/>
        <v>0.11299999999999999</v>
      </c>
      <c r="K88" s="11">
        <f t="shared" si="32"/>
        <v>0.15524618635388476</v>
      </c>
      <c r="L88" s="11">
        <f t="shared" si="33"/>
        <v>0.16138357463965755</v>
      </c>
      <c r="M88" s="11">
        <f t="shared" si="34"/>
        <v>0.17365835121120318</v>
      </c>
      <c r="N88" s="11"/>
      <c r="O88" s="24">
        <f t="shared" si="29"/>
        <v>0.15524618635388476</v>
      </c>
      <c r="P88" s="24">
        <f t="shared" si="29"/>
        <v>0.16138357463965755</v>
      </c>
      <c r="Q88" s="24">
        <f t="shared" si="29"/>
        <v>0.17365835121120318</v>
      </c>
      <c r="S88" s="34"/>
      <c r="T88" s="34"/>
      <c r="U88" s="34"/>
    </row>
    <row r="89" spans="1:21">
      <c r="A89" s="6" t="s">
        <v>51</v>
      </c>
      <c r="B89" s="5" t="s">
        <v>52</v>
      </c>
      <c r="C89" s="10">
        <v>2.2799999999999998</v>
      </c>
      <c r="D89" s="10">
        <v>70.189000000000007</v>
      </c>
      <c r="E89" s="11">
        <v>3.2483722520622885E-2</v>
      </c>
      <c r="F89" s="11">
        <f t="shared" si="30"/>
        <v>3.3458234196241575E-2</v>
      </c>
      <c r="G89" s="11">
        <v>0.09</v>
      </c>
      <c r="H89" s="11">
        <v>0.04</v>
      </c>
      <c r="I89" s="11">
        <v>0.05</v>
      </c>
      <c r="J89" s="11">
        <f>AVERAGE(G89:I89)</f>
        <v>0.06</v>
      </c>
      <c r="K89" s="11">
        <f t="shared" si="32"/>
        <v>7.3133396971035353E-2</v>
      </c>
      <c r="L89" s="11">
        <f t="shared" si="33"/>
        <v>9.345823419624158E-2</v>
      </c>
      <c r="M89" s="11">
        <f t="shared" si="34"/>
        <v>0.12394549003405091</v>
      </c>
      <c r="N89" s="11"/>
      <c r="O89" s="24">
        <f t="shared" si="29"/>
        <v>7.3133396971035353E-2</v>
      </c>
      <c r="P89" s="24">
        <f t="shared" si="29"/>
        <v>9.345823419624158E-2</v>
      </c>
      <c r="Q89" s="24">
        <f t="shared" si="29"/>
        <v>0.12394549003405091</v>
      </c>
      <c r="S89" s="34"/>
      <c r="T89" s="34"/>
      <c r="U89" s="34"/>
    </row>
    <row r="90" spans="1:21">
      <c r="A90" s="6" t="s">
        <v>54</v>
      </c>
      <c r="B90" s="5" t="s">
        <v>55</v>
      </c>
      <c r="C90" s="10">
        <v>2.4900000000000002</v>
      </c>
      <c r="D90" s="10">
        <v>69.657555555555575</v>
      </c>
      <c r="E90" s="11">
        <v>3.5746301749192071E-2</v>
      </c>
      <c r="F90" s="11">
        <f t="shared" si="30"/>
        <v>3.6640555064617691E-2</v>
      </c>
      <c r="G90" s="11">
        <v>5.5E-2</v>
      </c>
      <c r="H90" s="11">
        <v>4.7100000000000003E-2</v>
      </c>
      <c r="I90" s="11">
        <v>4.8000000000000001E-2</v>
      </c>
      <c r="J90" s="11">
        <f>AVERAGE(G90:I90)</f>
        <v>5.0033333333333339E-2</v>
      </c>
      <c r="K90" s="11">
        <f t="shared" si="32"/>
        <v>8.3688127155385539E-2</v>
      </c>
      <c r="L90" s="11">
        <f t="shared" si="33"/>
        <v>8.6673888397951038E-2</v>
      </c>
      <c r="M90" s="11">
        <f>$E90*(1+0.5*MAX($G90:$I90))+MAX($G90:$I90)</f>
        <v>9.1729325047294863E-2</v>
      </c>
      <c r="N90" s="11"/>
      <c r="O90" s="24">
        <f>IF(K90&gt;7%, K90, "")</f>
        <v>8.3688127155385539E-2</v>
      </c>
      <c r="P90" s="24">
        <f t="shared" si="29"/>
        <v>8.6673888397951038E-2</v>
      </c>
      <c r="Q90" s="24">
        <f t="shared" si="29"/>
        <v>9.1729325047294863E-2</v>
      </c>
      <c r="S90" s="34"/>
      <c r="T90" s="34"/>
      <c r="U90" s="34"/>
    </row>
    <row r="91" spans="1:21">
      <c r="A91" s="3" t="s">
        <v>463</v>
      </c>
      <c r="B91" s="427" t="s">
        <v>464</v>
      </c>
      <c r="C91" s="144">
        <v>1.98</v>
      </c>
      <c r="D91" s="144">
        <v>76.746888888888876</v>
      </c>
      <c r="E91" s="116">
        <v>2.5799091385535718E-2</v>
      </c>
      <c r="F91" s="116">
        <v>2.6900346394626351E-2</v>
      </c>
      <c r="G91" s="116">
        <v>0.06</v>
      </c>
      <c r="H91" s="116">
        <v>0.06</v>
      </c>
      <c r="I91" s="116">
        <v>6.9000000000000006E-2</v>
      </c>
      <c r="J91" s="11">
        <f>AVERAGE(G91:I91)</f>
        <v>6.3E-2</v>
      </c>
      <c r="K91" s="11">
        <f t="shared" si="32"/>
        <v>8.6573064127101793E-2</v>
      </c>
      <c r="L91" s="11">
        <f t="shared" ref="L91:L100" si="35">F91+J91</f>
        <v>8.9900346394626351E-2</v>
      </c>
      <c r="M91" s="11">
        <f t="shared" ref="M91:M100" si="36">$E91*(1+0.5*MAX($G91:$I91))+MAX($G91:$I91)</f>
        <v>9.5689160038336704E-2</v>
      </c>
      <c r="N91" s="11"/>
      <c r="O91" s="24">
        <f t="shared" ref="O91:O100" si="37">IF(K91&gt;7%, K91, "")</f>
        <v>8.6573064127101793E-2</v>
      </c>
      <c r="P91" s="24">
        <f t="shared" ref="P91:P100" si="38">IF(L91&gt;7%, L91, "")</f>
        <v>8.9900346394626351E-2</v>
      </c>
      <c r="Q91" s="24">
        <f t="shared" ref="Q91:Q100" si="39">IF(M91&gt;7%, M91, "")</f>
        <v>9.5689160038336704E-2</v>
      </c>
      <c r="S91" s="34"/>
      <c r="T91" s="34"/>
      <c r="U91" s="34"/>
    </row>
    <row r="92" spans="1:21">
      <c r="A92" s="3" t="s">
        <v>465</v>
      </c>
      <c r="B92" s="427" t="s">
        <v>466</v>
      </c>
      <c r="C92" s="144">
        <v>1.62</v>
      </c>
      <c r="D92" s="144">
        <v>40.950111111111106</v>
      </c>
      <c r="E92" s="116">
        <v>3.9560332219964141E-2</v>
      </c>
      <c r="F92" s="116">
        <v>3.7879419044030034E-2</v>
      </c>
      <c r="G92" s="116">
        <v>0.01</v>
      </c>
      <c r="H92" s="116">
        <v>5.8000000000000003E-2</v>
      </c>
      <c r="I92" s="116">
        <v>5.0999999999999997E-2</v>
      </c>
      <c r="J92" s="11">
        <f t="shared" ref="J92:J100" si="40">AVERAGE(G92:I92)</f>
        <v>3.9666666666666663E-2</v>
      </c>
      <c r="K92" s="11">
        <f t="shared" si="32"/>
        <v>4.9758133881063961E-2</v>
      </c>
      <c r="L92" s="11">
        <f t="shared" si="35"/>
        <v>7.7546085710696697E-2</v>
      </c>
      <c r="M92" s="11">
        <f t="shared" si="36"/>
        <v>9.8707581854343099E-2</v>
      </c>
      <c r="N92" s="11"/>
      <c r="O92" s="24" t="str">
        <f t="shared" si="37"/>
        <v/>
      </c>
      <c r="P92" s="24">
        <f t="shared" si="38"/>
        <v>7.7546085710696697E-2</v>
      </c>
      <c r="Q92" s="24">
        <f t="shared" si="39"/>
        <v>9.8707581854343099E-2</v>
      </c>
      <c r="S92" s="34"/>
      <c r="T92" s="34"/>
      <c r="U92" s="34"/>
    </row>
    <row r="93" spans="1:21">
      <c r="A93" s="3" t="s">
        <v>467</v>
      </c>
      <c r="B93" s="427" t="s">
        <v>468</v>
      </c>
      <c r="C93" s="144">
        <v>1.63</v>
      </c>
      <c r="D93" s="144">
        <v>60.941444444444421</v>
      </c>
      <c r="E93" s="116">
        <v>2.6746986633799666E-2</v>
      </c>
      <c r="F93" s="116">
        <v>2.7623116518653956E-2</v>
      </c>
      <c r="G93" s="116">
        <v>7.4999999999999997E-2</v>
      </c>
      <c r="H93" s="116">
        <v>7.0800000000000002E-2</v>
      </c>
      <c r="I93" s="116">
        <v>7.0000000000000007E-2</v>
      </c>
      <c r="J93" s="11">
        <f t="shared" si="40"/>
        <v>7.1933333333333335E-2</v>
      </c>
      <c r="K93" s="11">
        <f t="shared" si="32"/>
        <v>9.7683131165982651E-2</v>
      </c>
      <c r="L93" s="11">
        <f t="shared" si="35"/>
        <v>9.9556449851987291E-2</v>
      </c>
      <c r="M93" s="11">
        <f t="shared" si="36"/>
        <v>0.10274999863256715</v>
      </c>
      <c r="N93" s="11"/>
      <c r="O93" s="24">
        <f t="shared" si="37"/>
        <v>9.7683131165982651E-2</v>
      </c>
      <c r="P93" s="24">
        <f t="shared" si="38"/>
        <v>9.9556449851987291E-2</v>
      </c>
      <c r="Q93" s="24">
        <f t="shared" si="39"/>
        <v>0.10274999863256715</v>
      </c>
      <c r="S93" s="34"/>
      <c r="T93" s="34"/>
      <c r="U93" s="34"/>
    </row>
    <row r="94" spans="1:21">
      <c r="A94" s="3" t="s">
        <v>469</v>
      </c>
      <c r="B94" s="427" t="s">
        <v>470</v>
      </c>
      <c r="C94" s="144">
        <v>3.76</v>
      </c>
      <c r="D94" s="144">
        <v>80.0277777777778</v>
      </c>
      <c r="E94" s="116">
        <v>4.6983686220062465E-2</v>
      </c>
      <c r="F94" s="116">
        <v>4.7552899330936871E-2</v>
      </c>
      <c r="G94" s="116">
        <v>0.03</v>
      </c>
      <c r="H94" s="116">
        <v>2.7400000000000001E-2</v>
      </c>
      <c r="I94" s="116">
        <v>3.5000000000000003E-2</v>
      </c>
      <c r="J94" s="11">
        <f t="shared" si="40"/>
        <v>3.0800000000000004E-2</v>
      </c>
      <c r="K94" s="11">
        <f t="shared" si="32"/>
        <v>7.502736272127733E-2</v>
      </c>
      <c r="L94" s="11">
        <f t="shared" si="35"/>
        <v>7.8352899330936879E-2</v>
      </c>
      <c r="M94" s="11">
        <f t="shared" si="36"/>
        <v>8.2805900728913556E-2</v>
      </c>
      <c r="N94" s="11"/>
      <c r="O94" s="24">
        <f t="shared" si="37"/>
        <v>7.502736272127733E-2</v>
      </c>
      <c r="P94" s="24">
        <f t="shared" si="38"/>
        <v>7.8352899330936879E-2</v>
      </c>
      <c r="Q94" s="24">
        <f t="shared" si="39"/>
        <v>8.2805900728913556E-2</v>
      </c>
      <c r="S94" s="34"/>
      <c r="T94" s="34"/>
      <c r="U94" s="34"/>
    </row>
    <row r="95" spans="1:21">
      <c r="A95" s="3" t="s">
        <v>471</v>
      </c>
      <c r="B95" s="427" t="s">
        <v>472</v>
      </c>
      <c r="C95" s="144">
        <v>4.05</v>
      </c>
      <c r="D95" s="144">
        <v>111.82850000000005</v>
      </c>
      <c r="E95" s="116">
        <v>3.6216170296480756E-2</v>
      </c>
      <c r="F95" s="116">
        <v>3.6481475350694972E-2</v>
      </c>
      <c r="G95" s="116">
        <v>0.06</v>
      </c>
      <c r="H95" s="116">
        <v>5.9499999999999997E-2</v>
      </c>
      <c r="I95" s="116">
        <v>5.7000000000000002E-2</v>
      </c>
      <c r="J95" s="11">
        <f t="shared" si="40"/>
        <v>5.8833333333333328E-2</v>
      </c>
      <c r="K95" s="11">
        <f t="shared" si="32"/>
        <v>9.4248331149930448E-2</v>
      </c>
      <c r="L95" s="11">
        <f t="shared" si="35"/>
        <v>9.5314808684028307E-2</v>
      </c>
      <c r="M95" s="11">
        <f t="shared" si="36"/>
        <v>9.730265540537518E-2</v>
      </c>
      <c r="N95" s="11"/>
      <c r="O95" s="24">
        <f t="shared" si="37"/>
        <v>9.4248331149930448E-2</v>
      </c>
      <c r="P95" s="24">
        <f t="shared" si="38"/>
        <v>9.5314808684028307E-2</v>
      </c>
      <c r="Q95" s="24">
        <f t="shared" si="39"/>
        <v>9.730265540537518E-2</v>
      </c>
      <c r="S95" s="34"/>
      <c r="T95" s="34"/>
      <c r="U95" s="34"/>
    </row>
    <row r="96" spans="1:21">
      <c r="A96" s="3" t="s">
        <v>473</v>
      </c>
      <c r="B96" s="427" t="s">
        <v>474</v>
      </c>
      <c r="C96" s="144">
        <v>2.4</v>
      </c>
      <c r="D96" s="144">
        <v>60.161166666666681</v>
      </c>
      <c r="E96" s="116">
        <v>3.9892843390115985E-2</v>
      </c>
      <c r="F96" s="116">
        <v>3.7728599829006976E-2</v>
      </c>
      <c r="G96" s="116">
        <v>1.4999999999999999E-2</v>
      </c>
      <c r="H96" s="116">
        <v>3.7999999999999999E-2</v>
      </c>
      <c r="I96" s="116">
        <v>3.4000000000000002E-2</v>
      </c>
      <c r="J96" s="11">
        <f t="shared" si="40"/>
        <v>2.8999999999999998E-2</v>
      </c>
      <c r="K96" s="11">
        <f t="shared" si="32"/>
        <v>5.519203971554186E-2</v>
      </c>
      <c r="L96" s="11">
        <f t="shared" si="35"/>
        <v>6.6728599829006974E-2</v>
      </c>
      <c r="M96" s="11">
        <f t="shared" si="36"/>
        <v>7.8650807414528179E-2</v>
      </c>
      <c r="N96" s="11"/>
      <c r="O96" s="24" t="str">
        <f t="shared" si="37"/>
        <v/>
      </c>
      <c r="P96" s="24" t="str">
        <f t="shared" si="38"/>
        <v/>
      </c>
      <c r="Q96" s="24">
        <f t="shared" si="39"/>
        <v>7.8650807414528179E-2</v>
      </c>
      <c r="S96" s="34"/>
      <c r="T96" s="34"/>
      <c r="U96" s="34"/>
    </row>
    <row r="97" spans="1:21">
      <c r="A97" s="3" t="s">
        <v>475</v>
      </c>
      <c r="B97" s="427" t="s">
        <v>476</v>
      </c>
      <c r="C97" s="144">
        <v>4.18</v>
      </c>
      <c r="D97" s="144">
        <v>128.16822222222214</v>
      </c>
      <c r="E97" s="116">
        <v>3.2613388307380767E-2</v>
      </c>
      <c r="F97" s="116">
        <v>3.2352563082462239E-2</v>
      </c>
      <c r="G97" s="116">
        <v>0.1</v>
      </c>
      <c r="H97" s="116">
        <v>6.2700000000000006E-2</v>
      </c>
      <c r="I97" s="116">
        <v>7.3999999999999996E-2</v>
      </c>
      <c r="J97" s="11">
        <f t="shared" si="40"/>
        <v>7.8900000000000012E-2</v>
      </c>
      <c r="K97" s="11">
        <f t="shared" si="32"/>
        <v>9.6335818030817158E-2</v>
      </c>
      <c r="L97" s="11">
        <f t="shared" si="35"/>
        <v>0.11125256308246226</v>
      </c>
      <c r="M97" s="11">
        <f t="shared" si="36"/>
        <v>0.1342440577227498</v>
      </c>
      <c r="N97" s="11"/>
      <c r="O97" s="24">
        <f t="shared" si="37"/>
        <v>9.6335818030817158E-2</v>
      </c>
      <c r="P97" s="24">
        <f t="shared" si="38"/>
        <v>0.11125256308246226</v>
      </c>
      <c r="Q97" s="24">
        <f t="shared" si="39"/>
        <v>0.1342440577227498</v>
      </c>
      <c r="S97" s="34"/>
      <c r="T97" s="34"/>
      <c r="U97" s="34"/>
    </row>
    <row r="98" spans="1:21">
      <c r="A98" s="3" t="s">
        <v>477</v>
      </c>
      <c r="B98" s="427" t="s">
        <v>478</v>
      </c>
      <c r="C98" s="144">
        <v>2.56</v>
      </c>
      <c r="D98" s="144">
        <v>57.116000000000007</v>
      </c>
      <c r="E98" s="116">
        <v>4.4821065900973456E-2</v>
      </c>
      <c r="F98" s="116">
        <v>4.3983963093763075E-2</v>
      </c>
      <c r="G98" s="116">
        <v>0.03</v>
      </c>
      <c r="H98" s="116">
        <v>4.5499999999999999E-2</v>
      </c>
      <c r="I98" s="116">
        <v>0.04</v>
      </c>
      <c r="J98" s="11">
        <f t="shared" si="40"/>
        <v>3.85E-2</v>
      </c>
      <c r="K98" s="11">
        <f t="shared" si="32"/>
        <v>7.5493381889488051E-2</v>
      </c>
      <c r="L98" s="11">
        <f t="shared" si="35"/>
        <v>8.2483963093763074E-2</v>
      </c>
      <c r="M98" s="11">
        <f t="shared" si="36"/>
        <v>9.1340745150220601E-2</v>
      </c>
      <c r="N98" s="11"/>
      <c r="O98" s="24">
        <f t="shared" si="37"/>
        <v>7.5493381889488051E-2</v>
      </c>
      <c r="P98" s="24">
        <f t="shared" si="38"/>
        <v>8.2483963093763074E-2</v>
      </c>
      <c r="Q98" s="24">
        <f t="shared" si="39"/>
        <v>9.1340745150220601E-2</v>
      </c>
      <c r="S98" s="34"/>
      <c r="T98" s="34"/>
      <c r="U98" s="34"/>
    </row>
    <row r="99" spans="1:21">
      <c r="A99" s="3" t="s">
        <v>479</v>
      </c>
      <c r="B99" s="427" t="s">
        <v>480</v>
      </c>
      <c r="C99" s="144">
        <v>2.5299999999999998</v>
      </c>
      <c r="D99" s="144">
        <v>93.235166666666572</v>
      </c>
      <c r="E99" s="116">
        <v>2.713568378169184E-2</v>
      </c>
      <c r="F99" s="116">
        <v>2.8246223000028294E-2</v>
      </c>
      <c r="G99" s="116">
        <v>0.06</v>
      </c>
      <c r="H99" s="116">
        <v>5.9499999999999997E-2</v>
      </c>
      <c r="I99" s="116">
        <v>5.8999999999999997E-2</v>
      </c>
      <c r="J99" s="11">
        <f t="shared" si="40"/>
        <v>5.9499999999999997E-2</v>
      </c>
      <c r="K99" s="11">
        <f t="shared" si="32"/>
        <v>8.693618645325174E-2</v>
      </c>
      <c r="L99" s="11">
        <f t="shared" si="35"/>
        <v>8.7746223000028295E-2</v>
      </c>
      <c r="M99" s="11">
        <f t="shared" si="36"/>
        <v>8.7949754295142596E-2</v>
      </c>
      <c r="N99" s="11"/>
      <c r="O99" s="24">
        <f t="shared" si="37"/>
        <v>8.693618645325174E-2</v>
      </c>
      <c r="P99" s="24">
        <f t="shared" si="38"/>
        <v>8.7746223000028295E-2</v>
      </c>
      <c r="Q99" s="24">
        <f t="shared" si="39"/>
        <v>8.7949754295142596E-2</v>
      </c>
      <c r="S99" s="34"/>
      <c r="T99" s="34"/>
      <c r="U99" s="34"/>
    </row>
    <row r="100" spans="1:21" ht="13.5" thickBot="1">
      <c r="A100" s="431" t="s">
        <v>481</v>
      </c>
      <c r="B100" s="432" t="s">
        <v>482</v>
      </c>
      <c r="C100" s="433">
        <v>1.72</v>
      </c>
      <c r="D100" s="433">
        <v>65.626888888888885</v>
      </c>
      <c r="E100" s="434">
        <v>2.6208769440710281E-2</v>
      </c>
      <c r="F100" s="434">
        <v>2.7710558274566224E-2</v>
      </c>
      <c r="G100" s="434">
        <v>0.06</v>
      </c>
      <c r="H100" s="434">
        <v>5.8500000000000003E-2</v>
      </c>
      <c r="I100" s="434">
        <v>5.8000000000000003E-2</v>
      </c>
      <c r="J100" s="434">
        <f t="shared" si="40"/>
        <v>5.8833333333333328E-2</v>
      </c>
      <c r="K100" s="434">
        <f t="shared" si="32"/>
        <v>8.4968823754490885E-2</v>
      </c>
      <c r="L100" s="434">
        <f t="shared" si="35"/>
        <v>8.6543891607899548E-2</v>
      </c>
      <c r="M100" s="434">
        <f t="shared" si="36"/>
        <v>8.6995032523931592E-2</v>
      </c>
      <c r="N100" s="434"/>
      <c r="O100" s="434">
        <f t="shared" si="37"/>
        <v>8.4968823754490885E-2</v>
      </c>
      <c r="P100" s="434">
        <f t="shared" si="38"/>
        <v>8.6543891607899548E-2</v>
      </c>
      <c r="Q100" s="434">
        <f t="shared" si="39"/>
        <v>8.6995032523931592E-2</v>
      </c>
    </row>
    <row r="101" spans="1:21" ht="13.5" thickTop="1">
      <c r="A101" s="238" t="s">
        <v>99</v>
      </c>
      <c r="B101" s="239"/>
      <c r="C101" s="240"/>
      <c r="D101" s="240"/>
      <c r="E101" s="241">
        <f>AVERAGE(E85:E100)</f>
        <v>3.3814983078806947E-2</v>
      </c>
      <c r="F101" s="241">
        <f t="shared" ref="F101:M101" si="41">IFERROR(AVERAGE(F85, F86:F100),"")</f>
        <v>3.4262941788348891E-2</v>
      </c>
      <c r="G101" s="241">
        <f t="shared" si="41"/>
        <v>6.0292324954278331E-2</v>
      </c>
      <c r="H101" s="241">
        <f t="shared" si="41"/>
        <v>5.5593749999999997E-2</v>
      </c>
      <c r="I101" s="241">
        <f t="shared" si="41"/>
        <v>5.7062500000000016E-2</v>
      </c>
      <c r="J101" s="241">
        <f t="shared" si="41"/>
        <v>5.7649524984759441E-2</v>
      </c>
      <c r="K101" s="241">
        <f t="shared" si="41"/>
        <v>8.4393617555152484E-2</v>
      </c>
      <c r="L101" s="241">
        <f t="shared" si="41"/>
        <v>9.1912466773108339E-2</v>
      </c>
      <c r="M101" s="241">
        <f t="shared" si="41"/>
        <v>0.10169498715953709</v>
      </c>
      <c r="N101" s="241"/>
      <c r="O101" s="241">
        <f>IFERROR(AVERAGE(O85, O86:O100),"")</f>
        <v>9.0767545715892003E-2</v>
      </c>
      <c r="P101" s="241">
        <f t="shared" ref="P101" si="42">IFERROR(AVERAGE(P85, P86:P100),"")</f>
        <v>9.3591391236048427E-2</v>
      </c>
      <c r="Q101" s="241">
        <f t="shared" ref="Q101" si="43">IFERROR(AVERAGE(Q85, Q86:Q100),"")</f>
        <v>0.10169498715953709</v>
      </c>
    </row>
    <row r="102" spans="1:21" ht="13.5" thickBot="1">
      <c r="A102" s="236"/>
      <c r="B102" s="146"/>
      <c r="C102" s="21"/>
      <c r="D102" s="21"/>
      <c r="E102" s="237"/>
      <c r="F102" s="237"/>
      <c r="G102" s="237"/>
      <c r="H102" s="237"/>
      <c r="I102" s="237"/>
      <c r="J102" s="237"/>
      <c r="K102" s="237"/>
      <c r="L102" s="237"/>
      <c r="M102" s="237"/>
      <c r="N102" s="237"/>
      <c r="O102" s="237"/>
      <c r="P102" s="237"/>
      <c r="Q102" s="237"/>
    </row>
    <row r="103" spans="1:21">
      <c r="A103" s="7"/>
      <c r="B103" s="6"/>
      <c r="C103" s="6"/>
      <c r="D103" s="6"/>
      <c r="E103" s="6"/>
      <c r="F103" s="6"/>
      <c r="G103" s="20"/>
      <c r="H103" s="20"/>
      <c r="I103" s="20"/>
      <c r="J103" s="20"/>
      <c r="K103" s="20"/>
      <c r="L103" s="20"/>
      <c r="O103" s="20"/>
      <c r="P103" s="20"/>
      <c r="Q103" s="20"/>
    </row>
    <row r="104" spans="1:21">
      <c r="A104" s="23" t="s">
        <v>21</v>
      </c>
      <c r="B104" s="19"/>
      <c r="C104" s="4"/>
      <c r="D104" s="4"/>
      <c r="E104" s="3"/>
      <c r="F104" s="3"/>
      <c r="G104" s="3"/>
      <c r="H104" s="3"/>
      <c r="I104" s="3"/>
      <c r="J104" s="3"/>
      <c r="K104" s="3"/>
      <c r="L104" s="3"/>
      <c r="M104" s="3"/>
      <c r="N104" s="3"/>
      <c r="O104" s="12"/>
      <c r="P104" s="12"/>
    </row>
    <row r="105" spans="1:21">
      <c r="A105" s="4" t="s">
        <v>57</v>
      </c>
      <c r="B105" s="3"/>
      <c r="C105" s="4"/>
      <c r="D105" s="4"/>
      <c r="E105" s="3"/>
      <c r="F105" s="3"/>
      <c r="G105" s="3"/>
      <c r="H105" s="3"/>
      <c r="I105" s="3"/>
      <c r="J105" s="3"/>
      <c r="K105" s="3" t="s">
        <v>91</v>
      </c>
      <c r="N105" s="3"/>
    </row>
    <row r="106" spans="1:21">
      <c r="A106" s="4" t="s">
        <v>583</v>
      </c>
      <c r="B106" s="3"/>
      <c r="C106" s="4"/>
      <c r="D106" s="4"/>
      <c r="E106" s="3"/>
      <c r="F106" s="3"/>
      <c r="G106" s="3"/>
      <c r="H106" s="3"/>
      <c r="I106" s="3"/>
      <c r="J106" s="3"/>
      <c r="K106" s="3" t="s">
        <v>91</v>
      </c>
      <c r="N106" s="3"/>
    </row>
    <row r="107" spans="1:21">
      <c r="A107" s="4" t="s">
        <v>81</v>
      </c>
      <c r="B107" s="3"/>
      <c r="C107" s="4"/>
      <c r="D107" s="4"/>
      <c r="E107" s="3"/>
      <c r="F107" s="3"/>
      <c r="G107" s="3"/>
      <c r="H107" s="3"/>
      <c r="I107" s="3"/>
      <c r="J107" s="3"/>
      <c r="K107" s="3" t="s">
        <v>91</v>
      </c>
      <c r="N107" s="3"/>
    </row>
    <row r="108" spans="1:21">
      <c r="A108" s="4" t="s">
        <v>82</v>
      </c>
      <c r="B108" s="3"/>
      <c r="C108" s="4"/>
      <c r="D108" s="4"/>
      <c r="E108" s="3"/>
      <c r="F108" s="3"/>
      <c r="G108" s="3"/>
      <c r="H108" s="3"/>
      <c r="I108" s="3"/>
      <c r="J108" s="3"/>
      <c r="K108" s="3" t="s">
        <v>91</v>
      </c>
      <c r="N108" s="3"/>
    </row>
    <row r="109" spans="1:21">
      <c r="A109" s="4" t="s">
        <v>83</v>
      </c>
      <c r="B109" s="3"/>
      <c r="C109" s="4"/>
      <c r="D109" s="4"/>
      <c r="E109" s="3"/>
      <c r="F109" s="3"/>
      <c r="G109" s="3"/>
      <c r="H109" s="3"/>
      <c r="I109" s="3"/>
      <c r="J109" s="3"/>
      <c r="K109" s="3" t="s">
        <v>91</v>
      </c>
      <c r="N109" s="3"/>
    </row>
    <row r="110" spans="1:21">
      <c r="A110" s="4" t="s">
        <v>84</v>
      </c>
      <c r="B110" s="3"/>
      <c r="C110" s="4"/>
      <c r="D110" s="4"/>
      <c r="E110" s="3"/>
      <c r="F110" s="3"/>
      <c r="G110" s="3"/>
      <c r="H110" s="3"/>
      <c r="I110" s="3"/>
      <c r="J110" s="3"/>
      <c r="K110" s="3" t="s">
        <v>91</v>
      </c>
      <c r="N110" s="3"/>
    </row>
    <row r="111" spans="1:21">
      <c r="A111" s="4" t="s">
        <v>85</v>
      </c>
      <c r="B111" s="3"/>
      <c r="C111" s="4"/>
      <c r="D111" s="4"/>
      <c r="E111" s="3"/>
      <c r="F111" s="3"/>
      <c r="G111" s="3"/>
      <c r="H111" s="3"/>
      <c r="I111" s="3"/>
      <c r="J111" s="3"/>
      <c r="K111" s="3" t="s">
        <v>91</v>
      </c>
      <c r="N111" s="3"/>
    </row>
    <row r="112" spans="1:21">
      <c r="A112" s="9" t="s">
        <v>86</v>
      </c>
      <c r="B112" s="3"/>
      <c r="C112" s="4"/>
      <c r="D112" s="4"/>
      <c r="E112" s="3"/>
      <c r="F112" s="3"/>
      <c r="G112" s="3"/>
      <c r="H112" s="3"/>
      <c r="I112" s="3"/>
      <c r="J112" s="3"/>
      <c r="K112" s="3" t="s">
        <v>91</v>
      </c>
      <c r="N112" s="3"/>
    </row>
    <row r="113" spans="1:14">
      <c r="A113" s="4" t="s">
        <v>87</v>
      </c>
      <c r="J113" s="3"/>
      <c r="K113" s="3" t="s">
        <v>91</v>
      </c>
      <c r="N113" s="3"/>
    </row>
    <row r="114" spans="1:14">
      <c r="A114" s="4" t="s">
        <v>88</v>
      </c>
      <c r="B114" s="3"/>
      <c r="C114" s="4"/>
      <c r="D114" s="4"/>
      <c r="E114" s="3"/>
      <c r="F114" s="3"/>
      <c r="G114" s="3"/>
      <c r="H114" s="3"/>
      <c r="I114" s="3"/>
      <c r="J114" s="3"/>
      <c r="K114" s="3" t="s">
        <v>91</v>
      </c>
      <c r="N114" s="3"/>
    </row>
    <row r="115" spans="1:14">
      <c r="A115" s="4" t="s">
        <v>89</v>
      </c>
      <c r="B115" s="3"/>
      <c r="C115" s="4"/>
      <c r="D115" s="4"/>
      <c r="E115" s="3"/>
      <c r="F115" s="3"/>
      <c r="G115" s="3"/>
      <c r="H115" s="3"/>
      <c r="I115" s="3"/>
      <c r="J115" s="3"/>
      <c r="K115" s="3"/>
      <c r="L115" s="3"/>
      <c r="M115" s="3"/>
      <c r="N115" s="3"/>
    </row>
    <row r="116" spans="1:14" s="8" customFormat="1">
      <c r="A116" s="4" t="s">
        <v>90</v>
      </c>
    </row>
  </sheetData>
  <mergeCells count="9">
    <mergeCell ref="A80:Q80"/>
    <mergeCell ref="K81:M81"/>
    <mergeCell ref="O81:Q81"/>
    <mergeCell ref="A2:Q2"/>
    <mergeCell ref="K3:M3"/>
    <mergeCell ref="O3:Q3"/>
    <mergeCell ref="A41:Q41"/>
    <mergeCell ref="K42:M42"/>
    <mergeCell ref="O42:Q42"/>
  </mergeCells>
  <printOptions horizontalCentered="1"/>
  <pageMargins left="0.7" right="0.7" top="1.25" bottom="0.75" header="0.3" footer="0.3"/>
  <pageSetup scale="65" firstPageNumber="4" orientation="landscape" useFirstPageNumber="1" r:id="rId1"/>
  <headerFooter>
    <oddHeader>&amp;RPetitioner's Exhibit No.12
 Attachment AEB-2
Vectren South
Schedule 3 (Alternative Proxy Group)
Page &amp;P of 7</oddHeader>
  </headerFooter>
  <rowBreaks count="2" manualBreakCount="2">
    <brk id="39" max="15" man="1"/>
    <brk id="78" max="1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rgb="FF92D050"/>
  </sheetPr>
  <dimension ref="B3:E18"/>
  <sheetViews>
    <sheetView zoomScaleNormal="100" workbookViewId="0">
      <selection activeCell="G33" sqref="G33"/>
    </sheetView>
  </sheetViews>
  <sheetFormatPr defaultRowHeight="12.75"/>
  <cols>
    <col min="1" max="1" width="3.28515625" customWidth="1"/>
    <col min="2" max="2" width="18.140625" customWidth="1"/>
    <col min="3" max="3" width="10.7109375" customWidth="1"/>
    <col min="4" max="4" width="12.85546875" customWidth="1"/>
    <col min="5" max="5" width="11.28515625" customWidth="1"/>
    <col min="6" max="6" width="10.5703125" customWidth="1"/>
    <col min="7" max="7" width="12.7109375" customWidth="1"/>
  </cols>
  <sheetData>
    <row r="3" spans="2:5" ht="27.75" customHeight="1">
      <c r="B3" s="758" t="s">
        <v>252</v>
      </c>
      <c r="C3" s="758"/>
      <c r="D3" s="758"/>
      <c r="E3" s="758"/>
    </row>
    <row r="4" spans="2:5">
      <c r="B4" s="758"/>
      <c r="C4" s="758"/>
      <c r="D4" s="758"/>
      <c r="E4" s="758"/>
    </row>
    <row r="5" spans="2:5">
      <c r="B5" s="329"/>
      <c r="C5" s="330"/>
    </row>
    <row r="6" spans="2:5" ht="13.5" thickBot="1">
      <c r="B6" s="759" t="s">
        <v>24</v>
      </c>
      <c r="C6" s="759"/>
      <c r="D6" s="326" t="s">
        <v>25</v>
      </c>
      <c r="E6" s="326" t="s">
        <v>26</v>
      </c>
    </row>
    <row r="7" spans="2:5" ht="51">
      <c r="B7" s="760" t="s">
        <v>253</v>
      </c>
      <c r="C7" s="760"/>
      <c r="D7" s="362" t="s">
        <v>254</v>
      </c>
      <c r="E7" s="362" t="s">
        <v>255</v>
      </c>
    </row>
    <row r="8" spans="2:5">
      <c r="B8" s="363">
        <v>2017</v>
      </c>
      <c r="C8">
        <v>-1.94</v>
      </c>
      <c r="D8" s="331"/>
      <c r="E8" s="331"/>
    </row>
    <row r="9" spans="2:5">
      <c r="B9" s="363">
        <v>2018</v>
      </c>
      <c r="C9">
        <v>2.33</v>
      </c>
    </row>
    <row r="10" spans="2:5">
      <c r="B10" s="366">
        <v>2019</v>
      </c>
      <c r="C10" s="332">
        <v>2.19</v>
      </c>
      <c r="D10" s="332"/>
      <c r="E10" s="332"/>
    </row>
    <row r="11" spans="2:5" ht="15.75" customHeight="1">
      <c r="B11" s="364" t="s">
        <v>256</v>
      </c>
      <c r="C11">
        <f>AVERAGE(C8:C10)</f>
        <v>0.86</v>
      </c>
      <c r="D11" s="333">
        <v>3.2</v>
      </c>
      <c r="E11" s="568">
        <f>(D11/C11)^(1/6)-1</f>
        <v>0.24482582009367881</v>
      </c>
    </row>
    <row r="12" spans="2:5" ht="16.149999999999999" customHeight="1" thickBot="1">
      <c r="B12" s="365" t="s">
        <v>257</v>
      </c>
      <c r="C12" s="334">
        <f>AVERAGE(C9:C10)</f>
        <v>2.2599999999999998</v>
      </c>
      <c r="D12" s="335">
        <v>3.2</v>
      </c>
      <c r="E12" s="367">
        <f>(D12/C12)^(1/6)-1</f>
        <v>5.9677199268453274E-2</v>
      </c>
    </row>
    <row r="15" spans="2:5">
      <c r="B15" s="287" t="s">
        <v>21</v>
      </c>
    </row>
    <row r="16" spans="2:5">
      <c r="B16" s="3" t="s">
        <v>595</v>
      </c>
    </row>
    <row r="17" spans="2:2">
      <c r="B17" s="3" t="s">
        <v>596</v>
      </c>
    </row>
    <row r="18" spans="2:2">
      <c r="B18" s="3" t="s">
        <v>258</v>
      </c>
    </row>
  </sheetData>
  <mergeCells count="3">
    <mergeCell ref="B3:E4"/>
    <mergeCell ref="B6:C6"/>
    <mergeCell ref="B7:C7"/>
  </mergeCells>
  <printOptions horizontalCentered="1"/>
  <pageMargins left="0.7" right="0.7" top="1.25" bottom="0.75" header="0.3" footer="0.3"/>
  <pageSetup scale="66" firstPageNumber="7" orientation="landscape" useFirstPageNumber="1" r:id="rId1"/>
  <headerFooter>
    <oddHeader>&amp;RPetitioner's Exhibit No.12
 Attachment AEB-2
Vectren South
Schedule 3 (Northwest Natural Earnings Calculations)
Page &amp;P of 7</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
    <tabColor rgb="FF92D050"/>
  </sheetPr>
  <dimension ref="A1:K139"/>
  <sheetViews>
    <sheetView topLeftCell="A76" zoomScaleNormal="100" workbookViewId="0">
      <selection activeCell="E27" sqref="E27"/>
    </sheetView>
  </sheetViews>
  <sheetFormatPr defaultColWidth="9.140625" defaultRowHeight="12.75"/>
  <cols>
    <col min="1" max="1" width="6.7109375" style="2" customWidth="1"/>
    <col min="2" max="2" width="31.28515625" style="2" customWidth="1"/>
    <col min="3" max="3" width="7.5703125" style="2" customWidth="1"/>
    <col min="4" max="4" width="18.42578125" style="2" customWidth="1"/>
    <col min="5" max="5" width="7.85546875" style="2" customWidth="1"/>
    <col min="6" max="6" width="10" style="2" customWidth="1"/>
    <col min="7" max="8" width="10.5703125" style="2" customWidth="1"/>
    <col min="9" max="16384" width="9.140625" style="2"/>
  </cols>
  <sheetData>
    <row r="1" spans="1:11">
      <c r="A1" s="49"/>
      <c r="B1" s="49"/>
      <c r="C1" s="49"/>
      <c r="D1" s="49"/>
      <c r="E1" s="49"/>
      <c r="F1" s="49"/>
      <c r="G1" s="49"/>
      <c r="H1" s="49"/>
    </row>
    <row r="2" spans="1:11" ht="13.15" customHeight="1">
      <c r="A2" s="49"/>
      <c r="B2" s="762" t="s">
        <v>92</v>
      </c>
      <c r="C2" s="762"/>
      <c r="D2" s="762"/>
      <c r="E2" s="762"/>
      <c r="F2" s="762"/>
      <c r="G2" s="762"/>
      <c r="H2" s="762"/>
      <c r="I2" s="762"/>
    </row>
    <row r="3" spans="1:11">
      <c r="A3" s="49"/>
      <c r="B3" s="49"/>
      <c r="C3" s="49"/>
      <c r="D3" s="49"/>
      <c r="E3" s="49"/>
      <c r="F3" s="49"/>
      <c r="G3" s="49"/>
      <c r="H3" s="49"/>
    </row>
    <row r="4" spans="1:11" ht="13.5" thickBot="1">
      <c r="A4" s="49"/>
      <c r="B4" s="49"/>
      <c r="C4" s="49"/>
      <c r="D4" s="50" t="s">
        <v>24</v>
      </c>
      <c r="E4" s="50" t="s">
        <v>25</v>
      </c>
      <c r="F4" s="50" t="s">
        <v>26</v>
      </c>
      <c r="G4" s="50" t="s">
        <v>27</v>
      </c>
      <c r="H4" s="50" t="s">
        <v>28</v>
      </c>
      <c r="I4" s="123" t="s">
        <v>29</v>
      </c>
    </row>
    <row r="5" spans="1:11" ht="51">
      <c r="A5" s="49"/>
      <c r="B5" s="35" t="s">
        <v>30</v>
      </c>
      <c r="C5" s="35" t="s">
        <v>31</v>
      </c>
      <c r="D5" s="105" t="s">
        <v>93</v>
      </c>
      <c r="E5" s="105" t="s">
        <v>94</v>
      </c>
      <c r="F5" s="105" t="s">
        <v>95</v>
      </c>
      <c r="G5" s="105" t="s">
        <v>96</v>
      </c>
      <c r="H5" s="51" t="s">
        <v>97</v>
      </c>
      <c r="I5" s="51" t="s">
        <v>98</v>
      </c>
    </row>
    <row r="6" spans="1:11">
      <c r="A6" s="26"/>
      <c r="B6" s="27" t="str">
        <f>'Schedule-2 Gas Proxy Selection'!B6</f>
        <v>Atmos Energy Corporation</v>
      </c>
      <c r="C6" s="301" t="str">
        <f>'Schedule-2 Gas Proxy Selection'!C6</f>
        <v>ATO</v>
      </c>
      <c r="D6" s="40">
        <v>1.4230000000000003E-2</v>
      </c>
      <c r="E6" s="58">
        <v>0.8</v>
      </c>
      <c r="F6" s="57">
        <f>'Schedule-4 CAPM 2'!$C$8</f>
        <v>0.14124370069949246</v>
      </c>
      <c r="G6" s="59">
        <f>F6-D6</f>
        <v>0.12701370069949247</v>
      </c>
      <c r="H6" s="100">
        <f>G6*E6+D6</f>
        <v>0.11584096055959399</v>
      </c>
      <c r="I6" s="100">
        <f>D6+(0.25*G6)+(0.75*E6*G6)</f>
        <v>0.12219164559456862</v>
      </c>
      <c r="K6" s="234"/>
    </row>
    <row r="7" spans="1:11">
      <c r="A7" s="26"/>
      <c r="B7" s="6" t="s">
        <v>79</v>
      </c>
      <c r="C7" s="5" t="s">
        <v>80</v>
      </c>
      <c r="D7" s="40">
        <v>1.4230000000000003E-2</v>
      </c>
      <c r="E7" s="58">
        <v>0.9</v>
      </c>
      <c r="F7" s="57">
        <f>'Schedule-4 CAPM 2'!$C$8</f>
        <v>0.14124370069949246</v>
      </c>
      <c r="G7" s="59">
        <f t="shared" ref="G7:G12" si="0">F7-D7</f>
        <v>0.12701370069949247</v>
      </c>
      <c r="H7" s="60">
        <f t="shared" ref="H7:H12" si="1">G7*E7+D7</f>
        <v>0.12854233062954323</v>
      </c>
      <c r="I7" s="100">
        <f t="shared" ref="I7:I12" si="2">D7+(0.25*G7)+(0.75*E7*G7)</f>
        <v>0.13171767314703053</v>
      </c>
      <c r="K7" s="234"/>
    </row>
    <row r="8" spans="1:11">
      <c r="A8" s="26"/>
      <c r="B8" s="27" t="str">
        <f>'Schedule-2 Gas Proxy Selection'!B7</f>
        <v>Northwest Natural Gas Company</v>
      </c>
      <c r="C8" s="301" t="str">
        <f>'Schedule-2 Gas Proxy Selection'!C7</f>
        <v>NWN</v>
      </c>
      <c r="D8" s="40">
        <v>1.4230000000000003E-2</v>
      </c>
      <c r="E8" s="58">
        <v>0.8</v>
      </c>
      <c r="F8" s="57">
        <f>'Schedule-4 CAPM 2'!$C$8</f>
        <v>0.14124370069949246</v>
      </c>
      <c r="G8" s="59">
        <f t="shared" si="0"/>
        <v>0.12701370069949247</v>
      </c>
      <c r="H8" s="60">
        <f t="shared" si="1"/>
        <v>0.11584096055959399</v>
      </c>
      <c r="I8" s="100">
        <f t="shared" si="2"/>
        <v>0.12219164559456862</v>
      </c>
      <c r="K8" s="234"/>
    </row>
    <row r="9" spans="1:11">
      <c r="A9" s="26"/>
      <c r="B9" s="27" t="str">
        <f>'Schedule-2 Gas Proxy Selection'!B8</f>
        <v>ONE Gas Inc.</v>
      </c>
      <c r="C9" s="301" t="str">
        <f>'Schedule-2 Gas Proxy Selection'!C8</f>
        <v>OGS</v>
      </c>
      <c r="D9" s="40">
        <v>1.4230000000000003E-2</v>
      </c>
      <c r="E9" s="58">
        <v>0.8</v>
      </c>
      <c r="F9" s="57">
        <f>'Schedule-4 CAPM 2'!$C$8</f>
        <v>0.14124370069949246</v>
      </c>
      <c r="G9" s="59">
        <f t="shared" si="0"/>
        <v>0.12701370069949247</v>
      </c>
      <c r="H9" s="60">
        <f>G9*E9+D9</f>
        <v>0.11584096055959399</v>
      </c>
      <c r="I9" s="100">
        <f t="shared" si="2"/>
        <v>0.12219164559456862</v>
      </c>
      <c r="K9" s="234"/>
    </row>
    <row r="10" spans="1:11">
      <c r="A10" s="26"/>
      <c r="B10" s="27" t="str">
        <f>'Schedule-2 Gas Proxy Selection'!B9</f>
        <v>South Jersey Industries, Inc.</v>
      </c>
      <c r="C10" s="301" t="str">
        <f>'Schedule-2 Gas Proxy Selection'!C9</f>
        <v>SJI</v>
      </c>
      <c r="D10" s="40">
        <v>1.4230000000000003E-2</v>
      </c>
      <c r="E10" s="58">
        <v>1</v>
      </c>
      <c r="F10" s="57">
        <f>'Schedule-4 CAPM 2'!$C$8</f>
        <v>0.14124370069949246</v>
      </c>
      <c r="G10" s="59">
        <f t="shared" si="0"/>
        <v>0.12701370069949247</v>
      </c>
      <c r="H10" s="60">
        <f t="shared" si="1"/>
        <v>0.14124370069949246</v>
      </c>
      <c r="I10" s="100">
        <f t="shared" si="2"/>
        <v>0.14124370069949249</v>
      </c>
      <c r="K10" s="234"/>
    </row>
    <row r="11" spans="1:11">
      <c r="A11" s="26"/>
      <c r="B11" s="27" t="str">
        <f>'Schedule-2 Gas Proxy Selection'!B10</f>
        <v>Southwest Gas Corporation</v>
      </c>
      <c r="C11" s="301" t="str">
        <f>'Schedule-2 Gas Proxy Selection'!C10</f>
        <v>SWX</v>
      </c>
      <c r="D11" s="40">
        <v>1.4230000000000003E-2</v>
      </c>
      <c r="E11" s="58">
        <v>0.9</v>
      </c>
      <c r="F11" s="57">
        <f>'Schedule-4 CAPM 2'!$C$8</f>
        <v>0.14124370069949246</v>
      </c>
      <c r="G11" s="59">
        <f>F11-D11</f>
        <v>0.12701370069949247</v>
      </c>
      <c r="H11" s="60">
        <f t="shared" si="1"/>
        <v>0.12854233062954323</v>
      </c>
      <c r="I11" s="100">
        <f t="shared" si="2"/>
        <v>0.13171767314703053</v>
      </c>
      <c r="K11" s="234"/>
    </row>
    <row r="12" spans="1:11">
      <c r="A12" s="26"/>
      <c r="B12" s="61" t="str">
        <f>'Schedule-2 Gas Proxy Selection'!B11</f>
        <v>Spire, Inc.</v>
      </c>
      <c r="C12" s="98" t="str">
        <f>'Schedule-2 Gas Proxy Selection'!C11</f>
        <v>SR</v>
      </c>
      <c r="D12" s="43">
        <v>1.4230000000000003E-2</v>
      </c>
      <c r="E12" s="55">
        <v>0.8</v>
      </c>
      <c r="F12" s="62">
        <f>'Schedule-4 CAPM 2'!$C$8</f>
        <v>0.14124370069949246</v>
      </c>
      <c r="G12" s="63">
        <f t="shared" si="0"/>
        <v>0.12701370069949247</v>
      </c>
      <c r="H12" s="56">
        <f t="shared" si="1"/>
        <v>0.11584096055959399</v>
      </c>
      <c r="I12" s="122">
        <f t="shared" si="2"/>
        <v>0.12219164559456862</v>
      </c>
      <c r="K12" s="234"/>
    </row>
    <row r="13" spans="1:11">
      <c r="A13" s="49"/>
      <c r="B13" s="299" t="s">
        <v>99</v>
      </c>
      <c r="C13" s="299"/>
      <c r="D13" s="299"/>
      <c r="E13" s="299"/>
      <c r="F13" s="57"/>
      <c r="G13" s="57"/>
      <c r="H13" s="57">
        <f>AVERAGE(H6, H8:H12)</f>
        <v>0.12219164559456862</v>
      </c>
      <c r="I13" s="57">
        <f>AVERAGE(I6, I8:I12)</f>
        <v>0.12695465937079958</v>
      </c>
    </row>
    <row r="14" spans="1:11" ht="13.5" thickBot="1">
      <c r="A14" s="49"/>
      <c r="B14" s="242" t="s">
        <v>100</v>
      </c>
      <c r="C14" s="242"/>
      <c r="D14" s="242"/>
      <c r="E14" s="242"/>
      <c r="F14" s="243"/>
      <c r="G14" s="243"/>
      <c r="H14" s="243">
        <f>AVERAGE(H6:H12)</f>
        <v>0.1230988863138507</v>
      </c>
      <c r="I14" s="243">
        <f>AVERAGE(I6:I12)</f>
        <v>0.12763508991026115</v>
      </c>
    </row>
    <row r="15" spans="1:11">
      <c r="A15" s="49"/>
      <c r="B15" s="52"/>
      <c r="C15" s="49"/>
      <c r="D15" s="49"/>
      <c r="E15" s="49"/>
      <c r="F15" s="53"/>
      <c r="G15" s="53"/>
      <c r="H15" s="53"/>
    </row>
    <row r="16" spans="1:11">
      <c r="A16" s="49"/>
      <c r="B16" s="54" t="s">
        <v>21</v>
      </c>
      <c r="C16" s="49"/>
      <c r="D16" s="49"/>
      <c r="E16" s="49"/>
      <c r="F16" s="49"/>
      <c r="G16" s="49"/>
      <c r="H16" s="49"/>
    </row>
    <row r="17" spans="1:9">
      <c r="A17" s="49"/>
      <c r="B17" s="26" t="s">
        <v>586</v>
      </c>
      <c r="C17" s="49"/>
      <c r="D17" s="49"/>
      <c r="E17" s="49"/>
      <c r="F17" s="49"/>
      <c r="G17" s="49"/>
      <c r="H17" s="49"/>
    </row>
    <row r="18" spans="1:9">
      <c r="A18" s="49"/>
      <c r="B18" s="111" t="s">
        <v>596</v>
      </c>
      <c r="C18" s="49"/>
      <c r="D18" s="49"/>
      <c r="E18" s="49"/>
      <c r="F18" s="49"/>
      <c r="G18" s="49"/>
      <c r="H18" s="49"/>
    </row>
    <row r="19" spans="1:9">
      <c r="A19" s="49"/>
      <c r="B19" s="111" t="s">
        <v>762</v>
      </c>
      <c r="C19" s="49"/>
      <c r="D19" s="49"/>
      <c r="E19" s="49"/>
      <c r="F19" s="49"/>
      <c r="G19" s="49"/>
      <c r="H19" s="49"/>
    </row>
    <row r="20" spans="1:9">
      <c r="A20" s="49"/>
      <c r="B20" s="49" t="s">
        <v>101</v>
      </c>
      <c r="C20" s="49"/>
      <c r="D20" s="49"/>
      <c r="E20" s="49"/>
      <c r="F20" s="49"/>
      <c r="G20" s="49"/>
      <c r="H20" s="49"/>
    </row>
    <row r="21" spans="1:9">
      <c r="A21" s="49"/>
      <c r="B21" s="49" t="s">
        <v>102</v>
      </c>
      <c r="C21" s="49"/>
      <c r="D21" s="49"/>
      <c r="E21" s="49"/>
      <c r="F21" s="49"/>
      <c r="G21" s="49"/>
      <c r="H21" s="49"/>
    </row>
    <row r="22" spans="1:9">
      <c r="A22" s="49"/>
      <c r="B22" s="49" t="s">
        <v>103</v>
      </c>
      <c r="C22" s="49"/>
      <c r="D22" s="49"/>
      <c r="E22" s="49"/>
      <c r="F22" s="49"/>
      <c r="G22" s="49"/>
      <c r="H22" s="49"/>
    </row>
    <row r="23" spans="1:9">
      <c r="A23" s="49"/>
      <c r="B23" s="49"/>
      <c r="C23" s="49"/>
      <c r="D23" s="49"/>
      <c r="E23" s="49"/>
      <c r="F23" s="49"/>
      <c r="G23" s="49"/>
      <c r="H23" s="49"/>
    </row>
    <row r="24" spans="1:9">
      <c r="A24" s="49"/>
      <c r="B24" s="49"/>
      <c r="C24" s="49"/>
      <c r="D24" s="49"/>
      <c r="E24" s="49"/>
      <c r="F24" s="49"/>
      <c r="G24" s="49"/>
      <c r="H24" s="49"/>
    </row>
    <row r="25" spans="1:9" ht="13.15" customHeight="1">
      <c r="A25" s="49"/>
      <c r="B25" s="762" t="s">
        <v>104</v>
      </c>
      <c r="C25" s="762"/>
      <c r="D25" s="762"/>
      <c r="E25" s="762"/>
      <c r="F25" s="762"/>
      <c r="G25" s="762"/>
      <c r="H25" s="762"/>
      <c r="I25" s="762"/>
    </row>
    <row r="26" spans="1:9">
      <c r="A26" s="49"/>
      <c r="B26" s="49"/>
      <c r="C26" s="49"/>
      <c r="D26" s="49"/>
      <c r="E26" s="49"/>
      <c r="F26" s="49"/>
      <c r="G26" s="49"/>
      <c r="H26" s="49"/>
    </row>
    <row r="27" spans="1:9" ht="13.5" thickBot="1">
      <c r="A27" s="49"/>
      <c r="B27" s="49"/>
      <c r="C27" s="49"/>
      <c r="D27" s="50" t="s">
        <v>24</v>
      </c>
      <c r="E27" s="50" t="s">
        <v>25</v>
      </c>
      <c r="F27" s="50" t="s">
        <v>26</v>
      </c>
      <c r="G27" s="50" t="s">
        <v>27</v>
      </c>
      <c r="H27" s="50" t="s">
        <v>28</v>
      </c>
      <c r="I27" s="123" t="s">
        <v>29</v>
      </c>
    </row>
    <row r="28" spans="1:9" ht="51">
      <c r="A28" s="49"/>
      <c r="B28" s="35" t="s">
        <v>30</v>
      </c>
      <c r="C28" s="35" t="s">
        <v>31</v>
      </c>
      <c r="D28" s="105" t="s">
        <v>603</v>
      </c>
      <c r="E28" s="105" t="s">
        <v>94</v>
      </c>
      <c r="F28" s="105" t="s">
        <v>95</v>
      </c>
      <c r="G28" s="105" t="s">
        <v>96</v>
      </c>
      <c r="H28" s="51" t="s">
        <v>97</v>
      </c>
      <c r="I28" s="51" t="s">
        <v>98</v>
      </c>
    </row>
    <row r="29" spans="1:9">
      <c r="A29" s="49"/>
      <c r="B29" s="246" t="str">
        <f>'Schedule-2 Gas Proxy Selection'!B6</f>
        <v>Atmos Energy Corporation</v>
      </c>
      <c r="C29" s="247" t="str">
        <f>'Schedule-2 Gas Proxy Selection'!C6</f>
        <v>ATO</v>
      </c>
      <c r="D29" s="109">
        <f>AVERAGE(1.6%, 1.6%, 1.7%, 1.8%, 1.9%)</f>
        <v>1.72E-2</v>
      </c>
      <c r="E29" s="248">
        <v>0.8</v>
      </c>
      <c r="F29" s="57">
        <f>'Schedule-4 CAPM 2'!$C$8</f>
        <v>0.14124370069949246</v>
      </c>
      <c r="G29" s="249">
        <f>F29-D29</f>
        <v>0.12404370069949247</v>
      </c>
      <c r="H29" s="250">
        <f>G29*E29+D29</f>
        <v>0.11643496055959399</v>
      </c>
      <c r="I29" s="100">
        <f>D29+(0.25*G29)+(0.75*E29*G29)</f>
        <v>0.12263714559456861</v>
      </c>
    </row>
    <row r="30" spans="1:9">
      <c r="A30" s="49"/>
      <c r="B30" s="6" t="s">
        <v>79</v>
      </c>
      <c r="C30" s="5" t="s">
        <v>80</v>
      </c>
      <c r="D30" s="109">
        <f>D29</f>
        <v>1.72E-2</v>
      </c>
      <c r="E30" s="58">
        <v>0.9</v>
      </c>
      <c r="F30" s="57">
        <f>'Schedule-4 CAPM 2'!$C$8</f>
        <v>0.14124370069949246</v>
      </c>
      <c r="G30" s="66">
        <f t="shared" ref="G30:G35" si="3">F30-D30</f>
        <v>0.12404370069949247</v>
      </c>
      <c r="H30" s="67">
        <f t="shared" ref="H30:H35" si="4">G30*E30+D30</f>
        <v>0.12883933062954323</v>
      </c>
      <c r="I30" s="100">
        <f t="shared" ref="I30:I35" si="5">D30+(0.25*G30)+(0.75*E30*G30)</f>
        <v>0.13194042314703053</v>
      </c>
    </row>
    <row r="31" spans="1:9">
      <c r="A31" s="49"/>
      <c r="B31" s="64" t="str">
        <f>'Schedule-2 Gas Proxy Selection'!B7</f>
        <v>Northwest Natural Gas Company</v>
      </c>
      <c r="C31" s="101" t="str">
        <f>'Schedule-2 Gas Proxy Selection'!C7</f>
        <v>NWN</v>
      </c>
      <c r="D31" s="109">
        <f t="shared" ref="D31:D35" si="6">D30</f>
        <v>1.72E-2</v>
      </c>
      <c r="E31" s="58">
        <v>0.8</v>
      </c>
      <c r="F31" s="57">
        <f>'Schedule-4 CAPM 2'!$C$8</f>
        <v>0.14124370069949246</v>
      </c>
      <c r="G31" s="66">
        <f t="shared" si="3"/>
        <v>0.12404370069949247</v>
      </c>
      <c r="H31" s="67">
        <f t="shared" si="4"/>
        <v>0.11643496055959399</v>
      </c>
      <c r="I31" s="100">
        <f t="shared" si="5"/>
        <v>0.12263714559456861</v>
      </c>
    </row>
    <row r="32" spans="1:9">
      <c r="A32" s="49"/>
      <c r="B32" s="64" t="str">
        <f>'Schedule-2 Gas Proxy Selection'!B8</f>
        <v>ONE Gas Inc.</v>
      </c>
      <c r="C32" s="101" t="str">
        <f>'Schedule-2 Gas Proxy Selection'!C8</f>
        <v>OGS</v>
      </c>
      <c r="D32" s="109">
        <f t="shared" si="6"/>
        <v>1.72E-2</v>
      </c>
      <c r="E32" s="58">
        <v>0.8</v>
      </c>
      <c r="F32" s="57">
        <f>'Schedule-4 CAPM 2'!$C$8</f>
        <v>0.14124370069949246</v>
      </c>
      <c r="G32" s="66">
        <f t="shared" si="3"/>
        <v>0.12404370069949247</v>
      </c>
      <c r="H32" s="67">
        <f t="shared" si="4"/>
        <v>0.11643496055959399</v>
      </c>
      <c r="I32" s="100">
        <f t="shared" si="5"/>
        <v>0.12263714559456861</v>
      </c>
    </row>
    <row r="33" spans="1:9">
      <c r="A33" s="49"/>
      <c r="B33" s="64" t="str">
        <f>'Schedule-2 Gas Proxy Selection'!B9</f>
        <v>South Jersey Industries, Inc.</v>
      </c>
      <c r="C33" s="101" t="str">
        <f>'Schedule-2 Gas Proxy Selection'!C9</f>
        <v>SJI</v>
      </c>
      <c r="D33" s="109">
        <f t="shared" si="6"/>
        <v>1.72E-2</v>
      </c>
      <c r="E33" s="58">
        <v>1</v>
      </c>
      <c r="F33" s="57">
        <f>'Schedule-4 CAPM 2'!$C$8</f>
        <v>0.14124370069949246</v>
      </c>
      <c r="G33" s="66">
        <f t="shared" si="3"/>
        <v>0.12404370069949247</v>
      </c>
      <c r="H33" s="67">
        <f t="shared" si="4"/>
        <v>0.14124370069949246</v>
      </c>
      <c r="I33" s="100">
        <f t="shared" si="5"/>
        <v>0.14124370069949249</v>
      </c>
    </row>
    <row r="34" spans="1:9">
      <c r="A34" s="49"/>
      <c r="B34" s="64" t="str">
        <f>'Schedule-2 Gas Proxy Selection'!B10</f>
        <v>Southwest Gas Corporation</v>
      </c>
      <c r="C34" s="101" t="str">
        <f>'Schedule-2 Gas Proxy Selection'!C10</f>
        <v>SWX</v>
      </c>
      <c r="D34" s="109">
        <f t="shared" si="6"/>
        <v>1.72E-2</v>
      </c>
      <c r="E34" s="58">
        <v>0.9</v>
      </c>
      <c r="F34" s="57">
        <f>'Schedule-4 CAPM 2'!$C$8</f>
        <v>0.14124370069949246</v>
      </c>
      <c r="G34" s="66">
        <f t="shared" si="3"/>
        <v>0.12404370069949247</v>
      </c>
      <c r="H34" s="67">
        <f t="shared" si="4"/>
        <v>0.12883933062954323</v>
      </c>
      <c r="I34" s="100">
        <f t="shared" si="5"/>
        <v>0.13194042314703053</v>
      </c>
    </row>
    <row r="35" spans="1:9">
      <c r="A35" s="49"/>
      <c r="B35" s="68" t="str">
        <f>'Schedule-2 Gas Proxy Selection'!B11</f>
        <v>Spire, Inc.</v>
      </c>
      <c r="C35" s="102" t="str">
        <f>'Schedule-2 Gas Proxy Selection'!C11</f>
        <v>SR</v>
      </c>
      <c r="D35" s="112">
        <f t="shared" si="6"/>
        <v>1.72E-2</v>
      </c>
      <c r="E35" s="55">
        <v>0.8</v>
      </c>
      <c r="F35" s="62">
        <f>'Schedule-4 CAPM 2'!$C$8</f>
        <v>0.14124370069949246</v>
      </c>
      <c r="G35" s="69">
        <f t="shared" si="3"/>
        <v>0.12404370069949247</v>
      </c>
      <c r="H35" s="70">
        <f t="shared" si="4"/>
        <v>0.11643496055959399</v>
      </c>
      <c r="I35" s="122">
        <f t="shared" si="5"/>
        <v>0.12263714559456861</v>
      </c>
    </row>
    <row r="36" spans="1:9">
      <c r="A36" s="49"/>
      <c r="B36" s="299" t="s">
        <v>99</v>
      </c>
      <c r="C36" s="299"/>
      <c r="D36" s="299"/>
      <c r="E36" s="299"/>
      <c r="F36" s="57"/>
      <c r="G36" s="57"/>
      <c r="H36" s="57">
        <f>AVERAGE(H29, H31:H35)</f>
        <v>0.12263714559456861</v>
      </c>
      <c r="I36" s="57">
        <f>AVERAGE(I29, I31:I35)</f>
        <v>0.12728878437079957</v>
      </c>
    </row>
    <row r="37" spans="1:9" ht="13.5" thickBot="1">
      <c r="A37" s="49"/>
      <c r="B37" s="242" t="s">
        <v>100</v>
      </c>
      <c r="C37" s="242"/>
      <c r="D37" s="242"/>
      <c r="E37" s="242"/>
      <c r="F37" s="243"/>
      <c r="G37" s="243"/>
      <c r="H37" s="243">
        <f>AVERAGE(H29:H35)</f>
        <v>0.12352317202813641</v>
      </c>
      <c r="I37" s="243">
        <f>AVERAGE(I29:I35)</f>
        <v>0.12795330419597542</v>
      </c>
    </row>
    <row r="38" spans="1:9">
      <c r="A38" s="49"/>
      <c r="B38" s="52"/>
      <c r="C38" s="49"/>
      <c r="D38" s="49"/>
      <c r="E38" s="49"/>
      <c r="F38" s="53"/>
      <c r="G38" s="53"/>
      <c r="H38" s="53"/>
    </row>
    <row r="39" spans="1:9">
      <c r="A39" s="49"/>
      <c r="B39" s="54" t="s">
        <v>21</v>
      </c>
      <c r="C39" s="49"/>
      <c r="D39" s="49"/>
      <c r="E39" s="49"/>
      <c r="F39" s="49"/>
      <c r="G39" s="49"/>
      <c r="H39" s="49"/>
    </row>
    <row r="40" spans="1:9">
      <c r="A40" s="49"/>
      <c r="B40" s="111" t="s">
        <v>604</v>
      </c>
      <c r="C40" s="49"/>
      <c r="D40" s="49"/>
      <c r="E40" s="49"/>
      <c r="F40" s="49"/>
      <c r="G40" s="49"/>
      <c r="H40" s="49"/>
    </row>
    <row r="41" spans="1:9">
      <c r="A41" s="49"/>
      <c r="B41" s="111" t="s">
        <v>596</v>
      </c>
      <c r="C41" s="49"/>
      <c r="D41" s="49"/>
      <c r="E41" s="49"/>
      <c r="F41" s="49"/>
      <c r="G41" s="49"/>
      <c r="H41" s="49"/>
    </row>
    <row r="42" spans="1:9">
      <c r="A42" s="49"/>
      <c r="B42" s="99" t="str">
        <f>B19</f>
        <v>[3] Source: Schedule-4, page 13</v>
      </c>
      <c r="C42" s="49"/>
      <c r="D42" s="49"/>
      <c r="E42" s="49"/>
      <c r="F42" s="49"/>
      <c r="G42" s="49"/>
      <c r="H42" s="49"/>
    </row>
    <row r="43" spans="1:9">
      <c r="A43" s="49"/>
      <c r="B43" s="49" t="s">
        <v>101</v>
      </c>
      <c r="C43" s="49"/>
      <c r="D43" s="49"/>
      <c r="E43" s="49"/>
      <c r="F43" s="49"/>
      <c r="G43" s="49"/>
      <c r="H43" s="49"/>
    </row>
    <row r="44" spans="1:9">
      <c r="A44" s="49"/>
      <c r="B44" s="49" t="s">
        <v>102</v>
      </c>
      <c r="C44" s="49"/>
      <c r="D44" s="49"/>
      <c r="E44" s="49"/>
      <c r="F44" s="49"/>
      <c r="G44" s="49"/>
      <c r="H44" s="49"/>
    </row>
    <row r="45" spans="1:9">
      <c r="A45" s="49"/>
      <c r="B45" s="49" t="s">
        <v>103</v>
      </c>
      <c r="C45" s="49"/>
      <c r="D45" s="49"/>
      <c r="E45" s="49"/>
      <c r="F45" s="49"/>
      <c r="G45" s="49"/>
      <c r="H45" s="49"/>
    </row>
    <row r="46" spans="1:9">
      <c r="A46" s="49"/>
      <c r="B46" s="49"/>
      <c r="C46" s="49"/>
      <c r="D46" s="49"/>
      <c r="E46" s="49"/>
      <c r="F46" s="49"/>
      <c r="G46" s="49"/>
      <c r="H46" s="49"/>
    </row>
    <row r="47" spans="1:9">
      <c r="A47" s="49"/>
      <c r="B47" s="49"/>
      <c r="C47" s="49"/>
      <c r="D47" s="49"/>
      <c r="E47" s="49"/>
      <c r="F47" s="49"/>
      <c r="G47" s="49"/>
      <c r="H47" s="49"/>
    </row>
    <row r="48" spans="1:9" ht="13.15" customHeight="1">
      <c r="A48" s="49"/>
      <c r="B48" s="762" t="s">
        <v>105</v>
      </c>
      <c r="C48" s="762"/>
      <c r="D48" s="762"/>
      <c r="E48" s="762"/>
      <c r="F48" s="762"/>
      <c r="G48" s="762"/>
      <c r="H48" s="762"/>
      <c r="I48" s="762"/>
    </row>
    <row r="49" spans="1:9">
      <c r="A49" s="49"/>
      <c r="B49" s="49"/>
      <c r="C49" s="49"/>
      <c r="D49" s="49"/>
      <c r="E49" s="49"/>
      <c r="F49" s="49"/>
      <c r="G49" s="49"/>
      <c r="H49" s="49"/>
    </row>
    <row r="50" spans="1:9" ht="13.5" thickBot="1">
      <c r="A50" s="49"/>
      <c r="B50" s="49"/>
      <c r="C50" s="49"/>
      <c r="D50" s="50" t="s">
        <v>24</v>
      </c>
      <c r="E50" s="50" t="s">
        <v>25</v>
      </c>
      <c r="F50" s="50" t="s">
        <v>26</v>
      </c>
      <c r="G50" s="50" t="s">
        <v>27</v>
      </c>
      <c r="H50" s="50" t="s">
        <v>28</v>
      </c>
      <c r="I50" s="123" t="s">
        <v>29</v>
      </c>
    </row>
    <row r="51" spans="1:9" ht="38.25">
      <c r="A51" s="49"/>
      <c r="B51" s="35" t="s">
        <v>30</v>
      </c>
      <c r="C51" s="35" t="s">
        <v>31</v>
      </c>
      <c r="D51" s="292" t="s">
        <v>106</v>
      </c>
      <c r="E51" s="105" t="s">
        <v>94</v>
      </c>
      <c r="F51" s="105" t="s">
        <v>95</v>
      </c>
      <c r="G51" s="105" t="s">
        <v>96</v>
      </c>
      <c r="H51" s="51" t="s">
        <v>97</v>
      </c>
      <c r="I51" s="51" t="s">
        <v>98</v>
      </c>
    </row>
    <row r="52" spans="1:9">
      <c r="A52" s="49"/>
      <c r="B52" s="246" t="str">
        <f>'Schedule-2 Gas Proxy Selection'!B6</f>
        <v>Atmos Energy Corporation</v>
      </c>
      <c r="C52" s="247" t="str">
        <f>'Schedule-2 Gas Proxy Selection'!C6</f>
        <v>ATO</v>
      </c>
      <c r="D52" s="251">
        <v>0.03</v>
      </c>
      <c r="E52" s="58">
        <v>0.8</v>
      </c>
      <c r="F52" s="57">
        <f>'Schedule-4 CAPM 2'!$C$8</f>
        <v>0.14124370069949246</v>
      </c>
      <c r="G52" s="249">
        <f>F52-D52</f>
        <v>0.11124370069949246</v>
      </c>
      <c r="H52" s="250">
        <f>G52*E52+D52</f>
        <v>0.11899496055959398</v>
      </c>
      <c r="I52" s="100">
        <f>D52+(0.25*G52)+(0.75*E52*G52)</f>
        <v>0.12455714559456861</v>
      </c>
    </row>
    <row r="53" spans="1:9">
      <c r="A53" s="49"/>
      <c r="B53" s="6" t="s">
        <v>79</v>
      </c>
      <c r="C53" s="5" t="s">
        <v>80</v>
      </c>
      <c r="D53" s="113">
        <v>0.03</v>
      </c>
      <c r="E53" s="58">
        <v>0.9</v>
      </c>
      <c r="F53" s="57">
        <f>'Schedule-4 CAPM 2'!$C$8</f>
        <v>0.14124370069949246</v>
      </c>
      <c r="G53" s="66">
        <f t="shared" ref="G53:G58" si="7">F53-D53</f>
        <v>0.11124370069949246</v>
      </c>
      <c r="H53" s="67">
        <f t="shared" ref="H53:H58" si="8">G53*E53+D53</f>
        <v>0.13011933062954323</v>
      </c>
      <c r="I53" s="100">
        <f t="shared" ref="I53:I58" si="9">D53+(0.25*G53)+(0.75*E53*G53)</f>
        <v>0.13290042314703054</v>
      </c>
    </row>
    <row r="54" spans="1:9">
      <c r="A54" s="49"/>
      <c r="B54" s="64" t="str">
        <f>'Schedule-2 Gas Proxy Selection'!B7</f>
        <v>Northwest Natural Gas Company</v>
      </c>
      <c r="C54" s="101" t="str">
        <f>'Schedule-2 Gas Proxy Selection'!C7</f>
        <v>NWN</v>
      </c>
      <c r="D54" s="113">
        <v>0.03</v>
      </c>
      <c r="E54" s="58">
        <v>0.8</v>
      </c>
      <c r="F54" s="57">
        <f>'Schedule-4 CAPM 2'!$C$8</f>
        <v>0.14124370069949246</v>
      </c>
      <c r="G54" s="66">
        <f t="shared" si="7"/>
        <v>0.11124370069949246</v>
      </c>
      <c r="H54" s="67">
        <f t="shared" si="8"/>
        <v>0.11899496055959398</v>
      </c>
      <c r="I54" s="100">
        <f t="shared" si="9"/>
        <v>0.12455714559456861</v>
      </c>
    </row>
    <row r="55" spans="1:9">
      <c r="A55" s="49"/>
      <c r="B55" s="64" t="str">
        <f>'Schedule-2 Gas Proxy Selection'!B8</f>
        <v>ONE Gas Inc.</v>
      </c>
      <c r="C55" s="101" t="str">
        <f>'Schedule-2 Gas Proxy Selection'!C8</f>
        <v>OGS</v>
      </c>
      <c r="D55" s="113">
        <v>0.03</v>
      </c>
      <c r="E55" s="58">
        <v>0.8</v>
      </c>
      <c r="F55" s="57">
        <f>'Schedule-4 CAPM 2'!$C$8</f>
        <v>0.14124370069949246</v>
      </c>
      <c r="G55" s="66">
        <f t="shared" si="7"/>
        <v>0.11124370069949246</v>
      </c>
      <c r="H55" s="67">
        <f t="shared" si="8"/>
        <v>0.11899496055959398</v>
      </c>
      <c r="I55" s="100">
        <f t="shared" si="9"/>
        <v>0.12455714559456861</v>
      </c>
    </row>
    <row r="56" spans="1:9">
      <c r="A56" s="49"/>
      <c r="B56" s="64" t="str">
        <f>'Schedule-2 Gas Proxy Selection'!B9</f>
        <v>South Jersey Industries, Inc.</v>
      </c>
      <c r="C56" s="101" t="str">
        <f>'Schedule-2 Gas Proxy Selection'!C9</f>
        <v>SJI</v>
      </c>
      <c r="D56" s="113">
        <v>0.03</v>
      </c>
      <c r="E56" s="58">
        <v>1</v>
      </c>
      <c r="F56" s="57">
        <f>'Schedule-4 CAPM 2'!$C$8</f>
        <v>0.14124370069949246</v>
      </c>
      <c r="G56" s="66">
        <f t="shared" si="7"/>
        <v>0.11124370069949246</v>
      </c>
      <c r="H56" s="67">
        <f t="shared" si="8"/>
        <v>0.14124370069949246</v>
      </c>
      <c r="I56" s="100">
        <f t="shared" si="9"/>
        <v>0.14124370069949246</v>
      </c>
    </row>
    <row r="57" spans="1:9">
      <c r="A57" s="49"/>
      <c r="B57" s="64" t="str">
        <f>'Schedule-2 Gas Proxy Selection'!B10</f>
        <v>Southwest Gas Corporation</v>
      </c>
      <c r="C57" s="101" t="str">
        <f>'Schedule-2 Gas Proxy Selection'!C10</f>
        <v>SWX</v>
      </c>
      <c r="D57" s="113">
        <v>0.03</v>
      </c>
      <c r="E57" s="58">
        <v>0.9</v>
      </c>
      <c r="F57" s="57">
        <f>'Schedule-4 CAPM 2'!$C$8</f>
        <v>0.14124370069949246</v>
      </c>
      <c r="G57" s="66">
        <f t="shared" si="7"/>
        <v>0.11124370069949246</v>
      </c>
      <c r="H57" s="67">
        <f t="shared" si="8"/>
        <v>0.13011933062954323</v>
      </c>
      <c r="I57" s="100">
        <f t="shared" si="9"/>
        <v>0.13290042314703054</v>
      </c>
    </row>
    <row r="58" spans="1:9">
      <c r="A58" s="49"/>
      <c r="B58" s="68" t="str">
        <f>'Schedule-2 Gas Proxy Selection'!B11</f>
        <v>Spire, Inc.</v>
      </c>
      <c r="C58" s="102" t="str">
        <f>'Schedule-2 Gas Proxy Selection'!C11</f>
        <v>SR</v>
      </c>
      <c r="D58" s="112">
        <v>0.03</v>
      </c>
      <c r="E58" s="55">
        <v>0.8</v>
      </c>
      <c r="F58" s="62">
        <f>'Schedule-4 CAPM 2'!$C$8</f>
        <v>0.14124370069949246</v>
      </c>
      <c r="G58" s="69">
        <f t="shared" si="7"/>
        <v>0.11124370069949246</v>
      </c>
      <c r="H58" s="70">
        <f t="shared" si="8"/>
        <v>0.11899496055959398</v>
      </c>
      <c r="I58" s="122">
        <f t="shared" si="9"/>
        <v>0.12455714559456861</v>
      </c>
    </row>
    <row r="59" spans="1:9">
      <c r="A59" s="49"/>
      <c r="B59" s="299" t="s">
        <v>99</v>
      </c>
      <c r="C59" s="299"/>
      <c r="D59" s="299"/>
      <c r="E59" s="299"/>
      <c r="F59" s="57"/>
      <c r="G59" s="57"/>
      <c r="H59" s="57">
        <f>AVERAGE(H52, H54:H58)</f>
        <v>0.1245571455945686</v>
      </c>
      <c r="I59" s="57">
        <f>AVERAGE(I52, I54:I58)</f>
        <v>0.12872878437079957</v>
      </c>
    </row>
    <row r="60" spans="1:9" ht="13.5" thickBot="1">
      <c r="A60" s="49"/>
      <c r="B60" s="242" t="s">
        <v>100</v>
      </c>
      <c r="C60" s="242"/>
      <c r="D60" s="242"/>
      <c r="E60" s="242"/>
      <c r="F60" s="243"/>
      <c r="G60" s="243"/>
      <c r="H60" s="243">
        <f>AVERAGE(H52:H58)</f>
        <v>0.12535174345670783</v>
      </c>
      <c r="I60" s="243">
        <f>AVERAGE(I52:I58)</f>
        <v>0.129324732767404</v>
      </c>
    </row>
    <row r="61" spans="1:9">
      <c r="A61" s="49"/>
      <c r="B61" s="52"/>
      <c r="C61" s="49"/>
      <c r="D61" s="49"/>
      <c r="E61" s="49"/>
      <c r="F61" s="53"/>
      <c r="G61" s="53"/>
      <c r="H61" s="53"/>
    </row>
    <row r="62" spans="1:9">
      <c r="A62" s="49"/>
      <c r="B62" s="54" t="s">
        <v>21</v>
      </c>
      <c r="C62" s="49"/>
      <c r="D62" s="49"/>
      <c r="E62" s="49"/>
      <c r="F62" s="49"/>
      <c r="G62" s="49"/>
      <c r="H62" s="49"/>
    </row>
    <row r="63" spans="1:9">
      <c r="A63" s="49"/>
      <c r="B63" s="99" t="s">
        <v>107</v>
      </c>
      <c r="C63" s="49"/>
      <c r="D63" s="49"/>
      <c r="E63" s="49"/>
      <c r="F63" s="49"/>
      <c r="G63" s="49"/>
      <c r="H63" s="49"/>
    </row>
    <row r="64" spans="1:9">
      <c r="A64" s="49"/>
      <c r="B64" s="111" t="s">
        <v>596</v>
      </c>
      <c r="C64" s="49"/>
      <c r="D64" s="49"/>
      <c r="E64" s="49"/>
      <c r="F64" s="49"/>
      <c r="G64" s="49"/>
      <c r="H64" s="49"/>
    </row>
    <row r="65" spans="1:9">
      <c r="A65" s="49"/>
      <c r="B65" s="111" t="str">
        <f>B42</f>
        <v>[3] Source: Schedule-4, page 13</v>
      </c>
      <c r="C65" s="49"/>
      <c r="D65" s="49"/>
      <c r="E65" s="49"/>
      <c r="F65" s="49"/>
      <c r="G65" s="49"/>
      <c r="H65" s="49"/>
    </row>
    <row r="66" spans="1:9">
      <c r="A66" s="49"/>
      <c r="B66" s="704" t="s">
        <v>101</v>
      </c>
      <c r="C66" s="49"/>
      <c r="D66" s="49"/>
      <c r="E66" s="49"/>
      <c r="F66" s="49"/>
      <c r="G66" s="49"/>
      <c r="H66" s="49"/>
    </row>
    <row r="67" spans="1:9">
      <c r="A67" s="49"/>
      <c r="B67" s="49" t="s">
        <v>102</v>
      </c>
      <c r="C67" s="49"/>
      <c r="D67" s="49"/>
      <c r="E67" s="49"/>
      <c r="F67" s="49"/>
      <c r="G67" s="49"/>
      <c r="H67" s="49"/>
    </row>
    <row r="68" spans="1:9">
      <c r="A68" s="49"/>
      <c r="B68" s="49" t="s">
        <v>103</v>
      </c>
      <c r="C68" s="49"/>
      <c r="D68" s="49"/>
      <c r="E68" s="49"/>
      <c r="F68" s="49"/>
      <c r="G68" s="49"/>
      <c r="H68" s="49"/>
    </row>
    <row r="71" spans="1:9" ht="13.15" customHeight="1">
      <c r="B71" s="762" t="s">
        <v>108</v>
      </c>
      <c r="C71" s="762"/>
      <c r="D71" s="762"/>
      <c r="E71" s="762"/>
      <c r="F71" s="762"/>
      <c r="G71" s="762"/>
      <c r="H71" s="762"/>
      <c r="I71" s="762"/>
    </row>
    <row r="72" spans="1:9">
      <c r="B72" s="49"/>
      <c r="C72" s="49"/>
      <c r="D72" s="49"/>
      <c r="E72" s="49"/>
      <c r="F72" s="49"/>
      <c r="G72" s="49"/>
      <c r="H72" s="49"/>
    </row>
    <row r="73" spans="1:9" ht="13.5" thickBot="1">
      <c r="B73" s="49"/>
      <c r="C73" s="49"/>
      <c r="D73" s="50" t="s">
        <v>24</v>
      </c>
      <c r="E73" s="50" t="s">
        <v>25</v>
      </c>
      <c r="F73" s="50" t="s">
        <v>26</v>
      </c>
      <c r="G73" s="50" t="s">
        <v>27</v>
      </c>
      <c r="H73" s="50" t="s">
        <v>28</v>
      </c>
      <c r="I73" s="123" t="s">
        <v>29</v>
      </c>
    </row>
    <row r="74" spans="1:9" ht="51">
      <c r="B74" s="35" t="s">
        <v>30</v>
      </c>
      <c r="C74" s="35" t="s">
        <v>31</v>
      </c>
      <c r="D74" s="36" t="str">
        <f t="shared" ref="D74:D81" si="10">D5</f>
        <v>Current 30-day average of 30-year U.S. Treasury bond yield</v>
      </c>
      <c r="E74" s="105" t="s">
        <v>94</v>
      </c>
      <c r="F74" s="105" t="s">
        <v>95</v>
      </c>
      <c r="G74" s="105" t="s">
        <v>96</v>
      </c>
      <c r="H74" s="51" t="s">
        <v>97</v>
      </c>
      <c r="I74" s="51" t="s">
        <v>98</v>
      </c>
    </row>
    <row r="75" spans="1:9">
      <c r="B75" s="27" t="str">
        <f>'Schedule-2 Gas Proxy Selection'!B6</f>
        <v>Atmos Energy Corporation</v>
      </c>
      <c r="C75" s="301" t="str">
        <f>'Schedule-2 Gas Proxy Selection'!C6</f>
        <v>ATO</v>
      </c>
      <c r="D75" s="40">
        <f t="shared" si="10"/>
        <v>1.4230000000000003E-2</v>
      </c>
      <c r="E75" s="327">
        <v>0.75830816236962773</v>
      </c>
      <c r="F75" s="57">
        <f>'Schedule-4 CAPM 2'!$C$8</f>
        <v>0.14124370069949246</v>
      </c>
      <c r="G75" s="59">
        <f>F75-D75</f>
        <v>0.12701370069949247</v>
      </c>
      <c r="H75" s="67">
        <f t="shared" ref="H75:H81" si="11">G75*E75+D75</f>
        <v>0.11054552597319804</v>
      </c>
      <c r="I75" s="100">
        <f>D75+(0.25*G75)+(0.75*E75*G75)</f>
        <v>0.11822006965477166</v>
      </c>
    </row>
    <row r="76" spans="1:9">
      <c r="B76" s="6" t="s">
        <v>79</v>
      </c>
      <c r="C76" s="5" t="s">
        <v>80</v>
      </c>
      <c r="D76" s="40">
        <f t="shared" si="10"/>
        <v>1.4230000000000003E-2</v>
      </c>
      <c r="E76" s="327">
        <v>0.82161568715523381</v>
      </c>
      <c r="F76" s="57">
        <f>'Schedule-4 CAPM 2'!$C$8</f>
        <v>0.14124370069949246</v>
      </c>
      <c r="G76" s="59">
        <f t="shared" ref="G76:G81" si="12">F76-D76</f>
        <v>0.12701370069949247</v>
      </c>
      <c r="H76" s="67">
        <f t="shared" si="11"/>
        <v>0.11858644897834271</v>
      </c>
      <c r="I76" s="100">
        <f t="shared" ref="I76:I81" si="13">D76+(0.25*G76)+(0.75*E76*G76)</f>
        <v>0.12425076190863016</v>
      </c>
    </row>
    <row r="77" spans="1:9">
      <c r="B77" s="27" t="str">
        <f>'Schedule-2 Gas Proxy Selection'!B7</f>
        <v>Northwest Natural Gas Company</v>
      </c>
      <c r="C77" s="301" t="str">
        <f>'Schedule-2 Gas Proxy Selection'!C7</f>
        <v>NWN</v>
      </c>
      <c r="D77" s="40">
        <f t="shared" si="10"/>
        <v>1.4230000000000003E-2</v>
      </c>
      <c r="E77" s="327">
        <v>0.7345760824785571</v>
      </c>
      <c r="F77" s="57">
        <f>'Schedule-4 CAPM 2'!$C$8</f>
        <v>0.14124370069949246</v>
      </c>
      <c r="G77" s="59">
        <f t="shared" si="12"/>
        <v>0.12701370069949247</v>
      </c>
      <c r="H77" s="67">
        <f t="shared" si="11"/>
        <v>0.10753122668093715</v>
      </c>
      <c r="I77" s="100">
        <f t="shared" si="13"/>
        <v>0.11595934518557599</v>
      </c>
    </row>
    <row r="78" spans="1:9">
      <c r="B78" s="27" t="str">
        <f>'Schedule-2 Gas Proxy Selection'!B8</f>
        <v>ONE Gas Inc.</v>
      </c>
      <c r="C78" s="301" t="str">
        <f>'Schedule-2 Gas Proxy Selection'!C8</f>
        <v>OGS</v>
      </c>
      <c r="D78" s="40">
        <f t="shared" si="10"/>
        <v>1.4230000000000003E-2</v>
      </c>
      <c r="E78" s="327">
        <v>0.84222918163642035</v>
      </c>
      <c r="F78" s="57">
        <f>'Schedule-4 CAPM 2'!$C$8</f>
        <v>0.14124370069949246</v>
      </c>
      <c r="G78" s="59">
        <f t="shared" si="12"/>
        <v>0.12701370069949247</v>
      </c>
      <c r="H78" s="67">
        <f t="shared" si="11"/>
        <v>0.12120464519674679</v>
      </c>
      <c r="I78" s="100">
        <f t="shared" si="13"/>
        <v>0.1262144090724332</v>
      </c>
    </row>
    <row r="79" spans="1:9">
      <c r="B79" s="27" t="str">
        <f>'Schedule-2 Gas Proxy Selection'!B9</f>
        <v>South Jersey Industries, Inc.</v>
      </c>
      <c r="C79" s="301" t="str">
        <f>'Schedule-2 Gas Proxy Selection'!C9</f>
        <v>SJI</v>
      </c>
      <c r="D79" s="40">
        <f t="shared" si="10"/>
        <v>1.4230000000000003E-2</v>
      </c>
      <c r="E79" s="327">
        <v>0.84290180702067719</v>
      </c>
      <c r="F79" s="57">
        <f>'Schedule-4 CAPM 2'!$C$8</f>
        <v>0.14124370069949246</v>
      </c>
      <c r="G79" s="59">
        <f t="shared" si="12"/>
        <v>0.12701370069949247</v>
      </c>
      <c r="H79" s="67">
        <f t="shared" si="11"/>
        <v>0.12129007783598567</v>
      </c>
      <c r="I79" s="100">
        <f t="shared" si="13"/>
        <v>0.12627848355186236</v>
      </c>
    </row>
    <row r="80" spans="1:9">
      <c r="B80" s="27" t="str">
        <f>'Schedule-2 Gas Proxy Selection'!B10</f>
        <v>Southwest Gas Corporation</v>
      </c>
      <c r="C80" s="301" t="str">
        <f>'Schedule-2 Gas Proxy Selection'!C10</f>
        <v>SWX</v>
      </c>
      <c r="D80" s="40">
        <f t="shared" si="10"/>
        <v>1.4230000000000003E-2</v>
      </c>
      <c r="E80" s="327">
        <v>0.8702590229036995</v>
      </c>
      <c r="F80" s="57">
        <f>'Schedule-4 CAPM 2'!$C$8</f>
        <v>0.14124370069949246</v>
      </c>
      <c r="G80" s="59">
        <f t="shared" si="12"/>
        <v>0.12701370069949247</v>
      </c>
      <c r="H80" s="67">
        <f t="shared" si="11"/>
        <v>0.12476481906612326</v>
      </c>
      <c r="I80" s="100">
        <f t="shared" si="13"/>
        <v>0.12888453947446557</v>
      </c>
    </row>
    <row r="81" spans="1:9">
      <c r="B81" s="61" t="str">
        <f>'Schedule-2 Gas Proxy Selection'!B11</f>
        <v>Spire, Inc.</v>
      </c>
      <c r="C81" s="98" t="str">
        <f>'Schedule-2 Gas Proxy Selection'!C11</f>
        <v>SR</v>
      </c>
      <c r="D81" s="43">
        <f t="shared" si="10"/>
        <v>1.4230000000000003E-2</v>
      </c>
      <c r="E81" s="328">
        <v>0.76026945143219082</v>
      </c>
      <c r="F81" s="62">
        <f>'Schedule-4 CAPM 2'!$C$8</f>
        <v>0.14124370069949246</v>
      </c>
      <c r="G81" s="63">
        <f t="shared" si="12"/>
        <v>0.12701370069949247</v>
      </c>
      <c r="H81" s="70">
        <f t="shared" si="11"/>
        <v>0.11079463655517562</v>
      </c>
      <c r="I81" s="122">
        <f t="shared" si="13"/>
        <v>0.11840690259125483</v>
      </c>
    </row>
    <row r="82" spans="1:9">
      <c r="A82" s="49"/>
      <c r="B82" s="299" t="s">
        <v>99</v>
      </c>
      <c r="C82" s="299"/>
      <c r="D82" s="299"/>
      <c r="E82" s="299"/>
      <c r="F82" s="57"/>
      <c r="G82" s="57"/>
      <c r="H82" s="57">
        <f>AVERAGE(H75, H77:H81)</f>
        <v>0.11602182188469441</v>
      </c>
      <c r="I82" s="57">
        <f>AVERAGE(I75, I77:I81)</f>
        <v>0.12232729158839394</v>
      </c>
    </row>
    <row r="83" spans="1:9" ht="13.5" thickBot="1">
      <c r="A83" s="49"/>
      <c r="B83" s="242" t="s">
        <v>100</v>
      </c>
      <c r="C83" s="242"/>
      <c r="D83" s="242"/>
      <c r="E83" s="242"/>
      <c r="F83" s="243"/>
      <c r="G83" s="243"/>
      <c r="H83" s="243">
        <f>AVERAGE(H75:H81)</f>
        <v>0.11638819718378703</v>
      </c>
      <c r="I83" s="243">
        <f>AVERAGE(I75:I81)</f>
        <v>0.1226020730627134</v>
      </c>
    </row>
    <row r="84" spans="1:9">
      <c r="B84" s="52"/>
      <c r="C84" s="49"/>
      <c r="D84" s="49"/>
      <c r="E84" s="49"/>
      <c r="F84" s="53"/>
      <c r="G84" s="53"/>
      <c r="H84" s="53"/>
    </row>
    <row r="85" spans="1:9">
      <c r="B85" s="54" t="s">
        <v>21</v>
      </c>
      <c r="C85" s="49"/>
      <c r="D85" s="49"/>
      <c r="E85" s="103"/>
      <c r="F85" s="49"/>
      <c r="G85" s="49"/>
      <c r="H85" s="49"/>
    </row>
    <row r="86" spans="1:9">
      <c r="B86" s="26" t="s">
        <v>586</v>
      </c>
      <c r="C86" s="49"/>
      <c r="D86" s="49"/>
      <c r="E86" s="49"/>
      <c r="F86" s="49"/>
      <c r="G86" s="49"/>
      <c r="H86" s="49"/>
    </row>
    <row r="87" spans="1:9">
      <c r="B87" s="111" t="s">
        <v>598</v>
      </c>
      <c r="C87" s="704"/>
      <c r="D87" s="704"/>
      <c r="E87" s="704"/>
      <c r="F87" s="704"/>
      <c r="G87" s="704"/>
      <c r="H87" s="704"/>
      <c r="I87" s="705"/>
    </row>
    <row r="88" spans="1:9">
      <c r="B88" s="111" t="str">
        <f>B65</f>
        <v>[3] Source: Schedule-4, page 13</v>
      </c>
      <c r="C88" s="704"/>
      <c r="D88" s="704"/>
      <c r="E88" s="704"/>
      <c r="F88" s="704"/>
      <c r="G88" s="704"/>
      <c r="H88" s="704"/>
      <c r="I88" s="705"/>
    </row>
    <row r="89" spans="1:9">
      <c r="B89" s="704" t="s">
        <v>101</v>
      </c>
      <c r="C89" s="704"/>
      <c r="D89" s="704"/>
      <c r="E89" s="704"/>
      <c r="F89" s="704"/>
      <c r="G89" s="704"/>
      <c r="H89" s="704"/>
      <c r="I89" s="705"/>
    </row>
    <row r="90" spans="1:9">
      <c r="B90" s="704" t="s">
        <v>102</v>
      </c>
      <c r="C90" s="704"/>
      <c r="D90" s="704"/>
      <c r="E90" s="704"/>
      <c r="F90" s="704"/>
      <c r="G90" s="704"/>
      <c r="H90" s="704"/>
      <c r="I90" s="705"/>
    </row>
    <row r="91" spans="1:9">
      <c r="A91" s="49"/>
      <c r="B91" s="704" t="s">
        <v>103</v>
      </c>
      <c r="C91" s="704"/>
      <c r="D91" s="704"/>
      <c r="E91" s="704"/>
      <c r="F91" s="704"/>
      <c r="G91" s="704"/>
      <c r="H91" s="704"/>
      <c r="I91" s="705"/>
    </row>
    <row r="92" spans="1:9">
      <c r="B92" s="704"/>
      <c r="C92" s="704"/>
      <c r="D92" s="704"/>
      <c r="E92" s="704"/>
      <c r="F92" s="704"/>
      <c r="G92" s="704"/>
      <c r="H92" s="704"/>
      <c r="I92" s="705"/>
    </row>
    <row r="93" spans="1:9">
      <c r="B93" s="704"/>
      <c r="C93" s="704"/>
      <c r="D93" s="704"/>
      <c r="E93" s="704"/>
      <c r="F93" s="704"/>
      <c r="G93" s="704"/>
      <c r="H93" s="704"/>
      <c r="I93" s="705"/>
    </row>
    <row r="94" spans="1:9" ht="13.15" customHeight="1">
      <c r="B94" s="761" t="s">
        <v>109</v>
      </c>
      <c r="C94" s="761"/>
      <c r="D94" s="761"/>
      <c r="E94" s="761"/>
      <c r="F94" s="761"/>
      <c r="G94" s="761"/>
      <c r="H94" s="761"/>
      <c r="I94" s="761"/>
    </row>
    <row r="95" spans="1:9">
      <c r="B95" s="704"/>
      <c r="C95" s="704"/>
      <c r="D95" s="704"/>
      <c r="E95" s="704"/>
      <c r="F95" s="704"/>
      <c r="G95" s="704"/>
      <c r="H95" s="704"/>
      <c r="I95" s="705"/>
    </row>
    <row r="96" spans="1:9" ht="13.5" thickBot="1">
      <c r="B96" s="704"/>
      <c r="C96" s="704"/>
      <c r="D96" s="123" t="s">
        <v>24</v>
      </c>
      <c r="E96" s="123" t="s">
        <v>25</v>
      </c>
      <c r="F96" s="123" t="s">
        <v>26</v>
      </c>
      <c r="G96" s="123" t="s">
        <v>27</v>
      </c>
      <c r="H96" s="123" t="s">
        <v>28</v>
      </c>
      <c r="I96" s="123" t="s">
        <v>29</v>
      </c>
    </row>
    <row r="97" spans="1:9" ht="51">
      <c r="B97" s="551" t="s">
        <v>30</v>
      </c>
      <c r="C97" s="551" t="s">
        <v>31</v>
      </c>
      <c r="D97" s="546" t="str">
        <f t="shared" ref="D97:D104" si="14">D28</f>
        <v xml:space="preserve">Near-term projected 30-year U.S. Treasury bond yield
(Q1 2021 - Q1 2022) </v>
      </c>
      <c r="E97" s="552" t="s">
        <v>94</v>
      </c>
      <c r="F97" s="552" t="s">
        <v>95</v>
      </c>
      <c r="G97" s="552" t="s">
        <v>96</v>
      </c>
      <c r="H97" s="706" t="s">
        <v>97</v>
      </c>
      <c r="I97" s="706" t="s">
        <v>98</v>
      </c>
    </row>
    <row r="98" spans="1:9">
      <c r="B98" s="707" t="str">
        <f>'Schedule-2 Gas Proxy Selection'!B6</f>
        <v>Atmos Energy Corporation</v>
      </c>
      <c r="C98" s="708" t="str">
        <f>'Schedule-2 Gas Proxy Selection'!C6</f>
        <v>ATO</v>
      </c>
      <c r="D98" s="709">
        <f t="shared" si="14"/>
        <v>1.72E-2</v>
      </c>
      <c r="E98" s="327">
        <v>0.75830816236962773</v>
      </c>
      <c r="F98" s="710">
        <f>'Schedule-4 CAPM 2'!$C$8</f>
        <v>0.14124370069949246</v>
      </c>
      <c r="G98" s="520">
        <f>F98-D98</f>
        <v>0.12404370069949247</v>
      </c>
      <c r="H98" s="711">
        <f t="shared" ref="H98:H104" si="15">G98*E98+D98</f>
        <v>0.11126335073096025</v>
      </c>
      <c r="I98" s="24">
        <f>D98+(0.25*G98)+(0.75*E98*G98)</f>
        <v>0.1187584382230933</v>
      </c>
    </row>
    <row r="99" spans="1:9">
      <c r="B99" s="6" t="s">
        <v>79</v>
      </c>
      <c r="C99" s="5" t="s">
        <v>80</v>
      </c>
      <c r="D99" s="709">
        <f t="shared" si="14"/>
        <v>1.72E-2</v>
      </c>
      <c r="E99" s="327">
        <v>0.82161568715523381</v>
      </c>
      <c r="F99" s="710">
        <f>'Schedule-4 CAPM 2'!$C$8</f>
        <v>0.14124370069949246</v>
      </c>
      <c r="G99" s="520">
        <f t="shared" ref="G99:G104" si="16">F99-D99</f>
        <v>0.12404370069949247</v>
      </c>
      <c r="H99" s="711">
        <f t="shared" si="15"/>
        <v>0.11911625038749166</v>
      </c>
      <c r="I99" s="24">
        <f t="shared" ref="I99:I104" si="17">D99+(0.25*G99)+(0.75*E99*G99)</f>
        <v>0.12464811296549187</v>
      </c>
    </row>
    <row r="100" spans="1:9">
      <c r="B100" s="707" t="str">
        <f>'Schedule-2 Gas Proxy Selection'!B7</f>
        <v>Northwest Natural Gas Company</v>
      </c>
      <c r="C100" s="708" t="str">
        <f>'Schedule-2 Gas Proxy Selection'!C7</f>
        <v>NWN</v>
      </c>
      <c r="D100" s="709">
        <f t="shared" si="14"/>
        <v>1.72E-2</v>
      </c>
      <c r="E100" s="327">
        <v>0.7345760824785571</v>
      </c>
      <c r="F100" s="710">
        <f>'Schedule-4 CAPM 2'!$C$8</f>
        <v>0.14124370069949246</v>
      </c>
      <c r="G100" s="520">
        <f t="shared" si="16"/>
        <v>0.12404370069949247</v>
      </c>
      <c r="H100" s="711">
        <f t="shared" si="15"/>
        <v>0.10831953571597583</v>
      </c>
      <c r="I100" s="24">
        <f t="shared" si="17"/>
        <v>0.116550576961855</v>
      </c>
    </row>
    <row r="101" spans="1:9">
      <c r="B101" s="707" t="str">
        <f>'Schedule-2 Gas Proxy Selection'!B8</f>
        <v>ONE Gas Inc.</v>
      </c>
      <c r="C101" s="708" t="str">
        <f>'Schedule-2 Gas Proxy Selection'!C8</f>
        <v>OGS</v>
      </c>
      <c r="D101" s="709">
        <f t="shared" si="14"/>
        <v>1.72E-2</v>
      </c>
      <c r="E101" s="327">
        <v>0.84222918163642035</v>
      </c>
      <c r="F101" s="710">
        <f>'Schedule-4 CAPM 2'!$C$8</f>
        <v>0.14124370069949246</v>
      </c>
      <c r="G101" s="520">
        <f t="shared" si="16"/>
        <v>0.12404370069949247</v>
      </c>
      <c r="H101" s="711">
        <f t="shared" si="15"/>
        <v>0.1216732245272866</v>
      </c>
      <c r="I101" s="24">
        <f t="shared" si="17"/>
        <v>0.12656584357033807</v>
      </c>
    </row>
    <row r="102" spans="1:9">
      <c r="B102" s="707" t="str">
        <f>'Schedule-2 Gas Proxy Selection'!B9</f>
        <v>South Jersey Industries, Inc.</v>
      </c>
      <c r="C102" s="708" t="str">
        <f>'Schedule-2 Gas Proxy Selection'!C9</f>
        <v>SJI</v>
      </c>
      <c r="D102" s="709">
        <f t="shared" si="14"/>
        <v>1.72E-2</v>
      </c>
      <c r="E102" s="327">
        <v>0.84290180702067719</v>
      </c>
      <c r="F102" s="710">
        <f>'Schedule-4 CAPM 2'!$C$8</f>
        <v>0.14124370069949246</v>
      </c>
      <c r="G102" s="520">
        <f t="shared" si="16"/>
        <v>0.12404370069949247</v>
      </c>
      <c r="H102" s="711">
        <f t="shared" si="15"/>
        <v>0.12175665946913425</v>
      </c>
      <c r="I102" s="24">
        <f t="shared" si="17"/>
        <v>0.12662841977672379</v>
      </c>
    </row>
    <row r="103" spans="1:9">
      <c r="B103" s="707" t="str">
        <f>'Schedule-2 Gas Proxy Selection'!B10</f>
        <v>Southwest Gas Corporation</v>
      </c>
      <c r="C103" s="708" t="str">
        <f>'Schedule-2 Gas Proxy Selection'!C10</f>
        <v>SWX</v>
      </c>
      <c r="D103" s="709">
        <f t="shared" si="14"/>
        <v>1.72E-2</v>
      </c>
      <c r="E103" s="327">
        <v>0.8702590229036995</v>
      </c>
      <c r="F103" s="710">
        <f>'Schedule-4 CAPM 2'!$C$8</f>
        <v>0.14124370069949246</v>
      </c>
      <c r="G103" s="520">
        <f t="shared" si="16"/>
        <v>0.12404370069949247</v>
      </c>
      <c r="H103" s="711">
        <f t="shared" si="15"/>
        <v>0.12515014976809927</v>
      </c>
      <c r="I103" s="24">
        <f t="shared" si="17"/>
        <v>0.12917353750094757</v>
      </c>
    </row>
    <row r="104" spans="1:9">
      <c r="B104" s="712" t="str">
        <f>'Schedule-2 Gas Proxy Selection'!B11</f>
        <v>Spire, Inc.</v>
      </c>
      <c r="C104" s="713" t="str">
        <f>'Schedule-2 Gas Proxy Selection'!C11</f>
        <v>SR</v>
      </c>
      <c r="D104" s="714">
        <f t="shared" si="14"/>
        <v>1.72E-2</v>
      </c>
      <c r="E104" s="328">
        <v>0.76026945143219082</v>
      </c>
      <c r="F104" s="715">
        <f>'Schedule-4 CAPM 2'!$C$8</f>
        <v>0.14124370069949246</v>
      </c>
      <c r="G104" s="716">
        <f t="shared" si="16"/>
        <v>0.12404370069949247</v>
      </c>
      <c r="H104" s="717">
        <f t="shared" si="15"/>
        <v>0.11150663628442201</v>
      </c>
      <c r="I104" s="718">
        <f t="shared" si="17"/>
        <v>0.11894090238818962</v>
      </c>
    </row>
    <row r="105" spans="1:9">
      <c r="A105" s="49"/>
      <c r="B105" s="719" t="s">
        <v>99</v>
      </c>
      <c r="C105" s="719"/>
      <c r="D105" s="719"/>
      <c r="E105" s="719"/>
      <c r="F105" s="710"/>
      <c r="G105" s="710"/>
      <c r="H105" s="710">
        <f>AVERAGE(H98, H100:H104)</f>
        <v>0.11661159274931304</v>
      </c>
      <c r="I105" s="710">
        <f>AVERAGE(I98, I100:I104)</f>
        <v>0.1227696197368579</v>
      </c>
    </row>
    <row r="106" spans="1:9" ht="13.5" thickBot="1">
      <c r="A106" s="49"/>
      <c r="B106" s="720" t="s">
        <v>100</v>
      </c>
      <c r="C106" s="720"/>
      <c r="D106" s="720"/>
      <c r="E106" s="720"/>
      <c r="F106" s="721"/>
      <c r="G106" s="721"/>
      <c r="H106" s="721">
        <f>AVERAGE(H98:H104)</f>
        <v>0.11696940098333855</v>
      </c>
      <c r="I106" s="721">
        <f>AVERAGE(I98:I104)</f>
        <v>0.12303797591237702</v>
      </c>
    </row>
    <row r="107" spans="1:9">
      <c r="B107" s="722"/>
      <c r="C107" s="704"/>
      <c r="D107" s="704"/>
      <c r="E107" s="704"/>
      <c r="F107" s="723"/>
      <c r="G107" s="723"/>
      <c r="H107" s="723"/>
      <c r="I107" s="705"/>
    </row>
    <row r="108" spans="1:9">
      <c r="B108" s="724" t="s">
        <v>21</v>
      </c>
      <c r="C108" s="704"/>
      <c r="D108" s="704"/>
      <c r="E108" s="704"/>
      <c r="F108" s="704"/>
      <c r="G108" s="704"/>
      <c r="H108" s="704"/>
      <c r="I108" s="705"/>
    </row>
    <row r="109" spans="1:9">
      <c r="B109" s="4" t="str">
        <f>B40</f>
        <v>[1] Source: Blue Chip Financial Forecasts, Vol. 39, No. 10, October 1, 2020, at 2</v>
      </c>
      <c r="C109" s="704"/>
      <c r="D109" s="704"/>
      <c r="E109" s="704"/>
      <c r="F109" s="704"/>
      <c r="G109" s="704"/>
      <c r="H109" s="704"/>
      <c r="I109" s="705"/>
    </row>
    <row r="110" spans="1:9">
      <c r="B110" s="111" t="s">
        <v>598</v>
      </c>
      <c r="C110" s="704"/>
      <c r="D110" s="704"/>
      <c r="E110" s="704"/>
      <c r="F110" s="704"/>
      <c r="G110" s="704"/>
      <c r="H110" s="704"/>
      <c r="I110" s="705"/>
    </row>
    <row r="111" spans="1:9">
      <c r="B111" s="111" t="str">
        <f>B88</f>
        <v>[3] Source: Schedule-4, page 13</v>
      </c>
      <c r="C111" s="704"/>
      <c r="D111" s="704"/>
      <c r="E111" s="704"/>
      <c r="F111" s="704"/>
      <c r="G111" s="704"/>
      <c r="H111" s="704"/>
      <c r="I111" s="705"/>
    </row>
    <row r="112" spans="1:9">
      <c r="B112" s="704" t="s">
        <v>101</v>
      </c>
      <c r="C112" s="704"/>
      <c r="D112" s="704"/>
      <c r="E112" s="704"/>
      <c r="F112" s="704"/>
      <c r="G112" s="704"/>
      <c r="H112" s="704"/>
      <c r="I112" s="705"/>
    </row>
    <row r="113" spans="1:9">
      <c r="B113" s="704" t="s">
        <v>102</v>
      </c>
      <c r="C113" s="704"/>
      <c r="D113" s="704"/>
      <c r="E113" s="704"/>
      <c r="F113" s="704"/>
      <c r="G113" s="704"/>
      <c r="H113" s="704"/>
      <c r="I113" s="705"/>
    </row>
    <row r="114" spans="1:9">
      <c r="A114" s="49"/>
      <c r="B114" s="704" t="s">
        <v>103</v>
      </c>
      <c r="C114" s="704"/>
      <c r="D114" s="704"/>
      <c r="E114" s="704"/>
      <c r="F114" s="704"/>
      <c r="G114" s="704"/>
      <c r="H114" s="704"/>
      <c r="I114" s="705"/>
    </row>
    <row r="115" spans="1:9">
      <c r="B115" s="704"/>
      <c r="C115" s="704"/>
      <c r="D115" s="704"/>
      <c r="E115" s="704"/>
      <c r="F115" s="704"/>
      <c r="G115" s="704"/>
      <c r="H115" s="704"/>
      <c r="I115" s="705"/>
    </row>
    <row r="116" spans="1:9">
      <c r="B116" s="704"/>
      <c r="C116" s="704"/>
      <c r="D116" s="704"/>
      <c r="E116" s="704"/>
      <c r="F116" s="704"/>
      <c r="G116" s="704"/>
      <c r="H116" s="704"/>
      <c r="I116" s="705"/>
    </row>
    <row r="117" spans="1:9" ht="13.15" customHeight="1">
      <c r="B117" s="761" t="s">
        <v>110</v>
      </c>
      <c r="C117" s="761"/>
      <c r="D117" s="761"/>
      <c r="E117" s="761"/>
      <c r="F117" s="761"/>
      <c r="G117" s="761"/>
      <c r="H117" s="761"/>
      <c r="I117" s="761"/>
    </row>
    <row r="118" spans="1:9">
      <c r="B118" s="704"/>
      <c r="C118" s="704"/>
      <c r="D118" s="704"/>
      <c r="E118" s="704"/>
      <c r="F118" s="704"/>
      <c r="G118" s="704"/>
      <c r="H118" s="704"/>
      <c r="I118" s="705"/>
    </row>
    <row r="119" spans="1:9" ht="13.5" thickBot="1">
      <c r="B119" s="704"/>
      <c r="C119" s="704"/>
      <c r="D119" s="123" t="s">
        <v>24</v>
      </c>
      <c r="E119" s="123" t="s">
        <v>25</v>
      </c>
      <c r="F119" s="123" t="s">
        <v>26</v>
      </c>
      <c r="G119" s="123" t="s">
        <v>27</v>
      </c>
      <c r="H119" s="123" t="s">
        <v>28</v>
      </c>
      <c r="I119" s="123" t="s">
        <v>29</v>
      </c>
    </row>
    <row r="120" spans="1:9" ht="38.25">
      <c r="B120" s="551" t="s">
        <v>30</v>
      </c>
      <c r="C120" s="551" t="s">
        <v>31</v>
      </c>
      <c r="D120" s="546" t="str">
        <f t="shared" ref="D120:D127" si="18">D51</f>
        <v>Projected 30-year U.S. Treasury bond yield (2022 - 2026)</v>
      </c>
      <c r="E120" s="552" t="s">
        <v>94</v>
      </c>
      <c r="F120" s="552" t="s">
        <v>95</v>
      </c>
      <c r="G120" s="552" t="s">
        <v>96</v>
      </c>
      <c r="H120" s="706" t="s">
        <v>97</v>
      </c>
      <c r="I120" s="706" t="s">
        <v>98</v>
      </c>
    </row>
    <row r="121" spans="1:9">
      <c r="B121" s="725" t="str">
        <f>'Schedule-2 Gas Proxy Selection'!B6</f>
        <v>Atmos Energy Corporation</v>
      </c>
      <c r="C121" s="726" t="str">
        <f>'Schedule-2 Gas Proxy Selection'!C6</f>
        <v>ATO</v>
      </c>
      <c r="D121" s="727">
        <f t="shared" si="18"/>
        <v>0.03</v>
      </c>
      <c r="E121" s="327">
        <v>0.75830816236962773</v>
      </c>
      <c r="F121" s="710">
        <f>'Schedule-4 CAPM 2'!$C$8</f>
        <v>0.14124370069949246</v>
      </c>
      <c r="G121" s="520">
        <f>F121-D121</f>
        <v>0.11124370069949246</v>
      </c>
      <c r="H121" s="728">
        <f t="shared" ref="H121:H127" si="19">G121*E121+D121</f>
        <v>0.114357006252629</v>
      </c>
      <c r="I121" s="24">
        <f>D121+(0.25*G121)+(0.75*E121*G121)</f>
        <v>0.12107867986434487</v>
      </c>
    </row>
    <row r="122" spans="1:9">
      <c r="B122" s="6" t="s">
        <v>79</v>
      </c>
      <c r="C122" s="5" t="s">
        <v>80</v>
      </c>
      <c r="D122" s="40">
        <f t="shared" si="18"/>
        <v>0.03</v>
      </c>
      <c r="E122" s="327">
        <v>0.82161568715523381</v>
      </c>
      <c r="F122" s="57">
        <f>'Schedule-4 CAPM 2'!$C$8</f>
        <v>0.14124370069949246</v>
      </c>
      <c r="G122" s="59">
        <f t="shared" ref="G122:G127" si="20">F122-D122</f>
        <v>0.11124370069949246</v>
      </c>
      <c r="H122" s="67">
        <f t="shared" ref="H122" si="21">G122*E122+D122</f>
        <v>0.12139956959190466</v>
      </c>
      <c r="I122" s="100">
        <f t="shared" ref="I122" si="22">D122+(0.25*G122)+(0.75*E122*G122)</f>
        <v>0.12636060236880162</v>
      </c>
    </row>
    <row r="123" spans="1:9">
      <c r="B123" s="64" t="str">
        <f>'Schedule-2 Gas Proxy Selection'!B7</f>
        <v>Northwest Natural Gas Company</v>
      </c>
      <c r="C123" s="101" t="str">
        <f>'Schedule-2 Gas Proxy Selection'!C7</f>
        <v>NWN</v>
      </c>
      <c r="D123" s="40">
        <f t="shared" si="18"/>
        <v>0.03</v>
      </c>
      <c r="E123" s="327">
        <v>0.7345760824785571</v>
      </c>
      <c r="F123" s="57">
        <f>'Schedule-4 CAPM 2'!$C$8</f>
        <v>0.14124370069949246</v>
      </c>
      <c r="G123" s="59">
        <f t="shared" si="20"/>
        <v>0.11124370069949246</v>
      </c>
      <c r="H123" s="67">
        <f t="shared" si="19"/>
        <v>0.11171696186025029</v>
      </c>
      <c r="I123" s="100">
        <f t="shared" ref="I123:I127" si="23">D123+(0.25*G123)+(0.75*E123*G123)</f>
        <v>0.11909864657006083</v>
      </c>
    </row>
    <row r="124" spans="1:9">
      <c r="B124" s="64" t="str">
        <f>'Schedule-2 Gas Proxy Selection'!B8</f>
        <v>ONE Gas Inc.</v>
      </c>
      <c r="C124" s="101" t="str">
        <f>'Schedule-2 Gas Proxy Selection'!C8</f>
        <v>OGS</v>
      </c>
      <c r="D124" s="40">
        <f t="shared" si="18"/>
        <v>0.03</v>
      </c>
      <c r="E124" s="327">
        <v>0.84222918163642035</v>
      </c>
      <c r="F124" s="57">
        <f>'Schedule-4 CAPM 2'!$C$8</f>
        <v>0.14124370069949246</v>
      </c>
      <c r="G124" s="59">
        <f t="shared" si="20"/>
        <v>0.11124370069949246</v>
      </c>
      <c r="H124" s="67">
        <f t="shared" si="19"/>
        <v>0.12369269100234043</v>
      </c>
      <c r="I124" s="100">
        <f t="shared" si="23"/>
        <v>0.12808044342662844</v>
      </c>
    </row>
    <row r="125" spans="1:9">
      <c r="B125" s="64" t="str">
        <f>'Schedule-2 Gas Proxy Selection'!B9</f>
        <v>South Jersey Industries, Inc.</v>
      </c>
      <c r="C125" s="101" t="str">
        <f>'Schedule-2 Gas Proxy Selection'!C9</f>
        <v>SJI</v>
      </c>
      <c r="D125" s="40">
        <f t="shared" si="18"/>
        <v>0.03</v>
      </c>
      <c r="E125" s="327">
        <v>0.84290180702067719</v>
      </c>
      <c r="F125" s="57">
        <f>'Schedule-4 CAPM 2'!$C$8</f>
        <v>0.14124370069949246</v>
      </c>
      <c r="G125" s="59">
        <f t="shared" si="20"/>
        <v>0.11124370069949246</v>
      </c>
      <c r="H125" s="67">
        <f t="shared" si="19"/>
        <v>0.12376751633926956</v>
      </c>
      <c r="I125" s="100">
        <f t="shared" si="23"/>
        <v>0.12813656242932531</v>
      </c>
    </row>
    <row r="126" spans="1:9">
      <c r="B126" s="64" t="str">
        <f>'Schedule-2 Gas Proxy Selection'!B10</f>
        <v>Southwest Gas Corporation</v>
      </c>
      <c r="C126" s="101" t="str">
        <f>'Schedule-2 Gas Proxy Selection'!C10</f>
        <v>SWX</v>
      </c>
      <c r="D126" s="40">
        <f t="shared" si="18"/>
        <v>0.03</v>
      </c>
      <c r="E126" s="327">
        <v>0.8702590229036995</v>
      </c>
      <c r="F126" s="57">
        <f>'Schedule-4 CAPM 2'!$C$8</f>
        <v>0.14124370069949246</v>
      </c>
      <c r="G126" s="59">
        <f t="shared" si="20"/>
        <v>0.11124370069949246</v>
      </c>
      <c r="H126" s="67">
        <f t="shared" si="19"/>
        <v>0.12681083427493189</v>
      </c>
      <c r="I126" s="100">
        <f t="shared" si="23"/>
        <v>0.13041905088107203</v>
      </c>
    </row>
    <row r="127" spans="1:9">
      <c r="B127" s="68" t="str">
        <f>'Schedule-2 Gas Proxy Selection'!B11</f>
        <v>Spire, Inc.</v>
      </c>
      <c r="C127" s="102" t="str">
        <f>'Schedule-2 Gas Proxy Selection'!C11</f>
        <v>SR</v>
      </c>
      <c r="D127" s="43">
        <f t="shared" si="18"/>
        <v>0.03</v>
      </c>
      <c r="E127" s="328">
        <v>0.76026945143219082</v>
      </c>
      <c r="F127" s="62">
        <f>'Schedule-4 CAPM 2'!$C$8</f>
        <v>0.14124370069949246</v>
      </c>
      <c r="G127" s="63">
        <f t="shared" si="20"/>
        <v>0.11124370069949246</v>
      </c>
      <c r="H127" s="70">
        <f t="shared" si="19"/>
        <v>0.11457518730608995</v>
      </c>
      <c r="I127" s="122">
        <f t="shared" si="23"/>
        <v>0.12124231565444059</v>
      </c>
    </row>
    <row r="128" spans="1:9">
      <c r="A128" s="49"/>
      <c r="B128" s="299" t="s">
        <v>99</v>
      </c>
      <c r="C128" s="299"/>
      <c r="D128" s="299"/>
      <c r="E128" s="299"/>
      <c r="F128" s="57"/>
      <c r="G128" s="57"/>
      <c r="H128" s="57">
        <f>AVERAGE(H121, H123:H127)</f>
        <v>0.11915336617258519</v>
      </c>
      <c r="I128" s="57">
        <f>AVERAGE(I121, I123:I127)</f>
        <v>0.12467594980431201</v>
      </c>
    </row>
    <row r="129" spans="1:9" ht="13.5" thickBot="1">
      <c r="A129" s="49"/>
      <c r="B129" s="242" t="s">
        <v>100</v>
      </c>
      <c r="C129" s="242"/>
      <c r="D129" s="242"/>
      <c r="E129" s="242"/>
      <c r="F129" s="243"/>
      <c r="G129" s="243"/>
      <c r="H129" s="243">
        <f>AVERAGE(H121:H127)</f>
        <v>0.11947425237534512</v>
      </c>
      <c r="I129" s="243">
        <f>AVERAGE(I121:I127)</f>
        <v>0.12491661445638194</v>
      </c>
    </row>
    <row r="130" spans="1:9">
      <c r="B130" s="722"/>
      <c r="C130" s="49"/>
      <c r="D130" s="49"/>
      <c r="E130" s="49"/>
      <c r="F130" s="53"/>
      <c r="G130" s="53"/>
      <c r="H130" s="53"/>
    </row>
    <row r="131" spans="1:9">
      <c r="B131" s="724" t="s">
        <v>21</v>
      </c>
      <c r="C131" s="49"/>
      <c r="D131" s="49"/>
      <c r="E131" s="49"/>
      <c r="F131" s="49"/>
      <c r="G131" s="49"/>
      <c r="H131" s="49"/>
    </row>
    <row r="132" spans="1:9">
      <c r="B132" s="704" t="str">
        <f>B63</f>
        <v>[1] Source: Blue Chip Financial Forecasts, Vol. 39, No. 6, June 1, 2020, at 14</v>
      </c>
      <c r="C132" s="49"/>
      <c r="D132" s="49"/>
      <c r="E132" s="49"/>
      <c r="F132" s="49"/>
      <c r="G132" s="49"/>
      <c r="H132" s="49"/>
    </row>
    <row r="133" spans="1:9">
      <c r="B133" s="111" t="s">
        <v>598</v>
      </c>
      <c r="C133" s="49"/>
      <c r="D133" s="49"/>
      <c r="E133" s="49"/>
      <c r="F133" s="49"/>
      <c r="G133" s="49"/>
      <c r="H133" s="49"/>
    </row>
    <row r="134" spans="1:9">
      <c r="B134" s="111" t="str">
        <f>B111</f>
        <v>[3] Source: Schedule-4, page 13</v>
      </c>
      <c r="C134" s="49"/>
      <c r="D134" s="49"/>
      <c r="E134" s="49"/>
      <c r="F134" s="49"/>
      <c r="G134" s="49"/>
      <c r="H134" s="49"/>
    </row>
    <row r="135" spans="1:9">
      <c r="B135" s="704" t="s">
        <v>101</v>
      </c>
      <c r="C135" s="49"/>
      <c r="D135" s="49"/>
      <c r="E135" s="49"/>
      <c r="F135" s="49"/>
      <c r="G135" s="49"/>
      <c r="H135" s="49"/>
    </row>
    <row r="136" spans="1:9">
      <c r="B136" s="704" t="s">
        <v>102</v>
      </c>
      <c r="C136" s="49"/>
      <c r="D136" s="49"/>
      <c r="E136" s="49"/>
      <c r="F136" s="49"/>
      <c r="G136" s="49"/>
      <c r="H136" s="49"/>
    </row>
    <row r="137" spans="1:9">
      <c r="A137" s="49"/>
      <c r="B137" s="704" t="s">
        <v>103</v>
      </c>
      <c r="C137" s="49"/>
      <c r="D137" s="49"/>
      <c r="E137" s="49"/>
      <c r="F137" s="49"/>
      <c r="G137" s="49"/>
      <c r="H137" s="49"/>
    </row>
    <row r="138" spans="1:9">
      <c r="B138" s="705"/>
    </row>
    <row r="139" spans="1:9">
      <c r="B139" s="705"/>
    </row>
  </sheetData>
  <mergeCells count="6">
    <mergeCell ref="B117:I117"/>
    <mergeCell ref="B2:I2"/>
    <mergeCell ref="B25:I25"/>
    <mergeCell ref="B48:I48"/>
    <mergeCell ref="B71:I71"/>
    <mergeCell ref="B94:I94"/>
  </mergeCells>
  <conditionalFormatting sqref="E75:E81">
    <cfRule type="expression" dxfId="82" priority="4">
      <formula>$D75="Yes"</formula>
    </cfRule>
  </conditionalFormatting>
  <conditionalFormatting sqref="E98:E103">
    <cfRule type="expression" dxfId="81" priority="3">
      <formula>$D98="Yes"</formula>
    </cfRule>
  </conditionalFormatting>
  <conditionalFormatting sqref="E121:E127">
    <cfRule type="expression" dxfId="80" priority="2">
      <formula>$D121="Yes"</formula>
    </cfRule>
  </conditionalFormatting>
  <conditionalFormatting sqref="E104">
    <cfRule type="expression" dxfId="79" priority="1">
      <formula>$D104="Yes"</formula>
    </cfRule>
  </conditionalFormatting>
  <printOptions horizontalCentered="1"/>
  <pageMargins left="0.7" right="0.7" top="1.25" bottom="0.75" header="0.3" footer="0.3"/>
  <pageSetup scale="74" orientation="landscape" useFirstPageNumber="1" r:id="rId1"/>
  <headerFooter>
    <oddHeader>&amp;RPetitioner's Exhibit No.12
 Attachment AEB-2
Vectren South
Schedule 4 (Natural Gas Utility Proxy Group)
Page &amp;P of 21</oddHeader>
  </headerFooter>
  <rowBreaks count="5" manualBreakCount="5">
    <brk id="24" min="1" max="8" man="1"/>
    <brk id="47" min="1" max="8" man="1"/>
    <brk id="70" min="1" max="8" man="1"/>
    <brk id="93" min="1" max="8" man="1"/>
    <brk id="116" min="1" max="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F0"/>
  </sheetPr>
  <dimension ref="A1:Q185"/>
  <sheetViews>
    <sheetView topLeftCell="A122" zoomScaleNormal="100" workbookViewId="0">
      <selection activeCell="D159" sqref="D159"/>
    </sheetView>
  </sheetViews>
  <sheetFormatPr defaultColWidth="9.140625" defaultRowHeight="12.75"/>
  <cols>
    <col min="1" max="1" width="6.7109375" style="2" customWidth="1"/>
    <col min="2" max="2" width="31.28515625" style="2" customWidth="1"/>
    <col min="3" max="3" width="7.5703125" style="2" customWidth="1"/>
    <col min="4" max="4" width="18.42578125" style="2" customWidth="1"/>
    <col min="5" max="5" width="7.85546875" style="2" customWidth="1"/>
    <col min="6" max="6" width="10" style="2" customWidth="1"/>
    <col min="7" max="8" width="10.5703125" style="2" customWidth="1"/>
    <col min="9" max="16384" width="9.140625" style="2"/>
  </cols>
  <sheetData>
    <row r="1" spans="1:17">
      <c r="A1" s="49"/>
      <c r="B1" s="49"/>
      <c r="C1" s="49"/>
      <c r="D1" s="49"/>
      <c r="E1" s="49"/>
      <c r="F1" s="49"/>
      <c r="G1" s="49"/>
      <c r="H1" s="49"/>
    </row>
    <row r="2" spans="1:17" ht="13.15" customHeight="1">
      <c r="A2" s="49"/>
      <c r="B2" s="762" t="s">
        <v>92</v>
      </c>
      <c r="C2" s="762"/>
      <c r="D2" s="762"/>
      <c r="E2" s="762"/>
      <c r="F2" s="762"/>
      <c r="G2" s="762"/>
      <c r="H2" s="762"/>
      <c r="I2" s="762"/>
    </row>
    <row r="3" spans="1:17">
      <c r="A3" s="49"/>
      <c r="B3" s="49"/>
      <c r="C3" s="49"/>
      <c r="D3" s="49"/>
      <c r="E3" s="49"/>
      <c r="F3" s="49"/>
      <c r="G3" s="49"/>
      <c r="H3" s="49"/>
    </row>
    <row r="4" spans="1:17" ht="13.5" thickBot="1">
      <c r="A4" s="49"/>
      <c r="B4" s="49"/>
      <c r="C4" s="49"/>
      <c r="D4" s="50" t="s">
        <v>24</v>
      </c>
      <c r="E4" s="50" t="s">
        <v>25</v>
      </c>
      <c r="F4" s="50" t="s">
        <v>26</v>
      </c>
      <c r="G4" s="50" t="s">
        <v>27</v>
      </c>
      <c r="H4" s="50" t="s">
        <v>28</v>
      </c>
      <c r="I4" s="123" t="s">
        <v>29</v>
      </c>
    </row>
    <row r="5" spans="1:17" ht="51">
      <c r="A5" s="49"/>
      <c r="B5" s="35" t="s">
        <v>30</v>
      </c>
      <c r="C5" s="35" t="s">
        <v>31</v>
      </c>
      <c r="D5" s="105" t="s">
        <v>93</v>
      </c>
      <c r="E5" s="105" t="s">
        <v>94</v>
      </c>
      <c r="F5" s="105" t="s">
        <v>95</v>
      </c>
      <c r="G5" s="105" t="s">
        <v>96</v>
      </c>
      <c r="H5" s="51" t="s">
        <v>97</v>
      </c>
      <c r="I5" s="51" t="s">
        <v>98</v>
      </c>
    </row>
    <row r="6" spans="1:17">
      <c r="A6" s="26"/>
      <c r="B6" s="27" t="str">
        <f>'Schedule-2 Gas Proxy Selection'!B6</f>
        <v>Atmos Energy Corporation</v>
      </c>
      <c r="C6" s="426" t="str">
        <f>'Schedule-2 Gas Proxy Selection'!C6</f>
        <v>ATO</v>
      </c>
      <c r="D6" s="438">
        <v>1.4230000000000003E-2</v>
      </c>
      <c r="E6" s="58">
        <v>0.8</v>
      </c>
      <c r="F6" s="57">
        <f>'Schedule-4 CAPM 2'!$C$8</f>
        <v>0.14124370069949246</v>
      </c>
      <c r="G6" s="59">
        <f>F6-D6</f>
        <v>0.12701370069949247</v>
      </c>
      <c r="H6" s="100">
        <f>G6*E6+D6</f>
        <v>0.11584096055959399</v>
      </c>
      <c r="I6" s="100">
        <f>D6+(0.25*G6)+(0.75*E6*G6)</f>
        <v>0.12219164559456862</v>
      </c>
      <c r="K6" s="234"/>
    </row>
    <row r="7" spans="1:17">
      <c r="A7" s="26"/>
      <c r="B7" s="27" t="str">
        <f>'Schedule-2 Gas Proxy Selection'!B7</f>
        <v>Northwest Natural Gas Company</v>
      </c>
      <c r="C7" s="426" t="str">
        <f>'Schedule-2 Gas Proxy Selection'!C7</f>
        <v>NWN</v>
      </c>
      <c r="D7" s="438">
        <v>1.4230000000000003E-2</v>
      </c>
      <c r="E7" s="58">
        <v>0.8</v>
      </c>
      <c r="F7" s="57">
        <f>'Schedule-4 CAPM 2'!$C$8</f>
        <v>0.14124370069949246</v>
      </c>
      <c r="G7" s="59">
        <f t="shared" ref="G7:G12" si="0">F7-D7</f>
        <v>0.12701370069949247</v>
      </c>
      <c r="H7" s="60">
        <f t="shared" ref="H7:H11" si="1">G7*E7+D7</f>
        <v>0.11584096055959399</v>
      </c>
      <c r="I7" s="100">
        <f t="shared" ref="I7:I11" si="2">D7+(0.25*G7)+(0.75*E7*G7)</f>
        <v>0.12219164559456862</v>
      </c>
      <c r="K7" s="234"/>
    </row>
    <row r="8" spans="1:17">
      <c r="A8" s="26"/>
      <c r="B8" s="27" t="str">
        <f>'Schedule-2 Gas Proxy Selection'!B8</f>
        <v>ONE Gas Inc.</v>
      </c>
      <c r="C8" s="426" t="str">
        <f>'Schedule-2 Gas Proxy Selection'!C8</f>
        <v>OGS</v>
      </c>
      <c r="D8" s="438">
        <v>1.4230000000000003E-2</v>
      </c>
      <c r="E8" s="58">
        <v>0.8</v>
      </c>
      <c r="F8" s="57">
        <f>'Schedule-4 CAPM 2'!$C$8</f>
        <v>0.14124370069949246</v>
      </c>
      <c r="G8" s="59">
        <f t="shared" si="0"/>
        <v>0.12701370069949247</v>
      </c>
      <c r="H8" s="60">
        <f t="shared" si="1"/>
        <v>0.11584096055959399</v>
      </c>
      <c r="I8" s="100">
        <f t="shared" si="2"/>
        <v>0.12219164559456862</v>
      </c>
      <c r="K8" s="234"/>
    </row>
    <row r="9" spans="1:17">
      <c r="A9" s="26"/>
      <c r="B9" s="27" t="str">
        <f>'Schedule-2 Gas Proxy Selection'!B9</f>
        <v>South Jersey Industries, Inc.</v>
      </c>
      <c r="C9" s="426" t="str">
        <f>'Schedule-2 Gas Proxy Selection'!C9</f>
        <v>SJI</v>
      </c>
      <c r="D9" s="438">
        <v>1.4230000000000003E-2</v>
      </c>
      <c r="E9" s="58">
        <v>1</v>
      </c>
      <c r="F9" s="57">
        <f>'Schedule-4 CAPM 2'!$C$8</f>
        <v>0.14124370069949246</v>
      </c>
      <c r="G9" s="59">
        <f t="shared" si="0"/>
        <v>0.12701370069949247</v>
      </c>
      <c r="H9" s="60">
        <f t="shared" si="1"/>
        <v>0.14124370069949246</v>
      </c>
      <c r="I9" s="100">
        <f t="shared" si="2"/>
        <v>0.14124370069949249</v>
      </c>
      <c r="K9" s="234"/>
    </row>
    <row r="10" spans="1:17">
      <c r="A10" s="26"/>
      <c r="B10" s="27" t="str">
        <f>'Schedule-2 Gas Proxy Selection'!B10</f>
        <v>Southwest Gas Corporation</v>
      </c>
      <c r="C10" s="426" t="str">
        <f>'Schedule-2 Gas Proxy Selection'!C10</f>
        <v>SWX</v>
      </c>
      <c r="D10" s="438">
        <v>1.4230000000000003E-2</v>
      </c>
      <c r="E10" s="58">
        <v>0.9</v>
      </c>
      <c r="F10" s="57">
        <f>'Schedule-4 CAPM 2'!$C$8</f>
        <v>0.14124370069949246</v>
      </c>
      <c r="G10" s="59">
        <f t="shared" si="0"/>
        <v>0.12701370069949247</v>
      </c>
      <c r="H10" s="60">
        <f t="shared" si="1"/>
        <v>0.12854233062954323</v>
      </c>
      <c r="I10" s="100">
        <f t="shared" si="2"/>
        <v>0.13171767314703053</v>
      </c>
      <c r="J10" s="435"/>
      <c r="K10" s="234"/>
    </row>
    <row r="11" spans="1:17">
      <c r="A11" s="26"/>
      <c r="B11" s="27" t="str">
        <f>'Schedule-2 Gas Proxy Selection'!B11</f>
        <v>Spire, Inc.</v>
      </c>
      <c r="C11" s="426" t="str">
        <f>'Schedule-2 Gas Proxy Selection'!C11</f>
        <v>SR</v>
      </c>
      <c r="D11" s="438">
        <v>1.4230000000000003E-2</v>
      </c>
      <c r="E11" s="58">
        <v>0.8</v>
      </c>
      <c r="F11" s="57">
        <f>'Schedule-4 CAPM 2'!$C$8</f>
        <v>0.14124370069949246</v>
      </c>
      <c r="G11" s="59">
        <f t="shared" si="0"/>
        <v>0.12701370069949247</v>
      </c>
      <c r="H11" s="60">
        <f t="shared" si="1"/>
        <v>0.11584096055959399</v>
      </c>
      <c r="I11" s="100">
        <f t="shared" si="2"/>
        <v>0.12219164559456862</v>
      </c>
      <c r="J11" s="435"/>
      <c r="K11" s="234"/>
    </row>
    <row r="12" spans="1:17">
      <c r="A12" s="26"/>
      <c r="B12" s="27" t="s">
        <v>463</v>
      </c>
      <c r="C12" s="426" t="s">
        <v>464</v>
      </c>
      <c r="D12" s="438">
        <v>1.4230000000000003E-2</v>
      </c>
      <c r="E12" s="58">
        <v>0.8</v>
      </c>
      <c r="F12" s="57">
        <f>'Schedule-4 CAPM 2'!$C$8</f>
        <v>0.14124370069949246</v>
      </c>
      <c r="G12" s="520">
        <f t="shared" si="0"/>
        <v>0.12701370069949247</v>
      </c>
      <c r="H12" s="60">
        <f t="shared" ref="H12:H21" si="3">G12*E12+D12</f>
        <v>0.11584096055959399</v>
      </c>
      <c r="I12" s="100">
        <f t="shared" ref="I12:I21" si="4">D12+(0.25*G12)+(0.75*E12*G12)</f>
        <v>0.12219164559456862</v>
      </c>
      <c r="J12" s="435"/>
      <c r="K12" s="234"/>
      <c r="Q12" s="2" t="s">
        <v>191</v>
      </c>
    </row>
    <row r="13" spans="1:17">
      <c r="A13" s="26"/>
      <c r="B13" s="27" t="s">
        <v>465</v>
      </c>
      <c r="C13" s="426" t="s">
        <v>466</v>
      </c>
      <c r="D13" s="438">
        <v>1.4230000000000003E-2</v>
      </c>
      <c r="E13" s="58">
        <v>0.95</v>
      </c>
      <c r="F13" s="57">
        <f>'Schedule-4 CAPM 2'!$C$8</f>
        <v>0.14124370069949246</v>
      </c>
      <c r="G13" s="59">
        <f t="shared" ref="G13:G21" si="5">F13-D13</f>
        <v>0.12701370069949247</v>
      </c>
      <c r="H13" s="60">
        <f t="shared" si="3"/>
        <v>0.13489301566451783</v>
      </c>
      <c r="I13" s="100">
        <f t="shared" si="4"/>
        <v>0.13648068692326148</v>
      </c>
      <c r="K13" s="234"/>
    </row>
    <row r="14" spans="1:17">
      <c r="A14" s="26"/>
      <c r="B14" s="27" t="s">
        <v>467</v>
      </c>
      <c r="C14" s="426" t="s">
        <v>468</v>
      </c>
      <c r="D14" s="438">
        <v>1.4230000000000003E-2</v>
      </c>
      <c r="E14" s="58">
        <v>0.8</v>
      </c>
      <c r="F14" s="57">
        <f>'Schedule-4 CAPM 2'!$C$8</f>
        <v>0.14124370069949246</v>
      </c>
      <c r="G14" s="59">
        <f t="shared" si="5"/>
        <v>0.12701370069949247</v>
      </c>
      <c r="H14" s="60">
        <f t="shared" si="3"/>
        <v>0.11584096055959399</v>
      </c>
      <c r="I14" s="100">
        <f t="shared" si="4"/>
        <v>0.12219164559456862</v>
      </c>
      <c r="K14" s="234"/>
    </row>
    <row r="15" spans="1:17">
      <c r="A15" s="26"/>
      <c r="B15" s="27" t="s">
        <v>469</v>
      </c>
      <c r="C15" s="426" t="s">
        <v>470</v>
      </c>
      <c r="D15" s="438">
        <v>1.4230000000000003E-2</v>
      </c>
      <c r="E15" s="58">
        <v>0.8</v>
      </c>
      <c r="F15" s="57">
        <f>'Schedule-4 CAPM 2'!$C$8</f>
        <v>0.14124370069949246</v>
      </c>
      <c r="G15" s="59">
        <f t="shared" si="5"/>
        <v>0.12701370069949247</v>
      </c>
      <c r="H15" s="60">
        <f t="shared" si="3"/>
        <v>0.11584096055959399</v>
      </c>
      <c r="I15" s="100">
        <f t="shared" si="4"/>
        <v>0.12219164559456862</v>
      </c>
      <c r="K15" s="234"/>
    </row>
    <row r="16" spans="1:17">
      <c r="A16" s="26"/>
      <c r="B16" s="27" t="s">
        <v>471</v>
      </c>
      <c r="C16" s="426" t="s">
        <v>472</v>
      </c>
      <c r="D16" s="438">
        <v>1.4230000000000003E-2</v>
      </c>
      <c r="E16" s="58">
        <v>0.9</v>
      </c>
      <c r="F16" s="57">
        <f>'Schedule-4 CAPM 2'!$C$8</f>
        <v>0.14124370069949246</v>
      </c>
      <c r="G16" s="59">
        <f t="shared" si="5"/>
        <v>0.12701370069949247</v>
      </c>
      <c r="H16" s="60">
        <f t="shared" si="3"/>
        <v>0.12854233062954323</v>
      </c>
      <c r="I16" s="100">
        <f t="shared" si="4"/>
        <v>0.13171767314703053</v>
      </c>
      <c r="K16" s="234"/>
    </row>
    <row r="17" spans="1:11">
      <c r="A17" s="26"/>
      <c r="B17" s="27" t="s">
        <v>473</v>
      </c>
      <c r="C17" s="426" t="s">
        <v>474</v>
      </c>
      <c r="D17" s="438">
        <v>1.4230000000000003E-2</v>
      </c>
      <c r="E17" s="58">
        <v>0.9</v>
      </c>
      <c r="F17" s="57">
        <f>'Schedule-4 CAPM 2'!$C$8</f>
        <v>0.14124370069949246</v>
      </c>
      <c r="G17" s="59">
        <f t="shared" si="5"/>
        <v>0.12701370069949247</v>
      </c>
      <c r="H17" s="60">
        <f t="shared" si="3"/>
        <v>0.12854233062954323</v>
      </c>
      <c r="I17" s="100">
        <f t="shared" si="4"/>
        <v>0.13171767314703053</v>
      </c>
      <c r="K17" s="234"/>
    </row>
    <row r="18" spans="1:11">
      <c r="A18" s="26"/>
      <c r="B18" s="27" t="s">
        <v>475</v>
      </c>
      <c r="C18" s="426" t="s">
        <v>476</v>
      </c>
      <c r="D18" s="438">
        <v>1.4230000000000003E-2</v>
      </c>
      <c r="E18" s="58">
        <v>0.95</v>
      </c>
      <c r="F18" s="57">
        <f>'Schedule-4 CAPM 2'!$C$8</f>
        <v>0.14124370069949246</v>
      </c>
      <c r="G18" s="59">
        <f t="shared" si="5"/>
        <v>0.12701370069949247</v>
      </c>
      <c r="H18" s="60">
        <f t="shared" si="3"/>
        <v>0.13489301566451783</v>
      </c>
      <c r="I18" s="100">
        <f t="shared" si="4"/>
        <v>0.13648068692326148</v>
      </c>
      <c r="K18" s="234"/>
    </row>
    <row r="19" spans="1:11">
      <c r="A19" s="26"/>
      <c r="B19" s="27" t="s">
        <v>477</v>
      </c>
      <c r="C19" s="426" t="s">
        <v>478</v>
      </c>
      <c r="D19" s="438">
        <v>1.4230000000000003E-2</v>
      </c>
      <c r="E19" s="58">
        <v>0.9</v>
      </c>
      <c r="F19" s="57">
        <f>'Schedule-4 CAPM 2'!$C$8</f>
        <v>0.14124370069949246</v>
      </c>
      <c r="G19" s="59">
        <f t="shared" si="5"/>
        <v>0.12701370069949247</v>
      </c>
      <c r="H19" s="60">
        <f t="shared" si="3"/>
        <v>0.12854233062954323</v>
      </c>
      <c r="I19" s="100">
        <f t="shared" si="4"/>
        <v>0.13171767314703053</v>
      </c>
      <c r="K19" s="234"/>
    </row>
    <row r="20" spans="1:11">
      <c r="A20" s="26"/>
      <c r="B20" s="27" t="s">
        <v>479</v>
      </c>
      <c r="C20" s="426" t="s">
        <v>480</v>
      </c>
      <c r="D20" s="438">
        <v>1.4230000000000003E-2</v>
      </c>
      <c r="E20" s="58">
        <v>0.8</v>
      </c>
      <c r="F20" s="57">
        <f>'Schedule-4 CAPM 2'!$C$8</f>
        <v>0.14124370069949246</v>
      </c>
      <c r="G20" s="59">
        <f t="shared" si="5"/>
        <v>0.12701370069949247</v>
      </c>
      <c r="H20" s="60">
        <f t="shared" si="3"/>
        <v>0.11584096055959399</v>
      </c>
      <c r="I20" s="100">
        <f t="shared" si="4"/>
        <v>0.12219164559456862</v>
      </c>
      <c r="K20" s="234"/>
    </row>
    <row r="21" spans="1:11">
      <c r="A21" s="49"/>
      <c r="B21" s="54" t="s">
        <v>481</v>
      </c>
      <c r="C21" s="102" t="s">
        <v>482</v>
      </c>
      <c r="D21" s="439">
        <v>1.4230000000000003E-2</v>
      </c>
      <c r="E21" s="55">
        <v>0.75</v>
      </c>
      <c r="F21" s="62">
        <f>'Schedule-4 CAPM 2'!$C$8</f>
        <v>0.14124370069949246</v>
      </c>
      <c r="G21" s="63">
        <f t="shared" si="5"/>
        <v>0.12701370069949247</v>
      </c>
      <c r="H21" s="56">
        <f t="shared" si="3"/>
        <v>0.10949027552461936</v>
      </c>
      <c r="I21" s="122">
        <f t="shared" si="4"/>
        <v>0.11742863181833764</v>
      </c>
    </row>
    <row r="22" spans="1:11" ht="13.5" thickBot="1">
      <c r="A22" s="49"/>
      <c r="B22" s="437" t="s">
        <v>99</v>
      </c>
      <c r="C22" s="242"/>
      <c r="D22" s="243"/>
      <c r="E22" s="243"/>
      <c r="F22" s="243"/>
      <c r="G22" s="243"/>
      <c r="H22" s="243">
        <f>AVERAGE(H6:H21)</f>
        <v>0.12258856340925453</v>
      </c>
      <c r="I22" s="243">
        <f>AVERAGE(I6:I21)</f>
        <v>0.12725234773181404</v>
      </c>
    </row>
    <row r="23" spans="1:11">
      <c r="A23" s="49"/>
      <c r="B23" s="52"/>
      <c r="C23" s="49"/>
      <c r="D23" s="49"/>
      <c r="E23" s="49"/>
      <c r="F23" s="53"/>
      <c r="G23" s="53"/>
      <c r="H23" s="53"/>
    </row>
    <row r="24" spans="1:11">
      <c r="A24" s="49"/>
      <c r="B24" s="54" t="s">
        <v>21</v>
      </c>
      <c r="C24" s="49"/>
      <c r="D24" s="49"/>
      <c r="E24" s="49"/>
      <c r="F24" s="49"/>
      <c r="G24" s="49"/>
      <c r="H24" s="49"/>
    </row>
    <row r="25" spans="1:11">
      <c r="A25" s="49"/>
      <c r="B25" s="26" t="s">
        <v>586</v>
      </c>
      <c r="C25" s="49"/>
      <c r="D25" s="49"/>
      <c r="E25" s="49"/>
      <c r="F25" s="49"/>
      <c r="G25" s="49"/>
      <c r="H25" s="49"/>
    </row>
    <row r="26" spans="1:11">
      <c r="A26" s="49"/>
      <c r="B26" s="99" t="s">
        <v>597</v>
      </c>
      <c r="C26" s="49"/>
      <c r="D26" s="49"/>
      <c r="E26" s="49"/>
      <c r="F26" s="49"/>
      <c r="G26" s="49"/>
      <c r="H26" s="49"/>
    </row>
    <row r="27" spans="1:11">
      <c r="A27" s="49"/>
      <c r="B27" s="111" t="s">
        <v>762</v>
      </c>
      <c r="C27" s="49"/>
      <c r="D27" s="49"/>
      <c r="E27" s="49"/>
      <c r="F27" s="49"/>
      <c r="G27" s="49"/>
      <c r="H27" s="49"/>
    </row>
    <row r="28" spans="1:11">
      <c r="A28" s="49"/>
      <c r="B28" s="49" t="s">
        <v>101</v>
      </c>
      <c r="C28" s="49"/>
      <c r="D28" s="49"/>
      <c r="E28" s="49"/>
      <c r="F28" s="49"/>
      <c r="G28" s="49"/>
      <c r="H28" s="49"/>
    </row>
    <row r="29" spans="1:11">
      <c r="A29" s="49"/>
      <c r="B29" s="49" t="s">
        <v>102</v>
      </c>
      <c r="C29" s="49"/>
      <c r="D29" s="49"/>
      <c r="E29" s="49"/>
      <c r="F29" s="49"/>
      <c r="G29" s="49"/>
      <c r="H29" s="49"/>
    </row>
    <row r="30" spans="1:11">
      <c r="A30" s="49"/>
      <c r="B30" s="49" t="s">
        <v>103</v>
      </c>
      <c r="C30" s="49"/>
      <c r="D30" s="49"/>
      <c r="E30" s="49"/>
      <c r="F30" s="49"/>
      <c r="G30" s="49"/>
      <c r="H30" s="49"/>
    </row>
    <row r="31" spans="1:11">
      <c r="A31" s="49"/>
      <c r="B31" s="49"/>
      <c r="C31" s="49"/>
      <c r="D31" s="49"/>
      <c r="E31" s="49"/>
      <c r="F31" s="49"/>
      <c r="G31" s="49"/>
      <c r="H31" s="49"/>
    </row>
    <row r="32" spans="1:11">
      <c r="A32" s="49"/>
      <c r="B32" s="49"/>
      <c r="C32" s="49"/>
      <c r="D32" s="49"/>
      <c r="E32" s="49"/>
      <c r="F32" s="49"/>
      <c r="G32" s="49"/>
      <c r="H32" s="49"/>
    </row>
    <row r="33" spans="1:10" ht="13.15" customHeight="1">
      <c r="A33" s="49"/>
      <c r="B33" s="762" t="s">
        <v>104</v>
      </c>
      <c r="C33" s="762"/>
      <c r="D33" s="762"/>
      <c r="E33" s="762"/>
      <c r="F33" s="762"/>
      <c r="G33" s="762"/>
      <c r="H33" s="762"/>
      <c r="I33" s="762"/>
    </row>
    <row r="34" spans="1:10">
      <c r="A34" s="49"/>
      <c r="B34" s="49"/>
      <c r="C34" s="49"/>
      <c r="D34" s="49"/>
      <c r="E34" s="49"/>
      <c r="F34" s="49"/>
      <c r="G34" s="49"/>
      <c r="H34" s="49"/>
    </row>
    <row r="35" spans="1:10" ht="13.5" thickBot="1">
      <c r="A35" s="49"/>
      <c r="B35" s="49"/>
      <c r="C35" s="49"/>
      <c r="D35" s="50" t="s">
        <v>24</v>
      </c>
      <c r="E35" s="50" t="s">
        <v>25</v>
      </c>
      <c r="F35" s="50" t="s">
        <v>26</v>
      </c>
      <c r="G35" s="50" t="s">
        <v>27</v>
      </c>
      <c r="H35" s="50" t="s">
        <v>28</v>
      </c>
      <c r="I35" s="123" t="s">
        <v>29</v>
      </c>
    </row>
    <row r="36" spans="1:10" ht="51">
      <c r="A36" s="49"/>
      <c r="B36" s="35" t="s">
        <v>30</v>
      </c>
      <c r="C36" s="35" t="s">
        <v>31</v>
      </c>
      <c r="D36" s="105" t="s">
        <v>603</v>
      </c>
      <c r="E36" s="105" t="s">
        <v>94</v>
      </c>
      <c r="F36" s="105" t="s">
        <v>95</v>
      </c>
      <c r="G36" s="105" t="s">
        <v>96</v>
      </c>
      <c r="H36" s="51" t="s">
        <v>97</v>
      </c>
      <c r="I36" s="51" t="s">
        <v>98</v>
      </c>
    </row>
    <row r="37" spans="1:10">
      <c r="A37" s="49"/>
      <c r="B37" s="246" t="str">
        <f>'Schedule-2 Gas Proxy Selection'!B6</f>
        <v>Atmos Energy Corporation</v>
      </c>
      <c r="C37" s="247" t="str">
        <f>'Schedule-2 Gas Proxy Selection'!C6</f>
        <v>ATO</v>
      </c>
      <c r="D37" s="109">
        <f>AVERAGE(1.6%, 1.6%, 1.7%, 1.8%, 1.9%)</f>
        <v>1.72E-2</v>
      </c>
      <c r="E37" s="248">
        <v>0.8</v>
      </c>
      <c r="F37" s="57">
        <f>'Schedule-4 CAPM 2'!$C$8</f>
        <v>0.14124370069949246</v>
      </c>
      <c r="G37" s="249">
        <f>F37-D37</f>
        <v>0.12404370069949247</v>
      </c>
      <c r="H37" s="250">
        <f>G37*E37+D37</f>
        <v>0.11643496055959399</v>
      </c>
      <c r="I37" s="100">
        <f>D37+(0.25*G37)+(0.75*E37*G37)</f>
        <v>0.12263714559456861</v>
      </c>
    </row>
    <row r="38" spans="1:10">
      <c r="A38" s="49"/>
      <c r="B38" s="64" t="str">
        <f>'Schedule-2 Gas Proxy Selection'!B7</f>
        <v>Northwest Natural Gas Company</v>
      </c>
      <c r="C38" s="101" t="str">
        <f>'Schedule-2 Gas Proxy Selection'!C7</f>
        <v>NWN</v>
      </c>
      <c r="D38" s="109">
        <f>D37</f>
        <v>1.72E-2</v>
      </c>
      <c r="E38" s="58">
        <v>0.8</v>
      </c>
      <c r="F38" s="57">
        <f>'Schedule-4 CAPM 2'!$C$8</f>
        <v>0.14124370069949246</v>
      </c>
      <c r="G38" s="66">
        <f t="shared" ref="G38:G52" si="6">F38-D38</f>
        <v>0.12404370069949247</v>
      </c>
      <c r="H38" s="67">
        <f t="shared" ref="H38:H52" si="7">G38*E38+D38</f>
        <v>0.11643496055959399</v>
      </c>
      <c r="I38" s="100">
        <f t="shared" ref="I38:I52" si="8">D38+(0.25*G38)+(0.75*E38*G38)</f>
        <v>0.12263714559456861</v>
      </c>
    </row>
    <row r="39" spans="1:10">
      <c r="A39" s="49"/>
      <c r="B39" s="64" t="str">
        <f>'Schedule-2 Gas Proxy Selection'!B8</f>
        <v>ONE Gas Inc.</v>
      </c>
      <c r="C39" s="101" t="str">
        <f>'Schedule-2 Gas Proxy Selection'!C8</f>
        <v>OGS</v>
      </c>
      <c r="D39" s="109">
        <f t="shared" ref="D39:D52" si="9">D38</f>
        <v>1.72E-2</v>
      </c>
      <c r="E39" s="58">
        <v>0.8</v>
      </c>
      <c r="F39" s="57">
        <f>'Schedule-4 CAPM 2'!$C$8</f>
        <v>0.14124370069949246</v>
      </c>
      <c r="G39" s="66">
        <f t="shared" si="6"/>
        <v>0.12404370069949247</v>
      </c>
      <c r="H39" s="67">
        <f t="shared" si="7"/>
        <v>0.11643496055959399</v>
      </c>
      <c r="I39" s="100">
        <f t="shared" si="8"/>
        <v>0.12263714559456861</v>
      </c>
    </row>
    <row r="40" spans="1:10">
      <c r="A40" s="49"/>
      <c r="B40" s="64" t="str">
        <f>'Schedule-2 Gas Proxy Selection'!B9</f>
        <v>South Jersey Industries, Inc.</v>
      </c>
      <c r="C40" s="101" t="str">
        <f>'Schedule-2 Gas Proxy Selection'!C9</f>
        <v>SJI</v>
      </c>
      <c r="D40" s="113">
        <f t="shared" si="9"/>
        <v>1.72E-2</v>
      </c>
      <c r="E40" s="58">
        <v>1</v>
      </c>
      <c r="F40" s="57">
        <f>'Schedule-4 CAPM 2'!$C$8</f>
        <v>0.14124370069949246</v>
      </c>
      <c r="G40" s="66">
        <f t="shared" si="6"/>
        <v>0.12404370069949247</v>
      </c>
      <c r="H40" s="67">
        <f t="shared" si="7"/>
        <v>0.14124370069949246</v>
      </c>
      <c r="I40" s="100">
        <f t="shared" si="8"/>
        <v>0.14124370069949249</v>
      </c>
      <c r="J40" s="435"/>
    </row>
    <row r="41" spans="1:10">
      <c r="A41" s="49"/>
      <c r="B41" s="64" t="str">
        <f>'Schedule-2 Gas Proxy Selection'!B10</f>
        <v>Southwest Gas Corporation</v>
      </c>
      <c r="C41" s="101" t="str">
        <f>'Schedule-2 Gas Proxy Selection'!C10</f>
        <v>SWX</v>
      </c>
      <c r="D41" s="113">
        <f t="shared" si="9"/>
        <v>1.72E-2</v>
      </c>
      <c r="E41" s="58">
        <v>0.9</v>
      </c>
      <c r="F41" s="57">
        <f>'Schedule-4 CAPM 2'!$C$8</f>
        <v>0.14124370069949246</v>
      </c>
      <c r="G41" s="66">
        <f t="shared" si="6"/>
        <v>0.12404370069949247</v>
      </c>
      <c r="H41" s="67">
        <f t="shared" si="7"/>
        <v>0.12883933062954323</v>
      </c>
      <c r="I41" s="100">
        <f t="shared" si="8"/>
        <v>0.13194042314703053</v>
      </c>
      <c r="J41" s="435"/>
    </row>
    <row r="42" spans="1:10">
      <c r="A42" s="49"/>
      <c r="B42" s="64" t="str">
        <f>'Schedule-2 Gas Proxy Selection'!B11</f>
        <v>Spire, Inc.</v>
      </c>
      <c r="C42" s="101" t="str">
        <f>'Schedule-2 Gas Proxy Selection'!C11</f>
        <v>SR</v>
      </c>
      <c r="D42" s="113">
        <f t="shared" si="9"/>
        <v>1.72E-2</v>
      </c>
      <c r="E42" s="58">
        <v>0.8</v>
      </c>
      <c r="F42" s="57">
        <f>'Schedule-4 CAPM 2'!$C$8</f>
        <v>0.14124370069949246</v>
      </c>
      <c r="G42" s="66">
        <f t="shared" si="6"/>
        <v>0.12404370069949247</v>
      </c>
      <c r="H42" s="67">
        <f t="shared" si="7"/>
        <v>0.11643496055959399</v>
      </c>
      <c r="I42" s="100">
        <f t="shared" si="8"/>
        <v>0.12263714559456861</v>
      </c>
      <c r="J42" s="435"/>
    </row>
    <row r="43" spans="1:10">
      <c r="A43" s="49"/>
      <c r="B43" s="27" t="s">
        <v>463</v>
      </c>
      <c r="C43" s="426" t="s">
        <v>464</v>
      </c>
      <c r="D43" s="40">
        <f t="shared" si="9"/>
        <v>1.72E-2</v>
      </c>
      <c r="E43" s="58">
        <v>0.8</v>
      </c>
      <c r="F43" s="57">
        <f>'Schedule-4 CAPM 2'!$C$8</f>
        <v>0.14124370069949246</v>
      </c>
      <c r="G43" s="59">
        <f t="shared" si="6"/>
        <v>0.12404370069949247</v>
      </c>
      <c r="H43" s="60">
        <f t="shared" si="7"/>
        <v>0.11643496055959399</v>
      </c>
      <c r="I43" s="100">
        <f t="shared" si="8"/>
        <v>0.12263714559456861</v>
      </c>
      <c r="J43" s="435"/>
    </row>
    <row r="44" spans="1:10">
      <c r="A44" s="49"/>
      <c r="B44" s="27" t="s">
        <v>465</v>
      </c>
      <c r="C44" s="426" t="s">
        <v>466</v>
      </c>
      <c r="D44" s="40">
        <f t="shared" si="9"/>
        <v>1.72E-2</v>
      </c>
      <c r="E44" s="58">
        <v>0.95</v>
      </c>
      <c r="F44" s="57">
        <f>'Schedule-4 CAPM 2'!$C$8</f>
        <v>0.14124370069949246</v>
      </c>
      <c r="G44" s="59">
        <f t="shared" si="6"/>
        <v>0.12404370069949247</v>
      </c>
      <c r="H44" s="60">
        <f t="shared" si="7"/>
        <v>0.13504151566451783</v>
      </c>
      <c r="I44" s="100">
        <f t="shared" si="8"/>
        <v>0.13659206192326151</v>
      </c>
      <c r="J44" s="435"/>
    </row>
    <row r="45" spans="1:10">
      <c r="A45" s="49"/>
      <c r="B45" s="27" t="s">
        <v>467</v>
      </c>
      <c r="C45" s="426" t="s">
        <v>468</v>
      </c>
      <c r="D45" s="40">
        <f t="shared" si="9"/>
        <v>1.72E-2</v>
      </c>
      <c r="E45" s="58">
        <v>0.8</v>
      </c>
      <c r="F45" s="57">
        <f>'Schedule-4 CAPM 2'!$C$8</f>
        <v>0.14124370069949246</v>
      </c>
      <c r="G45" s="59">
        <f t="shared" si="6"/>
        <v>0.12404370069949247</v>
      </c>
      <c r="H45" s="60">
        <f t="shared" si="7"/>
        <v>0.11643496055959399</v>
      </c>
      <c r="I45" s="100">
        <f t="shared" si="8"/>
        <v>0.12263714559456861</v>
      </c>
    </row>
    <row r="46" spans="1:10">
      <c r="A46" s="49"/>
      <c r="B46" s="27" t="s">
        <v>469</v>
      </c>
      <c r="C46" s="426" t="s">
        <v>470</v>
      </c>
      <c r="D46" s="40">
        <f t="shared" si="9"/>
        <v>1.72E-2</v>
      </c>
      <c r="E46" s="58">
        <v>0.8</v>
      </c>
      <c r="F46" s="57">
        <f>'Schedule-4 CAPM 2'!$C$8</f>
        <v>0.14124370069949246</v>
      </c>
      <c r="G46" s="59">
        <f t="shared" si="6"/>
        <v>0.12404370069949247</v>
      </c>
      <c r="H46" s="60">
        <f t="shared" si="7"/>
        <v>0.11643496055959399</v>
      </c>
      <c r="I46" s="100">
        <f t="shared" si="8"/>
        <v>0.12263714559456861</v>
      </c>
    </row>
    <row r="47" spans="1:10">
      <c r="A47" s="49"/>
      <c r="B47" s="27" t="s">
        <v>471</v>
      </c>
      <c r="C47" s="426" t="s">
        <v>472</v>
      </c>
      <c r="D47" s="40">
        <f t="shared" si="9"/>
        <v>1.72E-2</v>
      </c>
      <c r="E47" s="58">
        <v>0.9</v>
      </c>
      <c r="F47" s="57">
        <f>'Schedule-4 CAPM 2'!$C$8</f>
        <v>0.14124370069949246</v>
      </c>
      <c r="G47" s="59">
        <f t="shared" si="6"/>
        <v>0.12404370069949247</v>
      </c>
      <c r="H47" s="60">
        <f t="shared" si="7"/>
        <v>0.12883933062954323</v>
      </c>
      <c r="I47" s="100">
        <f t="shared" si="8"/>
        <v>0.13194042314703053</v>
      </c>
    </row>
    <row r="48" spans="1:10">
      <c r="A48" s="49"/>
      <c r="B48" s="27" t="s">
        <v>473</v>
      </c>
      <c r="C48" s="426" t="s">
        <v>474</v>
      </c>
      <c r="D48" s="40">
        <f t="shared" si="9"/>
        <v>1.72E-2</v>
      </c>
      <c r="E48" s="58">
        <v>0.9</v>
      </c>
      <c r="F48" s="57">
        <f>'Schedule-4 CAPM 2'!$C$8</f>
        <v>0.14124370069949246</v>
      </c>
      <c r="G48" s="59">
        <f t="shared" si="6"/>
        <v>0.12404370069949247</v>
      </c>
      <c r="H48" s="60">
        <f t="shared" si="7"/>
        <v>0.12883933062954323</v>
      </c>
      <c r="I48" s="100">
        <f t="shared" si="8"/>
        <v>0.13194042314703053</v>
      </c>
    </row>
    <row r="49" spans="1:9">
      <c r="A49" s="49"/>
      <c r="B49" s="27" t="s">
        <v>475</v>
      </c>
      <c r="C49" s="426" t="s">
        <v>476</v>
      </c>
      <c r="D49" s="40">
        <f t="shared" si="9"/>
        <v>1.72E-2</v>
      </c>
      <c r="E49" s="58">
        <v>0.95</v>
      </c>
      <c r="F49" s="57">
        <f>'Schedule-4 CAPM 2'!$C$8</f>
        <v>0.14124370069949246</v>
      </c>
      <c r="G49" s="59">
        <f t="shared" si="6"/>
        <v>0.12404370069949247</v>
      </c>
      <c r="H49" s="60">
        <f t="shared" si="7"/>
        <v>0.13504151566451783</v>
      </c>
      <c r="I49" s="100">
        <f t="shared" si="8"/>
        <v>0.13659206192326151</v>
      </c>
    </row>
    <row r="50" spans="1:9">
      <c r="A50" s="49"/>
      <c r="B50" s="27" t="s">
        <v>477</v>
      </c>
      <c r="C50" s="426" t="s">
        <v>478</v>
      </c>
      <c r="D50" s="40">
        <f t="shared" si="9"/>
        <v>1.72E-2</v>
      </c>
      <c r="E50" s="58">
        <v>0.9</v>
      </c>
      <c r="F50" s="57">
        <f>'Schedule-4 CAPM 2'!$C$8</f>
        <v>0.14124370069949246</v>
      </c>
      <c r="G50" s="59">
        <f t="shared" si="6"/>
        <v>0.12404370069949247</v>
      </c>
      <c r="H50" s="60">
        <f t="shared" si="7"/>
        <v>0.12883933062954323</v>
      </c>
      <c r="I50" s="100">
        <f t="shared" si="8"/>
        <v>0.13194042314703053</v>
      </c>
    </row>
    <row r="51" spans="1:9">
      <c r="A51" s="49"/>
      <c r="B51" s="27" t="s">
        <v>479</v>
      </c>
      <c r="C51" s="426" t="s">
        <v>480</v>
      </c>
      <c r="D51" s="40">
        <f t="shared" si="9"/>
        <v>1.72E-2</v>
      </c>
      <c r="E51" s="58">
        <v>0.8</v>
      </c>
      <c r="F51" s="57">
        <f>'Schedule-4 CAPM 2'!$C$8</f>
        <v>0.14124370069949246</v>
      </c>
      <c r="G51" s="59">
        <f t="shared" si="6"/>
        <v>0.12404370069949247</v>
      </c>
      <c r="H51" s="60">
        <f t="shared" si="7"/>
        <v>0.11643496055959399</v>
      </c>
      <c r="I51" s="100">
        <f t="shared" si="8"/>
        <v>0.12263714559456861</v>
      </c>
    </row>
    <row r="52" spans="1:9">
      <c r="A52" s="49"/>
      <c r="B52" s="54" t="s">
        <v>481</v>
      </c>
      <c r="C52" s="102" t="s">
        <v>482</v>
      </c>
      <c r="D52" s="43">
        <f t="shared" si="9"/>
        <v>1.72E-2</v>
      </c>
      <c r="E52" s="102">
        <v>0.75</v>
      </c>
      <c r="F52" s="62">
        <f>'Schedule-4 CAPM 2'!$C$8</f>
        <v>0.14124370069949246</v>
      </c>
      <c r="G52" s="63">
        <f t="shared" si="6"/>
        <v>0.12404370069949247</v>
      </c>
      <c r="H52" s="56">
        <f t="shared" si="7"/>
        <v>0.11023277552461935</v>
      </c>
      <c r="I52" s="122">
        <f t="shared" si="8"/>
        <v>0.11798550681833764</v>
      </c>
    </row>
    <row r="53" spans="1:9" ht="13.5" thickBot="1">
      <c r="A53" s="49"/>
      <c r="B53" s="437" t="s">
        <v>99</v>
      </c>
      <c r="C53" s="242"/>
      <c r="D53" s="243"/>
      <c r="E53" s="242"/>
      <c r="F53" s="243"/>
      <c r="G53" s="243"/>
      <c r="H53" s="243">
        <f>AVERAGE(H37:H52)</f>
        <v>0.12302478215925453</v>
      </c>
      <c r="I53" s="243">
        <f>AVERAGE(I37:I52)</f>
        <v>0.12757951179431398</v>
      </c>
    </row>
    <row r="54" spans="1:9">
      <c r="A54" s="49"/>
      <c r="B54" s="52"/>
      <c r="C54" s="49"/>
      <c r="D54" s="49"/>
      <c r="E54" s="49"/>
      <c r="F54" s="53"/>
      <c r="G54" s="53"/>
      <c r="H54" s="53"/>
    </row>
    <row r="55" spans="1:9">
      <c r="A55" s="49"/>
      <c r="B55" s="54" t="s">
        <v>21</v>
      </c>
      <c r="C55" s="49"/>
      <c r="D55" s="49"/>
      <c r="E55" s="49"/>
      <c r="F55" s="49"/>
      <c r="G55" s="49"/>
      <c r="H55" s="49"/>
    </row>
    <row r="56" spans="1:9">
      <c r="A56" s="49"/>
      <c r="B56" s="111" t="s">
        <v>604</v>
      </c>
      <c r="C56" s="49"/>
      <c r="D56" s="49"/>
      <c r="E56" s="49"/>
      <c r="F56" s="49"/>
      <c r="G56" s="49"/>
      <c r="H56" s="49"/>
    </row>
    <row r="57" spans="1:9">
      <c r="A57" s="49"/>
      <c r="B57" s="99" t="str">
        <f>B26</f>
        <v>[2] Source: Value Line; dated July 24, 2020; August 14, 2020; August 28, 2020; and September 11, 2020</v>
      </c>
      <c r="C57" s="49"/>
      <c r="D57" s="49"/>
      <c r="E57" s="49"/>
      <c r="F57" s="49"/>
      <c r="G57" s="49"/>
      <c r="H57" s="49"/>
    </row>
    <row r="58" spans="1:9">
      <c r="A58" s="49"/>
      <c r="B58" s="99" t="str">
        <f>B27</f>
        <v>[3] Source: Schedule-4, page 13</v>
      </c>
      <c r="C58" s="49"/>
      <c r="D58" s="49"/>
      <c r="E58" s="49"/>
      <c r="F58" s="49"/>
      <c r="G58" s="49"/>
      <c r="H58" s="49"/>
    </row>
    <row r="59" spans="1:9">
      <c r="A59" s="49"/>
      <c r="B59" s="49" t="s">
        <v>101</v>
      </c>
      <c r="C59" s="49"/>
      <c r="D59" s="49"/>
      <c r="E59" s="49"/>
      <c r="F59" s="49"/>
      <c r="G59" s="49"/>
      <c r="H59" s="49"/>
    </row>
    <row r="60" spans="1:9">
      <c r="A60" s="49"/>
      <c r="B60" s="49" t="s">
        <v>102</v>
      </c>
      <c r="C60" s="49"/>
      <c r="D60" s="49"/>
      <c r="E60" s="49"/>
      <c r="F60" s="49"/>
      <c r="G60" s="49"/>
      <c r="H60" s="49"/>
    </row>
    <row r="61" spans="1:9">
      <c r="A61" s="49"/>
      <c r="B61" s="49" t="s">
        <v>103</v>
      </c>
      <c r="C61" s="49"/>
      <c r="D61" s="49"/>
      <c r="E61" s="49"/>
      <c r="F61" s="49"/>
      <c r="G61" s="49"/>
      <c r="H61" s="49"/>
    </row>
    <row r="62" spans="1:9">
      <c r="A62" s="49"/>
      <c r="B62" s="49"/>
      <c r="C62" s="49"/>
      <c r="D62" s="49"/>
      <c r="E62" s="49"/>
      <c r="F62" s="49"/>
      <c r="G62" s="49"/>
      <c r="H62" s="49"/>
    </row>
    <row r="63" spans="1:9">
      <c r="A63" s="49"/>
      <c r="B63" s="49"/>
      <c r="C63" s="49"/>
      <c r="D63" s="49"/>
      <c r="E63" s="49"/>
      <c r="F63" s="49"/>
      <c r="G63" s="49"/>
      <c r="H63" s="49"/>
    </row>
    <row r="64" spans="1:9" ht="13.15" customHeight="1">
      <c r="A64" s="49"/>
      <c r="B64" s="762" t="s">
        <v>105</v>
      </c>
      <c r="C64" s="762"/>
      <c r="D64" s="762"/>
      <c r="E64" s="762"/>
      <c r="F64" s="762"/>
      <c r="G64" s="762"/>
      <c r="H64" s="762"/>
      <c r="I64" s="762"/>
    </row>
    <row r="65" spans="1:10">
      <c r="A65" s="49"/>
      <c r="B65" s="49"/>
      <c r="C65" s="49"/>
      <c r="D65" s="49"/>
      <c r="E65" s="49"/>
      <c r="F65" s="49"/>
      <c r="G65" s="49"/>
      <c r="H65" s="49"/>
    </row>
    <row r="66" spans="1:10" ht="13.5" thickBot="1">
      <c r="A66" s="49"/>
      <c r="B66" s="49"/>
      <c r="C66" s="49"/>
      <c r="D66" s="50" t="s">
        <v>24</v>
      </c>
      <c r="E66" s="50" t="s">
        <v>25</v>
      </c>
      <c r="F66" s="50" t="s">
        <v>26</v>
      </c>
      <c r="G66" s="50" t="s">
        <v>27</v>
      </c>
      <c r="H66" s="50" t="s">
        <v>28</v>
      </c>
      <c r="I66" s="123" t="s">
        <v>29</v>
      </c>
    </row>
    <row r="67" spans="1:10" ht="38.25">
      <c r="A67" s="49"/>
      <c r="B67" s="35" t="s">
        <v>30</v>
      </c>
      <c r="C67" s="35" t="s">
        <v>31</v>
      </c>
      <c r="D67" s="292" t="s">
        <v>106</v>
      </c>
      <c r="E67" s="105" t="s">
        <v>94</v>
      </c>
      <c r="F67" s="105" t="s">
        <v>95</v>
      </c>
      <c r="G67" s="105" t="s">
        <v>96</v>
      </c>
      <c r="H67" s="51" t="s">
        <v>97</v>
      </c>
      <c r="I67" s="51" t="s">
        <v>98</v>
      </c>
    </row>
    <row r="68" spans="1:10">
      <c r="A68" s="49"/>
      <c r="B68" s="246" t="str">
        <f>'Schedule-2 Gas Proxy Selection'!B6</f>
        <v>Atmos Energy Corporation</v>
      </c>
      <c r="C68" s="247" t="str">
        <f>'Schedule-2 Gas Proxy Selection'!C6</f>
        <v>ATO</v>
      </c>
      <c r="D68" s="251">
        <v>0.03</v>
      </c>
      <c r="E68" s="58">
        <v>0.8</v>
      </c>
      <c r="F68" s="57">
        <f>'Schedule-4 CAPM 2'!$C$8</f>
        <v>0.14124370069949246</v>
      </c>
      <c r="G68" s="249">
        <f>F68-D68</f>
        <v>0.11124370069949246</v>
      </c>
      <c r="H68" s="250">
        <f>G68*E68+D68</f>
        <v>0.11899496055959398</v>
      </c>
      <c r="I68" s="100">
        <f>D68+(0.25*G68)+(0.75*E68*G68)</f>
        <v>0.12455714559456861</v>
      </c>
    </row>
    <row r="69" spans="1:10">
      <c r="A69" s="49"/>
      <c r="B69" s="64" t="str">
        <f>'Schedule-2 Gas Proxy Selection'!B7</f>
        <v>Northwest Natural Gas Company</v>
      </c>
      <c r="C69" s="101" t="str">
        <f>'Schedule-2 Gas Proxy Selection'!C7</f>
        <v>NWN</v>
      </c>
      <c r="D69" s="113">
        <v>0.03</v>
      </c>
      <c r="E69" s="58">
        <v>0.8</v>
      </c>
      <c r="F69" s="57">
        <f>'Schedule-4 CAPM 2'!$C$8</f>
        <v>0.14124370069949246</v>
      </c>
      <c r="G69" s="66">
        <f t="shared" ref="G69:G73" si="10">F69-D69</f>
        <v>0.11124370069949246</v>
      </c>
      <c r="H69" s="67">
        <f t="shared" ref="H69:H73" si="11">G69*E69+D69</f>
        <v>0.11899496055959398</v>
      </c>
      <c r="I69" s="100">
        <f t="shared" ref="I69:I73" si="12">D69+(0.25*G69)+(0.75*E69*G69)</f>
        <v>0.12455714559456861</v>
      </c>
    </row>
    <row r="70" spans="1:10">
      <c r="A70" s="49"/>
      <c r="B70" s="64" t="str">
        <f>'Schedule-2 Gas Proxy Selection'!B8</f>
        <v>ONE Gas Inc.</v>
      </c>
      <c r="C70" s="101" t="str">
        <f>'Schedule-2 Gas Proxy Selection'!C8</f>
        <v>OGS</v>
      </c>
      <c r="D70" s="113">
        <v>0.03</v>
      </c>
      <c r="E70" s="58">
        <v>0.8</v>
      </c>
      <c r="F70" s="57">
        <f>'Schedule-4 CAPM 2'!$C$8</f>
        <v>0.14124370069949246</v>
      </c>
      <c r="G70" s="66">
        <f t="shared" si="10"/>
        <v>0.11124370069949246</v>
      </c>
      <c r="H70" s="67">
        <f t="shared" si="11"/>
        <v>0.11899496055959398</v>
      </c>
      <c r="I70" s="100">
        <f t="shared" si="12"/>
        <v>0.12455714559456861</v>
      </c>
    </row>
    <row r="71" spans="1:10">
      <c r="A71" s="49"/>
      <c r="B71" s="64" t="str">
        <f>'Schedule-2 Gas Proxy Selection'!B9</f>
        <v>South Jersey Industries, Inc.</v>
      </c>
      <c r="C71" s="101" t="str">
        <f>'Schedule-2 Gas Proxy Selection'!C9</f>
        <v>SJI</v>
      </c>
      <c r="D71" s="113">
        <v>0.03</v>
      </c>
      <c r="E71" s="58">
        <v>1</v>
      </c>
      <c r="F71" s="57">
        <f>'Schedule-4 CAPM 2'!$C$8</f>
        <v>0.14124370069949246</v>
      </c>
      <c r="G71" s="66">
        <f t="shared" si="10"/>
        <v>0.11124370069949246</v>
      </c>
      <c r="H71" s="67">
        <f t="shared" si="11"/>
        <v>0.14124370069949246</v>
      </c>
      <c r="I71" s="100">
        <f t="shared" si="12"/>
        <v>0.14124370069949246</v>
      </c>
    </row>
    <row r="72" spans="1:10">
      <c r="A72" s="49"/>
      <c r="B72" s="64" t="str">
        <f>'Schedule-2 Gas Proxy Selection'!B10</f>
        <v>Southwest Gas Corporation</v>
      </c>
      <c r="C72" s="101" t="str">
        <f>'Schedule-2 Gas Proxy Selection'!C10</f>
        <v>SWX</v>
      </c>
      <c r="D72" s="113">
        <v>0.03</v>
      </c>
      <c r="E72" s="58">
        <v>0.9</v>
      </c>
      <c r="F72" s="57">
        <f>'Schedule-4 CAPM 2'!$C$8</f>
        <v>0.14124370069949246</v>
      </c>
      <c r="G72" s="66">
        <f t="shared" si="10"/>
        <v>0.11124370069949246</v>
      </c>
      <c r="H72" s="67">
        <f t="shared" si="11"/>
        <v>0.13011933062954323</v>
      </c>
      <c r="I72" s="100">
        <f t="shared" si="12"/>
        <v>0.13290042314703054</v>
      </c>
      <c r="J72" s="435"/>
    </row>
    <row r="73" spans="1:10">
      <c r="A73" s="49"/>
      <c r="B73" s="64" t="str">
        <f>'Schedule-2 Gas Proxy Selection'!B11</f>
        <v>Spire, Inc.</v>
      </c>
      <c r="C73" s="101" t="str">
        <f>'Schedule-2 Gas Proxy Selection'!C11</f>
        <v>SR</v>
      </c>
      <c r="D73" s="113">
        <v>0.03</v>
      </c>
      <c r="E73" s="58">
        <v>0.8</v>
      </c>
      <c r="F73" s="57">
        <f>'Schedule-4 CAPM 2'!$C$8</f>
        <v>0.14124370069949246</v>
      </c>
      <c r="G73" s="66">
        <f t="shared" si="10"/>
        <v>0.11124370069949246</v>
      </c>
      <c r="H73" s="67">
        <f t="shared" si="11"/>
        <v>0.11899496055959398</v>
      </c>
      <c r="I73" s="100">
        <f t="shared" si="12"/>
        <v>0.12455714559456861</v>
      </c>
      <c r="J73" s="435"/>
    </row>
    <row r="74" spans="1:10">
      <c r="A74" s="49"/>
      <c r="B74" s="27" t="s">
        <v>463</v>
      </c>
      <c r="C74" s="426" t="s">
        <v>464</v>
      </c>
      <c r="D74" s="40">
        <v>0.03</v>
      </c>
      <c r="E74" s="58">
        <v>0.8</v>
      </c>
      <c r="F74" s="57">
        <f>'Schedule-4 CAPM 2'!$C$8</f>
        <v>0.14124370069949246</v>
      </c>
      <c r="G74" s="66">
        <f t="shared" ref="G74:G83" si="13">F74-D74</f>
        <v>0.11124370069949246</v>
      </c>
      <c r="H74" s="67">
        <f t="shared" ref="H74:H83" si="14">G74*E74+D74</f>
        <v>0.11899496055959398</v>
      </c>
      <c r="I74" s="100">
        <f t="shared" ref="I74:I83" si="15">D74+(0.25*G74)+(0.75*E74*G74)</f>
        <v>0.12455714559456861</v>
      </c>
      <c r="J74" s="435"/>
    </row>
    <row r="75" spans="1:10">
      <c r="A75" s="49"/>
      <c r="B75" s="27" t="s">
        <v>465</v>
      </c>
      <c r="C75" s="426" t="s">
        <v>466</v>
      </c>
      <c r="D75" s="40">
        <v>0.03</v>
      </c>
      <c r="E75" s="58">
        <v>0.95</v>
      </c>
      <c r="F75" s="57">
        <f>'Schedule-4 CAPM 2'!$C$8</f>
        <v>0.14124370069949246</v>
      </c>
      <c r="G75" s="66">
        <f t="shared" si="13"/>
        <v>0.11124370069949246</v>
      </c>
      <c r="H75" s="67">
        <f t="shared" si="14"/>
        <v>0.13568151566451783</v>
      </c>
      <c r="I75" s="100">
        <f t="shared" si="15"/>
        <v>0.13707206192326149</v>
      </c>
      <c r="J75" s="435"/>
    </row>
    <row r="76" spans="1:10">
      <c r="A76" s="49"/>
      <c r="B76" s="27" t="s">
        <v>467</v>
      </c>
      <c r="C76" s="426" t="s">
        <v>468</v>
      </c>
      <c r="D76" s="40">
        <v>0.03</v>
      </c>
      <c r="E76" s="58">
        <v>0.8</v>
      </c>
      <c r="F76" s="57">
        <f>'Schedule-4 CAPM 2'!$C$8</f>
        <v>0.14124370069949246</v>
      </c>
      <c r="G76" s="66">
        <f t="shared" si="13"/>
        <v>0.11124370069949246</v>
      </c>
      <c r="H76" s="67">
        <f t="shared" si="14"/>
        <v>0.11899496055959398</v>
      </c>
      <c r="I76" s="100">
        <f t="shared" si="15"/>
        <v>0.12455714559456861</v>
      </c>
    </row>
    <row r="77" spans="1:10">
      <c r="A77" s="49"/>
      <c r="B77" s="27" t="s">
        <v>469</v>
      </c>
      <c r="C77" s="426" t="s">
        <v>470</v>
      </c>
      <c r="D77" s="40">
        <v>0.03</v>
      </c>
      <c r="E77" s="58">
        <v>0.8</v>
      </c>
      <c r="F77" s="57">
        <f>'Schedule-4 CAPM 2'!$C$8</f>
        <v>0.14124370069949246</v>
      </c>
      <c r="G77" s="66">
        <f t="shared" si="13"/>
        <v>0.11124370069949246</v>
      </c>
      <c r="H77" s="67">
        <f t="shared" si="14"/>
        <v>0.11899496055959398</v>
      </c>
      <c r="I77" s="100">
        <f t="shared" si="15"/>
        <v>0.12455714559456861</v>
      </c>
    </row>
    <row r="78" spans="1:10">
      <c r="A78" s="49"/>
      <c r="B78" s="27" t="s">
        <v>471</v>
      </c>
      <c r="C78" s="426" t="s">
        <v>472</v>
      </c>
      <c r="D78" s="40">
        <v>0.03</v>
      </c>
      <c r="E78" s="58">
        <v>0.9</v>
      </c>
      <c r="F78" s="57">
        <f>'Schedule-4 CAPM 2'!$C$8</f>
        <v>0.14124370069949246</v>
      </c>
      <c r="G78" s="66">
        <f t="shared" si="13"/>
        <v>0.11124370069949246</v>
      </c>
      <c r="H78" s="67">
        <f t="shared" si="14"/>
        <v>0.13011933062954323</v>
      </c>
      <c r="I78" s="100">
        <f t="shared" si="15"/>
        <v>0.13290042314703054</v>
      </c>
    </row>
    <row r="79" spans="1:10">
      <c r="A79" s="49"/>
      <c r="B79" s="27" t="s">
        <v>473</v>
      </c>
      <c r="C79" s="426" t="s">
        <v>474</v>
      </c>
      <c r="D79" s="40">
        <v>0.03</v>
      </c>
      <c r="E79" s="58">
        <v>0.9</v>
      </c>
      <c r="F79" s="57">
        <f>'Schedule-4 CAPM 2'!$C$8</f>
        <v>0.14124370069949246</v>
      </c>
      <c r="G79" s="66">
        <f t="shared" si="13"/>
        <v>0.11124370069949246</v>
      </c>
      <c r="H79" s="67">
        <f t="shared" si="14"/>
        <v>0.13011933062954323</v>
      </c>
      <c r="I79" s="100">
        <f t="shared" si="15"/>
        <v>0.13290042314703054</v>
      </c>
    </row>
    <row r="80" spans="1:10">
      <c r="A80" s="49"/>
      <c r="B80" s="27" t="s">
        <v>475</v>
      </c>
      <c r="C80" s="426" t="s">
        <v>476</v>
      </c>
      <c r="D80" s="40">
        <v>0.03</v>
      </c>
      <c r="E80" s="58">
        <v>0.95</v>
      </c>
      <c r="F80" s="57">
        <f>'Schedule-4 CAPM 2'!$C$8</f>
        <v>0.14124370069949246</v>
      </c>
      <c r="G80" s="66">
        <f t="shared" si="13"/>
        <v>0.11124370069949246</v>
      </c>
      <c r="H80" s="67">
        <f t="shared" si="14"/>
        <v>0.13568151566451783</v>
      </c>
      <c r="I80" s="100">
        <f t="shared" si="15"/>
        <v>0.13707206192326149</v>
      </c>
    </row>
    <row r="81" spans="1:9">
      <c r="A81" s="49"/>
      <c r="B81" s="27" t="s">
        <v>477</v>
      </c>
      <c r="C81" s="426" t="s">
        <v>478</v>
      </c>
      <c r="D81" s="40">
        <v>0.03</v>
      </c>
      <c r="E81" s="58">
        <v>0.9</v>
      </c>
      <c r="F81" s="57">
        <f>'Schedule-4 CAPM 2'!$C$8</f>
        <v>0.14124370069949246</v>
      </c>
      <c r="G81" s="66">
        <f t="shared" si="13"/>
        <v>0.11124370069949246</v>
      </c>
      <c r="H81" s="67">
        <f t="shared" si="14"/>
        <v>0.13011933062954323</v>
      </c>
      <c r="I81" s="100">
        <f t="shared" si="15"/>
        <v>0.13290042314703054</v>
      </c>
    </row>
    <row r="82" spans="1:9">
      <c r="A82" s="49"/>
      <c r="B82" s="27" t="s">
        <v>479</v>
      </c>
      <c r="C82" s="426" t="s">
        <v>480</v>
      </c>
      <c r="D82" s="40">
        <v>0.03</v>
      </c>
      <c r="E82" s="58">
        <v>0.8</v>
      </c>
      <c r="F82" s="57">
        <f>'Schedule-4 CAPM 2'!$C$8</f>
        <v>0.14124370069949246</v>
      </c>
      <c r="G82" s="66">
        <f t="shared" si="13"/>
        <v>0.11124370069949246</v>
      </c>
      <c r="H82" s="67">
        <f t="shared" si="14"/>
        <v>0.11899496055959398</v>
      </c>
      <c r="I82" s="100">
        <f t="shared" si="15"/>
        <v>0.12455714559456861</v>
      </c>
    </row>
    <row r="83" spans="1:9">
      <c r="A83" s="49"/>
      <c r="B83" s="54" t="s">
        <v>481</v>
      </c>
      <c r="C83" s="102" t="s">
        <v>482</v>
      </c>
      <c r="D83" s="43">
        <v>0.03</v>
      </c>
      <c r="E83" s="102">
        <v>0.75</v>
      </c>
      <c r="F83" s="62">
        <f>'Schedule-4 CAPM 2'!$C$8</f>
        <v>0.14124370069949246</v>
      </c>
      <c r="G83" s="69">
        <f t="shared" si="13"/>
        <v>0.11124370069949246</v>
      </c>
      <c r="H83" s="70">
        <f t="shared" si="14"/>
        <v>0.11343277552461935</v>
      </c>
      <c r="I83" s="122">
        <f t="shared" si="15"/>
        <v>0.12038550681833762</v>
      </c>
    </row>
    <row r="84" spans="1:9" ht="13.5" thickBot="1">
      <c r="A84" s="49"/>
      <c r="B84" s="437" t="s">
        <v>99</v>
      </c>
      <c r="C84" s="242"/>
      <c r="D84" s="243"/>
      <c r="E84" s="242"/>
      <c r="F84" s="243"/>
      <c r="G84" s="243"/>
      <c r="H84" s="243">
        <f>AVERAGE(H68:H83)</f>
        <v>0.1249047821592545</v>
      </c>
      <c r="I84" s="243">
        <f>AVERAGE(I68:I83)</f>
        <v>0.12898951179431403</v>
      </c>
    </row>
    <row r="85" spans="1:9">
      <c r="A85" s="49"/>
      <c r="B85" s="52"/>
      <c r="C85" s="49"/>
      <c r="D85" s="49"/>
      <c r="E85" s="49"/>
      <c r="F85" s="53"/>
      <c r="G85" s="53"/>
      <c r="H85" s="53"/>
    </row>
    <row r="86" spans="1:9">
      <c r="A86" s="49"/>
      <c r="B86" s="54" t="s">
        <v>21</v>
      </c>
      <c r="C86" s="49"/>
      <c r="D86" s="49"/>
      <c r="E86" s="49"/>
      <c r="F86" s="49"/>
      <c r="G86" s="49"/>
      <c r="H86" s="49"/>
    </row>
    <row r="87" spans="1:9">
      <c r="A87" s="49"/>
      <c r="B87" s="99" t="s">
        <v>107</v>
      </c>
      <c r="C87" s="49"/>
      <c r="D87" s="49"/>
      <c r="E87" s="49"/>
      <c r="F87" s="49"/>
      <c r="G87" s="49"/>
      <c r="H87" s="49"/>
    </row>
    <row r="88" spans="1:9">
      <c r="A88" s="49"/>
      <c r="B88" s="99" t="str">
        <f>B26</f>
        <v>[2] Source: Value Line; dated July 24, 2020; August 14, 2020; August 28, 2020; and September 11, 2020</v>
      </c>
      <c r="C88" s="49"/>
      <c r="D88" s="49"/>
      <c r="E88" s="49"/>
      <c r="F88" s="49"/>
      <c r="G88" s="49"/>
      <c r="H88" s="49"/>
    </row>
    <row r="89" spans="1:9">
      <c r="A89" s="49"/>
      <c r="B89" s="99" t="str">
        <f>B58</f>
        <v>[3] Source: Schedule-4, page 13</v>
      </c>
      <c r="C89" s="49"/>
      <c r="D89" s="49"/>
      <c r="E89" s="49"/>
      <c r="F89" s="49"/>
      <c r="G89" s="49"/>
      <c r="H89" s="49"/>
    </row>
    <row r="90" spans="1:9">
      <c r="A90" s="49"/>
      <c r="B90" s="49" t="s">
        <v>101</v>
      </c>
      <c r="C90" s="49"/>
      <c r="D90" s="49"/>
      <c r="E90" s="49"/>
      <c r="F90" s="49"/>
      <c r="G90" s="49"/>
      <c r="H90" s="49"/>
    </row>
    <row r="91" spans="1:9">
      <c r="A91" s="49"/>
      <c r="B91" s="49" t="s">
        <v>102</v>
      </c>
      <c r="C91" s="49"/>
      <c r="D91" s="49"/>
      <c r="E91" s="49"/>
      <c r="F91" s="49"/>
      <c r="G91" s="49"/>
      <c r="H91" s="49"/>
    </row>
    <row r="92" spans="1:9">
      <c r="A92" s="49"/>
      <c r="B92" s="49" t="s">
        <v>103</v>
      </c>
      <c r="C92" s="49"/>
      <c r="D92" s="49"/>
      <c r="E92" s="49"/>
      <c r="F92" s="49"/>
      <c r="G92" s="49"/>
      <c r="H92" s="49"/>
    </row>
    <row r="95" spans="1:9" ht="13.15" customHeight="1">
      <c r="B95" s="762" t="s">
        <v>108</v>
      </c>
      <c r="C95" s="762"/>
      <c r="D95" s="762"/>
      <c r="E95" s="762"/>
      <c r="F95" s="762"/>
      <c r="G95" s="762"/>
      <c r="H95" s="762"/>
      <c r="I95" s="762"/>
    </row>
    <row r="96" spans="1:9">
      <c r="B96" s="49"/>
      <c r="C96" s="49"/>
      <c r="D96" s="49"/>
      <c r="E96" s="49"/>
      <c r="F96" s="49"/>
      <c r="G96" s="49"/>
      <c r="H96" s="49"/>
    </row>
    <row r="97" spans="2:9" ht="13.5" thickBot="1">
      <c r="B97" s="49"/>
      <c r="C97" s="49"/>
      <c r="D97" s="50" t="s">
        <v>24</v>
      </c>
      <c r="E97" s="50" t="s">
        <v>25</v>
      </c>
      <c r="F97" s="50" t="s">
        <v>26</v>
      </c>
      <c r="G97" s="50" t="s">
        <v>27</v>
      </c>
      <c r="H97" s="50" t="s">
        <v>28</v>
      </c>
      <c r="I97" s="123" t="s">
        <v>29</v>
      </c>
    </row>
    <row r="98" spans="2:9" ht="51">
      <c r="B98" s="35" t="s">
        <v>30</v>
      </c>
      <c r="C98" s="35" t="s">
        <v>31</v>
      </c>
      <c r="D98" s="36" t="str">
        <f t="shared" ref="D98:D104" si="16">D5</f>
        <v>Current 30-day average of 30-year U.S. Treasury bond yield</v>
      </c>
      <c r="E98" s="105" t="s">
        <v>94</v>
      </c>
      <c r="F98" s="105" t="s">
        <v>95</v>
      </c>
      <c r="G98" s="105" t="s">
        <v>96</v>
      </c>
      <c r="H98" s="51" t="s">
        <v>97</v>
      </c>
      <c r="I98" s="51" t="s">
        <v>98</v>
      </c>
    </row>
    <row r="99" spans="2:9">
      <c r="B99" s="27" t="str">
        <f>'Schedule-2 Gas Proxy Selection'!B6</f>
        <v>Atmos Energy Corporation</v>
      </c>
      <c r="C99" s="559" t="str">
        <f>'Schedule-2 Gas Proxy Selection'!C6</f>
        <v>ATO</v>
      </c>
      <c r="D99" s="40">
        <f t="shared" si="16"/>
        <v>1.4230000000000003E-2</v>
      </c>
      <c r="E99" s="327">
        <v>0.75830816236962773</v>
      </c>
      <c r="F99" s="57">
        <f>'Schedule-4 CAPM 2'!$C$8</f>
        <v>0.14124370069949246</v>
      </c>
      <c r="G99" s="59">
        <f>F99-D99</f>
        <v>0.12701370069949247</v>
      </c>
      <c r="H99" s="67">
        <f t="shared" ref="H99:H104" si="17">G99*E99+D99</f>
        <v>0.11054552597319804</v>
      </c>
      <c r="I99" s="100">
        <f>D99+(0.25*G99)+(0.75*E99*G99)</f>
        <v>0.11822006965477166</v>
      </c>
    </row>
    <row r="100" spans="2:9">
      <c r="B100" s="27" t="str">
        <f>'Schedule-2 Gas Proxy Selection'!B7</f>
        <v>Northwest Natural Gas Company</v>
      </c>
      <c r="C100" s="559" t="str">
        <f>'Schedule-2 Gas Proxy Selection'!C7</f>
        <v>NWN</v>
      </c>
      <c r="D100" s="40">
        <f t="shared" si="16"/>
        <v>1.4230000000000003E-2</v>
      </c>
      <c r="E100" s="327">
        <v>0.7345760824785571</v>
      </c>
      <c r="F100" s="57">
        <f>'Schedule-4 CAPM 2'!$C$8</f>
        <v>0.14124370069949246</v>
      </c>
      <c r="G100" s="59">
        <f t="shared" ref="G100:G104" si="18">F100-D100</f>
        <v>0.12701370069949247</v>
      </c>
      <c r="H100" s="67">
        <f t="shared" si="17"/>
        <v>0.10753122668093715</v>
      </c>
      <c r="I100" s="100">
        <f t="shared" ref="I100:I104" si="19">D100+(0.25*G100)+(0.75*E100*G100)</f>
        <v>0.11595934518557599</v>
      </c>
    </row>
    <row r="101" spans="2:9">
      <c r="B101" s="27" t="str">
        <f>'Schedule-2 Gas Proxy Selection'!B8</f>
        <v>ONE Gas Inc.</v>
      </c>
      <c r="C101" s="559" t="str">
        <f>'Schedule-2 Gas Proxy Selection'!C8</f>
        <v>OGS</v>
      </c>
      <c r="D101" s="40">
        <f t="shared" si="16"/>
        <v>1.4230000000000003E-2</v>
      </c>
      <c r="E101" s="327">
        <v>0.84222918163642035</v>
      </c>
      <c r="F101" s="57">
        <f>'Schedule-4 CAPM 2'!$C$8</f>
        <v>0.14124370069949246</v>
      </c>
      <c r="G101" s="59">
        <f t="shared" si="18"/>
        <v>0.12701370069949247</v>
      </c>
      <c r="H101" s="67">
        <f t="shared" si="17"/>
        <v>0.12120464519674679</v>
      </c>
      <c r="I101" s="100">
        <f t="shared" si="19"/>
        <v>0.1262144090724332</v>
      </c>
    </row>
    <row r="102" spans="2:9">
      <c r="B102" s="27" t="str">
        <f>'Schedule-2 Gas Proxy Selection'!B9</f>
        <v>South Jersey Industries, Inc.</v>
      </c>
      <c r="C102" s="559" t="str">
        <f>'Schedule-2 Gas Proxy Selection'!C9</f>
        <v>SJI</v>
      </c>
      <c r="D102" s="40">
        <f t="shared" si="16"/>
        <v>1.4230000000000003E-2</v>
      </c>
      <c r="E102" s="327">
        <v>0.84290180702067719</v>
      </c>
      <c r="F102" s="57">
        <f>'Schedule-4 CAPM 2'!$C$8</f>
        <v>0.14124370069949246</v>
      </c>
      <c r="G102" s="59">
        <f t="shared" si="18"/>
        <v>0.12701370069949247</v>
      </c>
      <c r="H102" s="67">
        <f t="shared" si="17"/>
        <v>0.12129007783598567</v>
      </c>
      <c r="I102" s="100">
        <f t="shared" si="19"/>
        <v>0.12627848355186236</v>
      </c>
    </row>
    <row r="103" spans="2:9">
      <c r="B103" s="27" t="str">
        <f>'Schedule-2 Gas Proxy Selection'!B10</f>
        <v>Southwest Gas Corporation</v>
      </c>
      <c r="C103" s="559" t="str">
        <f>'Schedule-2 Gas Proxy Selection'!C10</f>
        <v>SWX</v>
      </c>
      <c r="D103" s="40">
        <f t="shared" si="16"/>
        <v>1.4230000000000003E-2</v>
      </c>
      <c r="E103" s="327">
        <v>0.8702590229036995</v>
      </c>
      <c r="F103" s="57">
        <f>'Schedule-4 CAPM 2'!$C$8</f>
        <v>0.14124370069949246</v>
      </c>
      <c r="G103" s="59">
        <f t="shared" si="18"/>
        <v>0.12701370069949247</v>
      </c>
      <c r="H103" s="67">
        <f t="shared" si="17"/>
        <v>0.12476481906612326</v>
      </c>
      <c r="I103" s="100">
        <f t="shared" si="19"/>
        <v>0.12888453947446557</v>
      </c>
    </row>
    <row r="104" spans="2:9">
      <c r="B104" s="27" t="str">
        <f>'Schedule-2 Gas Proxy Selection'!B11</f>
        <v>Spire, Inc.</v>
      </c>
      <c r="C104" s="559" t="str">
        <f>'Schedule-2 Gas Proxy Selection'!C11</f>
        <v>SR</v>
      </c>
      <c r="D104" s="40">
        <f t="shared" si="16"/>
        <v>1.4230000000000003E-2</v>
      </c>
      <c r="E104" s="327">
        <v>0.76026945143219082</v>
      </c>
      <c r="F104" s="57">
        <f>'Schedule-4 CAPM 2'!$C$8</f>
        <v>0.14124370069949246</v>
      </c>
      <c r="G104" s="59">
        <f t="shared" si="18"/>
        <v>0.12701370069949247</v>
      </c>
      <c r="H104" s="67">
        <f t="shared" si="17"/>
        <v>0.11079463655517562</v>
      </c>
      <c r="I104" s="100">
        <f t="shared" si="19"/>
        <v>0.11840690259125483</v>
      </c>
    </row>
    <row r="105" spans="2:9">
      <c r="B105" s="3" t="s">
        <v>463</v>
      </c>
      <c r="C105" s="560" t="s">
        <v>464</v>
      </c>
      <c r="D105" s="40">
        <f t="shared" ref="D105:D114" si="20">D12</f>
        <v>1.4230000000000003E-2</v>
      </c>
      <c r="E105" s="327">
        <v>0.75580061535197018</v>
      </c>
      <c r="F105" s="57">
        <f>'Schedule-4 CAPM 2'!$C$8</f>
        <v>0.14124370069949246</v>
      </c>
      <c r="G105" s="59">
        <f t="shared" ref="G105:G114" si="21">F105-D105</f>
        <v>0.12701370069949247</v>
      </c>
      <c r="H105" s="67">
        <f t="shared" ref="H105:H114" si="22">G105*E105+D105</f>
        <v>0.11022703314680739</v>
      </c>
      <c r="I105" s="100">
        <f t="shared" ref="I105:I114" si="23">D105+(0.25*G105)+(0.75*E105*G105)</f>
        <v>0.11798120003497865</v>
      </c>
    </row>
    <row r="106" spans="2:9">
      <c r="B106" s="3" t="s">
        <v>465</v>
      </c>
      <c r="C106" s="560" t="s">
        <v>466</v>
      </c>
      <c r="D106" s="40">
        <f t="shared" si="20"/>
        <v>1.4230000000000003E-2</v>
      </c>
      <c r="E106" s="327">
        <v>0.8021787709382181</v>
      </c>
      <c r="F106" s="57">
        <f>'Schedule-4 CAPM 2'!$C$8</f>
        <v>0.14124370069949246</v>
      </c>
      <c r="G106" s="59">
        <f t="shared" si="21"/>
        <v>0.12701370069949247</v>
      </c>
      <c r="H106" s="67">
        <f t="shared" si="22"/>
        <v>0.11611769431943357</v>
      </c>
      <c r="I106" s="100">
        <f t="shared" si="23"/>
        <v>0.1223991959144483</v>
      </c>
    </row>
    <row r="107" spans="2:9">
      <c r="B107" s="3" t="s">
        <v>467</v>
      </c>
      <c r="C107" s="560" t="s">
        <v>468</v>
      </c>
      <c r="D107" s="40">
        <f t="shared" si="20"/>
        <v>1.4230000000000003E-2</v>
      </c>
      <c r="E107" s="327">
        <v>0.76107079904134456</v>
      </c>
      <c r="F107" s="57">
        <f>'Schedule-4 CAPM 2'!$C$8</f>
        <v>0.14124370069949246</v>
      </c>
      <c r="G107" s="59">
        <f t="shared" si="21"/>
        <v>0.12701370069949247</v>
      </c>
      <c r="H107" s="67">
        <f t="shared" si="22"/>
        <v>0.11089641868056092</v>
      </c>
      <c r="I107" s="100">
        <f t="shared" si="23"/>
        <v>0.11848323918529383</v>
      </c>
    </row>
    <row r="108" spans="2:9">
      <c r="B108" s="3" t="s">
        <v>469</v>
      </c>
      <c r="C108" s="560" t="s">
        <v>470</v>
      </c>
      <c r="D108" s="40">
        <f t="shared" si="20"/>
        <v>1.4230000000000003E-2</v>
      </c>
      <c r="E108" s="327">
        <v>0.68929327948527352</v>
      </c>
      <c r="F108" s="57">
        <f>'Schedule-4 CAPM 2'!$C$8</f>
        <v>0.14124370069949246</v>
      </c>
      <c r="G108" s="59">
        <f t="shared" si="21"/>
        <v>0.12701370069949247</v>
      </c>
      <c r="H108" s="67">
        <f t="shared" si="22"/>
        <v>0.10177969029471415</v>
      </c>
      <c r="I108" s="100">
        <f t="shared" si="23"/>
        <v>0.11164569289590874</v>
      </c>
    </row>
    <row r="109" spans="2:9">
      <c r="B109" s="3" t="s">
        <v>471</v>
      </c>
      <c r="C109" s="560" t="s">
        <v>472</v>
      </c>
      <c r="D109" s="40">
        <f t="shared" si="20"/>
        <v>1.4230000000000003E-2</v>
      </c>
      <c r="E109" s="327">
        <v>0.8504654657574573</v>
      </c>
      <c r="F109" s="57">
        <f>'Schedule-4 CAPM 2'!$C$8</f>
        <v>0.14124370069949246</v>
      </c>
      <c r="G109" s="59">
        <f t="shared" si="21"/>
        <v>0.12701370069949247</v>
      </c>
      <c r="H109" s="67">
        <f t="shared" si="22"/>
        <v>0.12225076612297216</v>
      </c>
      <c r="I109" s="100">
        <f t="shared" si="23"/>
        <v>0.12699899976710222</v>
      </c>
    </row>
    <row r="110" spans="2:9">
      <c r="B110" s="3" t="s">
        <v>473</v>
      </c>
      <c r="C110" s="560" t="s">
        <v>474</v>
      </c>
      <c r="D110" s="40">
        <f t="shared" si="20"/>
        <v>1.4230000000000003E-2</v>
      </c>
      <c r="E110" s="327">
        <v>0.90794084009225728</v>
      </c>
      <c r="F110" s="57">
        <f>'Schedule-4 CAPM 2'!$C$8</f>
        <v>0.14124370069949246</v>
      </c>
      <c r="G110" s="59">
        <f t="shared" si="21"/>
        <v>0.12701370069949247</v>
      </c>
      <c r="H110" s="67">
        <f t="shared" si="22"/>
        <v>0.12955092611632371</v>
      </c>
      <c r="I110" s="100">
        <f t="shared" si="23"/>
        <v>0.13247411976211593</v>
      </c>
    </row>
    <row r="111" spans="2:9">
      <c r="B111" s="3" t="s">
        <v>475</v>
      </c>
      <c r="C111" s="560" t="s">
        <v>476</v>
      </c>
      <c r="D111" s="40">
        <f t="shared" si="20"/>
        <v>1.4230000000000003E-2</v>
      </c>
      <c r="E111" s="327">
        <v>0.85979297070419836</v>
      </c>
      <c r="F111" s="57">
        <f>'Schedule-4 CAPM 2'!$C$8</f>
        <v>0.14124370069949246</v>
      </c>
      <c r="G111" s="59">
        <f t="shared" si="21"/>
        <v>0.12701370069949247</v>
      </c>
      <c r="H111" s="67">
        <f t="shared" si="22"/>
        <v>0.12343548704455055</v>
      </c>
      <c r="I111" s="100">
        <f t="shared" si="23"/>
        <v>0.12788754045828604</v>
      </c>
    </row>
    <row r="112" spans="2:9">
      <c r="B112" s="3" t="s">
        <v>477</v>
      </c>
      <c r="C112" s="560" t="s">
        <v>478</v>
      </c>
      <c r="D112" s="40">
        <f t="shared" si="20"/>
        <v>1.4230000000000003E-2</v>
      </c>
      <c r="E112" s="327">
        <v>0.73449123255098636</v>
      </c>
      <c r="F112" s="57">
        <f>'Schedule-4 CAPM 2'!$C$8</f>
        <v>0.14124370069949246</v>
      </c>
      <c r="G112" s="59">
        <f t="shared" si="21"/>
        <v>0.12701370069949247</v>
      </c>
      <c r="H112" s="67">
        <f t="shared" si="22"/>
        <v>0.10752044957763231</v>
      </c>
      <c r="I112" s="100">
        <f t="shared" si="23"/>
        <v>0.11595126235809736</v>
      </c>
    </row>
    <row r="113" spans="1:9">
      <c r="B113" s="3" t="s">
        <v>479</v>
      </c>
      <c r="C113" s="560" t="s">
        <v>480</v>
      </c>
      <c r="D113" s="40">
        <f t="shared" si="20"/>
        <v>1.4230000000000003E-2</v>
      </c>
      <c r="E113" s="327">
        <v>0.74079694426261156</v>
      </c>
      <c r="F113" s="57">
        <f>'Schedule-4 CAPM 2'!$C$8</f>
        <v>0.14124370069949246</v>
      </c>
      <c r="G113" s="59">
        <f t="shared" si="21"/>
        <v>0.12701370069949247</v>
      </c>
      <c r="H113" s="67">
        <f t="shared" si="22"/>
        <v>0.10832136135766995</v>
      </c>
      <c r="I113" s="100">
        <f t="shared" si="23"/>
        <v>0.11655194619312559</v>
      </c>
    </row>
    <row r="114" spans="1:9">
      <c r="A114" s="49"/>
      <c r="B114" s="19" t="s">
        <v>481</v>
      </c>
      <c r="C114" s="400" t="s">
        <v>482</v>
      </c>
      <c r="D114" s="43">
        <f t="shared" si="20"/>
        <v>1.4230000000000003E-2</v>
      </c>
      <c r="E114" s="328">
        <v>0.73258919087071295</v>
      </c>
      <c r="F114" s="62">
        <f>'Schedule-4 CAPM 2'!$C$8</f>
        <v>0.14124370069949246</v>
      </c>
      <c r="G114" s="63">
        <f t="shared" si="21"/>
        <v>0.12701370069949247</v>
      </c>
      <c r="H114" s="70">
        <f t="shared" si="22"/>
        <v>0.1072788642249361</v>
      </c>
      <c r="I114" s="122">
        <f t="shared" si="23"/>
        <v>0.1157700733435752</v>
      </c>
    </row>
    <row r="115" spans="1:9" ht="13.5" thickBot="1">
      <c r="A115" s="49"/>
      <c r="B115" s="437" t="s">
        <v>99</v>
      </c>
      <c r="C115" s="242"/>
      <c r="D115" s="242"/>
      <c r="E115" s="242"/>
      <c r="F115" s="243"/>
      <c r="G115" s="243"/>
      <c r="H115" s="243">
        <f>AVERAGE(H99:H114)</f>
        <v>0.11459435138711045</v>
      </c>
      <c r="I115" s="243">
        <f>AVERAGE(I99:I114)</f>
        <v>0.12125668871520595</v>
      </c>
    </row>
    <row r="116" spans="1:9">
      <c r="B116" s="52"/>
      <c r="C116" s="49"/>
      <c r="D116" s="49"/>
      <c r="E116" s="49"/>
      <c r="F116" s="53"/>
      <c r="G116" s="53"/>
      <c r="H116" s="53"/>
    </row>
    <row r="117" spans="1:9">
      <c r="B117" s="54" t="s">
        <v>21</v>
      </c>
      <c r="C117" s="49"/>
      <c r="D117" s="49"/>
      <c r="E117" s="103"/>
      <c r="F117" s="49"/>
      <c r="G117" s="49"/>
      <c r="H117" s="49"/>
    </row>
    <row r="118" spans="1:9">
      <c r="B118" s="26" t="s">
        <v>586</v>
      </c>
      <c r="C118" s="49"/>
      <c r="D118" s="49"/>
      <c r="E118" s="49"/>
      <c r="F118" s="49"/>
      <c r="G118" s="49"/>
      <c r="H118" s="49"/>
    </row>
    <row r="119" spans="1:9">
      <c r="B119" s="99" t="s">
        <v>598</v>
      </c>
      <c r="C119" s="49"/>
      <c r="D119" s="49"/>
      <c r="E119" s="49"/>
      <c r="F119" s="49"/>
      <c r="G119" s="49"/>
      <c r="H119" s="49"/>
    </row>
    <row r="120" spans="1:9">
      <c r="B120" s="99" t="str">
        <f>B89</f>
        <v>[3] Source: Schedule-4, page 13</v>
      </c>
      <c r="C120" s="49"/>
      <c r="D120" s="49"/>
      <c r="E120" s="49"/>
      <c r="F120" s="49"/>
      <c r="G120" s="49"/>
      <c r="H120" s="49"/>
    </row>
    <row r="121" spans="1:9">
      <c r="B121" s="49" t="s">
        <v>101</v>
      </c>
      <c r="C121" s="49"/>
      <c r="D121" s="49"/>
      <c r="E121" s="49"/>
      <c r="F121" s="49"/>
      <c r="G121" s="49"/>
      <c r="H121" s="49"/>
    </row>
    <row r="122" spans="1:9">
      <c r="B122" s="49" t="s">
        <v>102</v>
      </c>
      <c r="C122" s="49"/>
      <c r="D122" s="49"/>
      <c r="E122" s="49"/>
      <c r="F122" s="49"/>
      <c r="G122" s="49"/>
      <c r="H122" s="49"/>
    </row>
    <row r="123" spans="1:9">
      <c r="A123" s="49"/>
      <c r="B123" s="49" t="s">
        <v>103</v>
      </c>
      <c r="C123" s="49"/>
      <c r="D123" s="49"/>
      <c r="E123" s="49"/>
      <c r="F123" s="49"/>
      <c r="G123" s="49"/>
      <c r="H123" s="49"/>
    </row>
    <row r="124" spans="1:9">
      <c r="B124" s="49"/>
      <c r="C124" s="49"/>
      <c r="D124" s="49"/>
      <c r="E124" s="49"/>
      <c r="F124" s="49"/>
      <c r="G124" s="49"/>
      <c r="H124" s="49"/>
    </row>
    <row r="125" spans="1:9">
      <c r="B125" s="49"/>
      <c r="C125" s="49"/>
      <c r="D125" s="49"/>
      <c r="E125" s="49"/>
      <c r="F125" s="49"/>
      <c r="G125" s="49"/>
      <c r="H125" s="49"/>
    </row>
    <row r="126" spans="1:9" ht="13.15" customHeight="1">
      <c r="B126" s="762" t="s">
        <v>109</v>
      </c>
      <c r="C126" s="762"/>
      <c r="D126" s="762"/>
      <c r="E126" s="762"/>
      <c r="F126" s="762"/>
      <c r="G126" s="762"/>
      <c r="H126" s="762"/>
      <c r="I126" s="762"/>
    </row>
    <row r="127" spans="1:9">
      <c r="B127" s="49"/>
      <c r="C127" s="49"/>
      <c r="D127" s="49"/>
      <c r="E127" s="49"/>
      <c r="F127" s="49"/>
      <c r="G127" s="49"/>
      <c r="H127" s="49"/>
    </row>
    <row r="128" spans="1:9" ht="13.5" thickBot="1">
      <c r="B128" s="49"/>
      <c r="C128" s="49"/>
      <c r="D128" s="50" t="s">
        <v>24</v>
      </c>
      <c r="E128" s="50" t="s">
        <v>25</v>
      </c>
      <c r="F128" s="50" t="s">
        <v>26</v>
      </c>
      <c r="G128" s="50" t="s">
        <v>27</v>
      </c>
      <c r="H128" s="50" t="s">
        <v>28</v>
      </c>
      <c r="I128" s="123" t="s">
        <v>29</v>
      </c>
    </row>
    <row r="129" spans="2:10" ht="51">
      <c r="B129" s="35" t="s">
        <v>30</v>
      </c>
      <c r="C129" s="35" t="s">
        <v>31</v>
      </c>
      <c r="D129" s="36" t="str">
        <f t="shared" ref="D129" si="24">D36</f>
        <v xml:space="preserve">Near-term projected 30-year U.S. Treasury bond yield
(Q1 2021 - Q1 2022) </v>
      </c>
      <c r="E129" s="105" t="s">
        <v>94</v>
      </c>
      <c r="F129" s="105" t="s">
        <v>95</v>
      </c>
      <c r="G129" s="105" t="s">
        <v>96</v>
      </c>
      <c r="H129" s="51" t="s">
        <v>97</v>
      </c>
      <c r="I129" s="51" t="s">
        <v>98</v>
      </c>
    </row>
    <row r="130" spans="2:10">
      <c r="B130" s="64" t="str">
        <f>'Schedule-2 Gas Proxy Selection'!B6</f>
        <v>Atmos Energy Corporation</v>
      </c>
      <c r="C130" s="101" t="str">
        <f>'Schedule-2 Gas Proxy Selection'!C6</f>
        <v>ATO</v>
      </c>
      <c r="D130" s="65">
        <v>1.6400000000000001E-2</v>
      </c>
      <c r="E130" s="248">
        <v>0.75830816236962773</v>
      </c>
      <c r="F130" s="57">
        <f>'Schedule-4 CAPM 2'!$C$8</f>
        <v>0.14124370069949246</v>
      </c>
      <c r="G130" s="59">
        <f>F130-D130</f>
        <v>0.12484370069949247</v>
      </c>
      <c r="H130" s="67">
        <f t="shared" ref="H130:H135" si="25">G130*E130+D130</f>
        <v>0.11106999726085594</v>
      </c>
      <c r="I130" s="100">
        <f>D130+(0.25*G130)+(0.75*E130*G130)</f>
        <v>0.11861342312051508</v>
      </c>
    </row>
    <row r="131" spans="2:10">
      <c r="B131" s="64" t="str">
        <f>'Schedule-2 Gas Proxy Selection'!B7</f>
        <v>Northwest Natural Gas Company</v>
      </c>
      <c r="C131" s="101" t="str">
        <f>'Schedule-2 Gas Proxy Selection'!C7</f>
        <v>NWN</v>
      </c>
      <c r="D131" s="65">
        <v>1.6400000000000001E-2</v>
      </c>
      <c r="E131" s="58">
        <v>0.7345760824785571</v>
      </c>
      <c r="F131" s="57">
        <f>'Schedule-4 CAPM 2'!$C$8</f>
        <v>0.14124370069949246</v>
      </c>
      <c r="G131" s="59">
        <f t="shared" ref="G131:G135" si="26">F131-D131</f>
        <v>0.12484370069949247</v>
      </c>
      <c r="H131" s="67">
        <f t="shared" si="25"/>
        <v>0.10810719658195868</v>
      </c>
      <c r="I131" s="100">
        <f t="shared" ref="I131:I135" si="27">D131+(0.25*G131)+(0.75*E131*G131)</f>
        <v>0.11639132261134212</v>
      </c>
    </row>
    <row r="132" spans="2:10">
      <c r="B132" s="64" t="str">
        <f>'Schedule-2 Gas Proxy Selection'!B8</f>
        <v>ONE Gas Inc.</v>
      </c>
      <c r="C132" s="101" t="str">
        <f>'Schedule-2 Gas Proxy Selection'!C8</f>
        <v>OGS</v>
      </c>
      <c r="D132" s="65">
        <v>1.6400000000000001E-2</v>
      </c>
      <c r="E132" s="58">
        <v>0.84222918163642035</v>
      </c>
      <c r="F132" s="57">
        <f>'Schedule-4 CAPM 2'!$C$8</f>
        <v>0.14124370069949246</v>
      </c>
      <c r="G132" s="59">
        <f t="shared" si="26"/>
        <v>0.12484370069949247</v>
      </c>
      <c r="H132" s="67">
        <f t="shared" si="25"/>
        <v>0.12154700787259573</v>
      </c>
      <c r="I132" s="100">
        <f t="shared" si="27"/>
        <v>0.12647118107931993</v>
      </c>
    </row>
    <row r="133" spans="2:10">
      <c r="B133" s="64" t="str">
        <f>'Schedule-2 Gas Proxy Selection'!B9</f>
        <v>South Jersey Industries, Inc.</v>
      </c>
      <c r="C133" s="101" t="str">
        <f>'Schedule-2 Gas Proxy Selection'!C9</f>
        <v>SJI</v>
      </c>
      <c r="D133" s="65">
        <v>1.6400000000000001E-2</v>
      </c>
      <c r="E133" s="58">
        <v>0.84290180702067719</v>
      </c>
      <c r="F133" s="57">
        <f>'Schedule-4 CAPM 2'!$C$8</f>
        <v>0.14124370069949246</v>
      </c>
      <c r="G133" s="59">
        <f t="shared" si="26"/>
        <v>0.12484370069949247</v>
      </c>
      <c r="H133" s="67">
        <f t="shared" si="25"/>
        <v>0.12163098091475077</v>
      </c>
      <c r="I133" s="100">
        <f t="shared" si="27"/>
        <v>0.12653416086093619</v>
      </c>
    </row>
    <row r="134" spans="2:10">
      <c r="B134" s="64" t="str">
        <f>'Schedule-2 Gas Proxy Selection'!B10</f>
        <v>Southwest Gas Corporation</v>
      </c>
      <c r="C134" s="101" t="str">
        <f>'Schedule-2 Gas Proxy Selection'!C10</f>
        <v>SWX</v>
      </c>
      <c r="D134" s="65">
        <v>1.6400000000000001E-2</v>
      </c>
      <c r="E134" s="58">
        <v>0.8702590229036995</v>
      </c>
      <c r="F134" s="57">
        <f>'Schedule-4 CAPM 2'!$C$8</f>
        <v>0.14124370069949246</v>
      </c>
      <c r="G134" s="59">
        <f t="shared" si="26"/>
        <v>0.12484370069949247</v>
      </c>
      <c r="H134" s="67">
        <f t="shared" si="25"/>
        <v>0.12504635698642222</v>
      </c>
      <c r="I134" s="100">
        <f t="shared" si="27"/>
        <v>0.12909569291468978</v>
      </c>
      <c r="J134" s="435"/>
    </row>
    <row r="135" spans="2:10">
      <c r="B135" s="64" t="str">
        <f>'Schedule-2 Gas Proxy Selection'!B11</f>
        <v>Spire, Inc.</v>
      </c>
      <c r="C135" s="101" t="str">
        <f>'Schedule-2 Gas Proxy Selection'!C11</f>
        <v>SR</v>
      </c>
      <c r="D135" s="65">
        <v>1.6400000000000001E-2</v>
      </c>
      <c r="E135" s="58">
        <v>0.76026945143219082</v>
      </c>
      <c r="F135" s="57">
        <f>'Schedule-4 CAPM 2'!$C$8</f>
        <v>0.14124370069949246</v>
      </c>
      <c r="G135" s="59">
        <f t="shared" si="26"/>
        <v>0.12484370069949247</v>
      </c>
      <c r="H135" s="67">
        <f t="shared" si="25"/>
        <v>0.11131485184556775</v>
      </c>
      <c r="I135" s="100">
        <f t="shared" si="27"/>
        <v>0.11879706405904893</v>
      </c>
      <c r="J135" s="435"/>
    </row>
    <row r="136" spans="2:10">
      <c r="B136" s="3" t="s">
        <v>463</v>
      </c>
      <c r="C136" s="560" t="s">
        <v>464</v>
      </c>
      <c r="D136" s="438">
        <v>1.6400000000000001E-2</v>
      </c>
      <c r="E136" s="327">
        <v>0.75580061535197018</v>
      </c>
      <c r="F136" s="57">
        <f>'Schedule-4 CAPM 2'!$C$8</f>
        <v>0.14124370069949246</v>
      </c>
      <c r="G136" s="59">
        <f t="shared" ref="G136:G145" si="28">F136-D136</f>
        <v>0.12484370069949247</v>
      </c>
      <c r="H136" s="67">
        <f t="shared" ref="H136:H145" si="29">G136*E136+D136</f>
        <v>0.11075694581149359</v>
      </c>
      <c r="I136" s="100">
        <f t="shared" ref="I136:I145" si="30">D136+(0.25*G136)+(0.75*E136*G136)</f>
        <v>0.11837863453349332</v>
      </c>
      <c r="J136" s="435"/>
    </row>
    <row r="137" spans="2:10">
      <c r="B137" s="3" t="s">
        <v>465</v>
      </c>
      <c r="C137" s="560" t="s">
        <v>466</v>
      </c>
      <c r="D137" s="438">
        <v>1.6400000000000001E-2</v>
      </c>
      <c r="E137" s="327">
        <v>0.8021787709382181</v>
      </c>
      <c r="F137" s="57">
        <f>'Schedule-4 CAPM 2'!$C$8</f>
        <v>0.14124370069949246</v>
      </c>
      <c r="G137" s="59">
        <f t="shared" si="28"/>
        <v>0.12484370069949247</v>
      </c>
      <c r="H137" s="67">
        <f t="shared" si="29"/>
        <v>0.11654696638649763</v>
      </c>
      <c r="I137" s="100">
        <f t="shared" si="30"/>
        <v>0.12272114996474633</v>
      </c>
      <c r="J137" s="435"/>
    </row>
    <row r="138" spans="2:10">
      <c r="B138" s="3" t="s">
        <v>467</v>
      </c>
      <c r="C138" s="560" t="s">
        <v>468</v>
      </c>
      <c r="D138" s="438">
        <v>1.6400000000000001E-2</v>
      </c>
      <c r="E138" s="327">
        <v>0.76107079904134456</v>
      </c>
      <c r="F138" s="57">
        <f>'Schedule-4 CAPM 2'!$C$8</f>
        <v>0.14124370069949246</v>
      </c>
      <c r="G138" s="59">
        <f t="shared" si="28"/>
        <v>0.12484370069949247</v>
      </c>
      <c r="H138" s="67">
        <f t="shared" si="29"/>
        <v>0.11141489504664119</v>
      </c>
      <c r="I138" s="100">
        <f t="shared" si="30"/>
        <v>0.11887209645985403</v>
      </c>
    </row>
    <row r="139" spans="2:10">
      <c r="B139" s="3" t="s">
        <v>469</v>
      </c>
      <c r="C139" s="560" t="s">
        <v>470</v>
      </c>
      <c r="D139" s="438">
        <v>1.6400000000000001E-2</v>
      </c>
      <c r="E139" s="327">
        <v>0.68929327948527352</v>
      </c>
      <c r="F139" s="57">
        <f>'Schedule-4 CAPM 2'!$C$8</f>
        <v>0.14124370069949246</v>
      </c>
      <c r="G139" s="59">
        <f t="shared" si="28"/>
        <v>0.12484370069949247</v>
      </c>
      <c r="H139" s="67">
        <f t="shared" si="29"/>
        <v>0.1024539238782311</v>
      </c>
      <c r="I139" s="100">
        <f t="shared" si="30"/>
        <v>0.11215136808354645</v>
      </c>
    </row>
    <row r="140" spans="2:10">
      <c r="B140" s="3" t="s">
        <v>471</v>
      </c>
      <c r="C140" s="560" t="s">
        <v>472</v>
      </c>
      <c r="D140" s="438">
        <v>1.6400000000000001E-2</v>
      </c>
      <c r="E140" s="327">
        <v>0.8504654657574573</v>
      </c>
      <c r="F140" s="57">
        <f>'Schedule-4 CAPM 2'!$C$8</f>
        <v>0.14124370069949246</v>
      </c>
      <c r="G140" s="59">
        <f t="shared" si="28"/>
        <v>0.12484370069949247</v>
      </c>
      <c r="H140" s="67">
        <f t="shared" si="29"/>
        <v>0.12257525606227845</v>
      </c>
      <c r="I140" s="100">
        <f t="shared" si="30"/>
        <v>0.12724236722158194</v>
      </c>
    </row>
    <row r="141" spans="2:10">
      <c r="B141" s="3" t="s">
        <v>473</v>
      </c>
      <c r="C141" s="560" t="s">
        <v>474</v>
      </c>
      <c r="D141" s="438">
        <v>1.6400000000000001E-2</v>
      </c>
      <c r="E141" s="327">
        <v>0.90794084009225728</v>
      </c>
      <c r="F141" s="57">
        <f>'Schedule-4 CAPM 2'!$C$8</f>
        <v>0.14124370069949246</v>
      </c>
      <c r="G141" s="59">
        <f t="shared" si="28"/>
        <v>0.12484370069949247</v>
      </c>
      <c r="H141" s="67">
        <f t="shared" si="29"/>
        <v>0.12975069449332352</v>
      </c>
      <c r="I141" s="100">
        <f t="shared" si="30"/>
        <v>0.13262394604486577</v>
      </c>
    </row>
    <row r="142" spans="2:10">
      <c r="B142" s="3" t="s">
        <v>475</v>
      </c>
      <c r="C142" s="560" t="s">
        <v>476</v>
      </c>
      <c r="D142" s="438">
        <v>1.6400000000000001E-2</v>
      </c>
      <c r="E142" s="327">
        <v>0.85979297070419836</v>
      </c>
      <c r="F142" s="57">
        <f>'Schedule-4 CAPM 2'!$C$8</f>
        <v>0.14124370069949246</v>
      </c>
      <c r="G142" s="59">
        <f t="shared" si="28"/>
        <v>0.12484370069949247</v>
      </c>
      <c r="H142" s="67">
        <f t="shared" si="29"/>
        <v>0.12373973629812243</v>
      </c>
      <c r="I142" s="100">
        <f t="shared" si="30"/>
        <v>0.12811572739846494</v>
      </c>
    </row>
    <row r="143" spans="2:10">
      <c r="B143" s="3" t="s">
        <v>477</v>
      </c>
      <c r="C143" s="560" t="s">
        <v>478</v>
      </c>
      <c r="D143" s="438">
        <v>1.6400000000000001E-2</v>
      </c>
      <c r="E143" s="327">
        <v>0.73449123255098636</v>
      </c>
      <c r="F143" s="57">
        <f>'Schedule-4 CAPM 2'!$C$8</f>
        <v>0.14124370069949246</v>
      </c>
      <c r="G143" s="59">
        <f t="shared" si="28"/>
        <v>0.12484370069949247</v>
      </c>
      <c r="H143" s="67">
        <f t="shared" si="29"/>
        <v>0.10809660360299665</v>
      </c>
      <c r="I143" s="100">
        <f t="shared" si="30"/>
        <v>0.11638337787712061</v>
      </c>
    </row>
    <row r="144" spans="2:10">
      <c r="B144" s="3" t="s">
        <v>479</v>
      </c>
      <c r="C144" s="560" t="s">
        <v>480</v>
      </c>
      <c r="D144" s="438">
        <v>1.6400000000000001E-2</v>
      </c>
      <c r="E144" s="327">
        <v>0.74079694426261156</v>
      </c>
      <c r="F144" s="57">
        <f>'Schedule-4 CAPM 2'!$C$8</f>
        <v>0.14124370069949246</v>
      </c>
      <c r="G144" s="59">
        <f t="shared" si="28"/>
        <v>0.12484370069949247</v>
      </c>
      <c r="H144" s="67">
        <f t="shared" si="29"/>
        <v>0.10888383198862008</v>
      </c>
      <c r="I144" s="100">
        <f t="shared" si="30"/>
        <v>0.11697379916633817</v>
      </c>
    </row>
    <row r="145" spans="1:9">
      <c r="A145" s="49"/>
      <c r="B145" s="19" t="s">
        <v>481</v>
      </c>
      <c r="C145" s="400" t="s">
        <v>482</v>
      </c>
      <c r="D145" s="439">
        <v>1.6400000000000001E-2</v>
      </c>
      <c r="E145" s="328">
        <v>0.73258919087071295</v>
      </c>
      <c r="F145" s="62">
        <f>'Schedule-4 CAPM 2'!$C$8</f>
        <v>0.14124370069949246</v>
      </c>
      <c r="G145" s="63">
        <f t="shared" si="28"/>
        <v>0.12484370069949247</v>
      </c>
      <c r="H145" s="70">
        <f t="shared" si="29"/>
        <v>0.10785914568074664</v>
      </c>
      <c r="I145" s="122">
        <f t="shared" si="30"/>
        <v>0.1162052844354331</v>
      </c>
    </row>
    <row r="146" spans="1:9" ht="13.5" thickBot="1">
      <c r="A146" s="49"/>
      <c r="B146" s="437" t="s">
        <v>99</v>
      </c>
      <c r="C146" s="242"/>
      <c r="D146" s="242"/>
      <c r="E146" s="242"/>
      <c r="F146" s="243"/>
      <c r="G146" s="243"/>
      <c r="H146" s="243">
        <f>AVERAGE(H130:H145)</f>
        <v>0.11504964941944391</v>
      </c>
      <c r="I146" s="243">
        <f>AVERAGE(I130:I145)</f>
        <v>0.12159816223945603</v>
      </c>
    </row>
    <row r="147" spans="1:9">
      <c r="B147" s="52"/>
      <c r="C147" s="49"/>
      <c r="D147" s="49"/>
      <c r="E147" s="49"/>
      <c r="F147" s="53"/>
      <c r="G147" s="53"/>
      <c r="H147" s="53"/>
    </row>
    <row r="148" spans="1:9">
      <c r="B148" s="54" t="s">
        <v>21</v>
      </c>
      <c r="C148" s="49"/>
      <c r="D148" s="49"/>
      <c r="E148" s="49"/>
      <c r="F148" s="49"/>
      <c r="G148" s="49"/>
      <c r="H148" s="49"/>
    </row>
    <row r="149" spans="1:9">
      <c r="B149" s="3" t="str">
        <f>B56</f>
        <v>[1] Source: Blue Chip Financial Forecasts, Vol. 39, No. 10, October 1, 2020, at 2</v>
      </c>
      <c r="C149" s="49"/>
      <c r="D149" s="49"/>
      <c r="E149" s="49"/>
      <c r="F149" s="49"/>
      <c r="G149" s="49"/>
      <c r="H149" s="49"/>
    </row>
    <row r="150" spans="1:9">
      <c r="B150" s="99" t="s">
        <v>598</v>
      </c>
      <c r="C150" s="49"/>
      <c r="D150" s="49"/>
      <c r="E150" s="49"/>
      <c r="F150" s="49"/>
      <c r="G150" s="49"/>
      <c r="H150" s="49"/>
    </row>
    <row r="151" spans="1:9">
      <c r="B151" s="99" t="str">
        <f>B120</f>
        <v>[3] Source: Schedule-4, page 13</v>
      </c>
      <c r="C151" s="49"/>
      <c r="D151" s="49"/>
      <c r="E151" s="49"/>
      <c r="F151" s="49"/>
      <c r="G151" s="49"/>
      <c r="H151" s="49"/>
    </row>
    <row r="152" spans="1:9">
      <c r="B152" s="49" t="s">
        <v>101</v>
      </c>
      <c r="C152" s="49"/>
      <c r="D152" s="49"/>
      <c r="E152" s="49"/>
      <c r="F152" s="49"/>
      <c r="G152" s="49"/>
      <c r="H152" s="49"/>
    </row>
    <row r="153" spans="1:9">
      <c r="B153" s="49" t="s">
        <v>102</v>
      </c>
      <c r="C153" s="49"/>
      <c r="D153" s="49"/>
      <c r="E153" s="49"/>
      <c r="F153" s="49"/>
      <c r="G153" s="49"/>
      <c r="H153" s="49"/>
    </row>
    <row r="154" spans="1:9">
      <c r="A154" s="49"/>
      <c r="B154" s="49" t="s">
        <v>103</v>
      </c>
      <c r="C154" s="49"/>
      <c r="D154" s="49"/>
      <c r="E154" s="49"/>
      <c r="F154" s="49"/>
      <c r="G154" s="49"/>
      <c r="H154" s="49"/>
    </row>
    <row r="155" spans="1:9">
      <c r="B155" s="49"/>
      <c r="C155" s="49"/>
      <c r="D155" s="49"/>
      <c r="E155" s="49"/>
      <c r="F155" s="49"/>
      <c r="G155" s="49"/>
      <c r="H155" s="49"/>
    </row>
    <row r="156" spans="1:9">
      <c r="B156" s="49"/>
      <c r="C156" s="49"/>
      <c r="D156" s="49"/>
      <c r="E156" s="49"/>
      <c r="F156" s="49"/>
      <c r="G156" s="49"/>
      <c r="H156" s="49"/>
    </row>
    <row r="157" spans="1:9" ht="13.15" customHeight="1">
      <c r="B157" s="762" t="s">
        <v>110</v>
      </c>
      <c r="C157" s="762"/>
      <c r="D157" s="762"/>
      <c r="E157" s="762"/>
      <c r="F157" s="762"/>
      <c r="G157" s="762"/>
      <c r="H157" s="762"/>
      <c r="I157" s="762"/>
    </row>
    <row r="158" spans="1:9">
      <c r="B158" s="49"/>
      <c r="C158" s="49"/>
      <c r="D158" s="49"/>
      <c r="E158" s="49"/>
      <c r="F158" s="49"/>
      <c r="G158" s="49"/>
      <c r="H158" s="49"/>
    </row>
    <row r="159" spans="1:9" ht="13.5" thickBot="1">
      <c r="B159" s="49"/>
      <c r="C159" s="49"/>
      <c r="D159" s="50" t="s">
        <v>24</v>
      </c>
      <c r="E159" s="50" t="s">
        <v>25</v>
      </c>
      <c r="F159" s="50" t="s">
        <v>26</v>
      </c>
      <c r="G159" s="50" t="s">
        <v>27</v>
      </c>
      <c r="H159" s="50" t="s">
        <v>28</v>
      </c>
      <c r="I159" s="123" t="s">
        <v>29</v>
      </c>
    </row>
    <row r="160" spans="1:9" ht="38.25">
      <c r="B160" s="35" t="s">
        <v>30</v>
      </c>
      <c r="C160" s="35" t="s">
        <v>31</v>
      </c>
      <c r="D160" s="36" t="str">
        <f t="shared" ref="D160" si="31">D67</f>
        <v>Projected 30-year U.S. Treasury bond yield (2022 - 2026)</v>
      </c>
      <c r="E160" s="105" t="s">
        <v>94</v>
      </c>
      <c r="F160" s="105" t="s">
        <v>95</v>
      </c>
      <c r="G160" s="105" t="s">
        <v>96</v>
      </c>
      <c r="H160" s="51" t="s">
        <v>97</v>
      </c>
      <c r="I160" s="51" t="s">
        <v>98</v>
      </c>
    </row>
    <row r="161" spans="1:10">
      <c r="B161" s="246" t="str">
        <f>'Schedule-2 Gas Proxy Selection'!B6</f>
        <v>Atmos Energy Corporation</v>
      </c>
      <c r="C161" s="247" t="str">
        <f>'Schedule-2 Gas Proxy Selection'!C6</f>
        <v>ATO</v>
      </c>
      <c r="D161" s="241">
        <v>0.03</v>
      </c>
      <c r="E161" s="248">
        <v>0.75830816236962773</v>
      </c>
      <c r="F161" s="57">
        <f>'Schedule-4 CAPM 2'!$C$8</f>
        <v>0.14124370069949246</v>
      </c>
      <c r="G161" s="252">
        <f t="shared" ref="G161:G166" si="32">F161-D161</f>
        <v>0.11124370069949246</v>
      </c>
      <c r="H161" s="253">
        <f t="shared" ref="H161:H166" si="33">G161*E161+D161</f>
        <v>0.114357006252629</v>
      </c>
      <c r="I161" s="100">
        <f>D161+(0.25*G161)+(0.75*E161*G161)</f>
        <v>0.12107867986434487</v>
      </c>
    </row>
    <row r="162" spans="1:10">
      <c r="B162" s="64" t="str">
        <f>'Schedule-2 Gas Proxy Selection'!B7</f>
        <v>Northwest Natural Gas Company</v>
      </c>
      <c r="C162" s="101" t="str">
        <f>'Schedule-2 Gas Proxy Selection'!C7</f>
        <v>NWN</v>
      </c>
      <c r="D162" s="40">
        <v>0.03</v>
      </c>
      <c r="E162" s="58">
        <v>0.7345760824785571</v>
      </c>
      <c r="F162" s="57">
        <f>'Schedule-4 CAPM 2'!$C$8</f>
        <v>0.14124370069949246</v>
      </c>
      <c r="G162" s="59">
        <f t="shared" si="32"/>
        <v>0.11124370069949246</v>
      </c>
      <c r="H162" s="67">
        <f t="shared" si="33"/>
        <v>0.11171696186025029</v>
      </c>
      <c r="I162" s="100">
        <f t="shared" ref="I162:I166" si="34">D162+(0.25*G162)+(0.75*E162*G162)</f>
        <v>0.11909864657006083</v>
      </c>
    </row>
    <row r="163" spans="1:10">
      <c r="B163" s="64" t="str">
        <f>'Schedule-2 Gas Proxy Selection'!B8</f>
        <v>ONE Gas Inc.</v>
      </c>
      <c r="C163" s="101" t="str">
        <f>'Schedule-2 Gas Proxy Selection'!C8</f>
        <v>OGS</v>
      </c>
      <c r="D163" s="40">
        <v>0.03</v>
      </c>
      <c r="E163" s="58">
        <v>0.84222918163642035</v>
      </c>
      <c r="F163" s="57">
        <f>'Schedule-4 CAPM 2'!$C$8</f>
        <v>0.14124370069949246</v>
      </c>
      <c r="G163" s="59">
        <f t="shared" si="32"/>
        <v>0.11124370069949246</v>
      </c>
      <c r="H163" s="67">
        <f t="shared" si="33"/>
        <v>0.12369269100234043</v>
      </c>
      <c r="I163" s="100">
        <f t="shared" si="34"/>
        <v>0.12808044342662844</v>
      </c>
    </row>
    <row r="164" spans="1:10">
      <c r="B164" s="64" t="str">
        <f>'Schedule-2 Gas Proxy Selection'!B9</f>
        <v>South Jersey Industries, Inc.</v>
      </c>
      <c r="C164" s="101" t="str">
        <f>'Schedule-2 Gas Proxy Selection'!C9</f>
        <v>SJI</v>
      </c>
      <c r="D164" s="40">
        <v>0.03</v>
      </c>
      <c r="E164" s="58">
        <v>0.84290180702067719</v>
      </c>
      <c r="F164" s="57">
        <f>'Schedule-4 CAPM 2'!$C$8</f>
        <v>0.14124370069949246</v>
      </c>
      <c r="G164" s="59">
        <f t="shared" si="32"/>
        <v>0.11124370069949246</v>
      </c>
      <c r="H164" s="67">
        <f t="shared" si="33"/>
        <v>0.12376751633926956</v>
      </c>
      <c r="I164" s="100">
        <f t="shared" si="34"/>
        <v>0.12813656242932531</v>
      </c>
    </row>
    <row r="165" spans="1:10">
      <c r="B165" s="64" t="str">
        <f>'Schedule-2 Gas Proxy Selection'!B10</f>
        <v>Southwest Gas Corporation</v>
      </c>
      <c r="C165" s="101" t="str">
        <f>'Schedule-2 Gas Proxy Selection'!C10</f>
        <v>SWX</v>
      </c>
      <c r="D165" s="40">
        <v>0.03</v>
      </c>
      <c r="E165" s="58">
        <v>0.8702590229036995</v>
      </c>
      <c r="F165" s="57">
        <f>'Schedule-4 CAPM 2'!$C$8</f>
        <v>0.14124370069949246</v>
      </c>
      <c r="G165" s="59">
        <f t="shared" si="32"/>
        <v>0.11124370069949246</v>
      </c>
      <c r="H165" s="67">
        <f t="shared" si="33"/>
        <v>0.12681083427493189</v>
      </c>
      <c r="I165" s="100">
        <f t="shared" si="34"/>
        <v>0.13041905088107203</v>
      </c>
      <c r="J165" s="435"/>
    </row>
    <row r="166" spans="1:10">
      <c r="B166" s="64" t="str">
        <f>'Schedule-2 Gas Proxy Selection'!B11</f>
        <v>Spire, Inc.</v>
      </c>
      <c r="C166" s="101" t="str">
        <f>'Schedule-2 Gas Proxy Selection'!C11</f>
        <v>SR</v>
      </c>
      <c r="D166" s="40">
        <v>0.03</v>
      </c>
      <c r="E166" s="58">
        <v>0.76026945143219082</v>
      </c>
      <c r="F166" s="57">
        <f>'Schedule-4 CAPM 2'!$C$8</f>
        <v>0.14124370069949246</v>
      </c>
      <c r="G166" s="59">
        <f t="shared" si="32"/>
        <v>0.11124370069949246</v>
      </c>
      <c r="H166" s="67">
        <f t="shared" si="33"/>
        <v>0.11457518730608995</v>
      </c>
      <c r="I166" s="100">
        <f t="shared" si="34"/>
        <v>0.12124231565444059</v>
      </c>
      <c r="J166" s="435"/>
    </row>
    <row r="167" spans="1:10">
      <c r="B167" s="3" t="s">
        <v>463</v>
      </c>
      <c r="C167" s="560" t="s">
        <v>464</v>
      </c>
      <c r="D167" s="438">
        <v>0.03</v>
      </c>
      <c r="E167" s="327">
        <v>0.75580061535197018</v>
      </c>
      <c r="F167" s="57">
        <f>'Schedule-4 CAPM 2'!$C$8</f>
        <v>0.14124370069949246</v>
      </c>
      <c r="G167" s="59">
        <f t="shared" ref="G167:G176" si="35">F167-D167</f>
        <v>0.11124370069949246</v>
      </c>
      <c r="H167" s="67">
        <f t="shared" ref="H167:H176" si="36">G167*E167+D167</f>
        <v>0.1140780574427068</v>
      </c>
      <c r="I167" s="100">
        <f t="shared" ref="I167:I176" si="37">D167+(0.25*G167)+(0.75*E167*G167)</f>
        <v>0.12086946825690321</v>
      </c>
      <c r="J167" s="435"/>
    </row>
    <row r="168" spans="1:10">
      <c r="B168" s="3" t="s">
        <v>465</v>
      </c>
      <c r="C168" s="560" t="s">
        <v>466</v>
      </c>
      <c r="D168" s="438">
        <v>0.03</v>
      </c>
      <c r="E168" s="327">
        <v>0.8021787709382181</v>
      </c>
      <c r="F168" s="57">
        <f>'Schedule-4 CAPM 2'!$C$8</f>
        <v>0.14124370069949246</v>
      </c>
      <c r="G168" s="59">
        <f t="shared" si="35"/>
        <v>0.11124370069949246</v>
      </c>
      <c r="H168" s="67">
        <f t="shared" si="36"/>
        <v>0.11923733510173785</v>
      </c>
      <c r="I168" s="100">
        <f t="shared" si="37"/>
        <v>0.1247389265011765</v>
      </c>
      <c r="J168" s="435"/>
    </row>
    <row r="169" spans="1:10">
      <c r="B169" s="3" t="s">
        <v>467</v>
      </c>
      <c r="C169" s="560" t="s">
        <v>468</v>
      </c>
      <c r="D169" s="438">
        <v>0.03</v>
      </c>
      <c r="E169" s="327">
        <v>0.76107079904134456</v>
      </c>
      <c r="F169" s="57">
        <f>'Schedule-4 CAPM 2'!$C$8</f>
        <v>0.14124370069949246</v>
      </c>
      <c r="G169" s="59">
        <f t="shared" si="35"/>
        <v>0.11124370069949246</v>
      </c>
      <c r="H169" s="67">
        <f t="shared" si="36"/>
        <v>0.1146643321796789</v>
      </c>
      <c r="I169" s="100">
        <f t="shared" si="37"/>
        <v>0.1213091743096323</v>
      </c>
    </row>
    <row r="170" spans="1:10">
      <c r="B170" s="3" t="s">
        <v>469</v>
      </c>
      <c r="C170" s="560" t="s">
        <v>470</v>
      </c>
      <c r="D170" s="438">
        <v>0.03</v>
      </c>
      <c r="E170" s="327">
        <v>0.68929327948527352</v>
      </c>
      <c r="F170" s="57">
        <f>'Schedule-4 CAPM 2'!$C$8</f>
        <v>0.14124370069949246</v>
      </c>
      <c r="G170" s="59">
        <f t="shared" si="35"/>
        <v>0.11124370069949246</v>
      </c>
      <c r="H170" s="67">
        <f t="shared" si="36"/>
        <v>0.10667953527723138</v>
      </c>
      <c r="I170" s="100">
        <f t="shared" si="37"/>
        <v>0.11532057663279666</v>
      </c>
    </row>
    <row r="171" spans="1:10">
      <c r="B171" s="3" t="s">
        <v>471</v>
      </c>
      <c r="C171" s="560" t="s">
        <v>472</v>
      </c>
      <c r="D171" s="438">
        <v>0.03</v>
      </c>
      <c r="E171" s="327">
        <v>0.8504654657574573</v>
      </c>
      <c r="F171" s="57">
        <f>'Schedule-4 CAPM 2'!$C$8</f>
        <v>0.14124370069949246</v>
      </c>
      <c r="G171" s="59">
        <f t="shared" si="35"/>
        <v>0.11124370069949246</v>
      </c>
      <c r="H171" s="67">
        <f t="shared" si="36"/>
        <v>0.12460892572797704</v>
      </c>
      <c r="I171" s="100">
        <f t="shared" si="37"/>
        <v>0.12876761947085591</v>
      </c>
    </row>
    <row r="172" spans="1:10">
      <c r="B172" s="3" t="s">
        <v>473</v>
      </c>
      <c r="C172" s="560" t="s">
        <v>474</v>
      </c>
      <c r="D172" s="438">
        <v>0.03</v>
      </c>
      <c r="E172" s="327">
        <v>0.90794084009225728</v>
      </c>
      <c r="F172" s="57">
        <f>'Schedule-4 CAPM 2'!$C$8</f>
        <v>0.14124370069949246</v>
      </c>
      <c r="G172" s="59">
        <f t="shared" si="35"/>
        <v>0.11124370069949246</v>
      </c>
      <c r="H172" s="67">
        <f t="shared" si="36"/>
        <v>0.13100269906806883</v>
      </c>
      <c r="I172" s="100">
        <f t="shared" si="37"/>
        <v>0.13356294947592473</v>
      </c>
    </row>
    <row r="173" spans="1:10">
      <c r="B173" s="3" t="s">
        <v>475</v>
      </c>
      <c r="C173" s="560" t="s">
        <v>476</v>
      </c>
      <c r="D173" s="438">
        <v>0.03</v>
      </c>
      <c r="E173" s="327">
        <v>0.85979297070419836</v>
      </c>
      <c r="F173" s="57">
        <f>'Schedule-4 CAPM 2'!$C$8</f>
        <v>0.14124370069949246</v>
      </c>
      <c r="G173" s="59">
        <f t="shared" si="35"/>
        <v>0.11124370069949246</v>
      </c>
      <c r="H173" s="67">
        <f t="shared" si="36"/>
        <v>0.12564655189654533</v>
      </c>
      <c r="I173" s="100">
        <f t="shared" si="37"/>
        <v>0.12954583909728212</v>
      </c>
    </row>
    <row r="174" spans="1:10">
      <c r="B174" s="3" t="s">
        <v>477</v>
      </c>
      <c r="C174" s="560" t="s">
        <v>478</v>
      </c>
      <c r="D174" s="438">
        <v>0.03</v>
      </c>
      <c r="E174" s="327">
        <v>0.73449123255098636</v>
      </c>
      <c r="F174" s="57">
        <f>'Schedule-4 CAPM 2'!$C$8</f>
        <v>0.14124370069949246</v>
      </c>
      <c r="G174" s="59">
        <f t="shared" si="35"/>
        <v>0.11124370069949246</v>
      </c>
      <c r="H174" s="67">
        <f t="shared" si="36"/>
        <v>0.11170752284030325</v>
      </c>
      <c r="I174" s="100">
        <f t="shared" si="37"/>
        <v>0.11909156730510055</v>
      </c>
    </row>
    <row r="175" spans="1:10">
      <c r="B175" s="3" t="s">
        <v>479</v>
      </c>
      <c r="C175" s="560" t="s">
        <v>480</v>
      </c>
      <c r="D175" s="438">
        <v>0.03</v>
      </c>
      <c r="E175" s="327">
        <v>0.74079694426261156</v>
      </c>
      <c r="F175" s="57">
        <f>'Schedule-4 CAPM 2'!$C$8</f>
        <v>0.14124370069949246</v>
      </c>
      <c r="G175" s="59">
        <f t="shared" si="35"/>
        <v>0.11124370069949246</v>
      </c>
      <c r="H175" s="67">
        <f t="shared" si="36"/>
        <v>0.11240899354664856</v>
      </c>
      <c r="I175" s="100">
        <f t="shared" si="37"/>
        <v>0.11961767033485954</v>
      </c>
    </row>
    <row r="176" spans="1:10">
      <c r="A176" s="49"/>
      <c r="B176" s="19" t="s">
        <v>481</v>
      </c>
      <c r="C176" s="400" t="s">
        <v>482</v>
      </c>
      <c r="D176" s="439">
        <v>0.03</v>
      </c>
      <c r="E176" s="328">
        <v>0.73258919087071295</v>
      </c>
      <c r="F176" s="62">
        <f>'Schedule-4 CAPM 2'!$C$8</f>
        <v>0.14124370069949246</v>
      </c>
      <c r="G176" s="63">
        <f t="shared" si="35"/>
        <v>0.11124370069949246</v>
      </c>
      <c r="H176" s="70">
        <f t="shared" si="36"/>
        <v>0.11149593268490494</v>
      </c>
      <c r="I176" s="122">
        <f t="shared" si="37"/>
        <v>0.11893287468855182</v>
      </c>
    </row>
    <row r="177" spans="1:9" ht="13.5" thickBot="1">
      <c r="A177" s="49"/>
      <c r="B177" s="437" t="s">
        <v>99</v>
      </c>
      <c r="C177" s="242"/>
      <c r="D177" s="242"/>
      <c r="E177" s="242"/>
      <c r="F177" s="243"/>
      <c r="G177" s="243"/>
      <c r="H177" s="243">
        <f>AVERAGE(H161:H176)</f>
        <v>0.11790313017508212</v>
      </c>
      <c r="I177" s="243">
        <f>AVERAGE(I161:I176)</f>
        <v>0.12373827280618471</v>
      </c>
    </row>
    <row r="178" spans="1:9">
      <c r="B178" s="52"/>
      <c r="C178" s="49"/>
      <c r="D178" s="49"/>
      <c r="E178" s="49"/>
      <c r="F178" s="53"/>
      <c r="G178" s="53"/>
      <c r="H178" s="53"/>
    </row>
    <row r="179" spans="1:9">
      <c r="B179" s="54" t="s">
        <v>21</v>
      </c>
      <c r="C179" s="49"/>
      <c r="D179" s="49"/>
      <c r="E179" s="49"/>
      <c r="F179" s="49"/>
      <c r="G179" s="49"/>
      <c r="H179" s="49"/>
    </row>
    <row r="180" spans="1:9">
      <c r="B180" s="49" t="str">
        <f>B87</f>
        <v>[1] Source: Blue Chip Financial Forecasts, Vol. 39, No. 6, June 1, 2020, at 14</v>
      </c>
      <c r="C180" s="49"/>
      <c r="D180" s="49"/>
      <c r="E180" s="49"/>
      <c r="F180" s="49"/>
      <c r="G180" s="49"/>
      <c r="H180" s="49"/>
    </row>
    <row r="181" spans="1:9">
      <c r="B181" s="99" t="s">
        <v>598</v>
      </c>
      <c r="C181" s="49"/>
      <c r="D181" s="49"/>
      <c r="E181" s="49"/>
      <c r="F181" s="49"/>
      <c r="G181" s="49"/>
      <c r="H181" s="49"/>
    </row>
    <row r="182" spans="1:9">
      <c r="B182" s="99" t="str">
        <f>B151</f>
        <v>[3] Source: Schedule-4, page 13</v>
      </c>
      <c r="C182" s="49"/>
      <c r="D182" s="49"/>
      <c r="E182" s="49"/>
      <c r="F182" s="49"/>
      <c r="G182" s="49"/>
      <c r="H182" s="49"/>
    </row>
    <row r="183" spans="1:9">
      <c r="B183" s="49" t="s">
        <v>101</v>
      </c>
      <c r="C183" s="49"/>
      <c r="D183" s="49"/>
      <c r="E183" s="49"/>
      <c r="F183" s="49"/>
      <c r="G183" s="49"/>
      <c r="H183" s="49"/>
    </row>
    <row r="184" spans="1:9">
      <c r="B184" s="49" t="s">
        <v>102</v>
      </c>
      <c r="C184" s="49"/>
      <c r="D184" s="49"/>
      <c r="E184" s="49"/>
      <c r="F184" s="49"/>
      <c r="G184" s="49"/>
      <c r="H184" s="49"/>
    </row>
    <row r="185" spans="1:9">
      <c r="A185" s="49"/>
      <c r="B185" s="49" t="s">
        <v>103</v>
      </c>
      <c r="C185" s="49"/>
      <c r="D185" s="49"/>
      <c r="E185" s="49"/>
      <c r="F185" s="49"/>
      <c r="G185" s="49"/>
      <c r="H185" s="49"/>
    </row>
  </sheetData>
  <mergeCells count="6">
    <mergeCell ref="B157:I157"/>
    <mergeCell ref="B2:I2"/>
    <mergeCell ref="B33:I33"/>
    <mergeCell ref="B64:I64"/>
    <mergeCell ref="B95:I95"/>
    <mergeCell ref="B126:I126"/>
  </mergeCells>
  <conditionalFormatting sqref="E99:E104">
    <cfRule type="expression" dxfId="78" priority="10">
      <formula>$D99="Yes"</formula>
    </cfRule>
  </conditionalFormatting>
  <conditionalFormatting sqref="B167:C176">
    <cfRule type="expression" dxfId="77" priority="1">
      <formula>"(blank)"</formula>
    </cfRule>
  </conditionalFormatting>
  <conditionalFormatting sqref="D105:E114">
    <cfRule type="expression" dxfId="76" priority="9">
      <formula>$D105="Yes"</formula>
    </cfRule>
  </conditionalFormatting>
  <conditionalFormatting sqref="B105:C114">
    <cfRule type="expression" dxfId="75" priority="7">
      <formula>"(blank)"</formula>
    </cfRule>
  </conditionalFormatting>
  <conditionalFormatting sqref="B105:C114">
    <cfRule type="expression" dxfId="74" priority="8">
      <formula>#REF!</formula>
    </cfRule>
  </conditionalFormatting>
  <conditionalFormatting sqref="D136:E145">
    <cfRule type="expression" dxfId="73" priority="6">
      <formula>$D136="Yes"</formula>
    </cfRule>
  </conditionalFormatting>
  <conditionalFormatting sqref="B136:C145">
    <cfRule type="expression" dxfId="72" priority="4">
      <formula>"(blank)"</formula>
    </cfRule>
  </conditionalFormatting>
  <conditionalFormatting sqref="B136:C145">
    <cfRule type="expression" dxfId="71" priority="5">
      <formula>#REF!</formula>
    </cfRule>
  </conditionalFormatting>
  <conditionalFormatting sqref="D167:E176">
    <cfRule type="expression" dxfId="70" priority="3">
      <formula>$D167="Yes"</formula>
    </cfRule>
  </conditionalFormatting>
  <conditionalFormatting sqref="B167:C176">
    <cfRule type="expression" dxfId="69" priority="2">
      <formula>#REF!</formula>
    </cfRule>
  </conditionalFormatting>
  <printOptions horizontalCentered="1"/>
  <pageMargins left="0.7" right="0.7" top="1.25" bottom="0.75" header="0.3" footer="0.3"/>
  <pageSetup scale="74" firstPageNumber="7" orientation="landscape" useFirstPageNumber="1" r:id="rId1"/>
  <headerFooter>
    <oddHeader>&amp;RPetitioner's Exhibit No.12 
Attachment AEB-2
Vectren South
Schedule 4 (Natural Gas Utility Proxy Group)
Page &amp;P of 21</oddHeader>
  </headerFooter>
  <rowBreaks count="5" manualBreakCount="5">
    <brk id="32" min="1" max="8" man="1"/>
    <brk id="63" min="1" max="8" man="1"/>
    <brk id="94" min="1" max="8" man="1"/>
    <brk id="125" min="1" max="8" man="1"/>
    <brk id="156" min="1" max="8"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
    <tabColor rgb="FF92D050"/>
  </sheetPr>
  <dimension ref="B1:H14"/>
  <sheetViews>
    <sheetView zoomScaleNormal="100" workbookViewId="0">
      <selection activeCell="E27" sqref="E27"/>
    </sheetView>
  </sheetViews>
  <sheetFormatPr defaultColWidth="9.140625" defaultRowHeight="12.75"/>
  <cols>
    <col min="1" max="1" width="6.140625" style="1" customWidth="1"/>
    <col min="2" max="2" width="51.85546875" style="1" customWidth="1"/>
    <col min="3" max="3" width="7.28515625" style="1" bestFit="1" customWidth="1"/>
    <col min="4" max="4" width="10.140625" style="14" customWidth="1"/>
    <col min="5" max="5" width="15.42578125" style="14" customWidth="1"/>
    <col min="6" max="6" width="12.42578125" style="14" bestFit="1" customWidth="1"/>
    <col min="7" max="7" width="10.28515625" style="14" bestFit="1" customWidth="1"/>
    <col min="8" max="8" width="13" style="14" bestFit="1" customWidth="1"/>
    <col min="9" max="10" width="9.140625" style="1"/>
    <col min="11" max="12" width="9.140625" style="1" customWidth="1"/>
    <col min="13" max="16384" width="9.140625" style="1"/>
  </cols>
  <sheetData>
    <row r="1" spans="2:8">
      <c r="B1" s="14"/>
    </row>
    <row r="2" spans="2:8" s="117" customFormat="1">
      <c r="B2" s="763" t="s">
        <v>111</v>
      </c>
      <c r="C2" s="763"/>
      <c r="D2" s="763"/>
      <c r="E2" s="763"/>
      <c r="F2" s="174"/>
      <c r="G2" s="174"/>
      <c r="H2" s="174"/>
    </row>
    <row r="3" spans="2:8" s="117" customFormat="1"/>
    <row r="4" spans="2:8" s="117" customFormat="1">
      <c r="B4" s="118" t="s">
        <v>112</v>
      </c>
      <c r="C4" s="254">
        <v>1.7499559237491798E-2</v>
      </c>
      <c r="D4" s="255"/>
      <c r="E4" s="256"/>
      <c r="F4" s="703"/>
    </row>
    <row r="5" spans="2:8" s="117" customFormat="1">
      <c r="B5" s="118"/>
      <c r="C5" s="118"/>
      <c r="D5" s="118"/>
      <c r="E5" s="118"/>
      <c r="F5" s="703"/>
    </row>
    <row r="6" spans="2:8" s="117" customFormat="1">
      <c r="B6" s="118" t="s">
        <v>113</v>
      </c>
      <c r="C6" s="257">
        <f>12.2670799005051%</f>
        <v>0.12267079900505101</v>
      </c>
      <c r="D6" s="258"/>
      <c r="E6" s="259"/>
      <c r="F6" s="703"/>
      <c r="G6" s="119"/>
    </row>
    <row r="7" spans="2:8" s="117" customFormat="1">
      <c r="B7" s="118"/>
      <c r="C7" s="118"/>
      <c r="D7" s="118"/>
      <c r="E7" s="118"/>
    </row>
    <row r="8" spans="2:8" s="117" customFormat="1">
      <c r="B8" s="118" t="s">
        <v>114</v>
      </c>
      <c r="C8" s="260">
        <f>C6*(1+0.5*C4)+C4</f>
        <v>0.14124370069949246</v>
      </c>
      <c r="D8" s="258"/>
      <c r="E8" s="259"/>
    </row>
    <row r="9" spans="2:8" s="117" customFormat="1">
      <c r="B9" s="118"/>
      <c r="C9" s="120"/>
      <c r="D9" s="121"/>
      <c r="E9" s="121"/>
    </row>
    <row r="10" spans="2:8" s="117" customFormat="1">
      <c r="B10" s="118"/>
      <c r="C10" s="120"/>
      <c r="D10" s="121"/>
      <c r="E10" s="121"/>
    </row>
    <row r="11" spans="2:8">
      <c r="B11" s="16" t="s">
        <v>21</v>
      </c>
      <c r="C11" s="15"/>
      <c r="D11" s="13"/>
      <c r="E11" s="13"/>
      <c r="F11" s="13"/>
      <c r="G11" s="13"/>
      <c r="H11" s="13"/>
    </row>
    <row r="12" spans="2:8">
      <c r="B12" s="117" t="s">
        <v>585</v>
      </c>
      <c r="C12" s="15"/>
      <c r="D12" s="13"/>
      <c r="E12" s="13"/>
      <c r="F12" s="13"/>
      <c r="G12" s="13"/>
      <c r="H12" s="13"/>
    </row>
    <row r="13" spans="2:8">
      <c r="B13" s="117" t="s">
        <v>584</v>
      </c>
      <c r="C13" s="15"/>
      <c r="D13" s="13"/>
      <c r="E13" s="13"/>
      <c r="F13" s="13"/>
      <c r="G13" s="13"/>
      <c r="H13" s="13"/>
    </row>
    <row r="14" spans="2:8">
      <c r="B14" s="117" t="s">
        <v>115</v>
      </c>
      <c r="C14" s="15"/>
      <c r="D14" s="13"/>
      <c r="E14" s="13"/>
      <c r="F14" s="13"/>
      <c r="G14" s="13"/>
      <c r="H14" s="13"/>
    </row>
  </sheetData>
  <mergeCells count="1">
    <mergeCell ref="B2:E2"/>
  </mergeCells>
  <printOptions horizontalCentered="1"/>
  <pageMargins left="0.7" right="0.7" top="1.25" bottom="0.75" header="0.3" footer="0.3"/>
  <pageSetup scale="74" firstPageNumber="13" fitToHeight="6" orientation="landscape" useFirstPageNumber="1" r:id="rId1"/>
  <headerFooter>
    <oddHeader>&amp;RPetitioner's Exhibit No.12 
Attachment AEB-2
Vectren South
Schedule 4 (Natural Gas Utility Proxy Group)
Page &amp;P of 21</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AL292"/>
  <sheetViews>
    <sheetView topLeftCell="A236" zoomScaleNormal="100" workbookViewId="0">
      <selection activeCell="E27" sqref="E27"/>
    </sheetView>
  </sheetViews>
  <sheetFormatPr defaultRowHeight="12.75"/>
  <cols>
    <col min="1" max="1" width="17.42578125" customWidth="1"/>
    <col min="2" max="2" width="11.28515625" customWidth="1"/>
    <col min="3" max="9" width="13.7109375" customWidth="1"/>
    <col min="10" max="10" width="21.85546875" bestFit="1" customWidth="1"/>
    <col min="11" max="13" width="13.7109375" customWidth="1"/>
    <col min="14" max="18" width="9" bestFit="1" customWidth="1"/>
    <col min="19" max="19" width="10.140625" customWidth="1"/>
    <col min="20" max="20" width="8.28515625" bestFit="1" customWidth="1"/>
  </cols>
  <sheetData>
    <row r="1" spans="1:12" s="571" customFormat="1">
      <c r="A1" s="569" t="s">
        <v>613</v>
      </c>
      <c r="B1" s="570"/>
      <c r="C1" s="570"/>
      <c r="D1" s="570"/>
      <c r="F1" s="572"/>
      <c r="G1" s="572"/>
      <c r="H1" s="573"/>
      <c r="I1" s="574"/>
      <c r="J1" s="575"/>
    </row>
    <row r="2" spans="1:12" s="571" customFormat="1">
      <c r="A2" s="576">
        <v>44104</v>
      </c>
      <c r="B2" s="570"/>
      <c r="C2" s="570"/>
      <c r="D2" s="570"/>
      <c r="E2" s="577"/>
      <c r="F2" s="570"/>
      <c r="G2" s="570"/>
      <c r="H2" s="570"/>
      <c r="I2" s="574"/>
      <c r="J2" s="575"/>
    </row>
    <row r="3" spans="1:12" s="571" customFormat="1">
      <c r="A3" s="578" t="s">
        <v>614</v>
      </c>
      <c r="B3" s="570"/>
      <c r="C3" s="570"/>
      <c r="D3" s="570"/>
      <c r="E3" s="570"/>
      <c r="F3" s="570"/>
      <c r="G3" s="570"/>
      <c r="H3" s="570"/>
      <c r="I3" s="574"/>
      <c r="J3" s="575"/>
    </row>
    <row r="4" spans="1:12" s="571" customFormat="1">
      <c r="A4" s="570"/>
      <c r="B4" s="570"/>
      <c r="C4" s="570" t="s">
        <v>615</v>
      </c>
      <c r="D4" s="570"/>
      <c r="E4" s="570" t="s">
        <v>616</v>
      </c>
      <c r="F4" s="570"/>
      <c r="G4" s="570"/>
      <c r="H4" s="570"/>
      <c r="I4" s="570"/>
      <c r="J4" s="579"/>
      <c r="K4" s="580"/>
    </row>
    <row r="5" spans="1:12" s="571" customFormat="1" ht="61.5" customHeight="1">
      <c r="A5" s="765" t="s">
        <v>761</v>
      </c>
      <c r="B5" s="765"/>
      <c r="C5" s="765"/>
      <c r="D5" s="765"/>
      <c r="E5" s="765"/>
      <c r="F5" s="765"/>
      <c r="G5" s="765"/>
      <c r="H5" s="765"/>
      <c r="I5" s="765"/>
      <c r="J5" s="765"/>
      <c r="K5" s="580"/>
    </row>
    <row r="6" spans="1:12" s="571" customFormat="1">
      <c r="A6" s="570"/>
      <c r="B6" s="570"/>
      <c r="C6" s="570"/>
      <c r="D6" s="570"/>
      <c r="E6" s="570"/>
      <c r="F6" s="570"/>
      <c r="G6" s="570"/>
      <c r="H6" s="570"/>
      <c r="I6" s="570"/>
      <c r="J6" s="579"/>
      <c r="K6" s="580"/>
    </row>
    <row r="7" spans="1:12" s="585" customFormat="1" ht="18">
      <c r="A7" s="581" t="s">
        <v>613</v>
      </c>
      <c r="B7" s="581"/>
      <c r="C7" s="581"/>
      <c r="D7" s="582"/>
      <c r="E7" s="583"/>
      <c r="F7" s="583"/>
      <c r="G7" s="584"/>
      <c r="H7" s="584"/>
      <c r="I7" s="584"/>
      <c r="J7" s="584"/>
    </row>
    <row r="8" spans="1:12" s="585" customFormat="1" ht="18">
      <c r="A8" s="581" t="s">
        <v>617</v>
      </c>
      <c r="B8" s="581"/>
      <c r="C8" s="581"/>
      <c r="D8" s="582"/>
      <c r="E8" s="583"/>
      <c r="F8" s="583"/>
      <c r="G8" s="584"/>
      <c r="H8" s="581" t="s">
        <v>618</v>
      </c>
      <c r="I8" s="584"/>
      <c r="J8" s="584"/>
    </row>
    <row r="9" spans="1:12" s="585" customFormat="1" ht="18">
      <c r="A9" s="581" t="s">
        <v>619</v>
      </c>
      <c r="B9" s="581"/>
      <c r="C9" s="586" t="s">
        <v>620</v>
      </c>
      <c r="D9" s="586" t="s">
        <v>621</v>
      </c>
      <c r="E9" s="586" t="s">
        <v>622</v>
      </c>
      <c r="F9" s="586" t="s">
        <v>623</v>
      </c>
      <c r="G9" s="587"/>
      <c r="H9" s="581"/>
      <c r="I9" s="586" t="s">
        <v>624</v>
      </c>
      <c r="J9" s="586" t="s">
        <v>625</v>
      </c>
      <c r="K9" s="581"/>
      <c r="L9" s="581"/>
    </row>
    <row r="10" spans="1:12" s="585" customFormat="1" ht="18">
      <c r="A10" s="581" t="s">
        <v>626</v>
      </c>
      <c r="B10" s="581"/>
      <c r="C10" s="582">
        <v>0.19298374887796252</v>
      </c>
      <c r="D10" s="582">
        <v>0.13023585857297562</v>
      </c>
      <c r="E10" s="582">
        <v>0.19285859856808674</v>
      </c>
      <c r="F10" s="582">
        <v>0.25440356571971601</v>
      </c>
      <c r="G10" s="587"/>
      <c r="H10" s="588">
        <v>43891</v>
      </c>
      <c r="I10" s="582">
        <v>0.19298374887796252</v>
      </c>
      <c r="J10" s="589"/>
      <c r="K10" s="590"/>
      <c r="L10" s="582"/>
    </row>
    <row r="11" spans="1:12" s="585" customFormat="1" ht="18">
      <c r="A11" s="581" t="s">
        <v>627</v>
      </c>
      <c r="B11" s="581"/>
      <c r="C11" s="582">
        <v>0.20028487410402498</v>
      </c>
      <c r="D11" s="582">
        <v>5.9939218629856107E-2</v>
      </c>
      <c r="E11" s="582">
        <v>0.2346522883586652</v>
      </c>
      <c r="F11" s="582">
        <v>0.33031899557023403</v>
      </c>
      <c r="G11" s="587"/>
      <c r="H11" s="588">
        <v>43800</v>
      </c>
      <c r="I11" s="582">
        <v>0.13023585857297562</v>
      </c>
      <c r="J11" s="589">
        <v>0.17499301362554726</v>
      </c>
      <c r="K11" s="591"/>
      <c r="L11" s="582"/>
    </row>
    <row r="12" spans="1:12" s="585" customFormat="1" ht="18">
      <c r="A12" s="581" t="s">
        <v>628</v>
      </c>
      <c r="B12" s="581"/>
      <c r="C12" s="582">
        <v>0.94157137587606055</v>
      </c>
      <c r="D12" s="582">
        <v>0.15992020613415345</v>
      </c>
      <c r="E12" s="582">
        <v>0.19590963822942689</v>
      </c>
      <c r="F12" s="582">
        <v>0.28855781828909577</v>
      </c>
      <c r="G12" s="587"/>
      <c r="H12" s="588">
        <v>43709</v>
      </c>
      <c r="I12" s="582">
        <v>0.18937222880025092</v>
      </c>
      <c r="J12" s="589"/>
      <c r="K12" s="591"/>
      <c r="L12" s="582"/>
    </row>
    <row r="13" spans="1:12" s="585" customFormat="1" ht="18">
      <c r="A13" s="581" t="s">
        <v>629</v>
      </c>
      <c r="B13" s="581"/>
      <c r="C13" s="582">
        <v>0.19708700823627101</v>
      </c>
      <c r="D13" s="582">
        <v>0.20895978020300696</v>
      </c>
      <c r="E13" s="582">
        <v>0.20929562199494978</v>
      </c>
      <c r="F13" s="582">
        <v>0.27620499044273389</v>
      </c>
      <c r="G13" s="587"/>
      <c r="H13" s="588">
        <v>43617</v>
      </c>
      <c r="I13" s="582">
        <v>0.18593454308774915</v>
      </c>
      <c r="J13" s="589"/>
      <c r="K13" s="591"/>
      <c r="L13" s="582"/>
    </row>
    <row r="14" spans="1:12" s="585" customFormat="1" ht="18">
      <c r="A14" s="581" t="s">
        <v>630</v>
      </c>
      <c r="B14" s="581"/>
      <c r="C14" s="582">
        <v>6.1350614344123491E-2</v>
      </c>
      <c r="D14" s="582">
        <v>-0.23801328935417565</v>
      </c>
      <c r="E14" s="582">
        <v>0.33532120730212372</v>
      </c>
      <c r="F14" s="582">
        <v>0.2234804329725229</v>
      </c>
      <c r="G14" s="587"/>
      <c r="H14" s="588">
        <v>43525</v>
      </c>
      <c r="I14" s="582">
        <v>0.19285859856808674</v>
      </c>
      <c r="J14" s="589"/>
      <c r="K14" s="588"/>
      <c r="L14" s="592"/>
    </row>
    <row r="15" spans="1:12" s="585" customFormat="1" ht="18">
      <c r="A15" s="581" t="s">
        <v>631</v>
      </c>
      <c r="B15" s="581"/>
      <c r="C15" s="582">
        <v>0.34027638694171841</v>
      </c>
      <c r="D15" s="582">
        <v>0.18196132427218881</v>
      </c>
      <c r="E15" s="582">
        <v>0.19257216607542088</v>
      </c>
      <c r="F15" s="582">
        <v>0.25429829320201974</v>
      </c>
      <c r="G15" s="587"/>
      <c r="H15" s="588">
        <v>43435</v>
      </c>
      <c r="I15" s="582">
        <v>0.13221854398324986</v>
      </c>
      <c r="J15" s="589">
        <v>0.17724000000000001</v>
      </c>
      <c r="K15" s="588"/>
      <c r="L15" s="592"/>
    </row>
    <row r="16" spans="1:12" s="585" customFormat="1" ht="18">
      <c r="A16" s="581" t="s">
        <v>632</v>
      </c>
      <c r="B16" s="581"/>
      <c r="C16" s="582">
        <v>8.7469905494268571E-2</v>
      </c>
      <c r="D16" s="582">
        <v>-7.2801853707414833E-3</v>
      </c>
      <c r="E16" s="582">
        <v>0.1599833544989489</v>
      </c>
      <c r="F16" s="582">
        <v>0.24098481540080613</v>
      </c>
      <c r="G16" s="587"/>
      <c r="H16" s="588">
        <v>43344</v>
      </c>
      <c r="I16" s="582">
        <v>0.18377231520970402</v>
      </c>
      <c r="J16" s="589"/>
      <c r="K16" s="588"/>
      <c r="L16" s="592"/>
    </row>
    <row r="17" spans="1:12" s="585" customFormat="1" ht="18">
      <c r="A17" s="581" t="s">
        <v>633</v>
      </c>
      <c r="B17" s="581"/>
      <c r="C17" s="582">
        <v>0.15885327916899547</v>
      </c>
      <c r="D17" s="582">
        <v>0.17561555525596559</v>
      </c>
      <c r="E17" s="582">
        <v>0.19329305559730278</v>
      </c>
      <c r="F17" s="582">
        <v>0.29166516953517063</v>
      </c>
      <c r="G17" s="587"/>
      <c r="H17" s="588">
        <v>43252</v>
      </c>
      <c r="I17" s="582">
        <v>0.19578661230037378</v>
      </c>
      <c r="J17" s="589"/>
      <c r="K17" s="588"/>
      <c r="L17" s="592"/>
    </row>
    <row r="18" spans="1:12" s="585" customFormat="1" ht="18">
      <c r="A18" s="581" t="s">
        <v>634</v>
      </c>
      <c r="B18" s="581"/>
      <c r="C18" s="582">
        <v>0.13734128191651221</v>
      </c>
      <c r="D18" s="582">
        <v>0.14245510524220925</v>
      </c>
      <c r="E18" s="582">
        <v>0.15329731437982777</v>
      </c>
      <c r="F18" s="582">
        <v>0.21663123080557523</v>
      </c>
      <c r="G18" s="587"/>
      <c r="H18" s="588">
        <v>43160</v>
      </c>
      <c r="I18" s="582">
        <v>0.18810521415270018</v>
      </c>
      <c r="J18" s="589"/>
      <c r="K18" s="588"/>
      <c r="L18" s="592"/>
    </row>
    <row r="19" spans="1:12" s="585" customFormat="1" ht="18">
      <c r="A19" s="581" t="s">
        <v>635</v>
      </c>
      <c r="B19" s="581"/>
      <c r="C19" s="582">
        <v>0.25679445000715201</v>
      </c>
      <c r="D19" s="582">
        <v>0.4236709770114942</v>
      </c>
      <c r="E19" s="582">
        <v>0.20939187716451527</v>
      </c>
      <c r="F19" s="582">
        <v>0.25271796681962583</v>
      </c>
      <c r="G19" s="587"/>
      <c r="H19" s="588">
        <v>43070</v>
      </c>
      <c r="I19" s="582">
        <v>0.20381970544836994</v>
      </c>
      <c r="J19" s="589">
        <v>0.24368117872957404</v>
      </c>
      <c r="K19" s="588"/>
      <c r="L19" s="592"/>
    </row>
    <row r="20" spans="1:12" s="585" customFormat="1" ht="18">
      <c r="A20" s="581" t="s">
        <v>636</v>
      </c>
      <c r="B20" s="581"/>
      <c r="C20" s="582">
        <v>-2.2331120898207303E-2</v>
      </c>
      <c r="D20" s="582">
        <v>-1.2429696287964006E-2</v>
      </c>
      <c r="E20" s="582">
        <v>2.2255908495831325E-2</v>
      </c>
      <c r="F20" s="582">
        <v>2.6319314224484327E-2</v>
      </c>
      <c r="G20" s="587"/>
      <c r="H20" s="588">
        <v>42979</v>
      </c>
      <c r="I20" s="582">
        <v>0.25444893076117842</v>
      </c>
      <c r="J20" s="589"/>
      <c r="K20" s="588"/>
      <c r="L20" s="592"/>
    </row>
    <row r="21" spans="1:12" s="585" customFormat="1" ht="18.75" customHeight="1">
      <c r="A21" s="581" t="s">
        <v>637</v>
      </c>
      <c r="B21" s="581"/>
      <c r="C21" s="582">
        <v>-4.4997416226100095E-2</v>
      </c>
      <c r="D21" s="582">
        <v>-0.30374328108403875</v>
      </c>
      <c r="E21" s="582">
        <v>0.22371564533359228</v>
      </c>
      <c r="F21" s="582">
        <v>0.29601610216546359</v>
      </c>
      <c r="G21" s="587"/>
      <c r="H21" s="588">
        <v>42887</v>
      </c>
      <c r="I21" s="582">
        <v>0.25890482398956977</v>
      </c>
      <c r="J21" s="589"/>
      <c r="K21" s="588"/>
      <c r="L21" s="592"/>
    </row>
    <row r="22" spans="1:12" s="585" customFormat="1" ht="18.75" customHeight="1">
      <c r="A22" s="593"/>
      <c r="B22" s="593"/>
      <c r="C22" s="593"/>
      <c r="D22" s="582"/>
      <c r="E22" s="582"/>
      <c r="F22" s="582"/>
      <c r="G22" s="582"/>
      <c r="H22" s="588">
        <v>42795</v>
      </c>
      <c r="I22" s="582">
        <v>0.2544158661295321</v>
      </c>
      <c r="J22" s="589"/>
      <c r="K22" s="588"/>
      <c r="L22" s="592"/>
    </row>
    <row r="23" spans="1:12" s="585" customFormat="1" ht="18.75" customHeight="1">
      <c r="A23" s="593"/>
      <c r="B23" s="593"/>
      <c r="C23" s="593"/>
      <c r="D23" s="582"/>
      <c r="E23" s="582"/>
      <c r="F23" s="582"/>
      <c r="G23" s="582"/>
      <c r="H23" s="588">
        <v>42705</v>
      </c>
      <c r="I23" s="582">
        <v>0.24287660683608789</v>
      </c>
      <c r="J23" s="589">
        <v>0.26439271687630328</v>
      </c>
    </row>
    <row r="24" spans="1:12" s="585" customFormat="1" ht="18.75" customHeight="1">
      <c r="A24" s="593"/>
      <c r="B24" s="593"/>
      <c r="C24" s="593"/>
      <c r="D24" s="582"/>
      <c r="E24" s="582"/>
      <c r="F24" s="582"/>
      <c r="G24" s="582"/>
      <c r="H24" s="594"/>
    </row>
    <row r="25" spans="1:12" s="571" customFormat="1">
      <c r="A25" s="570" t="s">
        <v>638</v>
      </c>
      <c r="B25" s="570"/>
      <c r="C25" s="570"/>
      <c r="D25" s="570"/>
      <c r="E25" s="570"/>
      <c r="F25" s="570"/>
      <c r="G25" s="570"/>
      <c r="H25" s="570"/>
      <c r="I25" s="570"/>
      <c r="J25" s="579"/>
      <c r="K25" s="580"/>
    </row>
    <row r="26" spans="1:12" s="571" customFormat="1">
      <c r="A26" s="570" t="s">
        <v>639</v>
      </c>
      <c r="B26" s="570"/>
      <c r="C26" s="570"/>
      <c r="D26" s="570"/>
      <c r="E26" s="570"/>
      <c r="F26" s="570"/>
      <c r="G26" s="570"/>
      <c r="H26" s="595"/>
      <c r="I26" s="596"/>
      <c r="J26" s="3"/>
      <c r="K26" s="3"/>
    </row>
    <row r="27" spans="1:12" s="571" customFormat="1">
      <c r="A27" s="570" t="s">
        <v>640</v>
      </c>
      <c r="B27" s="570"/>
      <c r="C27" s="570"/>
      <c r="D27" s="570"/>
      <c r="E27" s="570"/>
      <c r="F27" s="570"/>
      <c r="G27" s="597"/>
      <c r="H27" s="598"/>
      <c r="I27" s="596"/>
      <c r="J27" s="3"/>
      <c r="K27" s="3"/>
      <c r="L27" s="580"/>
    </row>
    <row r="28" spans="1:12" s="571" customFormat="1">
      <c r="A28" s="570" t="s">
        <v>641</v>
      </c>
      <c r="B28" s="570"/>
      <c r="C28" s="570"/>
      <c r="D28" s="599">
        <v>500</v>
      </c>
      <c r="E28" s="599" t="s">
        <v>642</v>
      </c>
      <c r="F28" s="570"/>
      <c r="G28" s="599"/>
      <c r="H28" s="598"/>
      <c r="I28" s="600"/>
      <c r="J28" s="542"/>
      <c r="K28" s="579"/>
      <c r="L28" s="580"/>
    </row>
    <row r="29" spans="1:12" s="604" customFormat="1" ht="15.75">
      <c r="A29" s="570" t="s">
        <v>643</v>
      </c>
      <c r="B29" s="570"/>
      <c r="C29" s="570"/>
      <c r="D29" s="599">
        <v>318</v>
      </c>
      <c r="E29" s="598">
        <v>0.63600000000000001</v>
      </c>
      <c r="F29" s="570"/>
      <c r="G29" s="569"/>
      <c r="H29" s="601"/>
      <c r="I29" s="600"/>
      <c r="J29" s="602"/>
      <c r="K29" s="603"/>
    </row>
    <row r="30" spans="1:12" s="604" customFormat="1" ht="15.75">
      <c r="A30" s="570" t="s">
        <v>644</v>
      </c>
      <c r="B30" s="570"/>
      <c r="C30" s="570"/>
      <c r="D30" s="599">
        <v>89</v>
      </c>
      <c r="E30" s="598">
        <v>0.17799999999999999</v>
      </c>
      <c r="F30" s="598"/>
      <c r="G30" s="570"/>
      <c r="H30" s="595"/>
      <c r="I30" s="600"/>
      <c r="J30" s="602"/>
      <c r="K30" s="603"/>
    </row>
    <row r="31" spans="1:12" s="604" customFormat="1" ht="15.75">
      <c r="A31" s="570" t="s">
        <v>645</v>
      </c>
      <c r="B31" s="570"/>
      <c r="C31" s="570"/>
      <c r="D31" s="599">
        <v>165</v>
      </c>
      <c r="E31" s="598">
        <v>0.33</v>
      </c>
      <c r="F31" s="570"/>
      <c r="G31" s="570"/>
      <c r="H31" s="595"/>
      <c r="I31" s="600"/>
      <c r="J31" s="602"/>
      <c r="K31" s="603"/>
    </row>
    <row r="32" spans="1:12" s="604" customFormat="1" ht="15.75">
      <c r="A32" s="570" t="s">
        <v>646</v>
      </c>
      <c r="B32" s="570"/>
      <c r="C32" s="570"/>
      <c r="D32" s="599">
        <v>43</v>
      </c>
      <c r="E32" s="598">
        <v>8.5999999999999993E-2</v>
      </c>
      <c r="F32" s="570"/>
      <c r="G32" s="570"/>
      <c r="H32" s="595"/>
      <c r="I32" s="600"/>
      <c r="J32" s="602"/>
      <c r="K32" s="603"/>
    </row>
    <row r="33" spans="1:38" s="604" customFormat="1" ht="15.75">
      <c r="A33" s="570"/>
      <c r="B33" s="570"/>
      <c r="C33" s="570"/>
      <c r="D33" s="599"/>
      <c r="E33" s="598"/>
      <c r="F33" s="570"/>
      <c r="G33" s="570"/>
      <c r="H33" s="595"/>
      <c r="I33" s="600"/>
      <c r="J33" s="602"/>
      <c r="K33" s="603"/>
    </row>
    <row r="34" spans="1:38" s="604" customFormat="1" ht="15.75">
      <c r="A34" s="570" t="s">
        <v>191</v>
      </c>
      <c r="B34" s="570"/>
      <c r="C34" s="570"/>
      <c r="D34" s="569"/>
      <c r="E34" s="598"/>
      <c r="F34" s="570"/>
      <c r="G34" s="570"/>
      <c r="H34" s="595"/>
      <c r="I34" s="600"/>
      <c r="J34" s="602"/>
      <c r="K34" s="603"/>
    </row>
    <row r="35" spans="1:38" s="604" customFormat="1" ht="15.75">
      <c r="A35" s="570"/>
      <c r="B35" s="605"/>
      <c r="C35" s="606"/>
      <c r="D35" s="570"/>
      <c r="E35" s="607"/>
      <c r="F35" s="607"/>
      <c r="G35" s="607"/>
      <c r="H35"/>
      <c r="I35" s="608"/>
      <c r="J35" s="609"/>
    </row>
    <row r="36" spans="1:38" s="571" customFormat="1" ht="18">
      <c r="A36" s="570" t="s">
        <v>647</v>
      </c>
      <c r="B36" s="610"/>
      <c r="C36" s="610"/>
      <c r="D36" s="611"/>
      <c r="E36" s="610"/>
      <c r="F36" s="610"/>
      <c r="G36" s="612"/>
      <c r="H36" s="612"/>
      <c r="I36" s="612"/>
      <c r="J36" s="612"/>
      <c r="K36" s="612"/>
      <c r="L36" s="612"/>
      <c r="M36" s="580"/>
    </row>
    <row r="37" spans="1:38" s="571" customFormat="1">
      <c r="A37" s="570"/>
      <c r="B37" s="570"/>
      <c r="C37" s="610" t="s">
        <v>648</v>
      </c>
      <c r="D37" s="610" t="s">
        <v>648</v>
      </c>
      <c r="E37" s="610" t="s">
        <v>648</v>
      </c>
      <c r="F37" s="610" t="s">
        <v>648</v>
      </c>
      <c r="G37" s="610" t="s">
        <v>648</v>
      </c>
      <c r="H37" s="610" t="s">
        <v>648</v>
      </c>
      <c r="I37" s="610" t="s">
        <v>648</v>
      </c>
      <c r="J37" s="610"/>
      <c r="K37" s="610"/>
      <c r="L37" s="610"/>
      <c r="M37" s="610"/>
      <c r="N37" s="610"/>
      <c r="O37" s="610"/>
      <c r="P37" s="610"/>
      <c r="Q37" s="610"/>
      <c r="R37" s="610"/>
      <c r="S37" s="610"/>
      <c r="T37" s="610"/>
      <c r="U37" s="610"/>
      <c r="V37" s="610"/>
      <c r="W37" s="610"/>
      <c r="X37" s="610"/>
      <c r="Y37" s="610"/>
      <c r="Z37" s="610"/>
      <c r="AA37" s="610"/>
      <c r="AB37" s="610"/>
      <c r="AC37" s="610"/>
      <c r="AD37" s="610"/>
      <c r="AE37" s="610"/>
      <c r="AF37" s="612"/>
      <c r="AG37" s="612"/>
      <c r="AH37" s="612"/>
      <c r="AI37" s="612"/>
      <c r="AJ37" s="612"/>
      <c r="AK37" s="612"/>
      <c r="AL37" s="580"/>
    </row>
    <row r="38" spans="1:38" s="571" customFormat="1">
      <c r="A38" s="613"/>
      <c r="B38" s="613"/>
      <c r="C38" s="614">
        <v>44531</v>
      </c>
      <c r="D38" s="614">
        <v>44440</v>
      </c>
      <c r="E38" s="614">
        <v>44348</v>
      </c>
      <c r="F38" s="614">
        <v>44256</v>
      </c>
      <c r="G38" s="614">
        <v>44166</v>
      </c>
      <c r="H38" s="614">
        <v>44075</v>
      </c>
      <c r="I38" s="614">
        <v>43983</v>
      </c>
      <c r="J38" s="614">
        <v>43891</v>
      </c>
      <c r="K38" s="614">
        <v>43800</v>
      </c>
      <c r="L38" s="614">
        <v>43709</v>
      </c>
      <c r="M38" s="614">
        <v>43617</v>
      </c>
      <c r="N38" s="614">
        <v>43525</v>
      </c>
      <c r="O38" s="614">
        <v>43435</v>
      </c>
      <c r="P38" s="614">
        <v>43344</v>
      </c>
      <c r="Q38" s="614">
        <v>43252</v>
      </c>
      <c r="R38" s="614">
        <v>43160</v>
      </c>
      <c r="S38" s="614">
        <v>43070</v>
      </c>
      <c r="T38" s="614"/>
      <c r="U38" s="614"/>
      <c r="V38" s="614"/>
      <c r="W38" s="614"/>
      <c r="X38" s="614"/>
      <c r="Y38" s="614"/>
      <c r="Z38" s="614"/>
      <c r="AA38" s="614"/>
      <c r="AB38" s="614"/>
      <c r="AC38" s="614"/>
      <c r="AD38" s="614"/>
      <c r="AE38" s="614"/>
      <c r="AF38" s="614"/>
      <c r="AG38" s="614"/>
      <c r="AH38" s="614"/>
      <c r="AI38" s="614"/>
      <c r="AJ38" s="614"/>
      <c r="AK38" s="614"/>
      <c r="AL38" s="580"/>
    </row>
    <row r="39" spans="1:38" s="571" customFormat="1">
      <c r="A39" s="615" t="s">
        <v>630</v>
      </c>
      <c r="B39" s="615"/>
      <c r="C39" s="616">
        <v>1.9796975927975771E-2</v>
      </c>
      <c r="D39" s="616">
        <v>2.1074991834228174E-2</v>
      </c>
      <c r="E39" s="616">
        <v>1.935251935830188E-2</v>
      </c>
      <c r="F39" s="616">
        <v>1.4143931202967343E-2</v>
      </c>
      <c r="G39" s="616">
        <v>5.6525368531231092E-3</v>
      </c>
      <c r="H39" s="616">
        <v>-5.9783072458202934E-3</v>
      </c>
      <c r="I39" s="616">
        <v>-9.3818376458056282E-2</v>
      </c>
      <c r="J39" s="616">
        <v>-0.14380552888556516</v>
      </c>
      <c r="K39" s="616">
        <v>3.6120875505034665E-3</v>
      </c>
      <c r="L39" s="616">
        <v>4.9591191455734457E-2</v>
      </c>
      <c r="M39" s="616">
        <v>4.2935636270852014E-2</v>
      </c>
      <c r="N39" s="616">
        <v>3.1022457449983772E-2</v>
      </c>
      <c r="O39" s="616">
        <v>8.2724264223110772E-2</v>
      </c>
      <c r="P39" s="616">
        <v>6.3377736387226657E-2</v>
      </c>
      <c r="Q39" s="616">
        <v>5.2825464291241214E-2</v>
      </c>
      <c r="R39" s="616">
        <v>5.2430331703197469E-2</v>
      </c>
      <c r="S39" s="616">
        <v>2.6347491234089668E-2</v>
      </c>
      <c r="T39" s="616"/>
      <c r="U39" s="616"/>
      <c r="V39" s="616"/>
      <c r="W39" s="616"/>
      <c r="X39" s="616"/>
      <c r="Y39" s="616"/>
      <c r="Z39" s="616"/>
      <c r="AA39" s="616"/>
      <c r="AB39" s="616"/>
      <c r="AC39" s="616"/>
      <c r="AD39" s="616"/>
      <c r="AE39" s="616"/>
      <c r="AF39" s="616"/>
      <c r="AG39" s="616"/>
      <c r="AH39" s="616"/>
      <c r="AI39" s="616"/>
      <c r="AJ39" s="616"/>
      <c r="AK39" s="616"/>
      <c r="AL39" s="580"/>
    </row>
    <row r="40" spans="1:38" s="571" customFormat="1">
      <c r="A40" s="615" t="s">
        <v>649</v>
      </c>
      <c r="B40" s="615"/>
      <c r="C40" s="616">
        <v>2.443556630139606E-2</v>
      </c>
      <c r="D40" s="616">
        <v>2.6444081992101347E-2</v>
      </c>
      <c r="E40" s="616">
        <v>3.1076808102076952E-2</v>
      </c>
      <c r="F40" s="616">
        <v>2.7755281984027779E-2</v>
      </c>
      <c r="G40" s="616">
        <v>2.520090450525508E-2</v>
      </c>
      <c r="H40" s="616">
        <v>2.585926369114595E-2</v>
      </c>
      <c r="I40" s="616">
        <v>2.9789998300075934E-2</v>
      </c>
      <c r="J40" s="616">
        <v>3.7347076972630976E-2</v>
      </c>
      <c r="K40" s="616">
        <v>2.0937321303020309E-2</v>
      </c>
      <c r="L40" s="616">
        <v>2.3581818478244171E-2</v>
      </c>
      <c r="M40" s="616">
        <v>2.8388002963270972E-2</v>
      </c>
      <c r="N40" s="616">
        <v>2.2943680311422569E-2</v>
      </c>
      <c r="O40" s="616">
        <v>2.6580280752084226E-2</v>
      </c>
      <c r="P40" s="616">
        <v>2.4343730897881888E-2</v>
      </c>
      <c r="Q40" s="616">
        <v>3.3374222199375435E-2</v>
      </c>
      <c r="R40" s="616">
        <v>3.1815857401026305E-2</v>
      </c>
      <c r="S40" s="616">
        <v>2.2282424878145995E-2</v>
      </c>
      <c r="T40" s="616"/>
      <c r="U40" s="616"/>
      <c r="V40" s="616"/>
      <c r="W40" s="616"/>
      <c r="X40" s="616"/>
      <c r="Y40" s="616"/>
      <c r="Z40" s="616"/>
      <c r="AA40" s="616"/>
      <c r="AB40" s="616"/>
      <c r="AC40" s="616"/>
      <c r="AD40" s="616"/>
      <c r="AE40" s="616"/>
      <c r="AF40" s="616"/>
      <c r="AG40" s="616"/>
      <c r="AH40" s="616"/>
      <c r="AI40" s="616"/>
      <c r="AJ40" s="616"/>
      <c r="AK40" s="616"/>
      <c r="AL40" s="580"/>
    </row>
    <row r="41" spans="1:38" s="571" customFormat="1">
      <c r="A41" s="615" t="s">
        <v>633</v>
      </c>
      <c r="B41" s="615"/>
      <c r="C41" s="616">
        <v>8.6163421107902108E-2</v>
      </c>
      <c r="D41" s="616">
        <v>8.7676444582386742E-2</v>
      </c>
      <c r="E41" s="616">
        <v>8.6407573866681062E-2</v>
      </c>
      <c r="F41" s="616">
        <v>7.3893528160099545E-2</v>
      </c>
      <c r="G41" s="616">
        <v>6.589238542172797E-2</v>
      </c>
      <c r="H41" s="616">
        <v>4.8404905058313345E-2</v>
      </c>
      <c r="I41" s="616">
        <v>3.3095277552134345E-2</v>
      </c>
      <c r="J41" s="616">
        <v>8.4466262105453535E-2</v>
      </c>
      <c r="K41" s="616">
        <v>8.8143412080975286E-2</v>
      </c>
      <c r="L41" s="616">
        <v>0.10239860673325803</v>
      </c>
      <c r="M41" s="616">
        <v>9.8206063301439772E-2</v>
      </c>
      <c r="N41" s="616">
        <v>9.4383943780198543E-2</v>
      </c>
      <c r="O41" s="616">
        <v>0.10908129812558134</v>
      </c>
      <c r="P41" s="616">
        <v>0.10205072261193023</v>
      </c>
      <c r="Q41" s="616">
        <v>0.10772261307125268</v>
      </c>
      <c r="R41" s="616">
        <v>0.10544355326855227</v>
      </c>
      <c r="S41" s="616">
        <v>9.969216136023662E-2</v>
      </c>
      <c r="T41" s="616"/>
      <c r="U41" s="616"/>
      <c r="V41" s="616"/>
      <c r="W41" s="616"/>
      <c r="X41" s="616"/>
      <c r="Y41" s="616"/>
      <c r="Z41" s="616"/>
      <c r="AA41" s="616"/>
      <c r="AB41" s="616"/>
      <c r="AC41" s="616"/>
      <c r="AD41" s="616"/>
      <c r="AE41" s="616"/>
      <c r="AF41" s="616"/>
      <c r="AG41" s="616"/>
      <c r="AH41" s="616"/>
      <c r="AI41" s="616"/>
      <c r="AJ41" s="616"/>
      <c r="AK41" s="616"/>
      <c r="AL41" s="580"/>
    </row>
    <row r="42" spans="1:38" s="571" customFormat="1">
      <c r="A42" s="615" t="s">
        <v>650</v>
      </c>
      <c r="B42" s="615"/>
      <c r="C42" s="616">
        <v>7.685906391589431E-2</v>
      </c>
      <c r="D42" s="616">
        <v>8.093565689658018E-2</v>
      </c>
      <c r="E42" s="616">
        <v>8.3278228526023665E-2</v>
      </c>
      <c r="F42" s="616">
        <v>6.4417999112055147E-2</v>
      </c>
      <c r="G42" s="616">
        <v>6.6882303256451808E-2</v>
      </c>
      <c r="H42" s="616">
        <v>6.7779263658627617E-2</v>
      </c>
      <c r="I42" s="616">
        <v>4.9920735275400571E-2</v>
      </c>
      <c r="J42" s="616">
        <v>6.4976285795153521E-2</v>
      </c>
      <c r="K42" s="616">
        <v>7.8949923128623117E-2</v>
      </c>
      <c r="L42" s="616">
        <v>8.3857891535224771E-2</v>
      </c>
      <c r="M42" s="616">
        <v>8.0193689701778009E-2</v>
      </c>
      <c r="N42" s="616">
        <v>7.6719683595901547E-2</v>
      </c>
      <c r="O42" s="616">
        <v>8.8049210540174269E-2</v>
      </c>
      <c r="P42" s="616">
        <v>8.1030516106512379E-2</v>
      </c>
      <c r="Q42" s="616">
        <v>0.10927777809436073</v>
      </c>
      <c r="R42" s="616">
        <v>0.10451149127244919</v>
      </c>
      <c r="S42" s="616">
        <v>0.11804384888076383</v>
      </c>
      <c r="T42" s="616"/>
      <c r="U42" s="616"/>
      <c r="V42" s="616"/>
      <c r="W42" s="616"/>
      <c r="X42" s="616"/>
      <c r="Y42" s="616"/>
      <c r="Z42" s="616"/>
      <c r="AA42" s="616"/>
      <c r="AB42" s="616"/>
      <c r="AC42" s="616"/>
      <c r="AD42" s="616"/>
      <c r="AE42" s="616"/>
      <c r="AF42" s="616"/>
      <c r="AG42" s="616"/>
      <c r="AH42" s="616"/>
      <c r="AI42" s="616"/>
      <c r="AJ42" s="616"/>
      <c r="AK42" s="616"/>
      <c r="AL42" s="580"/>
    </row>
    <row r="43" spans="1:38" s="571" customFormat="1">
      <c r="A43" s="615" t="s">
        <v>651</v>
      </c>
      <c r="B43" s="615"/>
      <c r="C43" s="616">
        <v>6.7596828798787714E-2</v>
      </c>
      <c r="D43" s="616">
        <v>7.2645034294190169E-2</v>
      </c>
      <c r="E43" s="616">
        <v>7.2259689015836015E-2</v>
      </c>
      <c r="F43" s="616">
        <v>7.2321150670165896E-2</v>
      </c>
      <c r="G43" s="616">
        <v>7.7407355048663223E-2</v>
      </c>
      <c r="H43" s="616">
        <v>8.5207936950569538E-2</v>
      </c>
      <c r="I43" s="616">
        <v>0.10643223848346312</v>
      </c>
      <c r="J43" s="616">
        <v>0.13541730084366463</v>
      </c>
      <c r="K43" s="616">
        <v>7.5010290800607685E-2</v>
      </c>
      <c r="L43" s="616">
        <v>6.9659106239856425E-2</v>
      </c>
      <c r="M43" s="616">
        <v>6.8083456553515401E-2</v>
      </c>
      <c r="N43" s="616">
        <v>6.5893047072917349E-2</v>
      </c>
      <c r="O43" s="616">
        <v>7.2459347736599358E-2</v>
      </c>
      <c r="P43" s="616">
        <v>6.6514850816321316E-2</v>
      </c>
      <c r="Q43" s="616">
        <v>7.0573511619759624E-2</v>
      </c>
      <c r="R43" s="616">
        <v>6.9102925416155703E-2</v>
      </c>
      <c r="S43" s="616">
        <v>8.1896564612056508E-2</v>
      </c>
      <c r="T43" s="616"/>
      <c r="U43" s="616"/>
      <c r="V43" s="616"/>
      <c r="W43" s="616"/>
      <c r="X43" s="616"/>
      <c r="Y43" s="616"/>
      <c r="Z43" s="616"/>
      <c r="AA43" s="616"/>
      <c r="AB43" s="616"/>
      <c r="AC43" s="616"/>
      <c r="AD43" s="616"/>
      <c r="AE43" s="616"/>
      <c r="AF43" s="616"/>
      <c r="AG43" s="616"/>
      <c r="AH43" s="616"/>
      <c r="AI43" s="616"/>
      <c r="AJ43" s="616"/>
      <c r="AK43" s="616"/>
      <c r="AL43" s="580"/>
    </row>
    <row r="44" spans="1:38" s="571" customFormat="1">
      <c r="A44" s="615" t="s">
        <v>652</v>
      </c>
      <c r="B44" s="615"/>
      <c r="C44" s="616">
        <v>0.17463355060693875</v>
      </c>
      <c r="D44" s="616">
        <v>0.18408369349201106</v>
      </c>
      <c r="E44" s="616">
        <v>0.19178705819182548</v>
      </c>
      <c r="F44" s="616">
        <v>0.20299743562759903</v>
      </c>
      <c r="G44" s="616">
        <v>0.18610741912428411</v>
      </c>
      <c r="H44" s="616">
        <v>0.20123307606096885</v>
      </c>
      <c r="I44" s="616">
        <v>0.21912822116521369</v>
      </c>
      <c r="J44" s="616">
        <v>0.27411358076735504</v>
      </c>
      <c r="K44" s="616">
        <v>0.13001702068822898</v>
      </c>
      <c r="L44" s="616">
        <v>0.13146443467912367</v>
      </c>
      <c r="M44" s="616">
        <v>0.14364162524530483</v>
      </c>
      <c r="N44" s="616">
        <v>0.14523575668095678</v>
      </c>
      <c r="O44" s="616">
        <v>0.13625234017700899</v>
      </c>
      <c r="P44" s="616">
        <v>0.12635541525858562</v>
      </c>
      <c r="Q44" s="616">
        <v>0.1279625618923424</v>
      </c>
      <c r="R44" s="616">
        <v>0.12797955277847906</v>
      </c>
      <c r="S44" s="616">
        <v>0.13049291992149478</v>
      </c>
      <c r="T44" s="616"/>
      <c r="U44" s="616"/>
      <c r="V44" s="616"/>
      <c r="W44" s="616"/>
      <c r="X44" s="616"/>
      <c r="Y44" s="616"/>
      <c r="Z44" s="616"/>
      <c r="AA44" s="616"/>
      <c r="AB44" s="616"/>
      <c r="AC44" s="616"/>
      <c r="AD44" s="616"/>
      <c r="AE44" s="616"/>
      <c r="AF44" s="616"/>
      <c r="AG44" s="616"/>
      <c r="AH44" s="616"/>
      <c r="AI44" s="616"/>
      <c r="AJ44" s="616"/>
      <c r="AK44" s="616"/>
      <c r="AL44" s="580"/>
    </row>
    <row r="45" spans="1:38" s="571" customFormat="1">
      <c r="A45" s="615" t="s">
        <v>631</v>
      </c>
      <c r="B45" s="615"/>
      <c r="C45" s="616">
        <v>0.15653121015294708</v>
      </c>
      <c r="D45" s="616">
        <v>0.15208668638364461</v>
      </c>
      <c r="E45" s="616">
        <v>0.15148462027751469</v>
      </c>
      <c r="F45" s="616">
        <v>0.15935287388159527</v>
      </c>
      <c r="G45" s="616">
        <v>0.15424460198409043</v>
      </c>
      <c r="H45" s="616">
        <v>0.17419874805493346</v>
      </c>
      <c r="I45" s="616">
        <v>0.23147927306916238</v>
      </c>
      <c r="J45" s="616">
        <v>-4.5623267347937965E-2</v>
      </c>
      <c r="K45" s="616">
        <v>0.24538375380350166</v>
      </c>
      <c r="L45" s="616">
        <v>0.2158776189021899</v>
      </c>
      <c r="M45" s="616">
        <v>0.21563771923201852</v>
      </c>
      <c r="N45" s="616">
        <v>0.2431744594143414</v>
      </c>
      <c r="O45" s="616">
        <v>0.10443068568318462</v>
      </c>
      <c r="P45" s="616">
        <v>0.20280555316181836</v>
      </c>
      <c r="Q45" s="616">
        <v>0.20095418412400351</v>
      </c>
      <c r="R45" s="616">
        <v>0.1833858831049775</v>
      </c>
      <c r="S45" s="616">
        <v>0.16709251923129997</v>
      </c>
      <c r="T45" s="616"/>
      <c r="U45" s="616"/>
      <c r="V45" s="616"/>
      <c r="W45" s="616"/>
      <c r="X45" s="616"/>
      <c r="Y45" s="616"/>
      <c r="Z45" s="616"/>
      <c r="AA45" s="616"/>
      <c r="AB45" s="616"/>
      <c r="AC45" s="616"/>
      <c r="AD45" s="616"/>
      <c r="AE45" s="616"/>
      <c r="AF45" s="616"/>
      <c r="AG45" s="616"/>
      <c r="AH45" s="616"/>
      <c r="AI45" s="616"/>
      <c r="AJ45" s="616"/>
      <c r="AK45" s="616"/>
      <c r="AL45" s="580"/>
    </row>
    <row r="46" spans="1:38" s="571" customFormat="1">
      <c r="A46" s="615" t="s">
        <v>653</v>
      </c>
      <c r="B46" s="615"/>
      <c r="C46" s="616">
        <v>0.24974834419879016</v>
      </c>
      <c r="D46" s="616">
        <v>0.22085998883410898</v>
      </c>
      <c r="E46" s="616">
        <v>0.21645944063852871</v>
      </c>
      <c r="F46" s="616">
        <v>0.22952074862342325</v>
      </c>
      <c r="G46" s="616">
        <v>0.27062325223843209</v>
      </c>
      <c r="H46" s="616">
        <v>0.2411739114235571</v>
      </c>
      <c r="I46" s="616">
        <v>0.25005823867955923</v>
      </c>
      <c r="J46" s="616">
        <v>0.34103374354568744</v>
      </c>
      <c r="K46" s="616">
        <v>0.21514193152032265</v>
      </c>
      <c r="L46" s="616">
        <v>0.17689426750955647</v>
      </c>
      <c r="M46" s="616">
        <v>0.17759221416673865</v>
      </c>
      <c r="N46" s="616">
        <v>0.17127460046056725</v>
      </c>
      <c r="O46" s="616">
        <v>0.22668692319060435</v>
      </c>
      <c r="P46" s="616">
        <v>0.18651646950044459</v>
      </c>
      <c r="Q46" s="616">
        <v>0.21850928224223107</v>
      </c>
      <c r="R46" s="616">
        <v>0.24093360612082121</v>
      </c>
      <c r="S46" s="616">
        <v>0.29312846490399547</v>
      </c>
      <c r="T46" s="616"/>
      <c r="U46" s="616"/>
      <c r="V46" s="616"/>
      <c r="W46" s="616"/>
      <c r="X46" s="616"/>
      <c r="Y46" s="616"/>
      <c r="Z46" s="616"/>
      <c r="AA46" s="616"/>
      <c r="AB46" s="616"/>
      <c r="AC46" s="616"/>
      <c r="AD46" s="616"/>
      <c r="AE46" s="616"/>
      <c r="AF46" s="616"/>
      <c r="AG46" s="616"/>
      <c r="AH46" s="616"/>
      <c r="AI46" s="616"/>
      <c r="AJ46" s="616"/>
      <c r="AK46" s="616"/>
      <c r="AL46" s="580"/>
    </row>
    <row r="47" spans="1:38" s="571" customFormat="1">
      <c r="A47" s="615" t="s">
        <v>654</v>
      </c>
      <c r="B47" s="615"/>
      <c r="C47" s="616">
        <v>0.1081441874737048</v>
      </c>
      <c r="D47" s="616">
        <v>0.10247232688196099</v>
      </c>
      <c r="E47" s="616">
        <v>0.10756128228916603</v>
      </c>
      <c r="F47" s="616">
        <v>0.10510128256400751</v>
      </c>
      <c r="G47" s="616">
        <v>0.10777979254971828</v>
      </c>
      <c r="H47" s="616">
        <v>9.9709556516267117E-2</v>
      </c>
      <c r="I47" s="616">
        <v>0.10959983455329352</v>
      </c>
      <c r="J47" s="616">
        <v>0.16094469444506657</v>
      </c>
      <c r="K47" s="616">
        <v>9.9545624889150808E-2</v>
      </c>
      <c r="L47" s="616">
        <v>8.8442668047415338E-2</v>
      </c>
      <c r="M47" s="616">
        <v>9.7342130765203511E-2</v>
      </c>
      <c r="N47" s="616">
        <v>9.9957439163310124E-2</v>
      </c>
      <c r="O47" s="616">
        <v>0.11329842982470095</v>
      </c>
      <c r="P47" s="616">
        <v>9.3206496307983971E-2</v>
      </c>
      <c r="Q47" s="616">
        <v>3.6913527147291909E-2</v>
      </c>
      <c r="R47" s="616">
        <v>3.2879814535201939E-2</v>
      </c>
      <c r="S47" s="616">
        <v>1.9034224156584026E-2</v>
      </c>
      <c r="T47" s="616"/>
      <c r="U47" s="616"/>
      <c r="V47" s="616"/>
      <c r="W47" s="616"/>
      <c r="X47" s="616"/>
      <c r="Y47" s="616"/>
      <c r="Z47" s="616"/>
      <c r="AA47" s="616"/>
      <c r="AB47" s="616"/>
      <c r="AC47" s="616"/>
      <c r="AD47" s="616"/>
      <c r="AE47" s="616"/>
      <c r="AF47" s="616"/>
      <c r="AG47" s="616"/>
      <c r="AH47" s="616"/>
      <c r="AI47" s="616"/>
      <c r="AJ47" s="616"/>
      <c r="AK47" s="616"/>
      <c r="AL47" s="580"/>
    </row>
    <row r="48" spans="1:38" s="571" customFormat="1">
      <c r="A48" s="615" t="s">
        <v>655</v>
      </c>
      <c r="B48" s="615"/>
      <c r="C48" s="616">
        <v>2.5364551879041356E-2</v>
      </c>
      <c r="D48" s="616">
        <v>4.1106222063446156E-2</v>
      </c>
      <c r="E48" s="616">
        <v>2.9398433685168167E-2</v>
      </c>
      <c r="F48" s="616">
        <v>3.9240757135655314E-2</v>
      </c>
      <c r="G48" s="616">
        <v>2.9355324463919738E-2</v>
      </c>
      <c r="H48" s="616">
        <v>5.1524654888489181E-2</v>
      </c>
      <c r="I48" s="616">
        <v>4.6984452566128224E-2</v>
      </c>
      <c r="J48" s="616">
        <v>5.7025084589774656E-2</v>
      </c>
      <c r="K48" s="616">
        <v>2.5785244659989826E-2</v>
      </c>
      <c r="L48" s="616">
        <v>4.133186531363179E-2</v>
      </c>
      <c r="M48" s="616">
        <v>2.7155212108525995E-2</v>
      </c>
      <c r="N48" s="616">
        <v>3.4694389069537583E-2</v>
      </c>
      <c r="O48" s="616">
        <v>2.0814701403711389E-2</v>
      </c>
      <c r="P48" s="616">
        <v>3.8249848861335665E-2</v>
      </c>
      <c r="Q48" s="616">
        <v>2.7471074642868624E-2</v>
      </c>
      <c r="R48" s="616">
        <v>3.5927350452101992E-2</v>
      </c>
      <c r="S48" s="616">
        <v>2.6523354938518255E-2</v>
      </c>
      <c r="T48" s="616"/>
      <c r="U48" s="616"/>
      <c r="V48" s="616"/>
      <c r="W48" s="616"/>
      <c r="X48" s="616"/>
      <c r="Y48" s="616"/>
      <c r="Z48" s="616"/>
      <c r="AA48" s="616"/>
      <c r="AB48" s="616"/>
      <c r="AC48" s="616"/>
      <c r="AD48" s="616"/>
      <c r="AE48" s="616"/>
      <c r="AF48" s="616"/>
      <c r="AG48" s="616"/>
      <c r="AH48" s="616"/>
      <c r="AI48" s="616"/>
      <c r="AJ48" s="616"/>
      <c r="AK48" s="616"/>
      <c r="AL48" s="580"/>
    </row>
    <row r="49" spans="1:38" s="571" customFormat="1">
      <c r="A49" s="615" t="s">
        <v>656</v>
      </c>
      <c r="B49" s="615"/>
      <c r="C49" s="616">
        <v>1.0726299636621797E-2</v>
      </c>
      <c r="D49" s="616">
        <v>1.0614872745341444E-2</v>
      </c>
      <c r="E49" s="616">
        <v>1.0934346048877257E-2</v>
      </c>
      <c r="F49" s="616">
        <v>1.1255011038403805E-2</v>
      </c>
      <c r="G49" s="616">
        <v>1.0854124554334295E-2</v>
      </c>
      <c r="H49" s="616">
        <v>1.0886990942948298E-2</v>
      </c>
      <c r="I49" s="616">
        <v>1.7330106813625189E-2</v>
      </c>
      <c r="J49" s="616">
        <v>3.4104767168716764E-2</v>
      </c>
      <c r="K49" s="616">
        <v>1.7473389575076419E-2</v>
      </c>
      <c r="L49" s="616">
        <v>1.6900531105764897E-2</v>
      </c>
      <c r="M49" s="616">
        <v>2.0824249691352176E-2</v>
      </c>
      <c r="N49" s="616">
        <v>1.4700543000863164E-2</v>
      </c>
      <c r="O49" s="616">
        <v>1.9622518343239668E-2</v>
      </c>
      <c r="P49" s="616">
        <v>1.5548660089959334E-2</v>
      </c>
      <c r="Q49" s="616">
        <v>1.4415780675272754E-2</v>
      </c>
      <c r="R49" s="616">
        <v>1.5589633947037362E-2</v>
      </c>
      <c r="S49" s="616">
        <v>1.5466025882814859E-2</v>
      </c>
      <c r="T49" s="616"/>
      <c r="U49" s="616"/>
      <c r="V49" s="616"/>
      <c r="W49" s="616"/>
      <c r="X49" s="616"/>
      <c r="Y49" s="616"/>
      <c r="Z49" s="616"/>
      <c r="AA49" s="616"/>
      <c r="AB49" s="616"/>
      <c r="AC49" s="616"/>
      <c r="AD49" s="616"/>
      <c r="AE49" s="616"/>
      <c r="AF49" s="616"/>
      <c r="AG49" s="616"/>
      <c r="AH49" s="616"/>
      <c r="AI49" s="616"/>
      <c r="AJ49" s="616"/>
      <c r="AK49" s="616"/>
      <c r="AL49" s="580"/>
    </row>
    <row r="50" spans="1:38" s="571" customFormat="1">
      <c r="A50" s="615" t="s">
        <v>657</v>
      </c>
      <c r="B50" s="615"/>
      <c r="C50" s="616">
        <v>0.99999999999999989</v>
      </c>
      <c r="D50" s="616">
        <v>0.99999999999999989</v>
      </c>
      <c r="E50" s="616">
        <v>1</v>
      </c>
      <c r="F50" s="616">
        <v>1</v>
      </c>
      <c r="G50" s="616">
        <v>1</v>
      </c>
      <c r="H50" s="616">
        <v>1.0000000000000002</v>
      </c>
      <c r="I50" s="616">
        <v>0.99999999999999989</v>
      </c>
      <c r="J50" s="616">
        <v>0.99999999999999989</v>
      </c>
      <c r="K50" s="616">
        <v>1.0000000000000002</v>
      </c>
      <c r="L50" s="616">
        <v>0.99999999999999989</v>
      </c>
      <c r="M50" s="616">
        <v>0.99999999999999989</v>
      </c>
      <c r="N50" s="616">
        <v>1</v>
      </c>
      <c r="O50" s="616">
        <v>1</v>
      </c>
      <c r="P50" s="616">
        <v>1</v>
      </c>
      <c r="Q50" s="616">
        <v>0.99999999999999978</v>
      </c>
      <c r="R50" s="616">
        <v>1</v>
      </c>
      <c r="S50" s="616">
        <v>1</v>
      </c>
      <c r="T50" s="616"/>
      <c r="U50" s="616"/>
      <c r="V50" s="616"/>
      <c r="W50" s="616"/>
      <c r="X50" s="616"/>
      <c r="Y50" s="616"/>
      <c r="Z50" s="616"/>
      <c r="AA50" s="616"/>
      <c r="AB50" s="616"/>
      <c r="AC50" s="616"/>
      <c r="AD50" s="616"/>
      <c r="AE50" s="616"/>
      <c r="AF50" s="616"/>
      <c r="AG50" s="616"/>
      <c r="AH50" s="616"/>
      <c r="AI50" s="616"/>
      <c r="AJ50" s="616"/>
      <c r="AK50" s="616"/>
      <c r="AL50" s="580"/>
    </row>
    <row r="51" spans="1:38" s="571" customFormat="1">
      <c r="A51" s="615"/>
      <c r="B51" s="615"/>
      <c r="C51" s="616"/>
      <c r="D51" s="616"/>
      <c r="E51" s="616"/>
      <c r="F51" s="616"/>
      <c r="G51" s="616"/>
      <c r="H51" s="616"/>
      <c r="I51" s="616"/>
      <c r="J51" s="616"/>
      <c r="K51" s="616"/>
      <c r="L51" s="616"/>
      <c r="M51" s="616"/>
      <c r="N51" s="616"/>
      <c r="O51" s="616"/>
      <c r="P51" s="616"/>
      <c r="Q51" s="616"/>
      <c r="R51" s="616"/>
      <c r="S51" s="616"/>
      <c r="T51" s="616"/>
      <c r="U51" s="616"/>
      <c r="V51" s="616"/>
      <c r="W51" s="616"/>
      <c r="X51" s="616"/>
      <c r="Y51" s="616"/>
      <c r="Z51" s="616"/>
      <c r="AA51" s="616"/>
      <c r="AB51" s="616"/>
      <c r="AC51" s="616"/>
      <c r="AD51" s="580"/>
    </row>
    <row r="52" spans="1:38" s="571" customFormat="1">
      <c r="A52" s="615"/>
      <c r="B52" s="615"/>
      <c r="C52" s="616"/>
      <c r="D52" s="616"/>
      <c r="E52" s="616"/>
      <c r="F52" s="616"/>
      <c r="G52" s="616"/>
      <c r="H52" s="616"/>
      <c r="I52" s="616"/>
      <c r="J52" s="616"/>
      <c r="K52" s="616"/>
      <c r="L52" s="616"/>
      <c r="M52" s="616"/>
      <c r="N52" s="616"/>
      <c r="O52" s="616"/>
      <c r="P52" s="616"/>
      <c r="Q52" s="616"/>
      <c r="R52" s="616"/>
      <c r="S52" s="616"/>
      <c r="T52" s="616"/>
      <c r="U52" s="616"/>
      <c r="V52" s="580"/>
    </row>
    <row r="53" spans="1:38" s="571" customFormat="1" ht="18">
      <c r="A53" s="615"/>
      <c r="B53" s="615"/>
      <c r="C53" s="616"/>
      <c r="D53" s="611"/>
      <c r="E53" s="611"/>
      <c r="F53" s="616"/>
      <c r="G53" s="616"/>
      <c r="H53" s="616"/>
      <c r="I53" s="616"/>
      <c r="J53" s="616"/>
      <c r="K53" s="616"/>
      <c r="L53" s="616"/>
      <c r="M53" s="616"/>
      <c r="N53" s="616"/>
      <c r="O53" s="616"/>
      <c r="P53" s="616"/>
      <c r="Q53" s="616"/>
      <c r="R53" s="580"/>
    </row>
    <row r="54" spans="1:38" s="571" customFormat="1">
      <c r="A54" s="570"/>
      <c r="B54" s="570"/>
      <c r="C54" s="597" t="s">
        <v>657</v>
      </c>
      <c r="D54" s="597" t="s">
        <v>658</v>
      </c>
      <c r="E54" s="597" t="s">
        <v>657</v>
      </c>
      <c r="F54" s="597"/>
      <c r="G54" s="597" t="s">
        <v>659</v>
      </c>
      <c r="H54" s="597" t="s">
        <v>660</v>
      </c>
      <c r="I54" s="597" t="s">
        <v>659</v>
      </c>
      <c r="J54" s="580"/>
      <c r="K54" s="617" t="s">
        <v>661</v>
      </c>
      <c r="L54" s="617" t="s">
        <v>662</v>
      </c>
      <c r="M54" s="617" t="s">
        <v>661</v>
      </c>
      <c r="O54" s="618"/>
      <c r="P54" s="618"/>
      <c r="Q54" s="618"/>
      <c r="R54" s="618"/>
      <c r="S54" s="618"/>
      <c r="T54" s="618"/>
      <c r="U54" s="618"/>
    </row>
    <row r="55" spans="1:38" s="571" customFormat="1">
      <c r="A55" s="570"/>
      <c r="B55" s="570"/>
      <c r="C55" s="597" t="s">
        <v>663</v>
      </c>
      <c r="D55" s="597" t="s">
        <v>664</v>
      </c>
      <c r="E55" s="597" t="s">
        <v>665</v>
      </c>
      <c r="F55" s="597"/>
      <c r="G55" s="597" t="s">
        <v>663</v>
      </c>
      <c r="H55" s="597" t="s">
        <v>664</v>
      </c>
      <c r="I55" s="597" t="s">
        <v>665</v>
      </c>
      <c r="J55" s="597"/>
      <c r="K55" s="597" t="s">
        <v>663</v>
      </c>
      <c r="L55" s="597" t="s">
        <v>664</v>
      </c>
      <c r="M55" s="597" t="s">
        <v>665</v>
      </c>
      <c r="O55" s="618"/>
      <c r="P55" s="618"/>
      <c r="Q55" s="618"/>
      <c r="R55" s="618"/>
      <c r="S55" s="618"/>
      <c r="T55" s="618"/>
      <c r="U55" s="618"/>
    </row>
    <row r="56" spans="1:38" s="571" customFormat="1">
      <c r="A56" s="570"/>
      <c r="B56" s="570"/>
      <c r="C56" s="597" t="s">
        <v>666</v>
      </c>
      <c r="D56" s="597" t="s">
        <v>667</v>
      </c>
      <c r="E56" s="597"/>
      <c r="F56" s="597"/>
      <c r="G56" s="597" t="s">
        <v>666</v>
      </c>
      <c r="H56" s="597" t="s">
        <v>667</v>
      </c>
      <c r="I56" s="597"/>
      <c r="J56" s="597"/>
      <c r="K56" s="597" t="s">
        <v>666</v>
      </c>
      <c r="L56" s="597" t="s">
        <v>667</v>
      </c>
      <c r="M56" s="597"/>
      <c r="O56" s="618"/>
      <c r="P56" s="618"/>
      <c r="Q56" s="618"/>
      <c r="R56" s="618"/>
      <c r="S56" s="618"/>
      <c r="T56" s="618"/>
      <c r="U56" s="618"/>
    </row>
    <row r="57" spans="1:38" s="571" customFormat="1">
      <c r="A57" s="619" t="s">
        <v>668</v>
      </c>
      <c r="B57" s="620"/>
      <c r="C57" s="620">
        <v>20.3</v>
      </c>
      <c r="D57" s="621">
        <v>12.267079900505101</v>
      </c>
      <c r="E57" s="620">
        <v>1.6548355570068589</v>
      </c>
      <c r="F57" s="620"/>
      <c r="G57" s="620">
        <v>17.260000000000002</v>
      </c>
      <c r="H57" s="622">
        <v>11.238720818270499</v>
      </c>
      <c r="I57" s="620">
        <v>1.5357619678514358</v>
      </c>
      <c r="J57" s="620"/>
      <c r="K57" s="623">
        <v>17.27</v>
      </c>
      <c r="L57" s="622">
        <v>9.3549866001503901</v>
      </c>
      <c r="M57" s="620">
        <v>1.8460742637218068</v>
      </c>
      <c r="O57" s="618"/>
      <c r="P57" s="618"/>
      <c r="Q57" s="618"/>
      <c r="R57" s="618"/>
      <c r="S57" s="618"/>
      <c r="T57" s="618"/>
      <c r="U57" s="618"/>
    </row>
    <row r="58" spans="1:38">
      <c r="A58" s="619" t="s">
        <v>669</v>
      </c>
      <c r="B58" s="620"/>
      <c r="C58" s="620">
        <v>20.87</v>
      </c>
      <c r="D58" s="621">
        <v>15.304113940044299</v>
      </c>
      <c r="E58" s="620">
        <v>1.36368561301626</v>
      </c>
      <c r="F58" s="620"/>
      <c r="G58" s="620">
        <v>19.809999999999999</v>
      </c>
      <c r="H58" s="622">
        <v>11.1994413330836</v>
      </c>
      <c r="I58" s="620">
        <v>1.7688382313750295</v>
      </c>
      <c r="J58" s="620"/>
      <c r="K58" s="623">
        <v>40.25</v>
      </c>
      <c r="L58" s="622">
        <v>11.887812623098901</v>
      </c>
      <c r="M58" s="620">
        <v>3.38582052696484</v>
      </c>
      <c r="O58" s="3"/>
      <c r="P58" s="3"/>
      <c r="Q58" s="3"/>
      <c r="R58" s="3"/>
      <c r="S58" s="3"/>
      <c r="T58" s="3"/>
      <c r="U58" s="3"/>
    </row>
    <row r="59" spans="1:38" s="571" customFormat="1">
      <c r="A59" s="619" t="s">
        <v>650</v>
      </c>
      <c r="B59" s="620"/>
      <c r="C59" s="620">
        <v>30.64</v>
      </c>
      <c r="D59" s="621">
        <v>21.0608010331797</v>
      </c>
      <c r="E59" s="620">
        <v>1.4548354524468938</v>
      </c>
      <c r="F59" s="620"/>
      <c r="G59" s="620">
        <v>16.399999999999999</v>
      </c>
      <c r="H59" s="622">
        <v>14.5743242089881</v>
      </c>
      <c r="I59" s="620">
        <v>1.1252665828502697</v>
      </c>
      <c r="J59" s="620"/>
      <c r="K59" s="623">
        <v>12.69</v>
      </c>
      <c r="L59" s="622">
        <v>5.2861292923620598</v>
      </c>
      <c r="M59" s="620">
        <v>2.400622326498107</v>
      </c>
      <c r="O59" s="618"/>
      <c r="P59" s="618"/>
      <c r="Q59" s="618"/>
      <c r="R59" s="618"/>
      <c r="S59" s="618"/>
      <c r="T59" s="618"/>
      <c r="U59" s="618"/>
    </row>
    <row r="60" spans="1:38" s="571" customFormat="1">
      <c r="A60" s="619" t="s">
        <v>651</v>
      </c>
      <c r="B60" s="620"/>
      <c r="C60" s="620">
        <v>19.989999999999998</v>
      </c>
      <c r="D60" s="621">
        <v>6.4537469346920204</v>
      </c>
      <c r="E60" s="620">
        <v>3.0974254494771172</v>
      </c>
      <c r="F60" s="620"/>
      <c r="G60" s="620">
        <v>18.739999999999998</v>
      </c>
      <c r="H60" s="622">
        <v>16.205334997008102</v>
      </c>
      <c r="I60" s="620">
        <v>1.1564092938195882</v>
      </c>
      <c r="J60" s="620"/>
      <c r="K60" s="623">
        <v>0</v>
      </c>
      <c r="L60" s="622">
        <v>9.0965004717743092</v>
      </c>
      <c r="M60" s="620">
        <v>0</v>
      </c>
      <c r="O60" s="618"/>
      <c r="P60" s="618"/>
      <c r="Q60" s="618"/>
      <c r="R60" s="618"/>
      <c r="S60" s="618"/>
      <c r="T60" s="618"/>
      <c r="U60" s="618"/>
    </row>
    <row r="61" spans="1:38" s="571" customFormat="1">
      <c r="A61" s="619" t="s">
        <v>670</v>
      </c>
      <c r="B61" s="620"/>
      <c r="C61" s="620">
        <v>22.51</v>
      </c>
      <c r="D61" s="621">
        <v>7.6348558790195202</v>
      </c>
      <c r="E61" s="620">
        <v>2.9483202245974511</v>
      </c>
      <c r="F61" s="620"/>
      <c r="G61" s="620">
        <v>12.73</v>
      </c>
      <c r="H61" s="622">
        <v>16.434828461814998</v>
      </c>
      <c r="I61" s="620">
        <v>0.77457455851012569</v>
      </c>
      <c r="J61" s="620"/>
      <c r="K61" s="623">
        <v>-34.979999999999997</v>
      </c>
      <c r="L61" s="622"/>
      <c r="M61" s="620" t="e">
        <v>#DIV/0!</v>
      </c>
      <c r="O61" s="618"/>
      <c r="P61" s="618"/>
      <c r="Q61" s="618"/>
      <c r="R61" s="618"/>
      <c r="S61" s="618"/>
      <c r="T61" s="618"/>
      <c r="U61" s="618"/>
    </row>
    <row r="62" spans="1:38" s="571" customFormat="1">
      <c r="A62" s="619" t="s">
        <v>671</v>
      </c>
      <c r="B62" s="620"/>
      <c r="C62" s="620">
        <v>12.63</v>
      </c>
      <c r="D62" s="621">
        <v>8.5638413674070399</v>
      </c>
      <c r="E62" s="620">
        <v>1.4748054591562469</v>
      </c>
      <c r="F62" s="620"/>
      <c r="G62" s="620">
        <v>10.210000000000001</v>
      </c>
      <c r="H62" s="622">
        <v>8.7712593425756999</v>
      </c>
      <c r="I62" s="620">
        <v>1.1640289724920858</v>
      </c>
      <c r="J62" s="620"/>
      <c r="K62" s="623">
        <v>10.45</v>
      </c>
      <c r="L62" s="622">
        <v>5.7355415453414897</v>
      </c>
      <c r="M62" s="620">
        <v>1.8219726798923943</v>
      </c>
      <c r="O62" s="618"/>
      <c r="P62" s="618"/>
      <c r="Q62" s="618"/>
      <c r="R62" s="618"/>
      <c r="S62" s="618"/>
      <c r="T62" s="618"/>
      <c r="U62" s="618"/>
    </row>
    <row r="63" spans="1:38" s="571" customFormat="1">
      <c r="A63" s="619" t="s">
        <v>652</v>
      </c>
      <c r="B63" s="620"/>
      <c r="C63" s="620">
        <v>15.27</v>
      </c>
      <c r="D63" s="621">
        <v>10.2605285187701</v>
      </c>
      <c r="E63" s="620">
        <v>1.4882274311762618</v>
      </c>
      <c r="F63" s="620"/>
      <c r="G63" s="620">
        <v>21.6</v>
      </c>
      <c r="H63" s="622">
        <v>15.2670865208813</v>
      </c>
      <c r="I63" s="620">
        <v>1.4148082524099779</v>
      </c>
      <c r="J63" s="620"/>
      <c r="K63" s="623">
        <v>29.22</v>
      </c>
      <c r="L63" s="622">
        <v>9.0372527607302402</v>
      </c>
      <c r="M63" s="620">
        <v>3.2332834738196397</v>
      </c>
      <c r="N63" s="618"/>
      <c r="O63" s="618"/>
      <c r="P63" s="618"/>
      <c r="Q63" s="618"/>
      <c r="R63" s="618"/>
      <c r="S63" s="618"/>
      <c r="T63" s="618"/>
      <c r="U63" s="618"/>
    </row>
    <row r="64" spans="1:38" s="618" customFormat="1">
      <c r="A64" s="619" t="s">
        <v>672</v>
      </c>
      <c r="B64" s="620"/>
      <c r="C64" s="620">
        <v>20.3</v>
      </c>
      <c r="D64" s="621">
        <v>8.5065298688775108</v>
      </c>
      <c r="E64" s="620">
        <v>2.3864020126786096</v>
      </c>
      <c r="F64" s="620"/>
      <c r="G64" s="620">
        <v>19.34</v>
      </c>
      <c r="H64" s="622">
        <v>9.7238542219316599</v>
      </c>
      <c r="I64" s="620">
        <v>1.9889232765727412</v>
      </c>
      <c r="J64" s="620"/>
      <c r="K64" s="623">
        <v>17.809999999999999</v>
      </c>
      <c r="L64" s="622">
        <v>12.8589533229799</v>
      </c>
      <c r="M64" s="620">
        <v>1.3850271909901262</v>
      </c>
      <c r="O64" s="3"/>
      <c r="P64" s="3"/>
    </row>
    <row r="65" spans="1:27" s="618" customFormat="1">
      <c r="A65" s="619" t="s">
        <v>673</v>
      </c>
      <c r="B65" s="620"/>
      <c r="C65" s="620">
        <v>24.88</v>
      </c>
      <c r="D65" s="621">
        <v>13.476422758000901</v>
      </c>
      <c r="E65" s="620">
        <v>1.846187259540284</v>
      </c>
      <c r="F65" s="620"/>
      <c r="G65" s="620">
        <v>21.18</v>
      </c>
      <c r="H65" s="622">
        <v>14.7767250391939</v>
      </c>
      <c r="I65" s="620">
        <v>1.4333351905663807</v>
      </c>
      <c r="J65" s="620"/>
      <c r="K65" s="623">
        <v>16.71</v>
      </c>
      <c r="L65" s="622">
        <v>13.988149417164999</v>
      </c>
      <c r="M65" s="620">
        <v>1.1945826071528083</v>
      </c>
      <c r="N65"/>
      <c r="O65" s="3"/>
      <c r="P65" s="3"/>
      <c r="Q65" s="3"/>
      <c r="R65" s="3"/>
      <c r="S65" s="3"/>
    </row>
    <row r="66" spans="1:27">
      <c r="A66" s="619" t="s">
        <v>674</v>
      </c>
      <c r="B66" s="620"/>
      <c r="C66" s="620">
        <v>19.47</v>
      </c>
      <c r="D66" s="621">
        <v>14.910035915907001</v>
      </c>
      <c r="E66" s="620">
        <v>1.3058318645113478</v>
      </c>
      <c r="F66" s="620"/>
      <c r="G66" s="620">
        <v>15.74</v>
      </c>
      <c r="H66" s="622">
        <v>6.3545812606255803</v>
      </c>
      <c r="I66" s="620">
        <v>2.4769531389154769</v>
      </c>
      <c r="J66" s="620"/>
      <c r="K66" s="623">
        <v>15.65</v>
      </c>
      <c r="L66" s="622">
        <v>16.261815309618601</v>
      </c>
      <c r="M66" s="620">
        <v>0.96237718249962401</v>
      </c>
      <c r="O66" s="3"/>
      <c r="P66" s="3"/>
      <c r="Q66" s="3"/>
      <c r="R66" s="3"/>
      <c r="S66" s="3"/>
      <c r="T66" s="3"/>
      <c r="U66" s="3"/>
    </row>
    <row r="67" spans="1:27">
      <c r="A67" s="619" t="s">
        <v>656</v>
      </c>
      <c r="B67" s="620"/>
      <c r="C67" s="620">
        <v>49.44</v>
      </c>
      <c r="D67" s="621">
        <v>8.0718720556738504</v>
      </c>
      <c r="E67" s="620">
        <v>6.1249731981626017</v>
      </c>
      <c r="F67" s="620"/>
      <c r="G67" s="620">
        <v>44.77</v>
      </c>
      <c r="H67" s="622">
        <v>3.4860880886521199</v>
      </c>
      <c r="I67" s="620">
        <v>12.84247525062114</v>
      </c>
      <c r="J67" s="620"/>
      <c r="K67" s="623">
        <v>78.56</v>
      </c>
      <c r="L67" s="622">
        <v>3.9483159881534702</v>
      </c>
      <c r="M67" s="620">
        <v>19.897090363514845</v>
      </c>
      <c r="O67" s="3"/>
      <c r="P67" s="3"/>
      <c r="Q67" s="3"/>
      <c r="R67" s="3"/>
      <c r="S67" s="3"/>
      <c r="T67" s="3"/>
      <c r="U67" s="3"/>
    </row>
    <row r="68" spans="1:27">
      <c r="A68" s="619" t="s">
        <v>675</v>
      </c>
      <c r="B68" s="620"/>
      <c r="C68" s="620">
        <v>17.97</v>
      </c>
      <c r="D68" s="621">
        <v>5.8831249720191998</v>
      </c>
      <c r="E68" s="620">
        <v>3.0544991115210585</v>
      </c>
      <c r="F68" s="620"/>
      <c r="G68" s="620">
        <v>14.43</v>
      </c>
      <c r="H68" s="622">
        <v>5.3312749016408496</v>
      </c>
      <c r="I68" s="620">
        <v>2.7066696552373921</v>
      </c>
      <c r="J68" s="620"/>
      <c r="K68" s="623">
        <v>18.34</v>
      </c>
      <c r="L68" s="622">
        <v>6.6279118767706198</v>
      </c>
      <c r="M68" s="620">
        <v>2.7670856735856257</v>
      </c>
      <c r="O68" s="618"/>
      <c r="P68" s="3"/>
      <c r="Q68" s="3"/>
      <c r="R68" s="3"/>
      <c r="S68" s="3"/>
      <c r="T68" s="3"/>
      <c r="U68" s="3"/>
    </row>
    <row r="69" spans="1:27">
      <c r="A69" s="619"/>
      <c r="B69" s="620"/>
      <c r="C69" s="620"/>
      <c r="D69" s="622"/>
      <c r="E69" s="620"/>
      <c r="F69" s="620"/>
      <c r="G69" s="620"/>
      <c r="H69" s="622"/>
      <c r="I69" s="620"/>
      <c r="J69" s="620"/>
      <c r="K69" s="623"/>
      <c r="L69" s="622"/>
      <c r="M69" s="620"/>
      <c r="O69" s="3"/>
      <c r="P69" s="3"/>
      <c r="Q69" s="3"/>
      <c r="R69" s="3"/>
      <c r="S69" s="3"/>
      <c r="T69" s="3"/>
      <c r="U69" s="3"/>
    </row>
    <row r="70" spans="1:27">
      <c r="A70" s="619"/>
      <c r="B70" s="620"/>
      <c r="C70" s="620"/>
      <c r="D70" s="622"/>
      <c r="E70" s="620"/>
      <c r="F70" s="620"/>
      <c r="G70" s="620"/>
      <c r="H70" s="622"/>
      <c r="I70" s="620"/>
      <c r="J70" s="620"/>
      <c r="K70" s="623"/>
      <c r="L70" s="622"/>
      <c r="M70" s="620"/>
      <c r="O70" s="618"/>
      <c r="P70" s="3"/>
      <c r="Q70" s="3"/>
      <c r="R70" s="3"/>
      <c r="S70" s="3"/>
      <c r="T70" s="3"/>
      <c r="U70" s="3"/>
    </row>
    <row r="71" spans="1:27" s="571" customFormat="1">
      <c r="A71" s="570"/>
      <c r="B71" s="570"/>
      <c r="C71" s="570"/>
      <c r="D71" s="570"/>
      <c r="E71" s="570"/>
      <c r="F71" s="570"/>
      <c r="G71" s="570"/>
      <c r="H71" s="570"/>
      <c r="I71" s="570"/>
      <c r="J71" s="579"/>
      <c r="K71" s="580"/>
    </row>
    <row r="72" spans="1:27" s="571" customFormat="1">
      <c r="A72" s="570"/>
      <c r="B72" s="570"/>
      <c r="C72" s="570"/>
      <c r="D72" s="570"/>
      <c r="E72" s="570"/>
      <c r="F72" s="570"/>
      <c r="G72" s="570"/>
      <c r="H72" s="570"/>
      <c r="I72" s="570"/>
      <c r="J72" s="579"/>
      <c r="K72" s="580"/>
    </row>
    <row r="73" spans="1:27" s="571" customFormat="1" ht="18">
      <c r="A73" s="570" t="s">
        <v>676</v>
      </c>
      <c r="B73" s="570"/>
      <c r="C73" s="611"/>
      <c r="D73" s="570"/>
      <c r="E73" s="570"/>
      <c r="F73" s="611"/>
      <c r="G73" s="570"/>
      <c r="H73" s="570"/>
      <c r="I73" s="579"/>
      <c r="J73" s="580"/>
      <c r="K73" s="624"/>
      <c r="L73" s="625"/>
      <c r="M73" s="3"/>
      <c r="N73" s="3"/>
      <c r="O73" s="3"/>
      <c r="P73" s="618"/>
      <c r="Q73" s="618"/>
      <c r="R73" s="618"/>
      <c r="S73" s="618"/>
    </row>
    <row r="74" spans="1:27" s="571" customFormat="1">
      <c r="A74" s="626" t="s">
        <v>677</v>
      </c>
      <c r="B74" s="627" t="s">
        <v>678</v>
      </c>
      <c r="C74" s="627" t="s">
        <v>679</v>
      </c>
      <c r="D74" s="627" t="s">
        <v>680</v>
      </c>
      <c r="E74" s="627" t="s">
        <v>681</v>
      </c>
      <c r="F74" s="627" t="s">
        <v>682</v>
      </c>
      <c r="G74" s="627" t="s">
        <v>683</v>
      </c>
      <c r="H74" s="627" t="s">
        <v>684</v>
      </c>
      <c r="I74" s="627" t="s">
        <v>685</v>
      </c>
      <c r="J74" s="627" t="s">
        <v>686</v>
      </c>
      <c r="K74" s="627" t="s">
        <v>687</v>
      </c>
      <c r="L74" s="627" t="s">
        <v>688</v>
      </c>
      <c r="M74" s="627" t="s">
        <v>689</v>
      </c>
      <c r="N74" s="627" t="s">
        <v>690</v>
      </c>
      <c r="O74" s="627" t="s">
        <v>691</v>
      </c>
      <c r="P74" s="627">
        <v>2006</v>
      </c>
      <c r="Q74" s="574"/>
      <c r="R74" s="624"/>
      <c r="S74" s="625"/>
      <c r="T74" s="3"/>
      <c r="U74" s="3"/>
      <c r="V74" s="3"/>
      <c r="W74" s="618"/>
      <c r="X74" s="618"/>
      <c r="Y74" s="618"/>
      <c r="Z74" s="618"/>
    </row>
    <row r="75" spans="1:27" s="571" customFormat="1">
      <c r="A75" s="626" t="s">
        <v>692</v>
      </c>
      <c r="B75" s="628"/>
      <c r="C75" s="628">
        <v>0.1061133365471657</v>
      </c>
      <c r="D75" s="628">
        <v>0.10103677208743679</v>
      </c>
      <c r="E75" s="628">
        <v>0.10273270105034775</v>
      </c>
      <c r="F75" s="628">
        <v>9.2655472320979218E-2</v>
      </c>
      <c r="G75" s="628">
        <v>7.9827003131535332E-2</v>
      </c>
      <c r="H75" s="628">
        <v>8.9825643514267486E-2</v>
      </c>
      <c r="I75" s="628">
        <v>9.7596100527673146E-2</v>
      </c>
      <c r="J75" s="628">
        <v>8.0374891429939588E-2</v>
      </c>
      <c r="K75" s="628">
        <v>8.7037751900159097E-2</v>
      </c>
      <c r="L75" s="628">
        <v>8.6771602794317018E-2</v>
      </c>
      <c r="M75" s="628">
        <v>7.2722331971166995E-2</v>
      </c>
      <c r="N75" s="628">
        <v>-4.0601727380559641E-4</v>
      </c>
      <c r="O75" s="628">
        <v>5.6757159904534601E-2</v>
      </c>
      <c r="P75" s="628">
        <v>8.859790491539081E-2</v>
      </c>
      <c r="Q75" s="579"/>
      <c r="R75" s="624"/>
      <c r="S75" s="625"/>
      <c r="T75" s="3"/>
      <c r="U75" s="3"/>
      <c r="V75" s="3"/>
      <c r="W75" s="618"/>
      <c r="X75" s="618"/>
      <c r="Y75" s="618"/>
      <c r="Z75" s="618"/>
    </row>
    <row r="76" spans="1:27" s="571" customFormat="1">
      <c r="A76" s="626" t="s">
        <v>693</v>
      </c>
      <c r="B76" s="628"/>
      <c r="C76" s="628">
        <v>0.11213565917616758</v>
      </c>
      <c r="D76" s="628">
        <v>0.12125165670467826</v>
      </c>
      <c r="E76" s="628">
        <v>0.10164749338145562</v>
      </c>
      <c r="F76" s="628">
        <v>9.8641234855432691E-2</v>
      </c>
      <c r="G76" s="628">
        <v>8.9666767807327852E-2</v>
      </c>
      <c r="H76" s="628">
        <v>0.10099287041700378</v>
      </c>
      <c r="I76" s="628">
        <v>9.6345419831311632E-2</v>
      </c>
      <c r="J76" s="628">
        <v>8.9222621802131877E-2</v>
      </c>
      <c r="K76" s="628">
        <v>9.5078937071402136E-2</v>
      </c>
      <c r="L76" s="628">
        <v>8.9519568767415278E-2</v>
      </c>
      <c r="M76" s="628">
        <v>6.9423592264317074E-2</v>
      </c>
      <c r="N76" s="628">
        <v>5.9552238805970152E-2</v>
      </c>
      <c r="O76" s="628">
        <v>8.0638306093273063E-2</v>
      </c>
      <c r="P76" s="628">
        <v>9.6038365304420351E-2</v>
      </c>
      <c r="Q76" s="579"/>
      <c r="R76" s="624"/>
      <c r="S76" s="625"/>
      <c r="T76" s="3"/>
      <c r="U76" s="3"/>
      <c r="V76" s="3"/>
      <c r="W76" s="618"/>
      <c r="X76" s="618"/>
      <c r="Y76" s="618"/>
      <c r="Z76" s="618"/>
    </row>
    <row r="77" spans="1:27" s="571" customFormat="1">
      <c r="A77" s="626" t="s">
        <v>694</v>
      </c>
      <c r="B77" s="628">
        <v>8.4883373900301803E-2</v>
      </c>
      <c r="C77" s="628">
        <v>0.11406268926786187</v>
      </c>
      <c r="D77" s="628">
        <v>0.11549800920667584</v>
      </c>
      <c r="E77" s="628">
        <v>0.10136874401202751</v>
      </c>
      <c r="F77" s="628">
        <v>9.0304491689420285E-2</v>
      </c>
      <c r="G77" s="628">
        <v>9.2909676243833034E-2</v>
      </c>
      <c r="H77" s="628">
        <v>0.10073379317750085</v>
      </c>
      <c r="I77" s="628">
        <v>9.5105041999730258E-2</v>
      </c>
      <c r="J77" s="628">
        <v>9.4089696894151781E-2</v>
      </c>
      <c r="K77" s="628">
        <v>9.4411857923775475E-2</v>
      </c>
      <c r="L77" s="628">
        <v>8.8277449464547783E-2</v>
      </c>
      <c r="M77" s="628">
        <v>6.1877107726682479E-2</v>
      </c>
      <c r="N77" s="628">
        <v>6.1106523534269201E-2</v>
      </c>
      <c r="O77" s="628">
        <v>9.4120408402769626E-2</v>
      </c>
      <c r="P77" s="628">
        <v>9.3519662562310937E-2</v>
      </c>
      <c r="Q77" s="579"/>
      <c r="R77" s="629"/>
      <c r="S77" s="625"/>
      <c r="T77" s="3"/>
      <c r="U77" s="3"/>
      <c r="V77" s="3"/>
      <c r="W77" s="618"/>
      <c r="X77" s="618"/>
      <c r="Y77" s="618"/>
      <c r="Z77" s="618"/>
    </row>
    <row r="78" spans="1:27" s="571" customFormat="1">
      <c r="A78" s="626" t="s">
        <v>695</v>
      </c>
      <c r="B78" s="628">
        <v>5.8631263175576244E-2</v>
      </c>
      <c r="C78" s="628">
        <v>0.11211436927857679</v>
      </c>
      <c r="D78" s="628">
        <v>0.1140492079851171</v>
      </c>
      <c r="E78" s="628">
        <v>9.8436000873383014E-2</v>
      </c>
      <c r="F78" s="628">
        <v>8.7472037952982667E-2</v>
      </c>
      <c r="G78" s="628">
        <v>9.4477126926980182E-2</v>
      </c>
      <c r="H78" s="628">
        <v>9.7584898983632068E-2</v>
      </c>
      <c r="I78" s="628">
        <v>9.5171799454255815E-2</v>
      </c>
      <c r="J78" s="628">
        <v>9.0674747758055146E-2</v>
      </c>
      <c r="K78" s="628">
        <v>8.9919776972502266E-2</v>
      </c>
      <c r="L78" s="628">
        <v>8.3401474508591519E-2</v>
      </c>
      <c r="M78" s="628">
        <v>4.560281119508753E-2</v>
      </c>
      <c r="N78" s="628">
        <v>6.2547041999096789E-2</v>
      </c>
      <c r="O78" s="628">
        <v>9.2337512372154415E-2</v>
      </c>
      <c r="P78" s="628">
        <v>9.0295909486510006E-2</v>
      </c>
      <c r="Q78" s="579"/>
      <c r="R78" s="3"/>
      <c r="S78" s="3"/>
      <c r="T78" s="618"/>
      <c r="U78" s="618"/>
      <c r="V78" s="618"/>
      <c r="W78" s="618"/>
      <c r="X78" s="618"/>
      <c r="Y78" s="618"/>
      <c r="Z78" s="618"/>
    </row>
    <row r="79" spans="1:27" s="571" customFormat="1">
      <c r="A79" s="630"/>
      <c r="B79" s="630"/>
      <c r="C79" s="630"/>
      <c r="D79" s="628"/>
      <c r="E79" s="628"/>
      <c r="F79" s="628"/>
      <c r="G79" s="628"/>
      <c r="H79" s="628"/>
      <c r="I79" s="628"/>
      <c r="J79" s="628"/>
      <c r="K79" s="628"/>
      <c r="L79" s="628"/>
      <c r="M79" s="628"/>
      <c r="N79" s="628"/>
      <c r="O79" s="628"/>
      <c r="P79" s="570"/>
      <c r="Q79" s="579"/>
      <c r="R79" s="580"/>
      <c r="U79" s="618"/>
      <c r="V79" s="618"/>
      <c r="W79" s="618"/>
      <c r="X79" s="618"/>
      <c r="Y79" s="618"/>
      <c r="Z79" s="618"/>
      <c r="AA79" s="618"/>
    </row>
    <row r="80" spans="1:27" s="571" customFormat="1">
      <c r="A80" s="630"/>
      <c r="B80" s="628"/>
      <c r="C80" s="628"/>
      <c r="D80" s="628"/>
      <c r="E80" s="628"/>
      <c r="F80" s="628"/>
      <c r="G80" s="628"/>
      <c r="H80" s="570"/>
      <c r="I80" s="579"/>
      <c r="J80" s="580"/>
      <c r="M80" s="618"/>
      <c r="N80" s="618"/>
      <c r="O80" s="618"/>
      <c r="P80" s="618"/>
      <c r="Q80" s="618"/>
      <c r="R80" s="618"/>
      <c r="S80" s="618"/>
    </row>
    <row r="81" spans="1:20">
      <c r="A81" s="619"/>
      <c r="B81" s="622"/>
      <c r="C81" s="620"/>
      <c r="D81" s="620"/>
      <c r="E81" s="620"/>
      <c r="F81" s="622"/>
      <c r="G81" s="620"/>
      <c r="H81" s="620"/>
      <c r="I81" s="623"/>
      <c r="J81" s="622"/>
      <c r="K81" s="620"/>
      <c r="L81" s="618"/>
      <c r="M81" s="3"/>
      <c r="N81" s="3"/>
      <c r="O81" s="3"/>
      <c r="P81" s="3"/>
      <c r="Q81" s="3"/>
      <c r="R81" s="3"/>
    </row>
    <row r="82" spans="1:20">
      <c r="A82" s="631" t="s">
        <v>696</v>
      </c>
      <c r="B82" s="632" t="s">
        <v>638</v>
      </c>
      <c r="C82" s="632" t="s">
        <v>697</v>
      </c>
      <c r="D82" s="632" t="s">
        <v>698</v>
      </c>
      <c r="E82" s="632" t="s">
        <v>699</v>
      </c>
      <c r="F82" s="632" t="s">
        <v>700</v>
      </c>
      <c r="G82" s="597" t="s">
        <v>701</v>
      </c>
      <c r="H82" s="633" t="s">
        <v>702</v>
      </c>
      <c r="I82" s="633" t="s">
        <v>703</v>
      </c>
      <c r="J82" s="634" t="s">
        <v>696</v>
      </c>
      <c r="K82" s="571"/>
      <c r="L82" s="571"/>
      <c r="M82" s="3"/>
      <c r="N82" s="3"/>
      <c r="O82" s="3"/>
      <c r="P82" s="3"/>
      <c r="Q82" s="3"/>
      <c r="R82" s="3"/>
      <c r="S82" s="3"/>
    </row>
    <row r="83" spans="1:20">
      <c r="A83" s="635">
        <v>43553</v>
      </c>
      <c r="B83" s="636">
        <v>46</v>
      </c>
      <c r="C83" s="636">
        <v>48.13</v>
      </c>
      <c r="D83" s="636">
        <v>49.76</v>
      </c>
      <c r="E83" s="636">
        <v>186.36</v>
      </c>
      <c r="F83" s="636"/>
      <c r="G83" s="620">
        <v>2883.71</v>
      </c>
      <c r="H83" s="637">
        <v>15.473867782786005</v>
      </c>
      <c r="I83" s="637"/>
      <c r="J83" s="638">
        <v>43553</v>
      </c>
      <c r="K83" s="639"/>
      <c r="M83" s="3"/>
      <c r="N83" s="3"/>
      <c r="O83" s="3"/>
      <c r="P83" s="3"/>
      <c r="Q83" s="3"/>
      <c r="R83" s="3"/>
      <c r="S83" s="3"/>
    </row>
    <row r="84" spans="1:20">
      <c r="A84" s="635">
        <v>43644</v>
      </c>
      <c r="B84" s="636">
        <v>45.12</v>
      </c>
      <c r="C84" s="636">
        <v>47.47</v>
      </c>
      <c r="D84" s="636">
        <v>49.1</v>
      </c>
      <c r="E84" s="636">
        <v>184.01</v>
      </c>
      <c r="F84" s="636"/>
      <c r="G84" s="620">
        <v>2941.76</v>
      </c>
      <c r="H84" s="637">
        <v>15.986957230585297</v>
      </c>
      <c r="I84" s="637"/>
      <c r="J84" s="638">
        <v>43644</v>
      </c>
      <c r="K84" s="639"/>
      <c r="M84" s="3"/>
      <c r="N84" s="3"/>
      <c r="O84" s="3"/>
      <c r="P84" s="3"/>
      <c r="Q84" s="3"/>
      <c r="R84" s="3"/>
      <c r="S84" s="3"/>
    </row>
    <row r="85" spans="1:20">
      <c r="A85" s="635">
        <v>43738</v>
      </c>
      <c r="B85" s="22">
        <v>44.53</v>
      </c>
      <c r="C85" s="22">
        <v>46.25</v>
      </c>
      <c r="D85" s="22">
        <v>47.81</v>
      </c>
      <c r="E85" s="636">
        <v>180.06</v>
      </c>
      <c r="F85" s="636"/>
      <c r="G85" s="620">
        <v>2976.73727174433</v>
      </c>
      <c r="H85" s="637">
        <v>16.531918647919195</v>
      </c>
      <c r="I85" s="637"/>
      <c r="J85" s="638">
        <v>43738</v>
      </c>
      <c r="K85" s="639"/>
      <c r="M85" s="3"/>
      <c r="N85" s="3"/>
      <c r="O85" s="3"/>
      <c r="P85" s="3"/>
      <c r="Q85" s="3"/>
      <c r="R85" s="3"/>
      <c r="S85" s="3"/>
    </row>
    <row r="86" spans="1:20">
      <c r="A86" s="635">
        <v>43830</v>
      </c>
      <c r="B86" s="636">
        <v>43.43</v>
      </c>
      <c r="C86" s="636">
        <v>45.72</v>
      </c>
      <c r="D86" s="636">
        <v>46.08</v>
      </c>
      <c r="E86" s="636">
        <v>175.52</v>
      </c>
      <c r="F86" s="636"/>
      <c r="G86" s="620">
        <v>3230.7819500904302</v>
      </c>
      <c r="H86" s="637">
        <v>18.406916306349306</v>
      </c>
      <c r="I86" s="637"/>
      <c r="J86" s="638">
        <v>43830</v>
      </c>
      <c r="K86" s="639"/>
      <c r="M86" s="3"/>
      <c r="N86" s="3"/>
      <c r="O86" s="3"/>
      <c r="P86" s="3"/>
      <c r="Q86" s="3"/>
      <c r="R86" s="3"/>
      <c r="S86" s="3"/>
    </row>
    <row r="87" spans="1:20">
      <c r="A87" s="635">
        <v>43921</v>
      </c>
      <c r="B87" s="636">
        <v>34.51</v>
      </c>
      <c r="C87" s="636">
        <v>39.43</v>
      </c>
      <c r="D87" s="636">
        <v>42</v>
      </c>
      <c r="E87" s="636">
        <v>151.52000000000001</v>
      </c>
      <c r="F87" s="636">
        <v>183.37</v>
      </c>
      <c r="G87" s="620">
        <v>2584.5907599343</v>
      </c>
      <c r="H87" s="637">
        <v>17.05775316746502</v>
      </c>
      <c r="I87" s="637">
        <v>14.094948791701478</v>
      </c>
      <c r="J87" s="638">
        <v>43921</v>
      </c>
      <c r="K87" s="639"/>
      <c r="M87" s="3"/>
      <c r="N87" s="3"/>
      <c r="O87" s="3"/>
      <c r="P87" s="3"/>
      <c r="Q87" s="3"/>
      <c r="R87" s="3"/>
      <c r="S87" s="3"/>
    </row>
    <row r="88" spans="1:20">
      <c r="A88" s="635">
        <v>44012</v>
      </c>
      <c r="B88" s="636">
        <v>22.92</v>
      </c>
      <c r="C88" s="636">
        <v>30.89</v>
      </c>
      <c r="D88" s="636">
        <v>35.74</v>
      </c>
      <c r="E88" s="636">
        <v>109.06</v>
      </c>
      <c r="F88" s="636">
        <v>161.28</v>
      </c>
      <c r="G88" s="620">
        <v>3100.2851286595301</v>
      </c>
      <c r="H88" s="637">
        <v>28.427334757560335</v>
      </c>
      <c r="I88" s="637">
        <v>19.222998069565538</v>
      </c>
      <c r="J88" s="638" t="s">
        <v>704</v>
      </c>
      <c r="K88" s="639"/>
      <c r="M88" s="3"/>
      <c r="N88" s="3"/>
      <c r="O88" s="3"/>
      <c r="P88" s="3"/>
      <c r="Q88" s="3"/>
      <c r="R88" s="3"/>
      <c r="S88" s="3"/>
    </row>
    <row r="89" spans="1:20">
      <c r="A89" s="635" t="s">
        <v>704</v>
      </c>
      <c r="B89" s="636">
        <v>26.79</v>
      </c>
      <c r="C89" s="636">
        <v>32.04</v>
      </c>
      <c r="D89" s="636">
        <v>35.51</v>
      </c>
      <c r="E89" s="636">
        <v>113.84</v>
      </c>
      <c r="F89" s="636">
        <v>164.28</v>
      </c>
      <c r="G89" s="620">
        <v>3362.9989876496502</v>
      </c>
      <c r="H89" s="637">
        <v>29.541452807885189</v>
      </c>
      <c r="I89" s="637">
        <v>20.471140660151267</v>
      </c>
      <c r="J89" s="638" t="s">
        <v>704</v>
      </c>
      <c r="K89" s="639"/>
      <c r="M89" s="3"/>
      <c r="N89" s="3"/>
      <c r="O89" s="3"/>
      <c r="P89" s="3"/>
      <c r="Q89" s="3"/>
      <c r="R89" s="3"/>
      <c r="S89" s="3"/>
    </row>
    <row r="90" spans="1:20">
      <c r="A90" s="635" t="s">
        <v>705</v>
      </c>
      <c r="B90" s="640">
        <v>0.16884816753926679</v>
      </c>
      <c r="C90" s="640">
        <v>3.7228876659112897E-2</v>
      </c>
      <c r="D90" s="640">
        <v>-6.4353665360941115E-3</v>
      </c>
      <c r="E90" s="640">
        <v>4.3829084907390348E-2</v>
      </c>
      <c r="F90" s="640">
        <v>1.8601190476190466E-2</v>
      </c>
      <c r="G90" s="640">
        <v>8.4738612123624213E-2</v>
      </c>
      <c r="H90" s="640">
        <v>3.9191787053781013E-2</v>
      </c>
      <c r="I90" s="640">
        <v>6.4929652807999227E-2</v>
      </c>
      <c r="J90" s="638" t="s">
        <v>705</v>
      </c>
      <c r="K90" s="639"/>
      <c r="M90" s="3"/>
      <c r="N90" s="3"/>
      <c r="O90" s="3"/>
      <c r="P90" s="3"/>
      <c r="Q90" s="3"/>
      <c r="R90" s="3"/>
      <c r="S90" s="3"/>
    </row>
    <row r="91" spans="1:20">
      <c r="A91" s="635" t="s">
        <v>706</v>
      </c>
      <c r="B91" s="640">
        <v>-0.38314529127331343</v>
      </c>
      <c r="C91" s="640">
        <v>-0.29921259842519687</v>
      </c>
      <c r="D91" s="640">
        <v>-0.22938368055555558</v>
      </c>
      <c r="E91" s="640">
        <v>-0.35141294439380133</v>
      </c>
      <c r="F91" s="640">
        <v>-0.10410645143698538</v>
      </c>
      <c r="G91" s="640">
        <v>4.0924160033616319E-2</v>
      </c>
      <c r="H91" s="640">
        <v>0.60491047583538604</v>
      </c>
      <c r="I91" s="640"/>
      <c r="J91" s="638" t="s">
        <v>706</v>
      </c>
      <c r="L91" s="638"/>
      <c r="M91" s="3"/>
      <c r="N91" s="3"/>
      <c r="O91" s="3"/>
      <c r="P91" s="3"/>
      <c r="Q91" s="3"/>
      <c r="R91" s="3"/>
    </row>
    <row r="92" spans="1:20">
      <c r="A92" s="635" t="s">
        <v>707</v>
      </c>
      <c r="B92" s="640">
        <v>-0.40625</v>
      </c>
      <c r="C92" s="640">
        <v>-0.32504739835685692</v>
      </c>
      <c r="D92" s="640">
        <v>-0.27678207739307537</v>
      </c>
      <c r="E92" s="640">
        <v>-0.38133797076245857</v>
      </c>
      <c r="F92" s="640"/>
      <c r="G92" s="640">
        <v>0.14319284634016705</v>
      </c>
      <c r="H92" s="640">
        <v>0.84784711573308247</v>
      </c>
      <c r="I92" s="640"/>
      <c r="J92" s="638" t="s">
        <v>707</v>
      </c>
      <c r="L92" s="638"/>
      <c r="M92" s="3"/>
      <c r="N92" s="3"/>
      <c r="O92" s="3"/>
      <c r="P92" s="3"/>
      <c r="Q92" s="3"/>
      <c r="R92" s="3"/>
    </row>
    <row r="93" spans="1:20">
      <c r="A93" s="635"/>
      <c r="B93" s="640"/>
      <c r="C93" s="640"/>
      <c r="D93" s="640"/>
      <c r="E93" s="640"/>
      <c r="F93" s="640"/>
      <c r="G93" s="640"/>
      <c r="H93" s="638"/>
      <c r="J93" s="638"/>
      <c r="K93" s="3"/>
      <c r="L93" s="3"/>
      <c r="M93" s="3"/>
      <c r="N93" s="3"/>
      <c r="O93" s="3"/>
      <c r="P93" s="3"/>
    </row>
    <row r="94" spans="1:20">
      <c r="A94" s="635"/>
      <c r="B94" s="641"/>
      <c r="C94" s="641"/>
      <c r="D94" s="641"/>
      <c r="E94" s="641"/>
      <c r="F94" s="641"/>
      <c r="G94" s="641"/>
      <c r="H94" s="641"/>
      <c r="I94" s="641"/>
      <c r="J94" s="638"/>
      <c r="L94" s="638"/>
      <c r="M94" s="3"/>
      <c r="N94" s="3"/>
      <c r="O94" s="3"/>
      <c r="P94" s="3"/>
      <c r="Q94" s="3"/>
      <c r="R94" s="3"/>
    </row>
    <row r="95" spans="1:20" s="644" customFormat="1" ht="18">
      <c r="A95" s="642" t="s">
        <v>708</v>
      </c>
      <c r="B95" s="643"/>
      <c r="C95" s="643"/>
      <c r="D95" s="643"/>
      <c r="E95" s="643"/>
      <c r="F95" s="643"/>
      <c r="G95" s="643"/>
      <c r="H95" s="643"/>
      <c r="K95" s="645"/>
    </row>
    <row r="96" spans="1:20">
      <c r="A96" s="638" t="s">
        <v>638</v>
      </c>
      <c r="B96" s="638"/>
      <c r="C96" s="646"/>
      <c r="D96" s="647"/>
      <c r="E96" s="636"/>
      <c r="F96" s="620"/>
      <c r="G96" s="620"/>
      <c r="H96" s="648"/>
      <c r="I96" s="637"/>
      <c r="J96" s="575"/>
      <c r="K96" s="571"/>
      <c r="N96" s="3"/>
      <c r="O96" s="3"/>
      <c r="P96" s="3"/>
      <c r="Q96" s="3"/>
      <c r="R96" s="3"/>
      <c r="S96" s="3"/>
      <c r="T96" s="3"/>
    </row>
    <row r="97" spans="1:24">
      <c r="A97" s="638" t="s">
        <v>709</v>
      </c>
      <c r="B97" s="636"/>
      <c r="C97" s="636"/>
      <c r="D97" s="636"/>
      <c r="E97" s="636"/>
      <c r="F97" s="636"/>
      <c r="G97" s="636"/>
      <c r="H97" s="636"/>
      <c r="I97" s="636"/>
      <c r="J97" s="620"/>
      <c r="K97" s="619"/>
      <c r="L97" s="649"/>
      <c r="M97" s="574"/>
      <c r="N97" s="575"/>
      <c r="O97" s="571"/>
      <c r="R97" s="3"/>
      <c r="S97" s="3"/>
      <c r="T97" s="3"/>
      <c r="U97" s="3"/>
      <c r="V97" s="3"/>
      <c r="W97" s="3"/>
      <c r="X97" s="3"/>
    </row>
    <row r="98" spans="1:24">
      <c r="A98" s="638" t="s">
        <v>710</v>
      </c>
      <c r="B98" s="636"/>
      <c r="C98" s="636"/>
      <c r="D98" s="636"/>
      <c r="E98" s="636"/>
      <c r="F98" s="636"/>
      <c r="G98" s="636"/>
      <c r="H98" s="636"/>
      <c r="I98" s="636"/>
      <c r="J98" s="620"/>
      <c r="K98" s="619"/>
      <c r="L98" s="649"/>
      <c r="M98" s="574"/>
      <c r="N98" s="575"/>
      <c r="O98" s="571"/>
      <c r="R98" s="3"/>
      <c r="S98" s="3"/>
      <c r="T98" s="3"/>
      <c r="U98" s="3"/>
      <c r="V98" s="3"/>
      <c r="W98" s="3"/>
      <c r="X98" s="3"/>
    </row>
    <row r="99" spans="1:24">
      <c r="A99" s="650"/>
      <c r="B99" s="650"/>
      <c r="C99" s="651" t="s">
        <v>711</v>
      </c>
      <c r="D99" s="651"/>
      <c r="E99" s="651"/>
      <c r="F99" s="651"/>
      <c r="G99" s="651"/>
      <c r="H99" s="651" t="s">
        <v>712</v>
      </c>
      <c r="I99" s="651"/>
      <c r="J99" s="651"/>
      <c r="K99" s="651"/>
      <c r="N99" s="3"/>
      <c r="O99" s="3"/>
      <c r="P99" s="652"/>
      <c r="Q99" s="3"/>
      <c r="R99" s="3"/>
      <c r="S99" s="3"/>
      <c r="T99" s="3"/>
    </row>
    <row r="100" spans="1:24">
      <c r="A100" s="650" t="s">
        <v>619</v>
      </c>
      <c r="B100" s="650"/>
      <c r="C100" s="653" t="s">
        <v>713</v>
      </c>
      <c r="D100" s="653" t="s">
        <v>714</v>
      </c>
      <c r="E100" s="653" t="s">
        <v>715</v>
      </c>
      <c r="F100" s="653" t="s">
        <v>716</v>
      </c>
      <c r="G100" s="653"/>
      <c r="H100" s="653" t="s">
        <v>713</v>
      </c>
      <c r="I100" s="653" t="s">
        <v>714</v>
      </c>
      <c r="J100" s="653" t="s">
        <v>715</v>
      </c>
      <c r="K100" s="653" t="s">
        <v>716</v>
      </c>
      <c r="N100" s="3"/>
      <c r="O100" s="3"/>
      <c r="P100" s="3"/>
      <c r="Q100" s="3"/>
      <c r="R100" s="3"/>
      <c r="S100" s="3"/>
      <c r="T100" s="3"/>
    </row>
    <row r="101" spans="1:24">
      <c r="A101" s="650" t="s">
        <v>630</v>
      </c>
      <c r="B101" s="650"/>
      <c r="C101" s="654">
        <v>26</v>
      </c>
      <c r="D101" s="654">
        <v>19</v>
      </c>
      <c r="E101" s="654">
        <v>7</v>
      </c>
      <c r="F101" s="654">
        <v>0</v>
      </c>
      <c r="G101" s="654"/>
      <c r="H101" s="655">
        <v>1</v>
      </c>
      <c r="I101" s="655">
        <v>0.73076923076923073</v>
      </c>
      <c r="J101" s="655">
        <v>0.26923076923076922</v>
      </c>
      <c r="K101" s="655">
        <v>0</v>
      </c>
      <c r="N101" s="3"/>
      <c r="O101" s="3"/>
      <c r="P101" s="3"/>
      <c r="Q101" s="3"/>
      <c r="R101" s="3"/>
      <c r="S101" s="3"/>
      <c r="T101" s="3"/>
    </row>
    <row r="102" spans="1:24">
      <c r="A102" s="650" t="s">
        <v>649</v>
      </c>
      <c r="B102" s="650"/>
      <c r="C102" s="654">
        <v>28</v>
      </c>
      <c r="D102" s="654">
        <v>24</v>
      </c>
      <c r="E102" s="654">
        <v>4</v>
      </c>
      <c r="F102" s="654">
        <v>0</v>
      </c>
      <c r="G102" s="654"/>
      <c r="H102" s="655">
        <v>1</v>
      </c>
      <c r="I102" s="655">
        <v>0.8571428571428571</v>
      </c>
      <c r="J102" s="655">
        <v>0.14285714285714285</v>
      </c>
      <c r="K102" s="655">
        <v>0</v>
      </c>
      <c r="N102" s="3"/>
      <c r="O102" s="3"/>
      <c r="P102" s="3"/>
      <c r="Q102" s="3"/>
      <c r="R102" s="3"/>
      <c r="S102" s="3"/>
      <c r="T102" s="3"/>
    </row>
    <row r="103" spans="1:24">
      <c r="A103" s="650" t="s">
        <v>633</v>
      </c>
      <c r="B103" s="650"/>
      <c r="C103" s="654">
        <v>73</v>
      </c>
      <c r="D103" s="654">
        <v>67</v>
      </c>
      <c r="E103" s="654">
        <v>6</v>
      </c>
      <c r="F103" s="654">
        <v>0</v>
      </c>
      <c r="G103" s="654"/>
      <c r="H103" s="655">
        <v>1</v>
      </c>
      <c r="I103" s="655">
        <v>0.9178082191780822</v>
      </c>
      <c r="J103" s="655">
        <v>8.2191780821917804E-2</v>
      </c>
      <c r="K103" s="655">
        <v>0</v>
      </c>
      <c r="N103" s="3"/>
      <c r="O103" s="3"/>
      <c r="P103" s="3"/>
      <c r="Q103" s="3"/>
      <c r="R103" s="3"/>
      <c r="S103" s="3"/>
      <c r="T103" s="3"/>
    </row>
    <row r="104" spans="1:24">
      <c r="A104" s="650" t="s">
        <v>650</v>
      </c>
      <c r="B104" s="650"/>
      <c r="C104" s="654">
        <v>61</v>
      </c>
      <c r="D104" s="654">
        <v>45</v>
      </c>
      <c r="E104" s="654">
        <v>15</v>
      </c>
      <c r="F104" s="654">
        <v>1</v>
      </c>
      <c r="G104" s="654"/>
      <c r="H104" s="655">
        <v>1</v>
      </c>
      <c r="I104" s="655">
        <v>0.73770491803278693</v>
      </c>
      <c r="J104" s="655">
        <v>0.24590163934426229</v>
      </c>
      <c r="K104" s="655">
        <v>1.6393442622950821E-2</v>
      </c>
      <c r="N104" s="3"/>
      <c r="O104" s="3"/>
      <c r="P104" s="3"/>
      <c r="Q104" s="3"/>
      <c r="R104" s="3"/>
      <c r="S104" s="3"/>
      <c r="T104" s="3"/>
    </row>
    <row r="105" spans="1:24">
      <c r="A105" s="650" t="s">
        <v>651</v>
      </c>
      <c r="B105" s="650"/>
      <c r="C105" s="654">
        <v>33</v>
      </c>
      <c r="D105" s="654">
        <v>29</v>
      </c>
      <c r="E105" s="654">
        <v>4</v>
      </c>
      <c r="F105" s="654">
        <v>0</v>
      </c>
      <c r="G105" s="654"/>
      <c r="H105" s="655">
        <v>1</v>
      </c>
      <c r="I105" s="655">
        <v>0.87878787878787878</v>
      </c>
      <c r="J105" s="655">
        <v>0.12121212121212122</v>
      </c>
      <c r="K105" s="655">
        <v>0</v>
      </c>
      <c r="N105" s="3"/>
      <c r="O105" s="3"/>
      <c r="P105" s="3"/>
      <c r="Q105" s="3"/>
      <c r="R105" s="3"/>
      <c r="S105" s="3"/>
      <c r="T105" s="3"/>
    </row>
    <row r="106" spans="1:24">
      <c r="A106" s="650" t="s">
        <v>652</v>
      </c>
      <c r="B106" s="650"/>
      <c r="C106" s="654">
        <v>62</v>
      </c>
      <c r="D106" s="654">
        <v>55</v>
      </c>
      <c r="E106" s="654">
        <v>6</v>
      </c>
      <c r="F106" s="654">
        <v>1</v>
      </c>
      <c r="G106" s="654"/>
      <c r="H106" s="655">
        <v>1</v>
      </c>
      <c r="I106" s="655">
        <v>0.88709677419354838</v>
      </c>
      <c r="J106" s="655">
        <v>9.6774193548387094E-2</v>
      </c>
      <c r="K106" s="655">
        <v>1.6129032258064516E-2</v>
      </c>
      <c r="N106" s="3"/>
      <c r="O106" s="3"/>
      <c r="P106" s="3"/>
      <c r="Q106" s="3"/>
      <c r="R106" s="3"/>
      <c r="S106" s="3"/>
      <c r="T106" s="3"/>
    </row>
    <row r="107" spans="1:24">
      <c r="A107" s="650" t="s">
        <v>631</v>
      </c>
      <c r="B107" s="650"/>
      <c r="C107" s="654">
        <v>65</v>
      </c>
      <c r="D107" s="654">
        <v>49</v>
      </c>
      <c r="E107" s="654">
        <v>14</v>
      </c>
      <c r="F107" s="654">
        <v>2</v>
      </c>
      <c r="G107" s="654"/>
      <c r="H107" s="655">
        <v>0.98484848484848486</v>
      </c>
      <c r="I107" s="655">
        <v>0.75384615384615383</v>
      </c>
      <c r="J107" s="655">
        <v>0.2153846153846154</v>
      </c>
      <c r="K107" s="655">
        <v>3.0769230769230771E-2</v>
      </c>
      <c r="N107" s="3"/>
      <c r="O107" s="3"/>
      <c r="P107" s="3"/>
      <c r="Q107" s="3"/>
      <c r="R107" s="3"/>
      <c r="S107" s="3"/>
      <c r="T107" s="3"/>
    </row>
    <row r="108" spans="1:24">
      <c r="A108" s="650" t="s">
        <v>653</v>
      </c>
      <c r="B108" s="650"/>
      <c r="C108" s="654">
        <v>70</v>
      </c>
      <c r="D108" s="654">
        <v>65</v>
      </c>
      <c r="E108" s="654">
        <v>1</v>
      </c>
      <c r="F108" s="654">
        <v>4</v>
      </c>
      <c r="G108" s="654"/>
      <c r="H108" s="655">
        <v>0.9859154929577465</v>
      </c>
      <c r="I108" s="655">
        <v>0.9285714285714286</v>
      </c>
      <c r="J108" s="655">
        <v>1.4285714285714285E-2</v>
      </c>
      <c r="K108" s="655">
        <v>5.7142857142857141E-2</v>
      </c>
      <c r="N108" s="656"/>
      <c r="O108" s="656"/>
      <c r="P108" s="3"/>
      <c r="Q108" s="3"/>
      <c r="R108" s="3"/>
      <c r="S108" s="3"/>
      <c r="T108" s="3"/>
    </row>
    <row r="109" spans="1:24">
      <c r="A109" s="650" t="s">
        <v>654</v>
      </c>
      <c r="B109" s="650"/>
      <c r="C109" s="654">
        <v>25</v>
      </c>
      <c r="D109" s="654">
        <v>22</v>
      </c>
      <c r="E109" s="654">
        <v>3</v>
      </c>
      <c r="F109" s="654">
        <v>0</v>
      </c>
      <c r="G109" s="654"/>
      <c r="H109" s="655">
        <v>0.96153846153846156</v>
      </c>
      <c r="I109" s="655">
        <v>0.88</v>
      </c>
      <c r="J109" s="655">
        <v>0.12</v>
      </c>
      <c r="K109" s="655">
        <v>0</v>
      </c>
      <c r="N109" s="656"/>
      <c r="O109" s="656"/>
      <c r="P109" s="656"/>
      <c r="Q109" s="656"/>
      <c r="R109" s="656"/>
      <c r="S109" s="3"/>
      <c r="T109" s="3"/>
    </row>
    <row r="110" spans="1:24">
      <c r="A110" s="650" t="s">
        <v>655</v>
      </c>
      <c r="B110" s="650"/>
      <c r="C110" s="654">
        <v>28</v>
      </c>
      <c r="D110" s="654">
        <v>22</v>
      </c>
      <c r="E110" s="654">
        <v>3</v>
      </c>
      <c r="F110" s="654">
        <v>3</v>
      </c>
      <c r="G110" s="654"/>
      <c r="H110" s="655">
        <v>1</v>
      </c>
      <c r="I110" s="655">
        <v>0.7857142857142857</v>
      </c>
      <c r="J110" s="655">
        <v>0.10714285714285714</v>
      </c>
      <c r="K110" s="655">
        <v>0.10714285714285714</v>
      </c>
      <c r="M110" s="621"/>
      <c r="N110" s="656"/>
      <c r="O110" s="656"/>
      <c r="P110" s="656"/>
      <c r="Q110" s="656"/>
      <c r="R110" s="656"/>
      <c r="S110" s="3"/>
      <c r="T110" s="3"/>
    </row>
    <row r="111" spans="1:24">
      <c r="A111" s="650" t="s">
        <v>656</v>
      </c>
      <c r="B111" s="650"/>
      <c r="C111" s="654">
        <v>31</v>
      </c>
      <c r="D111" s="654">
        <v>16</v>
      </c>
      <c r="E111" s="654">
        <v>14</v>
      </c>
      <c r="F111" s="654">
        <v>1</v>
      </c>
      <c r="G111" s="654"/>
      <c r="H111" s="655">
        <v>1</v>
      </c>
      <c r="I111" s="655">
        <v>0.5161290322580645</v>
      </c>
      <c r="J111" s="655">
        <v>0.45161290322580644</v>
      </c>
      <c r="K111" s="655">
        <v>3.2258064516129031E-2</v>
      </c>
      <c r="M111" s="621"/>
      <c r="N111" s="656"/>
      <c r="O111" s="656"/>
      <c r="P111" s="656"/>
      <c r="Q111" s="656"/>
      <c r="R111" s="656"/>
      <c r="S111" s="3"/>
      <c r="T111" s="3"/>
    </row>
    <row r="112" spans="1:24">
      <c r="A112" s="650" t="s">
        <v>657</v>
      </c>
      <c r="B112" s="650"/>
      <c r="C112" s="654">
        <v>502</v>
      </c>
      <c r="D112" s="654">
        <v>413</v>
      </c>
      <c r="E112" s="654">
        <v>77</v>
      </c>
      <c r="F112" s="654">
        <v>12</v>
      </c>
      <c r="G112" s="657"/>
      <c r="H112" s="655">
        <v>0.99405940594059405</v>
      </c>
      <c r="I112" s="655">
        <v>0.82270916334661359</v>
      </c>
      <c r="J112" s="655">
        <v>0.15338645418326693</v>
      </c>
      <c r="K112" s="655">
        <v>2.3904382470119521E-2</v>
      </c>
      <c r="M112" s="621"/>
      <c r="N112" s="656"/>
      <c r="O112" s="656"/>
      <c r="P112" s="656"/>
      <c r="Q112" s="656"/>
      <c r="R112" s="656"/>
      <c r="S112" s="3"/>
      <c r="T112" s="3"/>
    </row>
    <row r="113" spans="1:20">
      <c r="A113" s="650"/>
      <c r="B113" s="650"/>
      <c r="C113" s="654"/>
      <c r="D113" s="654"/>
      <c r="E113" s="654"/>
      <c r="F113" s="654"/>
      <c r="G113" s="657"/>
      <c r="H113" s="655"/>
      <c r="I113" s="655"/>
      <c r="J113" s="655"/>
      <c r="K113" s="655"/>
      <c r="M113" s="621"/>
      <c r="N113" s="656"/>
      <c r="O113" s="656"/>
      <c r="P113" s="656"/>
      <c r="Q113" s="656"/>
      <c r="R113" s="656"/>
      <c r="S113" s="3"/>
      <c r="T113" s="3"/>
    </row>
    <row r="114" spans="1:20">
      <c r="A114" s="658"/>
      <c r="B114" s="658"/>
      <c r="C114" s="659"/>
      <c r="D114" s="659"/>
      <c r="E114" s="659"/>
      <c r="F114" s="659"/>
      <c r="G114" s="660"/>
      <c r="H114" s="659"/>
      <c r="I114" s="655"/>
      <c r="J114" s="655"/>
      <c r="K114" s="655"/>
      <c r="M114" s="621"/>
      <c r="N114" s="656"/>
      <c r="O114" s="656"/>
      <c r="P114" s="656"/>
      <c r="Q114" s="656"/>
      <c r="R114" s="656"/>
      <c r="S114" s="3"/>
      <c r="T114" s="3"/>
    </row>
    <row r="115" spans="1:20">
      <c r="A115" s="661"/>
      <c r="B115" s="661"/>
      <c r="C115" s="662"/>
      <c r="D115" s="662"/>
      <c r="E115" s="662"/>
      <c r="F115" s="662"/>
      <c r="G115" s="663"/>
      <c r="H115" s="662"/>
      <c r="I115" s="662"/>
      <c r="J115" s="662"/>
      <c r="K115" s="664"/>
      <c r="L115" s="22"/>
      <c r="M115" s="22"/>
      <c r="N115" s="656"/>
      <c r="O115" s="656"/>
      <c r="P115" s="656"/>
      <c r="Q115" s="656"/>
      <c r="R115" s="656"/>
      <c r="S115" s="3"/>
      <c r="T115" s="3"/>
    </row>
    <row r="116" spans="1:20">
      <c r="A116" s="665" t="s">
        <v>717</v>
      </c>
      <c r="B116" s="570"/>
      <c r="C116" s="570"/>
      <c r="D116" s="666">
        <v>44104</v>
      </c>
      <c r="E116" s="667"/>
      <c r="F116" s="639"/>
      <c r="G116" s="639"/>
      <c r="H116" s="639"/>
      <c r="I116" s="639"/>
      <c r="J116" s="639"/>
    </row>
    <row r="117" spans="1:20">
      <c r="A117" s="668" t="s">
        <v>718</v>
      </c>
      <c r="B117" s="669"/>
      <c r="C117" s="669"/>
      <c r="D117" s="670">
        <v>3362.9989876496502</v>
      </c>
      <c r="E117" s="639"/>
      <c r="F117" s="12"/>
      <c r="G117" s="12"/>
      <c r="H117" s="639"/>
      <c r="I117" s="639"/>
      <c r="J117" s="639"/>
      <c r="K117" s="621"/>
      <c r="L117" s="621"/>
      <c r="M117" s="621"/>
    </row>
    <row r="118" spans="1:20" ht="15.75" customHeight="1">
      <c r="A118" s="671" t="s">
        <v>719</v>
      </c>
      <c r="B118" s="669"/>
      <c r="C118" s="669"/>
      <c r="D118" s="628">
        <v>1.7499559237491798E-2</v>
      </c>
      <c r="E118" s="621"/>
      <c r="F118" s="672"/>
      <c r="G118" s="621"/>
      <c r="H118" s="621"/>
      <c r="I118" s="621"/>
      <c r="J118" s="621"/>
      <c r="K118" s="621"/>
      <c r="L118" s="639"/>
    </row>
    <row r="119" spans="1:20">
      <c r="A119" s="669" t="s">
        <v>720</v>
      </c>
      <c r="B119" s="669"/>
      <c r="C119" s="669"/>
      <c r="D119" s="628">
        <v>1.6834081784712632E-2</v>
      </c>
      <c r="E119" s="639"/>
      <c r="F119" s="639"/>
      <c r="G119" s="639"/>
      <c r="H119" s="639"/>
      <c r="I119" s="639"/>
      <c r="J119" s="639"/>
      <c r="K119" s="639"/>
      <c r="L119" s="621"/>
    </row>
    <row r="120" spans="1:20" ht="18">
      <c r="A120" s="669"/>
      <c r="B120" s="669"/>
      <c r="C120" s="669"/>
      <c r="D120" s="670"/>
      <c r="E120" s="673"/>
      <c r="F120" s="672"/>
      <c r="G120" s="639"/>
      <c r="H120" s="639"/>
      <c r="I120" s="639"/>
      <c r="J120" s="674"/>
      <c r="K120" s="22"/>
      <c r="L120" s="22"/>
      <c r="S120" s="3"/>
      <c r="T120" s="3"/>
    </row>
    <row r="121" spans="1:20">
      <c r="A121" s="578" t="s">
        <v>721</v>
      </c>
      <c r="B121" s="675"/>
      <c r="C121" s="597" t="s">
        <v>722</v>
      </c>
      <c r="D121" s="597" t="s">
        <v>723</v>
      </c>
      <c r="E121" s="597"/>
      <c r="F121" s="597" t="s">
        <v>722</v>
      </c>
      <c r="G121" s="597" t="s">
        <v>723</v>
      </c>
      <c r="H121" s="676"/>
      <c r="I121" s="651" t="s">
        <v>724</v>
      </c>
      <c r="J121" s="651"/>
      <c r="K121" s="651"/>
    </row>
    <row r="122" spans="1:20">
      <c r="A122" s="578" t="s">
        <v>725</v>
      </c>
      <c r="B122" s="675"/>
      <c r="C122" s="597" t="s">
        <v>726</v>
      </c>
      <c r="D122" s="597" t="s">
        <v>726</v>
      </c>
      <c r="E122" s="597"/>
      <c r="F122" s="597" t="s">
        <v>726</v>
      </c>
      <c r="G122" s="597" t="s">
        <v>726</v>
      </c>
      <c r="H122" s="676"/>
      <c r="I122" s="597" t="s">
        <v>722</v>
      </c>
      <c r="J122" s="597" t="s">
        <v>723</v>
      </c>
      <c r="K122" s="597"/>
    </row>
    <row r="123" spans="1:20">
      <c r="A123" s="578"/>
      <c r="B123" s="630" t="s">
        <v>727</v>
      </c>
      <c r="C123" s="597" t="s">
        <v>728</v>
      </c>
      <c r="D123" s="597" t="s">
        <v>728</v>
      </c>
      <c r="E123" s="597"/>
      <c r="F123" s="597" t="s">
        <v>729</v>
      </c>
      <c r="G123" s="597" t="s">
        <v>729</v>
      </c>
      <c r="H123" s="676"/>
      <c r="I123" s="597" t="s">
        <v>726</v>
      </c>
      <c r="J123" s="597" t="s">
        <v>726</v>
      </c>
      <c r="K123" s="597"/>
    </row>
    <row r="124" spans="1:20" ht="9.75" customHeight="1">
      <c r="A124" s="578"/>
      <c r="B124" s="597" t="s">
        <v>191</v>
      </c>
      <c r="C124" s="597" t="s">
        <v>730</v>
      </c>
      <c r="D124" s="597" t="s">
        <v>730</v>
      </c>
      <c r="E124" s="597"/>
      <c r="F124" s="597" t="s">
        <v>730</v>
      </c>
      <c r="G124" s="597" t="s">
        <v>730</v>
      </c>
      <c r="H124" s="676"/>
      <c r="I124" s="597" t="s">
        <v>730</v>
      </c>
      <c r="J124" s="597" t="s">
        <v>730</v>
      </c>
      <c r="K124" s="597"/>
    </row>
    <row r="125" spans="1:20">
      <c r="A125" s="578"/>
      <c r="B125" s="570"/>
      <c r="C125" s="597" t="s">
        <v>731</v>
      </c>
      <c r="D125" s="597" t="s">
        <v>732</v>
      </c>
      <c r="E125" s="597"/>
      <c r="F125" s="597" t="s">
        <v>731</v>
      </c>
      <c r="G125" s="630" t="s">
        <v>732</v>
      </c>
      <c r="H125" s="676"/>
      <c r="I125" s="597" t="s">
        <v>731</v>
      </c>
      <c r="J125" s="630" t="s">
        <v>731</v>
      </c>
      <c r="K125" s="630"/>
      <c r="L125" s="12"/>
    </row>
    <row r="126" spans="1:20">
      <c r="A126" s="571" t="s">
        <v>733</v>
      </c>
      <c r="B126" s="621"/>
      <c r="C126" s="621"/>
      <c r="D126" s="621"/>
      <c r="E126" s="677"/>
      <c r="F126" s="621"/>
      <c r="G126" s="621"/>
      <c r="H126" s="678"/>
      <c r="I126" s="22"/>
      <c r="J126" s="22"/>
      <c r="K126" s="630"/>
    </row>
    <row r="127" spans="1:20">
      <c r="A127" s="679" t="s">
        <v>734</v>
      </c>
      <c r="B127" s="621"/>
      <c r="C127" s="680">
        <v>44.99</v>
      </c>
      <c r="D127" s="22">
        <v>38.131244033091676</v>
      </c>
      <c r="E127" s="677"/>
      <c r="F127" s="621">
        <v>20.471140660151267</v>
      </c>
      <c r="G127" s="621">
        <v>23.585410304780751</v>
      </c>
      <c r="H127" s="678"/>
      <c r="I127" s="22">
        <v>164.28</v>
      </c>
      <c r="J127" s="22">
        <v>142.58810612965982</v>
      </c>
      <c r="K127" s="630"/>
    </row>
    <row r="128" spans="1:20">
      <c r="A128" s="679" t="s">
        <v>735</v>
      </c>
      <c r="B128" s="621"/>
      <c r="C128" s="680">
        <v>42.43</v>
      </c>
      <c r="D128" s="22">
        <v>37.185362350284834</v>
      </c>
      <c r="E128" s="677"/>
      <c r="F128" s="621">
        <v>21.724799661819446</v>
      </c>
      <c r="G128" s="621">
        <v>25.04082044957498</v>
      </c>
      <c r="H128" s="678"/>
      <c r="I128" s="22">
        <v>154.79999999999998</v>
      </c>
      <c r="J128" s="22">
        <v>134.30067095532129</v>
      </c>
      <c r="K128" s="630"/>
    </row>
    <row r="129" spans="1:12">
      <c r="A129" s="679" t="s">
        <v>736</v>
      </c>
      <c r="B129" s="621"/>
      <c r="C129" s="680">
        <v>40.07</v>
      </c>
      <c r="D129" s="22">
        <v>35.852519422614336</v>
      </c>
      <c r="E129" s="677"/>
      <c r="F129" s="621">
        <v>23.287853941206635</v>
      </c>
      <c r="G129" s="621">
        <v>26.926906791476842</v>
      </c>
      <c r="H129" s="678"/>
      <c r="I129" s="22">
        <v>144.41</v>
      </c>
      <c r="J129" s="22">
        <v>124.89362457013215</v>
      </c>
      <c r="K129" s="630"/>
    </row>
    <row r="130" spans="1:12">
      <c r="A130" s="679" t="s">
        <v>737</v>
      </c>
      <c r="B130" s="621"/>
      <c r="C130" s="680">
        <v>36.79</v>
      </c>
      <c r="D130" s="22">
        <v>31.418980323668965</v>
      </c>
      <c r="E130" s="677"/>
      <c r="F130" s="621">
        <v>25.646297473115613</v>
      </c>
      <c r="G130" s="621">
        <v>31.467803977582047</v>
      </c>
      <c r="H130" s="678"/>
      <c r="I130" s="22">
        <v>131.13</v>
      </c>
      <c r="J130" s="22">
        <v>106.87110514751781</v>
      </c>
      <c r="K130" s="630"/>
    </row>
    <row r="131" spans="1:12">
      <c r="A131" s="679" t="s">
        <v>738</v>
      </c>
      <c r="B131" s="621"/>
      <c r="C131" s="680">
        <v>35.51</v>
      </c>
      <c r="D131" s="22">
        <v>29.843808858753164</v>
      </c>
      <c r="E131" s="677"/>
      <c r="F131" s="621">
        <v>29.541452807885189</v>
      </c>
      <c r="G131" s="621">
        <v>38.508154867786693</v>
      </c>
      <c r="H131" s="678"/>
      <c r="I131" s="22">
        <v>113.84</v>
      </c>
      <c r="J131" s="22">
        <v>87.332124823848844</v>
      </c>
      <c r="K131" s="630"/>
    </row>
    <row r="132" spans="1:12">
      <c r="A132" s="679" t="s">
        <v>739</v>
      </c>
      <c r="B132" s="621">
        <v>3362.9989876496502</v>
      </c>
      <c r="C132" s="680">
        <v>32.04</v>
      </c>
      <c r="D132" s="22">
        <v>27.778315965095686</v>
      </c>
      <c r="E132" s="12"/>
      <c r="F132" s="621">
        <v>28.618832334691945</v>
      </c>
      <c r="G132" s="621">
        <v>36.15415902510626</v>
      </c>
      <c r="H132" s="678"/>
      <c r="I132" s="22">
        <v>117.50999999999999</v>
      </c>
      <c r="J132" s="22">
        <v>93.018315965095695</v>
      </c>
      <c r="K132" s="630"/>
    </row>
    <row r="133" spans="1:12">
      <c r="A133" s="679" t="s">
        <v>740</v>
      </c>
      <c r="B133" s="621">
        <v>3100.2851286595301</v>
      </c>
      <c r="C133" s="680">
        <v>26.79</v>
      </c>
      <c r="D133" s="22">
        <v>17.829999999999998</v>
      </c>
      <c r="E133" s="677"/>
      <c r="F133" s="621">
        <v>26.843861651098742</v>
      </c>
      <c r="G133" s="621">
        <v>33.890950192982459</v>
      </c>
      <c r="H133" s="678"/>
      <c r="I133" s="22">
        <v>125.28</v>
      </c>
      <c r="J133" s="22">
        <v>99.230000000000018</v>
      </c>
      <c r="K133" s="630"/>
    </row>
    <row r="134" spans="1:12">
      <c r="A134" s="679"/>
      <c r="B134" s="621"/>
      <c r="C134" s="680"/>
      <c r="D134" s="680"/>
      <c r="E134" s="677"/>
      <c r="F134" s="621">
        <v>24.746848089555634</v>
      </c>
      <c r="G134" s="621">
        <v>31.24342566420971</v>
      </c>
      <c r="H134" s="3" t="s">
        <v>741</v>
      </c>
      <c r="I134" s="22"/>
      <c r="J134" s="22"/>
      <c r="K134" s="597"/>
      <c r="L134" s="621"/>
    </row>
    <row r="135" spans="1:12" ht="12.75" customHeight="1">
      <c r="A135" s="571" t="s">
        <v>742</v>
      </c>
      <c r="B135" s="621"/>
      <c r="C135" s="680"/>
      <c r="D135" s="680"/>
      <c r="E135" s="677"/>
      <c r="F135" s="621"/>
      <c r="G135" s="621"/>
      <c r="H135" s="678"/>
      <c r="I135" s="22"/>
      <c r="J135" s="22"/>
      <c r="K135" s="597"/>
      <c r="L135" s="621"/>
    </row>
    <row r="136" spans="1:12" ht="12.75" customHeight="1">
      <c r="A136" s="679" t="s">
        <v>743</v>
      </c>
      <c r="B136" s="621">
        <v>2584.5907599343</v>
      </c>
      <c r="C136" s="680">
        <v>19.5</v>
      </c>
      <c r="D136" s="680">
        <v>11.88</v>
      </c>
      <c r="E136" s="677"/>
      <c r="F136" s="621">
        <v>18.643805525025609</v>
      </c>
      <c r="G136" s="681">
        <v>22.217749161302326</v>
      </c>
      <c r="H136" s="678"/>
      <c r="I136" s="22">
        <v>138.63</v>
      </c>
      <c r="J136" s="22">
        <v>116.33000000000001</v>
      </c>
      <c r="K136" s="597"/>
      <c r="L136" s="621"/>
    </row>
    <row r="137" spans="1:12" ht="12.75" customHeight="1">
      <c r="A137" s="679" t="s">
        <v>744</v>
      </c>
      <c r="B137" s="621">
        <v>3230.7819500904302</v>
      </c>
      <c r="C137" s="680">
        <v>39.18</v>
      </c>
      <c r="D137" s="680">
        <v>35.53</v>
      </c>
      <c r="E137" s="677"/>
      <c r="F137" s="621">
        <v>20.56251241147168</v>
      </c>
      <c r="G137" s="681">
        <v>23.164708898619271</v>
      </c>
      <c r="H137" s="678"/>
      <c r="I137" s="22">
        <v>157.12</v>
      </c>
      <c r="J137" s="22">
        <v>139.47000000000003</v>
      </c>
      <c r="K137" s="597"/>
      <c r="L137" s="621"/>
    </row>
    <row r="138" spans="1:12">
      <c r="A138" s="679" t="s">
        <v>745</v>
      </c>
      <c r="B138" s="621">
        <v>2976.73727174433</v>
      </c>
      <c r="C138" s="680">
        <v>39.81</v>
      </c>
      <c r="D138" s="22">
        <v>33.99</v>
      </c>
      <c r="E138" s="677"/>
      <c r="F138" s="621">
        <v>19.459614772467347</v>
      </c>
      <c r="G138" s="681">
        <v>22.398324091379457</v>
      </c>
      <c r="H138" s="678"/>
      <c r="I138" s="22">
        <v>152.97</v>
      </c>
      <c r="J138" s="22">
        <v>132.9</v>
      </c>
      <c r="K138" s="597"/>
      <c r="L138" s="621"/>
    </row>
    <row r="139" spans="1:12" ht="12.75" customHeight="1">
      <c r="A139" s="618" t="s">
        <v>746</v>
      </c>
      <c r="B139" s="621">
        <v>2941.76</v>
      </c>
      <c r="C139" s="680">
        <v>40.14</v>
      </c>
      <c r="D139" s="680">
        <v>34.93</v>
      </c>
      <c r="E139" s="677"/>
      <c r="F139" s="621">
        <v>19.035589491393818</v>
      </c>
      <c r="G139" s="681">
        <v>21.747320174465887</v>
      </c>
      <c r="H139" s="678"/>
      <c r="I139" s="22">
        <v>154.54</v>
      </c>
      <c r="J139" s="22">
        <v>135.26999999999998</v>
      </c>
      <c r="K139" s="597"/>
      <c r="L139" s="621"/>
    </row>
    <row r="140" spans="1:12">
      <c r="A140" s="679" t="s">
        <v>747</v>
      </c>
      <c r="B140" s="621">
        <v>2834.4</v>
      </c>
      <c r="C140" s="680">
        <v>37.99</v>
      </c>
      <c r="D140" s="22">
        <v>35.020000000000003</v>
      </c>
      <c r="E140" s="677"/>
      <c r="F140" s="621">
        <v>18.519438092126755</v>
      </c>
      <c r="G140" s="681">
        <v>21.090854974328451</v>
      </c>
      <c r="H140" s="678"/>
      <c r="I140" s="22">
        <v>153.05000000000001</v>
      </c>
      <c r="J140" s="22">
        <v>134.38999999999999</v>
      </c>
      <c r="K140" s="597"/>
      <c r="L140" s="597"/>
    </row>
    <row r="141" spans="1:12">
      <c r="A141" s="679" t="s">
        <v>748</v>
      </c>
      <c r="B141" s="621">
        <v>2506.85</v>
      </c>
      <c r="C141" s="680">
        <v>35.03</v>
      </c>
      <c r="D141" s="680">
        <v>28.96</v>
      </c>
      <c r="E141" s="677"/>
      <c r="F141" s="621">
        <v>16.535949868073878</v>
      </c>
      <c r="G141" s="681">
        <v>18.935342548530858</v>
      </c>
      <c r="H141" s="678"/>
      <c r="I141" s="22">
        <v>151.6</v>
      </c>
      <c r="J141" s="22">
        <v>132.38999999999999</v>
      </c>
      <c r="K141" s="597"/>
      <c r="L141" s="597"/>
    </row>
    <row r="142" spans="1:12" ht="12.75" customHeight="1">
      <c r="A142" s="679" t="s">
        <v>749</v>
      </c>
      <c r="B142" s="621">
        <v>2913.97813988603</v>
      </c>
      <c r="C142" s="680">
        <v>41.38</v>
      </c>
      <c r="D142" s="680">
        <v>36.36</v>
      </c>
      <c r="E142" s="677"/>
      <c r="F142" s="621">
        <v>19.372278552626181</v>
      </c>
      <c r="G142" s="681">
        <v>22.348171944827286</v>
      </c>
      <c r="H142" s="678"/>
      <c r="I142" s="22">
        <v>150.41999999999999</v>
      </c>
      <c r="J142" s="22">
        <v>130.39000000000001</v>
      </c>
      <c r="K142" s="597"/>
      <c r="L142" s="597"/>
    </row>
    <row r="143" spans="1:12">
      <c r="A143" s="679" t="s">
        <v>750</v>
      </c>
      <c r="B143" s="621">
        <v>2718.37</v>
      </c>
      <c r="C143" s="680">
        <v>38.65</v>
      </c>
      <c r="D143" s="680">
        <v>34.049999999999997</v>
      </c>
      <c r="E143" s="677"/>
      <c r="F143" s="621">
        <v>19.365747666880385</v>
      </c>
      <c r="G143" s="681">
        <v>22.194399085564989</v>
      </c>
      <c r="H143" s="678"/>
      <c r="I143" s="22">
        <v>140.37</v>
      </c>
      <c r="J143" s="22">
        <v>122.48</v>
      </c>
      <c r="K143" s="597"/>
      <c r="L143" s="597"/>
    </row>
    <row r="144" spans="1:12">
      <c r="A144" s="679" t="s">
        <v>751</v>
      </c>
      <c r="B144" s="621">
        <v>2640.8659903292901</v>
      </c>
      <c r="C144" s="680">
        <v>36.54</v>
      </c>
      <c r="D144" s="680">
        <v>33.020000000000003</v>
      </c>
      <c r="E144" s="677"/>
      <c r="F144" s="621">
        <v>19.971761251828557</v>
      </c>
      <c r="G144" s="681">
        <v>22.876524517751992</v>
      </c>
      <c r="H144" s="678"/>
      <c r="I144" s="22">
        <v>132.22999999999999</v>
      </c>
      <c r="J144" s="22">
        <v>115.44000000000001</v>
      </c>
      <c r="K144" s="597"/>
      <c r="L144" s="597"/>
    </row>
    <row r="145" spans="1:16">
      <c r="A145" s="682">
        <v>43100</v>
      </c>
      <c r="B145" s="683">
        <v>2673.6105231517399</v>
      </c>
      <c r="C145" s="684">
        <v>33.85</v>
      </c>
      <c r="D145" s="684">
        <v>26.96</v>
      </c>
      <c r="E145" s="677"/>
      <c r="F145" s="621">
        <v>21.473058574827238</v>
      </c>
      <c r="G145" s="681">
        <v>24.332094313357665</v>
      </c>
      <c r="I145" s="22">
        <v>124.51000000000002</v>
      </c>
      <c r="J145" s="22">
        <v>109.88</v>
      </c>
      <c r="K145" s="597"/>
      <c r="L145" s="597"/>
    </row>
    <row r="146" spans="1:16">
      <c r="A146" s="682">
        <v>43008</v>
      </c>
      <c r="B146" s="683">
        <v>2519.3596719060702</v>
      </c>
      <c r="C146" s="684">
        <v>31.33</v>
      </c>
      <c r="D146" s="684">
        <v>28.45</v>
      </c>
      <c r="E146" s="677"/>
      <c r="F146" s="621">
        <v>21.249659850759702</v>
      </c>
      <c r="G146" s="681">
        <v>23.527826596059676</v>
      </c>
      <c r="I146" s="22">
        <v>118.56</v>
      </c>
      <c r="J146" s="22">
        <v>107.08</v>
      </c>
      <c r="K146" s="597"/>
      <c r="L146" s="597"/>
    </row>
    <row r="147" spans="1:16">
      <c r="A147" s="682">
        <v>42916</v>
      </c>
      <c r="B147" s="621">
        <v>2423.4088910629698</v>
      </c>
      <c r="C147" s="22">
        <v>30.51</v>
      </c>
      <c r="D147" s="22">
        <v>27.01</v>
      </c>
      <c r="E147" s="677"/>
      <c r="F147" s="621">
        <v>20.905873801440389</v>
      </c>
      <c r="G147" s="681">
        <v>23.297528274014322</v>
      </c>
      <c r="H147" s="678"/>
      <c r="I147" s="22">
        <v>115.91999999999999</v>
      </c>
      <c r="J147" s="22">
        <v>104.02</v>
      </c>
      <c r="K147" s="597"/>
      <c r="L147" s="597"/>
    </row>
    <row r="148" spans="1:16">
      <c r="A148" s="682">
        <v>42825</v>
      </c>
      <c r="B148" s="621">
        <v>2362.7182203972902</v>
      </c>
      <c r="C148" s="22">
        <v>28.82</v>
      </c>
      <c r="D148" s="22">
        <v>27.46</v>
      </c>
      <c r="E148" s="677"/>
      <c r="F148" s="621">
        <v>21.264676630341917</v>
      </c>
      <c r="G148" s="681">
        <v>23.558861505606643</v>
      </c>
      <c r="H148" s="678"/>
      <c r="I148" s="22">
        <v>111.11</v>
      </c>
      <c r="J148" s="22">
        <v>100.29</v>
      </c>
      <c r="K148" s="597"/>
      <c r="L148" s="597"/>
    </row>
    <row r="149" spans="1:16">
      <c r="A149" s="682">
        <v>42735</v>
      </c>
      <c r="B149" s="621">
        <v>2238.83</v>
      </c>
      <c r="C149" s="685">
        <v>27.9</v>
      </c>
      <c r="D149" s="686">
        <v>24.16</v>
      </c>
      <c r="E149" s="677"/>
      <c r="F149" s="621">
        <v>21.069358178053829</v>
      </c>
      <c r="G149" s="681">
        <v>23.678794288736118</v>
      </c>
      <c r="H149" s="678"/>
      <c r="I149" s="22">
        <v>106.26</v>
      </c>
      <c r="J149" s="22">
        <v>94.55</v>
      </c>
      <c r="K149" s="597"/>
      <c r="L149" s="597"/>
      <c r="M149" s="618"/>
    </row>
    <row r="150" spans="1:16">
      <c r="A150" s="682">
        <v>42643</v>
      </c>
      <c r="B150" s="621">
        <v>2168.2720896372798</v>
      </c>
      <c r="C150" s="685">
        <v>28.69</v>
      </c>
      <c r="D150" s="686">
        <v>25.39</v>
      </c>
      <c r="E150" s="12"/>
      <c r="F150" s="621">
        <v>21.379137148859002</v>
      </c>
      <c r="G150" s="681">
        <v>24.33799629180918</v>
      </c>
      <c r="H150" s="687"/>
      <c r="I150" s="22">
        <v>101.42</v>
      </c>
      <c r="J150" s="22">
        <v>89.09</v>
      </c>
      <c r="K150" s="597"/>
      <c r="L150" s="597"/>
      <c r="M150" s="618"/>
      <c r="N150" s="618"/>
      <c r="O150" s="618"/>
      <c r="P150" s="618"/>
    </row>
    <row r="151" spans="1:16" s="618" customFormat="1">
      <c r="A151" s="682">
        <v>42551</v>
      </c>
      <c r="B151" s="621">
        <v>2098.8552265056101</v>
      </c>
      <c r="C151" s="685">
        <v>25.7</v>
      </c>
      <c r="D151" s="686">
        <v>23.28</v>
      </c>
      <c r="E151" s="12"/>
      <c r="F151" s="621">
        <v>21.379802653617297</v>
      </c>
      <c r="G151" s="681">
        <v>24.146976835085251</v>
      </c>
      <c r="H151" s="687"/>
      <c r="I151" s="22">
        <v>98.17</v>
      </c>
      <c r="J151" s="22">
        <v>86.92</v>
      </c>
      <c r="K151" s="597"/>
      <c r="L151" s="597"/>
      <c r="M151"/>
    </row>
    <row r="152" spans="1:16" s="3" customFormat="1">
      <c r="A152" s="682">
        <v>42460</v>
      </c>
      <c r="B152" s="683">
        <v>2059.7411766011501</v>
      </c>
      <c r="C152" s="684">
        <v>23.97</v>
      </c>
      <c r="D152" s="684">
        <v>21.72</v>
      </c>
      <c r="E152" s="12"/>
      <c r="F152" s="621">
        <v>20.8877515120287</v>
      </c>
      <c r="G152" s="681">
        <v>23.828565208250232</v>
      </c>
      <c r="H152" s="687"/>
      <c r="I152" s="22">
        <v>98.61</v>
      </c>
      <c r="J152" s="22">
        <v>86.44</v>
      </c>
      <c r="K152" s="597"/>
      <c r="L152" s="597"/>
    </row>
    <row r="153" spans="1:16">
      <c r="A153" s="682">
        <v>42369</v>
      </c>
      <c r="B153" s="621">
        <v>2043.94</v>
      </c>
      <c r="C153" s="685">
        <v>23.06</v>
      </c>
      <c r="D153" s="686">
        <v>18.7</v>
      </c>
      <c r="E153" s="12"/>
      <c r="F153" s="621">
        <v>20.347834743653561</v>
      </c>
      <c r="G153" s="681">
        <v>23.62117184791402</v>
      </c>
      <c r="H153" s="678"/>
      <c r="I153" s="22">
        <v>100.45</v>
      </c>
      <c r="J153" s="22">
        <v>86.53</v>
      </c>
      <c r="K153" s="597"/>
      <c r="L153" s="597"/>
    </row>
    <row r="154" spans="1:16">
      <c r="A154" s="682">
        <v>42277</v>
      </c>
      <c r="B154" s="621">
        <v>1920.0265516397001</v>
      </c>
      <c r="C154" s="685">
        <v>25.44</v>
      </c>
      <c r="D154" s="686">
        <v>23.22</v>
      </c>
      <c r="E154" s="12"/>
      <c r="F154" s="621">
        <v>18.436974761280009</v>
      </c>
      <c r="G154" s="681">
        <v>21.17832066666336</v>
      </c>
      <c r="H154" s="678"/>
      <c r="I154" s="22">
        <v>104.14</v>
      </c>
      <c r="J154" s="22">
        <v>90.66</v>
      </c>
      <c r="K154" s="597"/>
      <c r="L154" s="597"/>
    </row>
    <row r="155" spans="1:16" s="618" customFormat="1">
      <c r="A155" s="682">
        <v>42185</v>
      </c>
      <c r="B155" s="621">
        <v>2063.1118322236698</v>
      </c>
      <c r="C155" s="685">
        <v>26.14</v>
      </c>
      <c r="D155" s="686">
        <v>22.8</v>
      </c>
      <c r="E155" s="12"/>
      <c r="F155" s="621">
        <v>19.049970749987715</v>
      </c>
      <c r="G155" s="681">
        <v>21.737560133006742</v>
      </c>
      <c r="H155" s="678"/>
      <c r="I155" s="22">
        <v>108.30000000000001</v>
      </c>
      <c r="J155" s="22">
        <v>94.91</v>
      </c>
      <c r="K155" s="597"/>
      <c r="L155" s="597"/>
    </row>
    <row r="156" spans="1:16">
      <c r="A156" s="682">
        <v>42094</v>
      </c>
      <c r="B156" s="621">
        <v>2067.88724075851</v>
      </c>
      <c r="C156" s="685">
        <v>25.81</v>
      </c>
      <c r="D156" s="686">
        <v>21.81</v>
      </c>
      <c r="E156" s="12"/>
      <c r="F156" s="621">
        <v>18.54607390814807</v>
      </c>
      <c r="G156" s="681">
        <v>20.835135927037882</v>
      </c>
      <c r="H156" s="678"/>
      <c r="I156" s="22">
        <v>111.5</v>
      </c>
      <c r="J156" s="22">
        <v>99.25</v>
      </c>
      <c r="K156" s="597"/>
      <c r="L156" s="597"/>
    </row>
    <row r="157" spans="1:16">
      <c r="A157" s="682">
        <v>42004</v>
      </c>
      <c r="B157" s="683">
        <v>2058.9023788568802</v>
      </c>
      <c r="C157" s="684">
        <v>26.75</v>
      </c>
      <c r="D157" s="684">
        <v>22.83</v>
      </c>
      <c r="E157" s="12"/>
      <c r="F157" s="621">
        <v>18.218762754241929</v>
      </c>
      <c r="G157" s="681">
        <v>20.12415578982387</v>
      </c>
      <c r="H157" s="678"/>
      <c r="I157" s="22">
        <v>113.00999999999999</v>
      </c>
      <c r="J157" s="22">
        <v>102.31</v>
      </c>
      <c r="K157" s="597"/>
      <c r="L157" s="597"/>
    </row>
    <row r="158" spans="1:16">
      <c r="A158" s="682">
        <v>41912</v>
      </c>
      <c r="B158" s="621">
        <v>1972.28514504996</v>
      </c>
      <c r="C158" s="685">
        <v>29.6</v>
      </c>
      <c r="D158" s="680">
        <v>27.47</v>
      </c>
      <c r="E158" s="12"/>
      <c r="F158" s="621">
        <v>17.223693520652869</v>
      </c>
      <c r="G158" s="681">
        <v>18.613487590127971</v>
      </c>
      <c r="H158" s="678"/>
      <c r="I158" s="22">
        <v>114.50999999999999</v>
      </c>
      <c r="J158" s="22">
        <v>105.96000000000001</v>
      </c>
      <c r="K158" s="597"/>
      <c r="L158" s="597"/>
    </row>
    <row r="159" spans="1:16">
      <c r="A159" s="682">
        <v>41820</v>
      </c>
      <c r="B159" s="621">
        <v>1960.23124036383</v>
      </c>
      <c r="C159" s="685">
        <v>29.34</v>
      </c>
      <c r="D159" s="680">
        <v>27.14</v>
      </c>
      <c r="E159" s="12"/>
      <c r="F159" s="621">
        <v>17.528670664077886</v>
      </c>
      <c r="G159" s="681">
        <v>19.009224596235743</v>
      </c>
      <c r="H159" s="678"/>
      <c r="I159" s="22">
        <v>111.83</v>
      </c>
      <c r="J159" s="22">
        <v>103.12</v>
      </c>
      <c r="K159" s="597"/>
      <c r="L159" s="597"/>
    </row>
    <row r="160" spans="1:16">
      <c r="A160" s="682">
        <v>41729</v>
      </c>
      <c r="B160" s="621">
        <v>1872.33517921728</v>
      </c>
      <c r="C160" s="685">
        <v>27.32</v>
      </c>
      <c r="D160" s="680">
        <v>24.87</v>
      </c>
      <c r="E160" s="12"/>
      <c r="F160" s="621">
        <v>17.201058146231325</v>
      </c>
      <c r="G160" s="681">
        <v>18.5655446625412</v>
      </c>
      <c r="H160" s="678"/>
      <c r="I160" s="22">
        <v>108.85000000000001</v>
      </c>
      <c r="J160" s="22">
        <v>100.85000000000001</v>
      </c>
      <c r="K160" s="597"/>
      <c r="L160" s="597"/>
    </row>
    <row r="161" spans="1:13">
      <c r="A161" s="682">
        <v>41639</v>
      </c>
      <c r="B161" s="621">
        <v>1848.3565209419301</v>
      </c>
      <c r="C161" s="685">
        <v>28.25</v>
      </c>
      <c r="D161" s="22">
        <v>26.48</v>
      </c>
      <c r="E161" s="12"/>
      <c r="F161" s="621">
        <v>17.22606263692386</v>
      </c>
      <c r="G161" s="681">
        <v>18.446671865687925</v>
      </c>
      <c r="I161" s="22">
        <v>107.3</v>
      </c>
      <c r="J161" s="22">
        <v>100.2</v>
      </c>
      <c r="K161" s="597"/>
      <c r="L161" s="597"/>
    </row>
    <row r="162" spans="1:13">
      <c r="A162" s="682">
        <v>41547</v>
      </c>
      <c r="B162" s="683">
        <v>1681.54666211214</v>
      </c>
      <c r="C162" s="684">
        <v>26.92</v>
      </c>
      <c r="D162" s="684">
        <v>24.63</v>
      </c>
      <c r="E162" s="12"/>
      <c r="F162" s="621">
        <v>16.45348984454149</v>
      </c>
      <c r="G162" s="681">
        <v>17.818657010831195</v>
      </c>
      <c r="I162" s="22">
        <v>102.19999999999999</v>
      </c>
      <c r="J162" s="22">
        <v>94.37</v>
      </c>
      <c r="K162" s="597"/>
      <c r="L162" s="597"/>
    </row>
    <row r="163" spans="1:13">
      <c r="A163" s="682">
        <v>41455</v>
      </c>
      <c r="B163" s="621">
        <v>1606.27760773726</v>
      </c>
      <c r="C163" s="685">
        <v>26.36</v>
      </c>
      <c r="D163" s="22">
        <v>24.87</v>
      </c>
      <c r="E163" s="12"/>
      <c r="F163" s="621">
        <v>16.179266798320509</v>
      </c>
      <c r="G163" s="681">
        <v>17.661106187325561</v>
      </c>
      <c r="I163" s="22">
        <v>99.28</v>
      </c>
      <c r="J163" s="22">
        <v>90.950000000000017</v>
      </c>
      <c r="K163" s="597"/>
      <c r="L163" s="597"/>
    </row>
    <row r="164" spans="1:13">
      <c r="A164" s="682">
        <v>41364</v>
      </c>
      <c r="B164" s="621">
        <v>1569.18587246845</v>
      </c>
      <c r="C164" s="685">
        <v>25.77</v>
      </c>
      <c r="D164" s="412">
        <v>24.22</v>
      </c>
      <c r="E164" s="12"/>
      <c r="F164" s="621">
        <v>15.95511817456482</v>
      </c>
      <c r="G164" s="681">
        <v>17.892655330312998</v>
      </c>
      <c r="H164" s="678"/>
      <c r="I164" s="22">
        <v>98.35</v>
      </c>
      <c r="J164" s="22">
        <v>87.7</v>
      </c>
      <c r="K164" s="597"/>
      <c r="L164" s="597"/>
    </row>
    <row r="165" spans="1:13">
      <c r="A165" s="682">
        <v>41274</v>
      </c>
      <c r="B165" s="621">
        <v>1426.18797808055</v>
      </c>
      <c r="C165" s="685">
        <v>23.15</v>
      </c>
      <c r="D165" s="688">
        <v>20.65</v>
      </c>
      <c r="E165" s="12"/>
      <c r="F165" s="621">
        <v>14.730303429875544</v>
      </c>
      <c r="G165" s="681">
        <v>16.485816415218473</v>
      </c>
      <c r="H165" s="689"/>
      <c r="I165" s="22">
        <v>96.82</v>
      </c>
      <c r="J165" s="22">
        <v>86.51</v>
      </c>
      <c r="K165" s="597"/>
      <c r="L165" s="597"/>
    </row>
    <row r="166" spans="1:13">
      <c r="A166" s="682">
        <v>41182</v>
      </c>
      <c r="B166" s="621">
        <v>1440.67</v>
      </c>
      <c r="C166" s="685">
        <v>24</v>
      </c>
      <c r="D166" s="575">
        <v>21.21</v>
      </c>
      <c r="E166" s="12"/>
      <c r="F166" s="621">
        <v>14.791273100616017</v>
      </c>
      <c r="G166" s="681">
        <v>16.655144508670521</v>
      </c>
      <c r="H166" s="689"/>
      <c r="I166" s="22">
        <v>97.4</v>
      </c>
      <c r="J166" s="22">
        <v>86.5</v>
      </c>
      <c r="K166" s="22"/>
    </row>
    <row r="167" spans="1:13">
      <c r="A167" s="682">
        <v>41090</v>
      </c>
      <c r="B167" s="621">
        <v>1362.1587454406599</v>
      </c>
      <c r="C167" s="685">
        <v>25.43</v>
      </c>
      <c r="D167" s="575">
        <v>21.62</v>
      </c>
      <c r="E167" s="12"/>
      <c r="F167" s="621">
        <v>13.802398879731076</v>
      </c>
      <c r="G167" s="681">
        <v>15.493161344866468</v>
      </c>
      <c r="H167" s="689"/>
      <c r="I167" s="22">
        <v>98.69</v>
      </c>
      <c r="J167" s="22">
        <v>87.92</v>
      </c>
      <c r="K167" s="22"/>
    </row>
    <row r="168" spans="1:13">
      <c r="A168" s="682">
        <v>40999</v>
      </c>
      <c r="B168" s="690">
        <v>1408.46786041941</v>
      </c>
      <c r="C168" s="685">
        <v>24.24</v>
      </c>
      <c r="D168" s="575">
        <v>23.03</v>
      </c>
      <c r="E168" s="12"/>
      <c r="F168" s="621">
        <v>14.354544031995619</v>
      </c>
      <c r="G168" s="681">
        <v>15.907701156758643</v>
      </c>
      <c r="H168" s="689"/>
      <c r="I168" s="22">
        <v>98.11999999999999</v>
      </c>
      <c r="J168" s="22">
        <v>88.539999999999992</v>
      </c>
      <c r="K168" s="22"/>
    </row>
    <row r="169" spans="1:13">
      <c r="A169" s="682">
        <v>40908</v>
      </c>
      <c r="B169" s="670">
        <v>1257.60480453436</v>
      </c>
      <c r="C169" s="685">
        <v>23.73</v>
      </c>
      <c r="D169" s="685">
        <v>20.64</v>
      </c>
      <c r="E169" s="12"/>
      <c r="F169" s="621">
        <v>13.040282087664455</v>
      </c>
      <c r="G169" s="681">
        <v>14.463540017646466</v>
      </c>
      <c r="I169" s="22">
        <v>96.44</v>
      </c>
      <c r="J169" s="22">
        <v>86.949999999999989</v>
      </c>
      <c r="K169" s="22"/>
    </row>
    <row r="170" spans="1:13">
      <c r="A170" s="682">
        <v>40816</v>
      </c>
      <c r="B170" s="670">
        <v>1131.42036008329</v>
      </c>
      <c r="C170" s="685">
        <v>25.29</v>
      </c>
      <c r="D170" s="685">
        <v>22.63</v>
      </c>
      <c r="E170" s="12"/>
      <c r="F170" s="621">
        <v>11.954991125140429</v>
      </c>
      <c r="G170" s="681">
        <v>13.007822029010002</v>
      </c>
      <c r="H170" s="691"/>
      <c r="I170" s="22">
        <v>94.639999999999986</v>
      </c>
      <c r="J170" s="22">
        <v>86.98</v>
      </c>
      <c r="K170" s="22"/>
    </row>
    <row r="171" spans="1:13">
      <c r="A171" s="682">
        <v>40724</v>
      </c>
      <c r="B171" s="670">
        <v>1320.63904926284</v>
      </c>
      <c r="C171" s="685">
        <v>24.86</v>
      </c>
      <c r="D171" s="685">
        <v>22.24</v>
      </c>
      <c r="E171" s="12"/>
      <c r="F171" s="621">
        <v>14.526884273048511</v>
      </c>
      <c r="G171" s="681">
        <v>15.74626265962609</v>
      </c>
      <c r="H171" s="691"/>
      <c r="I171" s="22">
        <v>90.91</v>
      </c>
      <c r="J171" s="22">
        <v>83.86999999999999</v>
      </c>
      <c r="K171" s="22"/>
    </row>
    <row r="172" spans="1:13">
      <c r="A172" s="682">
        <v>40633</v>
      </c>
      <c r="B172" s="690">
        <v>1325.82671751112</v>
      </c>
      <c r="C172" s="692">
        <v>22.56</v>
      </c>
      <c r="D172" s="685">
        <v>21.44</v>
      </c>
      <c r="E172" s="12"/>
      <c r="F172" s="621">
        <v>15.248150862692585</v>
      </c>
      <c r="G172" s="681">
        <v>16.305826067041199</v>
      </c>
      <c r="H172" s="691"/>
      <c r="I172" s="22">
        <v>86.949999999999989</v>
      </c>
      <c r="J172" s="22">
        <v>81.31</v>
      </c>
      <c r="K172" s="22"/>
    </row>
    <row r="173" spans="1:13" ht="12" customHeight="1">
      <c r="A173" s="682">
        <v>40543</v>
      </c>
      <c r="B173" s="683">
        <v>1257.63598797798</v>
      </c>
      <c r="C173" s="684">
        <v>21.93</v>
      </c>
      <c r="D173" s="693">
        <v>20.67</v>
      </c>
      <c r="E173" s="12"/>
      <c r="F173" s="621">
        <v>15.012963924769968</v>
      </c>
      <c r="G173" s="681">
        <v>16.259030225959666</v>
      </c>
      <c r="I173" s="22">
        <v>83.769999999999982</v>
      </c>
      <c r="J173" s="22">
        <v>77.349999999999994</v>
      </c>
      <c r="K173" s="22"/>
    </row>
    <row r="174" spans="1:13">
      <c r="A174" s="682">
        <v>40451</v>
      </c>
      <c r="B174" s="683">
        <v>1141.20115690593</v>
      </c>
      <c r="C174" s="684">
        <v>21.56</v>
      </c>
      <c r="D174" s="693">
        <v>19.52</v>
      </c>
      <c r="E174" s="12"/>
      <c r="F174" s="621">
        <v>14.445584264632028</v>
      </c>
      <c r="G174" s="681">
        <v>15.880895587335511</v>
      </c>
      <c r="I174" s="22">
        <v>78.999999999999986</v>
      </c>
      <c r="J174" s="22">
        <v>71.860000000000014</v>
      </c>
      <c r="K174" s="22"/>
    </row>
    <row r="175" spans="1:13">
      <c r="A175" s="682">
        <v>40359</v>
      </c>
      <c r="B175" s="694">
        <v>1030.71008330308</v>
      </c>
      <c r="C175" s="687">
        <v>20.9</v>
      </c>
      <c r="D175" s="687">
        <v>19.68</v>
      </c>
      <c r="E175" s="12"/>
      <c r="F175" s="621">
        <v>14.076892697392516</v>
      </c>
      <c r="G175" s="681">
        <v>15.360806010478093</v>
      </c>
      <c r="H175" s="695"/>
      <c r="I175" s="22">
        <v>73.22</v>
      </c>
      <c r="J175" s="22">
        <v>67.099999999999994</v>
      </c>
      <c r="K175" s="22"/>
    </row>
    <row r="176" spans="1:13">
      <c r="A176" s="682">
        <v>40268</v>
      </c>
      <c r="B176" s="669">
        <v>1169.43119269817</v>
      </c>
      <c r="C176" s="687">
        <v>19.38</v>
      </c>
      <c r="D176" s="688">
        <v>17.48</v>
      </c>
      <c r="E176" s="12"/>
      <c r="F176" s="621">
        <v>17.68382266290897</v>
      </c>
      <c r="G176" s="681">
        <v>19.193027945152963</v>
      </c>
      <c r="H176" s="695"/>
      <c r="I176" s="22">
        <v>66.13</v>
      </c>
      <c r="J176" s="22">
        <v>60.929999999999993</v>
      </c>
      <c r="K176" s="22"/>
      <c r="L176" s="618"/>
      <c r="M176" s="618"/>
    </row>
    <row r="177" spans="1:16">
      <c r="A177" s="682">
        <v>40178</v>
      </c>
      <c r="B177" s="696">
        <v>1115.0999999999999</v>
      </c>
      <c r="C177" s="687">
        <v>17.16</v>
      </c>
      <c r="D177" s="687">
        <v>15.18</v>
      </c>
      <c r="E177" s="12"/>
      <c r="F177" s="621">
        <v>19.611326064016882</v>
      </c>
      <c r="G177" s="681">
        <v>21.877575044143612</v>
      </c>
      <c r="H177" s="695"/>
      <c r="I177" s="22">
        <v>56.86</v>
      </c>
      <c r="J177" s="22">
        <v>50.97</v>
      </c>
      <c r="K177" s="22"/>
      <c r="N177" s="618"/>
      <c r="O177" s="618"/>
      <c r="P177" s="618"/>
    </row>
    <row r="178" spans="1:16" s="618" customFormat="1">
      <c r="A178" s="682">
        <v>40086</v>
      </c>
      <c r="B178" s="683">
        <v>1057.0786000000001</v>
      </c>
      <c r="C178" s="684">
        <v>15.78</v>
      </c>
      <c r="D178" s="688">
        <v>14.76</v>
      </c>
      <c r="E178" s="12"/>
      <c r="F178" s="621">
        <v>26.687164857359253</v>
      </c>
      <c r="G178" s="681">
        <v>84.296539074960137</v>
      </c>
      <c r="H178"/>
      <c r="I178" s="22">
        <v>39.61</v>
      </c>
      <c r="J178" s="22">
        <v>12.54</v>
      </c>
      <c r="K178" s="22"/>
      <c r="L178"/>
      <c r="M178"/>
      <c r="N178"/>
      <c r="O178"/>
      <c r="P178"/>
    </row>
    <row r="179" spans="1:16">
      <c r="A179" s="682">
        <v>39994</v>
      </c>
      <c r="B179" s="683">
        <v>919.32</v>
      </c>
      <c r="C179" s="684">
        <v>13.81</v>
      </c>
      <c r="D179" s="688">
        <v>13.51</v>
      </c>
      <c r="E179" s="12"/>
      <c r="F179" s="621">
        <v>23.104297562201555</v>
      </c>
      <c r="G179" s="681">
        <v>122.41278295605856</v>
      </c>
      <c r="I179" s="22">
        <v>39.790000000000006</v>
      </c>
      <c r="J179" s="22">
        <v>7.5100000000000016</v>
      </c>
      <c r="K179" s="22"/>
      <c r="L179" s="618"/>
      <c r="M179" s="618"/>
    </row>
    <row r="180" spans="1:16">
      <c r="A180" s="682">
        <v>39903</v>
      </c>
      <c r="B180" s="697">
        <v>797.86699999999996</v>
      </c>
      <c r="C180" s="687">
        <v>10.11</v>
      </c>
      <c r="D180" s="688">
        <v>7.52</v>
      </c>
      <c r="E180" s="12"/>
      <c r="F180" s="621">
        <v>18.555046511627907</v>
      </c>
      <c r="G180" s="681">
        <v>116.30714285714286</v>
      </c>
      <c r="I180" s="22">
        <v>43</v>
      </c>
      <c r="J180" s="22">
        <v>6.8599999999999994</v>
      </c>
      <c r="K180" s="22"/>
      <c r="L180" s="618"/>
      <c r="M180" s="618"/>
      <c r="N180" s="618"/>
      <c r="O180" s="618"/>
      <c r="P180" s="618"/>
    </row>
    <row r="181" spans="1:16" s="618" customFormat="1">
      <c r="A181" s="682">
        <v>39813</v>
      </c>
      <c r="B181" s="698">
        <v>903.25</v>
      </c>
      <c r="C181" s="687">
        <v>-0.09</v>
      </c>
      <c r="D181" s="688">
        <v>-23.25</v>
      </c>
      <c r="E181" s="12"/>
      <c r="F181" s="621">
        <v>18.243789133508379</v>
      </c>
      <c r="G181" s="681">
        <v>60.70228494623656</v>
      </c>
      <c r="H181"/>
      <c r="I181" s="22">
        <v>49.510000000000005</v>
      </c>
      <c r="J181" s="22">
        <v>14.879999999999999</v>
      </c>
      <c r="K181" s="22"/>
      <c r="L181"/>
      <c r="M181"/>
    </row>
    <row r="182" spans="1:16" s="618" customFormat="1">
      <c r="A182" s="682">
        <v>39721</v>
      </c>
      <c r="B182" s="698">
        <v>1166.361418</v>
      </c>
      <c r="C182" s="699">
        <v>15.96</v>
      </c>
      <c r="D182" s="693">
        <v>9.73</v>
      </c>
      <c r="E182" s="12"/>
      <c r="F182" s="621">
        <v>17.993850941067571</v>
      </c>
      <c r="G182" s="681">
        <v>25.383273514689883</v>
      </c>
      <c r="H182"/>
      <c r="I182" s="22">
        <v>64.820000000000007</v>
      </c>
      <c r="J182" s="22">
        <v>45.949999999999996</v>
      </c>
      <c r="K182" s="22"/>
      <c r="N182"/>
      <c r="O182"/>
      <c r="P182"/>
    </row>
    <row r="183" spans="1:16">
      <c r="A183" s="682">
        <v>39629</v>
      </c>
      <c r="B183" s="669">
        <v>1280.001</v>
      </c>
      <c r="C183" s="699">
        <v>17.02</v>
      </c>
      <c r="D183" s="699">
        <v>12.86</v>
      </c>
      <c r="E183" s="12"/>
      <c r="F183" s="621">
        <v>18.356532339021939</v>
      </c>
      <c r="G183" s="681">
        <v>24.917286353903059</v>
      </c>
      <c r="I183" s="22">
        <v>69.73</v>
      </c>
      <c r="J183" s="22">
        <v>51.37</v>
      </c>
      <c r="K183" s="22"/>
      <c r="N183" s="618"/>
      <c r="O183" s="618"/>
      <c r="P183" s="618"/>
    </row>
    <row r="184" spans="1:16" s="618" customFormat="1">
      <c r="A184" s="682">
        <v>39538</v>
      </c>
      <c r="B184" s="698">
        <v>1322.703</v>
      </c>
      <c r="C184" s="699">
        <v>16.62</v>
      </c>
      <c r="D184" s="699">
        <v>15.54</v>
      </c>
      <c r="E184" s="12"/>
      <c r="F184" s="621">
        <v>17.229425556858146</v>
      </c>
      <c r="G184" s="681">
        <v>21.902412613211197</v>
      </c>
      <c r="H184"/>
      <c r="I184" s="22">
        <v>76.77000000000001</v>
      </c>
      <c r="J184" s="22">
        <v>60.390744314722937</v>
      </c>
      <c r="K184" s="22"/>
      <c r="L184"/>
      <c r="M184"/>
      <c r="N184"/>
      <c r="O184"/>
      <c r="P184"/>
    </row>
    <row r="185" spans="1:16">
      <c r="A185" s="682">
        <v>39447</v>
      </c>
      <c r="B185" s="669">
        <v>1468.3552</v>
      </c>
      <c r="C185" s="687">
        <v>15.22</v>
      </c>
      <c r="D185" s="688">
        <v>7.82</v>
      </c>
      <c r="E185" s="12"/>
      <c r="F185" s="621">
        <v>17.789619578386237</v>
      </c>
      <c r="G185" s="681">
        <v>22.187045721595815</v>
      </c>
      <c r="I185" s="22">
        <v>82.54</v>
      </c>
      <c r="J185" s="22">
        <v>66.180744314722929</v>
      </c>
      <c r="K185" s="22"/>
    </row>
    <row r="186" spans="1:16">
      <c r="A186" s="682">
        <v>39355</v>
      </c>
      <c r="B186" s="700">
        <v>1526.75</v>
      </c>
      <c r="C186" s="687">
        <v>20.87</v>
      </c>
      <c r="D186" s="688">
        <v>15.15</v>
      </c>
      <c r="E186" s="12"/>
      <c r="F186" s="621">
        <v>17.094950173552796</v>
      </c>
      <c r="G186" s="681">
        <v>19.424116314812302</v>
      </c>
      <c r="I186" s="22">
        <v>89.309999999999988</v>
      </c>
      <c r="J186" s="22">
        <v>78.600744314722931</v>
      </c>
      <c r="K186" s="22"/>
      <c r="L186" s="618"/>
      <c r="M186" s="618"/>
    </row>
    <row r="187" spans="1:16">
      <c r="A187" s="682">
        <v>39263</v>
      </c>
      <c r="B187" s="669">
        <v>1503.3486</v>
      </c>
      <c r="C187" s="687">
        <v>24.06</v>
      </c>
      <c r="D187" s="688">
        <v>21.880744314722936</v>
      </c>
      <c r="E187" s="12"/>
      <c r="F187" s="621">
        <v>16.43542800918334</v>
      </c>
      <c r="G187" s="681">
        <v>17.70296070920519</v>
      </c>
      <c r="I187" s="22">
        <v>91.47</v>
      </c>
      <c r="J187" s="22">
        <v>84.920744314722924</v>
      </c>
      <c r="K187" s="22"/>
      <c r="N187" s="618"/>
      <c r="O187" s="618"/>
      <c r="P187" s="618"/>
    </row>
    <row r="188" spans="1:16" s="618" customFormat="1">
      <c r="A188" s="682">
        <v>39172</v>
      </c>
      <c r="B188" s="669">
        <v>1420.86</v>
      </c>
      <c r="C188" s="687">
        <v>22.39</v>
      </c>
      <c r="D188" s="691">
        <v>21.33</v>
      </c>
      <c r="E188" s="12"/>
      <c r="F188" s="621">
        <v>15.900402864816472</v>
      </c>
      <c r="G188" s="681">
        <v>17.087913409500903</v>
      </c>
      <c r="H188"/>
      <c r="I188" s="22">
        <v>89.36</v>
      </c>
      <c r="J188" s="22">
        <v>83.149999999999991</v>
      </c>
      <c r="K188" s="22"/>
      <c r="L188"/>
      <c r="M188"/>
      <c r="N188"/>
      <c r="O188"/>
      <c r="P188"/>
    </row>
    <row r="189" spans="1:16">
      <c r="A189" s="682">
        <v>39082</v>
      </c>
      <c r="B189" s="669">
        <v>1418.3</v>
      </c>
      <c r="C189" s="693">
        <v>21.99</v>
      </c>
      <c r="D189" s="691">
        <v>20.239999999999998</v>
      </c>
      <c r="E189" s="12"/>
      <c r="F189" s="621">
        <v>16.168490652074784</v>
      </c>
      <c r="G189" s="681">
        <v>17.400318979266348</v>
      </c>
      <c r="I189" s="22">
        <v>87.72</v>
      </c>
      <c r="J189" s="22">
        <v>81.509999999999991</v>
      </c>
      <c r="K189" s="22"/>
    </row>
    <row r="190" spans="1:16">
      <c r="A190" s="682">
        <v>38990</v>
      </c>
      <c r="B190" s="669">
        <v>1335.847</v>
      </c>
      <c r="C190" s="693">
        <v>23.03</v>
      </c>
      <c r="D190" s="693">
        <v>21.47</v>
      </c>
      <c r="E190" s="12"/>
      <c r="F190" s="621">
        <v>15.547567504655493</v>
      </c>
      <c r="G190" s="681">
        <v>17.001998218149421</v>
      </c>
      <c r="I190" s="22">
        <v>85.92</v>
      </c>
      <c r="J190" s="22">
        <v>78.569999999999993</v>
      </c>
      <c r="K190" s="22"/>
    </row>
    <row r="191" spans="1:16">
      <c r="A191" s="682">
        <v>38898</v>
      </c>
      <c r="B191" s="669">
        <v>1270.2</v>
      </c>
      <c r="C191" s="693">
        <v>21.95</v>
      </c>
      <c r="D191" s="693">
        <v>20.11</v>
      </c>
      <c r="E191" s="12"/>
      <c r="F191" s="621">
        <v>15.54141686039398</v>
      </c>
      <c r="G191" s="681">
        <v>17.051953282319776</v>
      </c>
      <c r="I191" s="22">
        <v>81.73</v>
      </c>
      <c r="J191" s="22">
        <v>74.489999999999995</v>
      </c>
      <c r="K191" s="22"/>
    </row>
    <row r="192" spans="1:16">
      <c r="A192" s="682">
        <v>38807</v>
      </c>
      <c r="B192" s="669">
        <v>1294.83</v>
      </c>
      <c r="C192" s="693">
        <v>20.75</v>
      </c>
      <c r="D192" s="693">
        <v>19.690000000000001</v>
      </c>
      <c r="E192" s="12"/>
      <c r="F192" s="621">
        <v>16.348863636363635</v>
      </c>
      <c r="G192" s="681">
        <v>17.817944131003163</v>
      </c>
      <c r="I192" s="22">
        <v>79.2</v>
      </c>
      <c r="J192" s="22">
        <v>72.67</v>
      </c>
      <c r="K192" s="22"/>
    </row>
    <row r="193" spans="1:11">
      <c r="A193" s="682">
        <v>38717</v>
      </c>
      <c r="B193" s="669">
        <v>1248.29</v>
      </c>
      <c r="C193" s="693">
        <v>20.190000000000001</v>
      </c>
      <c r="D193" s="693">
        <v>17.3</v>
      </c>
      <c r="E193" s="12"/>
      <c r="F193" s="621">
        <v>16.328188358404184</v>
      </c>
      <c r="G193" s="681">
        <v>17.850564850564851</v>
      </c>
      <c r="I193" s="22">
        <v>76.45</v>
      </c>
      <c r="J193" s="22">
        <v>69.929999999999993</v>
      </c>
      <c r="K193" s="22"/>
    </row>
    <row r="194" spans="1:11">
      <c r="A194" s="682">
        <v>38625</v>
      </c>
      <c r="B194" s="669">
        <v>1228.81</v>
      </c>
      <c r="C194" s="693">
        <v>18.84</v>
      </c>
      <c r="D194" s="693">
        <v>17.39</v>
      </c>
      <c r="E194" s="12"/>
      <c r="F194" s="621">
        <v>16.558550060638726</v>
      </c>
      <c r="G194" s="681">
        <v>18.458915427369686</v>
      </c>
      <c r="I194" s="22">
        <v>74.210000000000008</v>
      </c>
      <c r="J194" s="22">
        <v>66.569999999999993</v>
      </c>
      <c r="K194" s="22"/>
    </row>
    <row r="195" spans="1:11">
      <c r="A195" s="682">
        <v>38533</v>
      </c>
      <c r="B195" s="681">
        <v>1191.33</v>
      </c>
      <c r="C195" s="693">
        <v>19.420000000000002</v>
      </c>
      <c r="D195" s="693">
        <v>18.29</v>
      </c>
      <c r="E195" s="12"/>
      <c r="F195" s="621">
        <v>16.488996539792385</v>
      </c>
      <c r="G195" s="681">
        <v>18.80255681818182</v>
      </c>
      <c r="I195" s="22">
        <v>72.25</v>
      </c>
      <c r="J195" s="22">
        <v>63.359999999999992</v>
      </c>
      <c r="K195" s="22"/>
    </row>
    <row r="196" spans="1:11">
      <c r="A196" s="682">
        <v>38442</v>
      </c>
      <c r="B196" s="681">
        <v>1180.5899999999999</v>
      </c>
      <c r="C196" s="693">
        <v>18</v>
      </c>
      <c r="D196" s="693">
        <v>16.95</v>
      </c>
      <c r="E196" s="12"/>
      <c r="F196" s="621">
        <v>16.911474000859474</v>
      </c>
      <c r="G196" s="681">
        <v>19.572115384615383</v>
      </c>
      <c r="I196" s="22">
        <v>69.81</v>
      </c>
      <c r="J196" s="22">
        <v>60.32</v>
      </c>
      <c r="K196" s="22"/>
    </row>
    <row r="197" spans="1:11">
      <c r="A197" s="682">
        <v>38352</v>
      </c>
      <c r="B197" s="670">
        <v>1211.92</v>
      </c>
      <c r="C197" s="685">
        <v>17.95</v>
      </c>
      <c r="D197" s="685">
        <v>13.94</v>
      </c>
      <c r="E197" s="12"/>
      <c r="F197" s="621">
        <v>17.90661938534279</v>
      </c>
      <c r="G197" s="681">
        <v>20.698889837745519</v>
      </c>
      <c r="H197" s="618"/>
      <c r="I197" s="22">
        <v>67.680000000000007</v>
      </c>
      <c r="J197" s="22">
        <v>58.55</v>
      </c>
      <c r="K197" s="22"/>
    </row>
    <row r="198" spans="1:11">
      <c r="A198" s="682">
        <v>38260</v>
      </c>
      <c r="B198" s="669">
        <v>1114.58</v>
      </c>
      <c r="C198" s="693">
        <v>16.88</v>
      </c>
      <c r="D198" s="693">
        <v>14.18</v>
      </c>
      <c r="E198" s="12"/>
      <c r="F198" s="621">
        <v>17.250889955115305</v>
      </c>
      <c r="G198" s="681">
        <v>19.293404881426348</v>
      </c>
      <c r="I198" s="22">
        <v>64.61</v>
      </c>
      <c r="J198" s="22">
        <v>57.769999999999996</v>
      </c>
      <c r="K198" s="22"/>
    </row>
    <row r="199" spans="1:11">
      <c r="A199" s="682">
        <v>38168</v>
      </c>
      <c r="B199" s="669">
        <v>1140.8399999999999</v>
      </c>
      <c r="C199" s="693">
        <v>16.98</v>
      </c>
      <c r="D199" s="693">
        <v>15.25</v>
      </c>
      <c r="E199" s="12"/>
      <c r="F199" s="621">
        <v>18.359188928226583</v>
      </c>
      <c r="G199" s="681">
        <v>20.317720391807654</v>
      </c>
      <c r="I199" s="22">
        <v>62.14</v>
      </c>
      <c r="J199" s="22">
        <v>56.150000000000006</v>
      </c>
      <c r="K199" s="22"/>
    </row>
    <row r="200" spans="1:11">
      <c r="A200" s="682">
        <v>38077</v>
      </c>
      <c r="B200" s="670">
        <v>1126.21</v>
      </c>
      <c r="C200" s="685">
        <v>15.87</v>
      </c>
      <c r="D200" s="685">
        <v>15.18</v>
      </c>
      <c r="E200" s="12"/>
      <c r="F200" s="621">
        <v>19.390668044077135</v>
      </c>
      <c r="G200" s="681">
        <v>21.657884615384617</v>
      </c>
      <c r="H200" s="618"/>
      <c r="I200" s="22">
        <v>58.08</v>
      </c>
      <c r="J200" s="22">
        <v>52</v>
      </c>
      <c r="K200" s="22"/>
    </row>
    <row r="201" spans="1:11">
      <c r="A201" s="682">
        <v>37986</v>
      </c>
      <c r="B201" s="670">
        <v>1111.92</v>
      </c>
      <c r="C201" s="685">
        <v>14.88</v>
      </c>
      <c r="D201" s="685">
        <v>13.16</v>
      </c>
      <c r="E201" s="12"/>
      <c r="F201" s="621">
        <v>20.331321996708724</v>
      </c>
      <c r="G201" s="681">
        <v>22.813295034878951</v>
      </c>
      <c r="H201" s="618"/>
      <c r="I201" s="22">
        <v>54.69</v>
      </c>
      <c r="J201" s="22">
        <v>48.74</v>
      </c>
      <c r="K201" s="22"/>
    </row>
    <row r="202" spans="1:11">
      <c r="A202" s="682">
        <v>37894</v>
      </c>
      <c r="B202" s="669">
        <v>995.97</v>
      </c>
      <c r="C202" s="693">
        <v>14.41</v>
      </c>
      <c r="D202" s="693">
        <v>12.56</v>
      </c>
      <c r="E202" s="12"/>
      <c r="F202" s="621">
        <v>19.245797101449277</v>
      </c>
      <c r="G202" s="681">
        <v>25.815707620528773</v>
      </c>
      <c r="I202" s="22">
        <v>51.75</v>
      </c>
      <c r="J202" s="22">
        <v>38.58</v>
      </c>
      <c r="K202" s="22"/>
    </row>
    <row r="203" spans="1:11">
      <c r="A203" s="682">
        <v>37802</v>
      </c>
      <c r="B203" s="670">
        <v>974.5</v>
      </c>
      <c r="C203" s="685">
        <v>12.92</v>
      </c>
      <c r="D203" s="685">
        <v>11.1</v>
      </c>
      <c r="E203" s="12"/>
      <c r="F203" s="621">
        <v>19.908069458631257</v>
      </c>
      <c r="G203" s="681">
        <v>28.205499276411</v>
      </c>
      <c r="H203" s="618"/>
      <c r="I203" s="22">
        <v>48.949999999999996</v>
      </c>
      <c r="J203" s="22">
        <v>34.549999999999997</v>
      </c>
      <c r="K203" s="22"/>
    </row>
    <row r="204" spans="1:11">
      <c r="A204" s="682">
        <v>37711</v>
      </c>
      <c r="B204" s="669">
        <v>848.18</v>
      </c>
      <c r="C204" s="693">
        <v>12.48</v>
      </c>
      <c r="D204" s="693">
        <v>11.92</v>
      </c>
      <c r="E204" s="12"/>
      <c r="F204" s="621">
        <v>17.792741766310048</v>
      </c>
      <c r="G204" s="681">
        <v>27.974274406332452</v>
      </c>
      <c r="I204" s="22">
        <v>47.67</v>
      </c>
      <c r="J204" s="22">
        <v>30.32</v>
      </c>
      <c r="K204" s="22"/>
    </row>
    <row r="205" spans="1:11">
      <c r="A205" s="682">
        <v>37621</v>
      </c>
      <c r="B205" s="669">
        <v>879.82</v>
      </c>
      <c r="C205" s="693">
        <v>11.94</v>
      </c>
      <c r="D205" s="693">
        <v>3</v>
      </c>
      <c r="E205" s="12"/>
      <c r="F205" s="621">
        <v>19.109904430929628</v>
      </c>
      <c r="G205" s="681">
        <v>31.889090250090618</v>
      </c>
      <c r="I205" s="22">
        <v>46.04</v>
      </c>
      <c r="J205" s="22">
        <v>27.589999999999996</v>
      </c>
      <c r="K205" s="22"/>
    </row>
    <row r="206" spans="1:11">
      <c r="A206" s="682">
        <v>37529</v>
      </c>
      <c r="B206" s="670">
        <v>815.28</v>
      </c>
      <c r="C206" s="693">
        <v>11.61</v>
      </c>
      <c r="D206" s="693">
        <v>8.5299999999999994</v>
      </c>
      <c r="E206" s="12"/>
      <c r="F206" s="621">
        <v>18.51226158038147</v>
      </c>
      <c r="G206" s="681">
        <v>27.139813581890817</v>
      </c>
      <c r="I206" s="22">
        <v>44.04</v>
      </c>
      <c r="J206" s="22">
        <v>30.039999999999996</v>
      </c>
      <c r="K206" s="22"/>
    </row>
    <row r="207" spans="1:11">
      <c r="A207" s="682">
        <v>37437</v>
      </c>
      <c r="B207" s="669">
        <v>989.81</v>
      </c>
      <c r="C207" s="693">
        <v>11.64</v>
      </c>
      <c r="D207" s="693">
        <v>6.87</v>
      </c>
      <c r="E207" s="12"/>
      <c r="F207" s="621">
        <v>23.799230584275062</v>
      </c>
      <c r="G207" s="681">
        <v>37.016080777860886</v>
      </c>
      <c r="H207" s="618"/>
      <c r="I207" s="22">
        <v>41.59</v>
      </c>
      <c r="J207" s="22">
        <v>26.74</v>
      </c>
      <c r="K207" s="22"/>
    </row>
    <row r="208" spans="1:11">
      <c r="A208" s="682">
        <v>37346</v>
      </c>
      <c r="B208" s="669">
        <v>1147.3900000000001</v>
      </c>
      <c r="C208" s="693">
        <v>10.85</v>
      </c>
      <c r="D208" s="693">
        <v>9.19</v>
      </c>
      <c r="E208" s="12"/>
      <c r="F208" s="621">
        <v>29.442904798562999</v>
      </c>
      <c r="G208" s="681">
        <v>46.453036437246965</v>
      </c>
      <c r="I208" s="22">
        <v>38.97</v>
      </c>
      <c r="J208" s="22">
        <v>24.700000000000003</v>
      </c>
      <c r="K208" s="22"/>
    </row>
    <row r="209" spans="1:11">
      <c r="A209" s="682">
        <v>37256</v>
      </c>
      <c r="B209" s="669">
        <v>1148.08</v>
      </c>
      <c r="C209" s="693">
        <v>9.94</v>
      </c>
      <c r="D209" s="693">
        <v>5.45</v>
      </c>
      <c r="E209" s="12"/>
      <c r="F209" s="621">
        <v>29.55160875160875</v>
      </c>
      <c r="G209" s="681">
        <v>46.499797488861887</v>
      </c>
      <c r="I209" s="22">
        <v>38.85</v>
      </c>
      <c r="J209" s="22">
        <v>24.689999999999998</v>
      </c>
      <c r="K209" s="22"/>
    </row>
    <row r="210" spans="1:11">
      <c r="A210" s="682">
        <v>37164</v>
      </c>
      <c r="B210" s="669">
        <v>1040.94</v>
      </c>
      <c r="C210" s="693">
        <v>9.16</v>
      </c>
      <c r="D210" s="693">
        <v>5.23</v>
      </c>
      <c r="E210" s="12"/>
      <c r="F210" s="621">
        <v>24.772489290813901</v>
      </c>
      <c r="G210" s="681">
        <v>36.769339456022607</v>
      </c>
      <c r="I210" s="22">
        <v>42.019999999999996</v>
      </c>
      <c r="J210" s="22">
        <v>28.310000000000002</v>
      </c>
      <c r="K210" s="22"/>
    </row>
    <row r="211" spans="1:11">
      <c r="A211" s="682">
        <v>37072</v>
      </c>
      <c r="B211" s="669">
        <v>1224.3800000000001</v>
      </c>
      <c r="C211" s="693">
        <v>9.02</v>
      </c>
      <c r="D211" s="693">
        <v>4.83</v>
      </c>
      <c r="E211" s="12"/>
      <c r="F211" s="621">
        <v>26.03402083776313</v>
      </c>
      <c r="G211" s="681">
        <v>33.280239195433545</v>
      </c>
      <c r="I211" s="22">
        <v>47.03</v>
      </c>
      <c r="J211" s="22">
        <v>36.79</v>
      </c>
      <c r="K211" s="22"/>
    </row>
    <row r="212" spans="1:11">
      <c r="A212" s="682">
        <v>36981</v>
      </c>
      <c r="B212" s="669">
        <v>1160.33</v>
      </c>
      <c r="C212" s="693">
        <v>10.73</v>
      </c>
      <c r="D212" s="693">
        <v>9.18</v>
      </c>
      <c r="E212" s="12"/>
      <c r="F212" s="621">
        <v>21.938551711098505</v>
      </c>
      <c r="G212" s="681">
        <v>25.535431338028168</v>
      </c>
      <c r="I212" s="22">
        <v>52.89</v>
      </c>
      <c r="J212" s="22">
        <v>45.44</v>
      </c>
      <c r="K212" s="22"/>
    </row>
    <row r="213" spans="1:11">
      <c r="A213" s="682">
        <v>36891</v>
      </c>
      <c r="B213" s="669">
        <v>1320.28</v>
      </c>
      <c r="C213" s="693">
        <v>13.11</v>
      </c>
      <c r="D213" s="693">
        <v>9.07</v>
      </c>
      <c r="E213" s="12"/>
      <c r="F213" s="621">
        <v>23.521824336362016</v>
      </c>
      <c r="G213" s="681">
        <v>26.405599999999996</v>
      </c>
      <c r="I213" s="22">
        <v>56.13</v>
      </c>
      <c r="J213" s="22">
        <v>50.000000000000007</v>
      </c>
      <c r="K213" s="22"/>
    </row>
    <row r="214" spans="1:11">
      <c r="A214" s="682">
        <v>36799</v>
      </c>
      <c r="B214" s="669">
        <v>1436.51</v>
      </c>
      <c r="C214" s="693">
        <v>14.17</v>
      </c>
      <c r="D214" s="693">
        <v>13.71</v>
      </c>
      <c r="E214" s="12"/>
      <c r="F214" s="621">
        <v>25.295122380700825</v>
      </c>
      <c r="G214" s="681">
        <v>26.750651769087522</v>
      </c>
      <c r="I214" s="22">
        <v>56.790000000000006</v>
      </c>
      <c r="J214" s="22">
        <v>53.7</v>
      </c>
      <c r="K214" s="22"/>
    </row>
    <row r="215" spans="1:11">
      <c r="A215" s="682">
        <v>36707</v>
      </c>
      <c r="B215" s="669">
        <v>1454.6</v>
      </c>
      <c r="C215" s="693">
        <v>14.88</v>
      </c>
      <c r="D215" s="693">
        <v>13.48</v>
      </c>
      <c r="E215" s="12"/>
      <c r="F215" s="621">
        <v>26.16657672243209</v>
      </c>
      <c r="G215" s="681">
        <v>28.01617873651772</v>
      </c>
      <c r="I215" s="22">
        <v>55.59</v>
      </c>
      <c r="J215" s="22">
        <v>51.919999999999995</v>
      </c>
      <c r="K215" s="22"/>
    </row>
    <row r="216" spans="1:11">
      <c r="A216" s="682">
        <v>36616</v>
      </c>
      <c r="B216" s="669">
        <v>1498.58</v>
      </c>
      <c r="C216" s="693">
        <v>13.97</v>
      </c>
      <c r="D216" s="693">
        <v>13.74</v>
      </c>
      <c r="E216" s="12"/>
      <c r="F216" s="621">
        <v>27.792655786350146</v>
      </c>
      <c r="G216" s="681">
        <v>29.412757605495585</v>
      </c>
      <c r="I216" s="22">
        <v>53.92</v>
      </c>
      <c r="J216" s="22">
        <v>50.949999999999996</v>
      </c>
      <c r="K216" s="22"/>
    </row>
    <row r="217" spans="1:11">
      <c r="A217" s="682">
        <v>36525</v>
      </c>
      <c r="B217" s="669">
        <v>1469.25</v>
      </c>
      <c r="C217" s="693">
        <v>13.77</v>
      </c>
      <c r="D217" s="693">
        <v>12.77</v>
      </c>
      <c r="E217" s="12"/>
      <c r="F217" s="621">
        <v>28.429760061919502</v>
      </c>
      <c r="G217" s="681">
        <v>30.501349387585634</v>
      </c>
      <c r="I217" s="22">
        <v>51.680000000000007</v>
      </c>
      <c r="J217" s="22">
        <v>48.17</v>
      </c>
      <c r="K217" s="22"/>
    </row>
    <row r="218" spans="1:11">
      <c r="A218" s="682">
        <v>36433</v>
      </c>
      <c r="B218" s="669">
        <v>1282.71</v>
      </c>
      <c r="C218" s="693">
        <v>12.97</v>
      </c>
      <c r="D218" s="693">
        <v>11.93</v>
      </c>
      <c r="E218" s="12"/>
      <c r="F218" s="621">
        <v>25.976306196840831</v>
      </c>
      <c r="G218" s="681">
        <v>29.179026387625115</v>
      </c>
      <c r="I218" s="22">
        <v>49.379999999999995</v>
      </c>
      <c r="J218" s="22">
        <v>43.96</v>
      </c>
      <c r="K218" s="22"/>
    </row>
    <row r="219" spans="1:11">
      <c r="A219" s="682">
        <v>36341</v>
      </c>
      <c r="B219" s="669">
        <v>1372.71</v>
      </c>
      <c r="C219" s="693">
        <v>13.21</v>
      </c>
      <c r="D219" s="693">
        <v>12.51</v>
      </c>
      <c r="E219" s="12"/>
      <c r="F219" s="621">
        <v>29.293854033290653</v>
      </c>
      <c r="G219" s="681">
        <v>33.464407606045832</v>
      </c>
      <c r="I219" s="22">
        <v>46.86</v>
      </c>
      <c r="J219" s="22">
        <v>41.02</v>
      </c>
      <c r="K219" s="22"/>
    </row>
    <row r="220" spans="1:11">
      <c r="A220" s="682">
        <v>36250</v>
      </c>
      <c r="B220" s="669">
        <v>1286.3699999999999</v>
      </c>
      <c r="C220" s="693">
        <v>11.73</v>
      </c>
      <c r="D220" s="693">
        <v>10.96</v>
      </c>
      <c r="E220" s="12"/>
      <c r="F220" s="621">
        <v>28.535270629991121</v>
      </c>
      <c r="G220" s="681">
        <v>33.516675351745697</v>
      </c>
      <c r="I220" s="22">
        <v>45.080000000000005</v>
      </c>
      <c r="J220" s="22">
        <v>38.380000000000003</v>
      </c>
      <c r="K220" s="22"/>
    </row>
    <row r="221" spans="1:11">
      <c r="A221" s="682">
        <v>36160</v>
      </c>
      <c r="B221" s="669">
        <v>1229.23</v>
      </c>
      <c r="C221" s="693">
        <v>11.47</v>
      </c>
      <c r="D221" s="693">
        <v>8.56</v>
      </c>
      <c r="E221" s="12"/>
      <c r="F221" s="621">
        <v>27.766659137113166</v>
      </c>
      <c r="G221" s="681">
        <v>32.596923892866613</v>
      </c>
      <c r="I221" s="22">
        <v>44.27</v>
      </c>
      <c r="J221" s="22">
        <v>37.71</v>
      </c>
      <c r="K221" s="22"/>
    </row>
    <row r="222" spans="1:11">
      <c r="A222" s="682">
        <v>36068</v>
      </c>
      <c r="B222" s="669">
        <v>1017.01</v>
      </c>
      <c r="C222" s="693">
        <v>10.45</v>
      </c>
      <c r="D222" s="693">
        <v>8.99</v>
      </c>
      <c r="E222" s="12"/>
      <c r="F222" s="621">
        <v>23.066681787253348</v>
      </c>
      <c r="G222" s="681">
        <v>26.700183775269103</v>
      </c>
      <c r="I222" s="22">
        <v>44.089999999999996</v>
      </c>
      <c r="J222" s="22">
        <v>38.089999999999996</v>
      </c>
      <c r="K222" s="22"/>
    </row>
    <row r="223" spans="1:11">
      <c r="A223" s="682">
        <v>35976</v>
      </c>
      <c r="B223" s="669">
        <v>1133.8399999999999</v>
      </c>
      <c r="C223" s="693">
        <v>11.43</v>
      </c>
      <c r="D223" s="693">
        <v>9.8699999999999992</v>
      </c>
      <c r="E223" s="12"/>
      <c r="F223" s="621">
        <v>25.382583389299302</v>
      </c>
      <c r="G223" s="681">
        <v>29.095201437002828</v>
      </c>
      <c r="I223" s="22">
        <v>44.67</v>
      </c>
      <c r="J223" s="22">
        <v>38.969999999999992</v>
      </c>
      <c r="K223" s="22"/>
    </row>
    <row r="224" spans="1:11">
      <c r="A224" s="682">
        <v>35885</v>
      </c>
      <c r="B224" s="669">
        <v>1101.75</v>
      </c>
      <c r="C224" s="693">
        <v>10.92</v>
      </c>
      <c r="D224" s="693">
        <v>10.29</v>
      </c>
      <c r="E224" s="12"/>
      <c r="F224" s="621">
        <v>24.830966869506419</v>
      </c>
      <c r="G224" s="681">
        <v>27.86418816388468</v>
      </c>
      <c r="I224" s="22">
        <v>44.370000000000005</v>
      </c>
      <c r="J224" s="22">
        <v>39.539999999999992</v>
      </c>
      <c r="K224" s="22"/>
    </row>
    <row r="225" spans="1:11">
      <c r="A225" s="682">
        <v>35795</v>
      </c>
      <c r="B225" s="669">
        <v>970.43</v>
      </c>
      <c r="C225" s="693">
        <v>11.29</v>
      </c>
      <c r="D225" s="693">
        <v>8.94</v>
      </c>
      <c r="E225" s="12"/>
      <c r="F225" s="621">
        <v>22.050215860031809</v>
      </c>
      <c r="G225" s="681">
        <v>24.431772406847934</v>
      </c>
      <c r="I225" s="22">
        <v>44.010000000000005</v>
      </c>
      <c r="J225" s="22">
        <v>39.72</v>
      </c>
      <c r="K225" s="22"/>
    </row>
    <row r="226" spans="1:11">
      <c r="A226" s="682">
        <v>35703</v>
      </c>
      <c r="B226" s="669">
        <v>947.28</v>
      </c>
      <c r="C226" s="693">
        <v>11.03</v>
      </c>
      <c r="D226" s="693">
        <v>9.8699999999999992</v>
      </c>
      <c r="E226" s="12"/>
      <c r="F226" s="621">
        <v>21.662016922021497</v>
      </c>
      <c r="G226" s="681">
        <v>23.309055118110233</v>
      </c>
      <c r="I226" s="22">
        <v>43.73</v>
      </c>
      <c r="J226" s="22">
        <v>40.64</v>
      </c>
      <c r="K226" s="22"/>
    </row>
    <row r="227" spans="1:11">
      <c r="A227" s="682">
        <v>35611</v>
      </c>
      <c r="B227" s="669">
        <v>885.14</v>
      </c>
      <c r="C227" s="693">
        <v>11.13</v>
      </c>
      <c r="D227" s="693">
        <v>10.44</v>
      </c>
      <c r="E227" s="12"/>
      <c r="F227" s="621">
        <v>20.768183951196619</v>
      </c>
      <c r="G227" s="681">
        <v>21.828360049321827</v>
      </c>
      <c r="I227" s="22">
        <v>42.620000000000005</v>
      </c>
      <c r="J227" s="22">
        <v>40.549999999999997</v>
      </c>
      <c r="K227" s="22"/>
    </row>
    <row r="228" spans="1:11">
      <c r="A228" s="682">
        <v>35520</v>
      </c>
      <c r="B228" s="669">
        <v>757.12</v>
      </c>
      <c r="C228" s="693">
        <v>10.56</v>
      </c>
      <c r="D228" s="693">
        <v>10.47</v>
      </c>
      <c r="E228" s="12"/>
      <c r="F228" s="621">
        <v>18.112918660287079</v>
      </c>
      <c r="G228" s="681">
        <v>18.815109343936381</v>
      </c>
      <c r="I228" s="22">
        <v>41.800000000000004</v>
      </c>
      <c r="J228" s="22">
        <v>40.24</v>
      </c>
      <c r="K228" s="22"/>
    </row>
    <row r="229" spans="1:11">
      <c r="A229" s="682">
        <v>35430</v>
      </c>
      <c r="B229" s="669">
        <v>740.74</v>
      </c>
      <c r="C229" s="693">
        <v>11.01</v>
      </c>
      <c r="D229" s="693">
        <v>9.86</v>
      </c>
      <c r="E229" s="12"/>
      <c r="F229" s="621">
        <v>18.231356140782673</v>
      </c>
      <c r="G229" s="681">
        <v>19.125742318616059</v>
      </c>
      <c r="I229" s="22">
        <v>40.630000000000003</v>
      </c>
      <c r="J229" s="22">
        <v>38.730000000000004</v>
      </c>
      <c r="K229" s="22"/>
    </row>
    <row r="230" spans="1:11">
      <c r="A230" s="682">
        <v>35338</v>
      </c>
      <c r="B230" s="669">
        <v>687.33</v>
      </c>
      <c r="C230" s="693">
        <v>9.92</v>
      </c>
      <c r="D230" s="693">
        <v>9.7799999999999994</v>
      </c>
      <c r="E230" s="12"/>
      <c r="F230" s="621">
        <v>17.444923857868023</v>
      </c>
      <c r="G230" s="681">
        <v>19.092500000000001</v>
      </c>
      <c r="I230" s="22">
        <v>39.4</v>
      </c>
      <c r="J230" s="22">
        <v>36</v>
      </c>
      <c r="K230" s="22"/>
    </row>
    <row r="231" spans="1:11">
      <c r="A231" s="682">
        <v>35246</v>
      </c>
      <c r="B231" s="669">
        <v>670.63</v>
      </c>
      <c r="C231" s="693">
        <v>10.31</v>
      </c>
      <c r="D231" s="693">
        <v>10.130000000000001</v>
      </c>
      <c r="E231" s="12"/>
      <c r="F231" s="621">
        <v>17.081762608252671</v>
      </c>
      <c r="G231" s="681">
        <v>19.210254941277569</v>
      </c>
      <c r="I231" s="22">
        <v>39.260000000000005</v>
      </c>
      <c r="J231" s="22">
        <v>34.910000000000004</v>
      </c>
      <c r="K231" s="22"/>
    </row>
    <row r="232" spans="1:11">
      <c r="A232" s="682">
        <v>35155</v>
      </c>
      <c r="B232" s="669">
        <v>645.5</v>
      </c>
      <c r="C232" s="693">
        <v>9.39</v>
      </c>
      <c r="D232" s="693">
        <v>8.9600000000000009</v>
      </c>
      <c r="E232" s="12"/>
      <c r="F232" s="621">
        <v>16.788036410923276</v>
      </c>
      <c r="G232" s="681">
        <v>18.962984723854291</v>
      </c>
      <c r="I232" s="22">
        <v>38.450000000000003</v>
      </c>
      <c r="J232" s="22">
        <v>34.04</v>
      </c>
      <c r="K232" s="22"/>
    </row>
    <row r="233" spans="1:11">
      <c r="A233" s="682">
        <v>35064</v>
      </c>
      <c r="B233" s="669">
        <v>615.92999999999995</v>
      </c>
      <c r="C233" s="693">
        <v>9.7799999999999994</v>
      </c>
      <c r="D233" s="693">
        <v>7.13</v>
      </c>
      <c r="E233" s="12"/>
      <c r="F233" s="621">
        <v>16.337665782493367</v>
      </c>
      <c r="G233" s="681">
        <v>18.136925795053003</v>
      </c>
      <c r="I233" s="22">
        <v>37.700000000000003</v>
      </c>
      <c r="J233" s="22">
        <v>33.96</v>
      </c>
      <c r="K233" s="22"/>
    </row>
    <row r="234" spans="1:11">
      <c r="A234" s="682">
        <v>34972</v>
      </c>
      <c r="B234" s="669">
        <v>584.41</v>
      </c>
      <c r="C234" s="693">
        <v>9.7799999999999994</v>
      </c>
      <c r="D234" s="693">
        <v>8.69</v>
      </c>
      <c r="E234" s="12"/>
      <c r="F234" s="621">
        <v>15.915305010893245</v>
      </c>
      <c r="G234" s="681">
        <v>16.611995451961342</v>
      </c>
      <c r="I234" s="22">
        <v>36.72</v>
      </c>
      <c r="J234" s="22">
        <v>35.18</v>
      </c>
      <c r="K234" s="22"/>
    </row>
    <row r="235" spans="1:11">
      <c r="A235" s="682">
        <v>34880</v>
      </c>
      <c r="B235" s="669">
        <v>544.75</v>
      </c>
      <c r="C235" s="693">
        <v>9.5</v>
      </c>
      <c r="D235" s="693">
        <v>9.26</v>
      </c>
      <c r="E235" s="12"/>
      <c r="F235" s="621">
        <v>15.577637975407493</v>
      </c>
      <c r="G235" s="681">
        <v>15.821957595120535</v>
      </c>
      <c r="I235" s="22">
        <v>34.97</v>
      </c>
      <c r="J235" s="22">
        <v>34.43</v>
      </c>
      <c r="K235" s="22"/>
    </row>
    <row r="236" spans="1:11">
      <c r="A236" s="682">
        <v>34789</v>
      </c>
      <c r="B236" s="669">
        <v>500.71</v>
      </c>
      <c r="C236" s="693">
        <v>8.64</v>
      </c>
      <c r="D236" s="693">
        <v>8.8800000000000008</v>
      </c>
      <c r="E236" s="12"/>
      <c r="F236" s="621">
        <v>15.072546658639373</v>
      </c>
      <c r="G236" s="681">
        <v>15.382795698924729</v>
      </c>
      <c r="I236" s="22">
        <v>33.22</v>
      </c>
      <c r="J236" s="22">
        <v>32.550000000000004</v>
      </c>
      <c r="K236" s="22"/>
    </row>
    <row r="237" spans="1:11">
      <c r="A237" s="682">
        <v>34699</v>
      </c>
      <c r="B237" s="669">
        <v>459.27</v>
      </c>
      <c r="C237" s="693">
        <v>8.8000000000000007</v>
      </c>
      <c r="D237" s="693">
        <v>8.35</v>
      </c>
      <c r="E237" s="12"/>
      <c r="F237" s="621">
        <v>14.465196850393701</v>
      </c>
      <c r="G237" s="681">
        <v>15.008823529411766</v>
      </c>
      <c r="I237" s="22">
        <v>31.75</v>
      </c>
      <c r="J237" s="22">
        <v>30.599999999999998</v>
      </c>
      <c r="K237" s="22"/>
    </row>
    <row r="238" spans="1:11">
      <c r="A238" s="682">
        <v>34607</v>
      </c>
      <c r="B238" s="669">
        <v>462.71</v>
      </c>
      <c r="C238" s="693">
        <v>8.0299999999999994</v>
      </c>
      <c r="D238" s="693">
        <v>7.94</v>
      </c>
      <c r="E238" s="12"/>
      <c r="F238" s="621">
        <v>15.3673198272999</v>
      </c>
      <c r="G238" s="681">
        <v>16.930479326747164</v>
      </c>
      <c r="I238" s="22">
        <v>30.11</v>
      </c>
      <c r="J238" s="22">
        <v>27.33</v>
      </c>
      <c r="K238" s="22"/>
    </row>
    <row r="239" spans="1:11">
      <c r="A239" s="682">
        <v>34515</v>
      </c>
      <c r="B239" s="669">
        <v>444.27</v>
      </c>
      <c r="C239" s="693">
        <v>7.75</v>
      </c>
      <c r="D239" s="693">
        <v>7.38</v>
      </c>
      <c r="E239" s="12"/>
      <c r="F239" s="621">
        <v>15.319655172413793</v>
      </c>
      <c r="G239" s="681">
        <v>17.629761904761903</v>
      </c>
      <c r="I239" s="22">
        <v>29</v>
      </c>
      <c r="J239" s="22">
        <v>25.2</v>
      </c>
      <c r="K239" s="22"/>
    </row>
    <row r="240" spans="1:11">
      <c r="A240" s="682">
        <v>34424</v>
      </c>
      <c r="B240" s="669">
        <v>445.77</v>
      </c>
      <c r="C240" s="693">
        <v>7.17</v>
      </c>
      <c r="D240" s="693">
        <v>6.93</v>
      </c>
      <c r="E240" s="12"/>
      <c r="F240" s="621">
        <v>16.023364485981308</v>
      </c>
      <c r="G240" s="681">
        <v>19.628797886393659</v>
      </c>
      <c r="I240" s="22">
        <v>27.82</v>
      </c>
      <c r="J240" s="22">
        <v>22.71</v>
      </c>
      <c r="K240" s="22"/>
    </row>
    <row r="241" spans="1:16">
      <c r="A241" s="682">
        <v>34334</v>
      </c>
      <c r="B241" s="669">
        <v>466.45</v>
      </c>
      <c r="C241" s="693">
        <v>7.16</v>
      </c>
      <c r="D241" s="693">
        <v>5.08</v>
      </c>
      <c r="E241" s="12"/>
      <c r="F241" s="621">
        <v>17.340148698884757</v>
      </c>
      <c r="G241" s="681">
        <v>21.308816811329372</v>
      </c>
      <c r="I241" s="22">
        <v>26.9</v>
      </c>
      <c r="J241" s="22">
        <v>21.89</v>
      </c>
      <c r="K241" s="22"/>
    </row>
    <row r="242" spans="1:16">
      <c r="A242" s="682">
        <v>34242</v>
      </c>
      <c r="B242" s="669">
        <v>458.93</v>
      </c>
      <c r="C242" s="693">
        <v>6.92</v>
      </c>
      <c r="D242" s="693">
        <v>5.81</v>
      </c>
      <c r="E242" s="12"/>
      <c r="F242" s="621">
        <v>18.103747534516764</v>
      </c>
      <c r="G242" s="681">
        <v>22.485546300832926</v>
      </c>
      <c r="I242" s="22">
        <v>25.35</v>
      </c>
      <c r="J242" s="22">
        <v>20.41</v>
      </c>
      <c r="K242" s="22"/>
    </row>
    <row r="243" spans="1:16">
      <c r="A243" s="682">
        <v>34150</v>
      </c>
      <c r="B243" s="669">
        <v>450.53</v>
      </c>
      <c r="C243" s="693">
        <v>6.57</v>
      </c>
      <c r="D243" s="693">
        <v>4.8899999999999997</v>
      </c>
      <c r="E243" s="12"/>
      <c r="F243" s="621">
        <v>19.130785562632695</v>
      </c>
      <c r="G243" s="681">
        <v>23.307294361096741</v>
      </c>
      <c r="I243" s="22">
        <v>23.55</v>
      </c>
      <c r="J243" s="22">
        <v>19.329999999999998</v>
      </c>
      <c r="K243" s="22"/>
    </row>
    <row r="244" spans="1:16">
      <c r="A244" s="682">
        <v>34059</v>
      </c>
      <c r="B244" s="669">
        <v>451.67</v>
      </c>
      <c r="C244" s="693">
        <v>6.25</v>
      </c>
      <c r="D244" s="693">
        <v>6.11</v>
      </c>
      <c r="E244" s="12"/>
      <c r="F244" s="621">
        <v>20.354664263181611</v>
      </c>
      <c r="G244" s="681">
        <v>22.765624999999996</v>
      </c>
      <c r="I244" s="22">
        <v>22.19</v>
      </c>
      <c r="J244" s="22">
        <v>19.840000000000003</v>
      </c>
      <c r="K244" s="22"/>
    </row>
    <row r="245" spans="1:16">
      <c r="A245" s="682">
        <v>33969</v>
      </c>
      <c r="B245" s="669">
        <v>435.71</v>
      </c>
      <c r="C245" s="693">
        <v>5.61</v>
      </c>
      <c r="D245" s="693">
        <v>3.6</v>
      </c>
      <c r="E245" s="12"/>
      <c r="F245" s="621">
        <v>20.877335888835646</v>
      </c>
      <c r="G245" s="681">
        <v>22.823991618648506</v>
      </c>
      <c r="I245" s="22">
        <v>20.87</v>
      </c>
      <c r="J245" s="22">
        <v>19.09</v>
      </c>
      <c r="K245" s="22"/>
    </row>
    <row r="246" spans="1:16">
      <c r="A246" s="682">
        <v>33877</v>
      </c>
      <c r="B246" s="669">
        <v>417.8</v>
      </c>
      <c r="C246" s="693">
        <v>5.12</v>
      </c>
      <c r="D246" s="693">
        <v>4.7300000000000004</v>
      </c>
      <c r="E246" s="12"/>
      <c r="F246" s="621">
        <v>21.005530417295123</v>
      </c>
      <c r="G246" s="681">
        <v>23.159645232815961</v>
      </c>
      <c r="I246" s="22">
        <v>19.89</v>
      </c>
      <c r="J246" s="22">
        <v>18.040000000000003</v>
      </c>
      <c r="K246" s="22"/>
    </row>
    <row r="247" spans="1:16">
      <c r="A247" s="682">
        <v>33785</v>
      </c>
      <c r="B247" s="669">
        <v>408.14</v>
      </c>
      <c r="C247" s="693">
        <v>5.21</v>
      </c>
      <c r="D247" s="693">
        <v>5.4</v>
      </c>
      <c r="E247" s="12"/>
      <c r="F247" s="621">
        <v>20.530181086519114</v>
      </c>
      <c r="G247" s="681">
        <v>23.937829912023453</v>
      </c>
      <c r="I247" s="22">
        <v>19.88</v>
      </c>
      <c r="J247" s="22">
        <v>17.050000000000004</v>
      </c>
      <c r="K247" s="22"/>
    </row>
    <row r="248" spans="1:16">
      <c r="A248" s="682">
        <v>33694</v>
      </c>
      <c r="B248" s="669">
        <v>403.69</v>
      </c>
      <c r="C248" s="693">
        <v>4.93</v>
      </c>
      <c r="D248" s="693">
        <v>5.36</v>
      </c>
      <c r="E248" s="12"/>
      <c r="F248" s="621">
        <v>20.744604316546766</v>
      </c>
      <c r="G248" s="681">
        <v>24.934527486102532</v>
      </c>
      <c r="I248" s="22">
        <v>19.459999999999997</v>
      </c>
      <c r="J248" s="22">
        <v>16.190000000000001</v>
      </c>
      <c r="K248" s="22"/>
    </row>
    <row r="249" spans="1:16">
      <c r="A249" s="682">
        <v>33603</v>
      </c>
      <c r="B249" s="669">
        <v>417.09</v>
      </c>
      <c r="C249" s="693">
        <v>4.63</v>
      </c>
      <c r="D249" s="693">
        <v>2.5499999999999998</v>
      </c>
      <c r="E249" s="12"/>
      <c r="F249" s="621">
        <v>21.610880829015542</v>
      </c>
      <c r="G249" s="681">
        <v>26.117094552285536</v>
      </c>
      <c r="I249" s="22">
        <v>19.3</v>
      </c>
      <c r="J249" s="22">
        <v>15.969999999999999</v>
      </c>
      <c r="K249" s="22"/>
    </row>
    <row r="250" spans="1:16">
      <c r="A250" s="682">
        <v>33511</v>
      </c>
      <c r="B250" s="669">
        <v>387.86</v>
      </c>
      <c r="C250" s="693">
        <v>5.1100000000000003</v>
      </c>
      <c r="D250" s="693">
        <v>3.74</v>
      </c>
      <c r="E250" s="12"/>
      <c r="F250" s="621">
        <v>19.708333333333336</v>
      </c>
      <c r="G250" s="681">
        <v>21.765432098765434</v>
      </c>
      <c r="I250" s="22">
        <v>19.68</v>
      </c>
      <c r="J250" s="22">
        <v>17.82</v>
      </c>
      <c r="K250" s="22"/>
    </row>
    <row r="251" spans="1:16">
      <c r="A251" s="682">
        <v>33419</v>
      </c>
      <c r="B251" s="669">
        <v>371.16</v>
      </c>
      <c r="C251" s="693">
        <v>4.79</v>
      </c>
      <c r="D251" s="693">
        <v>4.54</v>
      </c>
      <c r="E251" s="12"/>
      <c r="F251" s="621">
        <v>18.070107108081793</v>
      </c>
      <c r="G251" s="681">
        <v>19.122102009273572</v>
      </c>
      <c r="I251" s="22">
        <v>20.54</v>
      </c>
      <c r="J251" s="22">
        <v>19.41</v>
      </c>
      <c r="K251" s="22"/>
    </row>
    <row r="252" spans="1:16">
      <c r="A252" s="682">
        <v>33328</v>
      </c>
      <c r="B252" s="669">
        <v>375.22</v>
      </c>
      <c r="C252" s="693">
        <v>4.7699999999999996</v>
      </c>
      <c r="D252" s="693">
        <v>5.14</v>
      </c>
      <c r="E252" s="12"/>
      <c r="F252" s="621">
        <v>17.204034846400734</v>
      </c>
      <c r="G252" s="681">
        <v>17.91881566380134</v>
      </c>
      <c r="I252" s="22">
        <v>21.81</v>
      </c>
      <c r="J252" s="22">
        <v>20.939999999999998</v>
      </c>
      <c r="K252" s="22"/>
    </row>
    <row r="253" spans="1:16">
      <c r="A253" s="682">
        <v>33238</v>
      </c>
      <c r="B253" s="669">
        <v>330.22</v>
      </c>
      <c r="C253" s="693">
        <v>5.01</v>
      </c>
      <c r="D253" s="693">
        <v>4.4000000000000004</v>
      </c>
      <c r="E253" s="12"/>
      <c r="F253" s="621">
        <v>14.579249448123623</v>
      </c>
      <c r="G253" s="681">
        <v>15.474226804123713</v>
      </c>
      <c r="I253" s="22">
        <v>22.65</v>
      </c>
      <c r="J253" s="22">
        <v>21.34</v>
      </c>
      <c r="K253" s="22"/>
    </row>
    <row r="254" spans="1:16">
      <c r="A254" s="682">
        <v>33146</v>
      </c>
      <c r="B254" s="669">
        <v>306.05</v>
      </c>
      <c r="C254" s="693">
        <v>5.97</v>
      </c>
      <c r="D254" s="693">
        <v>5.33</v>
      </c>
      <c r="E254" s="12"/>
      <c r="F254" s="621">
        <v>13.034497444633731</v>
      </c>
      <c r="G254" s="681">
        <v>14.077736890524378</v>
      </c>
      <c r="I254" s="22">
        <v>23.48</v>
      </c>
      <c r="J254" s="22">
        <v>21.740000000000002</v>
      </c>
      <c r="K254" s="22"/>
      <c r="L254" s="618"/>
      <c r="M254" s="618"/>
    </row>
    <row r="255" spans="1:16">
      <c r="A255" s="682">
        <v>33054</v>
      </c>
      <c r="B255" s="669">
        <v>358.02</v>
      </c>
      <c r="C255" s="693">
        <v>6.06</v>
      </c>
      <c r="D255" s="693">
        <v>6.07</v>
      </c>
      <c r="E255" s="12"/>
      <c r="F255" s="621">
        <v>15.532321041214752</v>
      </c>
      <c r="G255" s="681">
        <v>16.840075258701788</v>
      </c>
      <c r="I255" s="22">
        <v>23.049999999999997</v>
      </c>
      <c r="J255" s="22">
        <v>21.259999999999998</v>
      </c>
      <c r="K255" s="22"/>
      <c r="L255" s="618"/>
      <c r="M255" s="618"/>
      <c r="N255" s="618"/>
      <c r="O255" s="618"/>
      <c r="P255" s="618"/>
    </row>
    <row r="256" spans="1:16" s="618" customFormat="1">
      <c r="A256" s="682">
        <v>32963</v>
      </c>
      <c r="B256" s="669">
        <v>339.94</v>
      </c>
      <c r="C256" s="693">
        <v>5.61</v>
      </c>
      <c r="D256" s="693">
        <v>5.54</v>
      </c>
      <c r="E256" s="12"/>
      <c r="F256" s="621">
        <v>14.453231292517007</v>
      </c>
      <c r="G256" s="681">
        <v>15.687125057683431</v>
      </c>
      <c r="H256"/>
      <c r="I256" s="22">
        <v>23.52</v>
      </c>
      <c r="J256" s="22">
        <v>21.67</v>
      </c>
      <c r="K256" s="22"/>
      <c r="L256"/>
      <c r="M256"/>
    </row>
    <row r="257" spans="1:16" s="618" customFormat="1">
      <c r="A257" s="682">
        <v>32873</v>
      </c>
      <c r="B257" s="669">
        <v>353.4</v>
      </c>
      <c r="C257" s="693">
        <v>5.84</v>
      </c>
      <c r="D257" s="693">
        <v>4.8</v>
      </c>
      <c r="E257" s="12"/>
      <c r="F257" s="621">
        <v>14.531249999999998</v>
      </c>
      <c r="G257" s="681">
        <v>15.452557936160909</v>
      </c>
      <c r="H257"/>
      <c r="I257" s="22">
        <v>24.32</v>
      </c>
      <c r="J257" s="22">
        <v>22.869999999999997</v>
      </c>
      <c r="K257" s="22"/>
      <c r="L257"/>
      <c r="M257"/>
      <c r="N257"/>
      <c r="O257"/>
      <c r="P257"/>
    </row>
    <row r="258" spans="1:16">
      <c r="A258" s="682">
        <v>32781</v>
      </c>
      <c r="B258" s="669">
        <v>349.15</v>
      </c>
      <c r="C258" s="693">
        <v>5.54</v>
      </c>
      <c r="D258" s="693">
        <v>4.8499999999999996</v>
      </c>
      <c r="E258" s="12"/>
      <c r="F258" s="621">
        <v>14.050301810865189</v>
      </c>
      <c r="G258" s="681">
        <v>14.73828619670747</v>
      </c>
      <c r="I258" s="22">
        <v>24.85</v>
      </c>
      <c r="J258" s="22">
        <v>23.69</v>
      </c>
      <c r="K258" s="22"/>
    </row>
    <row r="259" spans="1:16">
      <c r="A259" s="682">
        <v>32689</v>
      </c>
      <c r="B259" s="669">
        <v>317.98</v>
      </c>
      <c r="C259" s="693">
        <v>6.53</v>
      </c>
      <c r="D259" s="693">
        <v>6.48</v>
      </c>
      <c r="E259" s="12"/>
      <c r="F259" s="621">
        <v>12.45515080297689</v>
      </c>
      <c r="G259" s="681">
        <v>12.608247422680414</v>
      </c>
      <c r="I259" s="22">
        <v>25.53</v>
      </c>
      <c r="J259" s="22">
        <v>25.22</v>
      </c>
      <c r="K259" s="22"/>
    </row>
    <row r="260" spans="1:16">
      <c r="A260" s="682">
        <v>32598</v>
      </c>
      <c r="B260" s="669">
        <v>294.87</v>
      </c>
      <c r="C260" s="693">
        <v>6.41</v>
      </c>
      <c r="D260" s="693">
        <v>6.74</v>
      </c>
      <c r="E260" s="12"/>
      <c r="F260" s="621">
        <v>11.77125748502994</v>
      </c>
      <c r="G260" s="681">
        <v>11.813701923076925</v>
      </c>
      <c r="I260" s="22">
        <v>25.05</v>
      </c>
      <c r="J260" s="22">
        <v>24.959999999999997</v>
      </c>
      <c r="K260" s="22"/>
    </row>
    <row r="261" spans="1:16">
      <c r="A261" s="682">
        <v>32508</v>
      </c>
      <c r="B261" s="669">
        <v>277.72000000000003</v>
      </c>
      <c r="C261" s="693">
        <v>6.37</v>
      </c>
      <c r="D261" s="693">
        <v>5.62</v>
      </c>
      <c r="E261" s="12"/>
      <c r="F261" s="621">
        <v>11.514096185737978</v>
      </c>
      <c r="G261" s="681">
        <v>11.693473684210527</v>
      </c>
      <c r="I261" s="22">
        <v>24.12</v>
      </c>
      <c r="J261" s="22">
        <v>23.75</v>
      </c>
      <c r="K261" s="22"/>
    </row>
    <row r="262" spans="1:16">
      <c r="A262" s="682">
        <v>32416</v>
      </c>
      <c r="B262" s="669">
        <v>271.91000000000003</v>
      </c>
      <c r="C262" s="693">
        <v>6.22</v>
      </c>
      <c r="D262" s="693">
        <v>6.38</v>
      </c>
      <c r="E262" s="12"/>
      <c r="F262" s="621"/>
      <c r="G262" s="670"/>
      <c r="I262" s="22"/>
      <c r="J262" s="22"/>
      <c r="K262" s="22"/>
    </row>
    <row r="263" spans="1:16">
      <c r="A263" s="682">
        <v>32324</v>
      </c>
      <c r="B263" s="669">
        <v>273.5</v>
      </c>
      <c r="C263" s="693">
        <v>6.05</v>
      </c>
      <c r="D263" s="693">
        <v>6.22</v>
      </c>
      <c r="E263" s="12"/>
      <c r="F263" s="669"/>
      <c r="G263" s="669"/>
      <c r="I263" s="22"/>
      <c r="J263" s="22"/>
      <c r="K263" s="22"/>
    </row>
    <row r="264" spans="1:16">
      <c r="A264" s="682">
        <v>32233</v>
      </c>
      <c r="B264" s="669">
        <v>258.89</v>
      </c>
      <c r="C264" s="693">
        <v>5.48</v>
      </c>
      <c r="D264" s="693">
        <v>5.53</v>
      </c>
      <c r="E264" s="12"/>
      <c r="F264" s="669"/>
      <c r="G264" s="669"/>
      <c r="I264" s="22"/>
      <c r="J264" s="22"/>
      <c r="K264" s="22"/>
    </row>
    <row r="265" spans="1:16">
      <c r="E265" s="701"/>
    </row>
    <row r="266" spans="1:16">
      <c r="A266" s="668" t="s">
        <v>752</v>
      </c>
      <c r="B266" s="668"/>
      <c r="C266" t="s">
        <v>753</v>
      </c>
    </row>
    <row r="267" spans="1:16">
      <c r="A267" s="668" t="s">
        <v>754</v>
      </c>
      <c r="B267" s="668"/>
      <c r="C267" t="s">
        <v>755</v>
      </c>
    </row>
    <row r="268" spans="1:16">
      <c r="A268" s="668" t="s">
        <v>756</v>
      </c>
      <c r="B268" s="668"/>
      <c r="C268" s="3" t="s">
        <v>757</v>
      </c>
    </row>
    <row r="269" spans="1:16">
      <c r="A269" s="668"/>
    </row>
    <row r="270" spans="1:16">
      <c r="A270" s="668" t="s">
        <v>758</v>
      </c>
      <c r="B270" s="669"/>
      <c r="C270" s="669"/>
      <c r="D270" s="669"/>
      <c r="E270" s="669"/>
      <c r="F270" s="669"/>
      <c r="G270" s="669"/>
      <c r="H270" s="669"/>
    </row>
    <row r="271" spans="1:16">
      <c r="A271" s="668"/>
      <c r="B271" s="669"/>
      <c r="C271" s="669"/>
      <c r="D271" s="669"/>
      <c r="E271" s="669"/>
      <c r="F271" s="669"/>
      <c r="G271" s="669"/>
      <c r="H271" s="669"/>
    </row>
    <row r="272" spans="1:16">
      <c r="A272" s="670"/>
      <c r="B272" s="670"/>
      <c r="C272" s="670"/>
      <c r="D272" s="628"/>
      <c r="E272" s="670"/>
      <c r="F272" s="670"/>
      <c r="G272" s="670"/>
      <c r="H272" s="670"/>
      <c r="I272" s="618"/>
      <c r="J272" s="618"/>
      <c r="K272" s="618"/>
      <c r="L272" s="618"/>
      <c r="M272" s="618"/>
    </row>
    <row r="273" spans="1:14" ht="15.75">
      <c r="A273" s="607" t="s">
        <v>759</v>
      </c>
      <c r="B273" s="670"/>
      <c r="C273" s="670"/>
      <c r="D273" s="628"/>
      <c r="E273" s="628"/>
      <c r="F273" s="670"/>
      <c r="G273" s="670"/>
      <c r="H273" s="670"/>
      <c r="I273" s="670"/>
      <c r="J273" s="618"/>
      <c r="K273" s="618"/>
      <c r="L273" s="618"/>
      <c r="M273" s="618"/>
      <c r="N273" s="618"/>
    </row>
    <row r="274" spans="1:14" ht="166.5" customHeight="1">
      <c r="A274" s="764" t="s">
        <v>760</v>
      </c>
      <c r="B274" s="764"/>
      <c r="C274" s="764"/>
      <c r="D274" s="764"/>
      <c r="E274" s="764"/>
      <c r="F274" s="764"/>
      <c r="G274" s="764"/>
      <c r="H274" s="764"/>
      <c r="I274" s="764"/>
      <c r="J274" s="764"/>
      <c r="K274" s="764"/>
      <c r="L274" s="764"/>
      <c r="M274" s="702"/>
    </row>
    <row r="275" spans="1:14">
      <c r="A275" s="702"/>
      <c r="B275" s="702"/>
      <c r="C275" s="702"/>
      <c r="D275" s="702"/>
      <c r="E275" s="702"/>
      <c r="F275" s="702"/>
      <c r="G275" s="702"/>
      <c r="H275" s="702"/>
      <c r="I275" s="702"/>
      <c r="J275" s="702"/>
      <c r="K275" s="702"/>
      <c r="L275" s="702"/>
      <c r="M275" s="702"/>
    </row>
    <row r="276" spans="1:14">
      <c r="A276" s="702"/>
      <c r="B276" s="702"/>
      <c r="C276" s="702"/>
      <c r="D276" s="702"/>
      <c r="E276" s="702"/>
      <c r="F276" s="702"/>
      <c r="G276" s="702"/>
      <c r="H276" s="702"/>
      <c r="I276" s="702"/>
      <c r="J276" s="702"/>
      <c r="K276" s="702"/>
      <c r="L276" s="702"/>
      <c r="M276" s="702"/>
    </row>
    <row r="277" spans="1:14">
      <c r="A277" s="702"/>
      <c r="B277" s="702"/>
      <c r="C277" s="702"/>
      <c r="D277" s="702"/>
      <c r="E277" s="702"/>
      <c r="F277" s="702"/>
      <c r="G277" s="702"/>
      <c r="H277" s="702"/>
      <c r="I277" s="702"/>
      <c r="J277" s="702"/>
      <c r="K277" s="702"/>
      <c r="L277" s="702"/>
      <c r="M277" s="702"/>
    </row>
    <row r="278" spans="1:14">
      <c r="A278" s="702"/>
      <c r="B278" s="702"/>
      <c r="C278" s="702"/>
      <c r="D278" s="702"/>
      <c r="E278" s="702"/>
      <c r="F278" s="702"/>
      <c r="G278" s="702"/>
      <c r="H278" s="702"/>
      <c r="I278" s="702"/>
      <c r="J278" s="702"/>
      <c r="K278" s="702"/>
      <c r="L278" s="702"/>
      <c r="M278" s="702"/>
    </row>
    <row r="279" spans="1:14">
      <c r="A279" s="702"/>
      <c r="B279" s="702"/>
      <c r="C279" s="702"/>
      <c r="D279" s="702"/>
      <c r="E279" s="702"/>
      <c r="F279" s="702"/>
      <c r="G279" s="702"/>
      <c r="H279" s="702"/>
      <c r="I279" s="702"/>
      <c r="J279" s="702"/>
      <c r="K279" s="702"/>
      <c r="L279" s="702"/>
      <c r="M279" s="702"/>
    </row>
    <row r="280" spans="1:14">
      <c r="A280" s="702"/>
      <c r="B280" s="702"/>
      <c r="C280" s="702"/>
      <c r="D280" s="702"/>
      <c r="E280" s="702"/>
      <c r="F280" s="702"/>
      <c r="G280" s="702"/>
      <c r="H280" s="702"/>
      <c r="I280" s="702"/>
      <c r="J280" s="702"/>
      <c r="K280" s="702"/>
      <c r="L280" s="702"/>
      <c r="M280" s="702"/>
    </row>
    <row r="281" spans="1:14">
      <c r="A281" s="702"/>
      <c r="B281" s="702"/>
      <c r="C281" s="702"/>
      <c r="D281" s="702"/>
      <c r="E281" s="702"/>
      <c r="F281" s="702"/>
      <c r="G281" s="702"/>
      <c r="H281" s="702"/>
      <c r="I281" s="702"/>
      <c r="J281" s="702"/>
      <c r="K281" s="702"/>
      <c r="L281" s="702"/>
      <c r="M281" s="702"/>
    </row>
    <row r="282" spans="1:14">
      <c r="A282" s="702"/>
      <c r="B282" s="702"/>
      <c r="C282" s="702"/>
      <c r="D282" s="702"/>
      <c r="E282" s="702"/>
      <c r="F282" s="702"/>
      <c r="G282" s="702"/>
      <c r="H282" s="702"/>
      <c r="I282" s="702"/>
      <c r="J282" s="702"/>
      <c r="K282" s="702"/>
      <c r="L282" s="702"/>
      <c r="M282" s="702"/>
    </row>
    <row r="283" spans="1:14">
      <c r="A283" s="702"/>
      <c r="B283" s="702"/>
      <c r="C283" s="702"/>
      <c r="D283" s="702"/>
      <c r="E283" s="702"/>
      <c r="F283" s="702"/>
      <c r="G283" s="702"/>
      <c r="H283" s="702"/>
      <c r="I283" s="702"/>
      <c r="J283" s="702"/>
      <c r="K283" s="702"/>
      <c r="L283" s="702"/>
      <c r="M283" s="702"/>
    </row>
    <row r="284" spans="1:14">
      <c r="A284" s="702"/>
      <c r="B284" s="702"/>
      <c r="C284" s="702"/>
      <c r="D284" s="702"/>
      <c r="E284" s="702"/>
      <c r="F284" s="702"/>
      <c r="G284" s="702"/>
      <c r="H284" s="702"/>
      <c r="I284" s="702"/>
      <c r="J284" s="702"/>
      <c r="K284" s="702"/>
      <c r="L284" s="702"/>
      <c r="M284" s="702"/>
    </row>
    <row r="285" spans="1:14">
      <c r="A285" s="702"/>
      <c r="B285" s="702"/>
      <c r="C285" s="702"/>
      <c r="D285" s="702"/>
      <c r="E285" s="702"/>
      <c r="F285" s="702"/>
      <c r="G285" s="702"/>
      <c r="H285" s="702"/>
      <c r="I285" s="702"/>
      <c r="J285" s="702"/>
      <c r="K285" s="702"/>
      <c r="L285" s="702"/>
      <c r="M285" s="702"/>
    </row>
    <row r="286" spans="1:14">
      <c r="A286" s="702"/>
      <c r="B286" s="702"/>
      <c r="C286" s="702"/>
      <c r="D286" s="702"/>
      <c r="E286" s="702"/>
      <c r="F286" s="702"/>
      <c r="G286" s="702"/>
      <c r="H286" s="702"/>
      <c r="I286" s="702"/>
      <c r="J286" s="702"/>
      <c r="K286" s="702"/>
      <c r="L286" s="702"/>
      <c r="M286" s="702"/>
    </row>
    <row r="287" spans="1:14">
      <c r="A287" s="702"/>
      <c r="B287" s="702"/>
      <c r="C287" s="702"/>
      <c r="D287" s="702"/>
      <c r="E287" s="702"/>
      <c r="F287" s="702"/>
      <c r="G287" s="702"/>
      <c r="H287" s="702"/>
      <c r="I287" s="702"/>
      <c r="J287" s="702"/>
      <c r="K287" s="702"/>
      <c r="L287" s="702"/>
      <c r="M287" s="702"/>
    </row>
    <row r="288" spans="1:14">
      <c r="A288" s="702"/>
      <c r="B288" s="702"/>
      <c r="C288" s="702"/>
      <c r="D288" s="702"/>
      <c r="E288" s="702"/>
      <c r="F288" s="702"/>
      <c r="G288" s="702"/>
      <c r="H288" s="702"/>
      <c r="I288" s="702"/>
      <c r="J288" s="702"/>
      <c r="K288" s="702"/>
      <c r="L288" s="702"/>
      <c r="M288" s="702"/>
    </row>
    <row r="289" spans="1:13">
      <c r="A289" s="702"/>
      <c r="B289" s="702"/>
      <c r="C289" s="702"/>
      <c r="D289" s="702"/>
      <c r="E289" s="702"/>
      <c r="F289" s="702"/>
      <c r="G289" s="702"/>
      <c r="H289" s="702"/>
      <c r="I289" s="702"/>
      <c r="J289" s="702"/>
      <c r="K289" s="702"/>
      <c r="L289" s="702"/>
      <c r="M289" s="702"/>
    </row>
    <row r="290" spans="1:13">
      <c r="A290" s="702"/>
      <c r="B290" s="702"/>
      <c r="C290" s="702"/>
      <c r="D290" s="702"/>
      <c r="E290" s="702"/>
      <c r="F290" s="702"/>
      <c r="G290" s="702"/>
      <c r="H290" s="702"/>
      <c r="I290" s="702"/>
      <c r="J290" s="702"/>
      <c r="K290" s="702"/>
      <c r="L290" s="702"/>
      <c r="M290" s="702"/>
    </row>
    <row r="291" spans="1:13">
      <c r="A291" s="702"/>
      <c r="B291" s="702"/>
      <c r="C291" s="702"/>
      <c r="D291" s="702"/>
      <c r="E291" s="702"/>
      <c r="F291" s="702"/>
      <c r="G291" s="702"/>
      <c r="H291" s="702"/>
      <c r="I291" s="702"/>
      <c r="J291" s="702"/>
      <c r="K291" s="702"/>
      <c r="L291" s="702"/>
      <c r="M291" s="702"/>
    </row>
    <row r="292" spans="1:13">
      <c r="A292" s="702"/>
      <c r="B292" s="702"/>
      <c r="C292" s="702"/>
      <c r="D292" s="702"/>
      <c r="E292" s="702"/>
      <c r="F292" s="702"/>
      <c r="G292" s="702"/>
      <c r="H292" s="702"/>
      <c r="I292" s="702"/>
      <c r="J292" s="702"/>
      <c r="K292" s="702"/>
      <c r="L292" s="702"/>
      <c r="M292" s="702"/>
    </row>
  </sheetData>
  <mergeCells count="2">
    <mergeCell ref="A274:L274"/>
    <mergeCell ref="A5:J5"/>
  </mergeCells>
  <printOptions horizontalCentered="1"/>
  <pageMargins left="0.7" right="0.7" top="1.25" bottom="0.75" header="0.3" footer="0.3"/>
  <pageSetup scale="60" firstPageNumber="14" fitToHeight="6" orientation="landscape" useFirstPageNumber="1" r:id="rId1"/>
  <headerFooter>
    <oddHeader>&amp;RPetitioner's Exhibit No.12
 Attachment AEB-2
Vectren South
Schedule 4 (Natural Gas Utility Proxy Group)
Page &amp;P of 21</oddHeader>
  </headerFooter>
  <rowBreaks count="5" manualBreakCount="5">
    <brk id="35" max="16383" man="1"/>
    <brk id="80" max="16383" man="1"/>
    <brk id="120" max="16383" man="1"/>
    <brk id="183" max="18" man="1"/>
    <brk id="238" max="16383" man="1"/>
  </rowBreaks>
  <colBreaks count="1" manualBreakCount="1">
    <brk id="13"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
    <tabColor rgb="FF92D050"/>
  </sheetPr>
  <dimension ref="B2:S128"/>
  <sheetViews>
    <sheetView view="pageLayout" zoomScaleNormal="100" workbookViewId="0">
      <selection activeCell="D9" sqref="D9"/>
    </sheetView>
  </sheetViews>
  <sheetFormatPr defaultColWidth="9.140625" defaultRowHeight="12.75"/>
  <cols>
    <col min="1" max="1" width="2.42578125" style="337" customWidth="1"/>
    <col min="2" max="2" width="9.85546875" style="511" customWidth="1"/>
    <col min="3" max="3" width="10" style="337" bestFit="1" customWidth="1"/>
    <col min="4" max="4" width="9.85546875" style="337" customWidth="1"/>
    <col min="5" max="5" width="11" style="337" customWidth="1"/>
    <col min="6" max="6" width="5.7109375" style="337" customWidth="1"/>
    <col min="7" max="7" width="7" style="337" bestFit="1" customWidth="1"/>
    <col min="8" max="8" width="40.28515625" style="337" customWidth="1"/>
    <col min="9" max="9" width="12.7109375" style="337" bestFit="1" customWidth="1"/>
    <col min="10" max="10" width="14" style="337" bestFit="1" customWidth="1"/>
    <col min="11" max="11" width="13.42578125" style="337" bestFit="1" customWidth="1"/>
    <col min="12" max="12" width="13.85546875" style="337" bestFit="1" customWidth="1"/>
    <col min="13" max="13" width="14" style="337" bestFit="1" customWidth="1"/>
    <col min="14" max="14" width="11" style="337" bestFit="1" customWidth="1"/>
    <col min="15" max="15" width="12.28515625" style="337" bestFit="1" customWidth="1"/>
    <col min="16" max="16" width="12.42578125" style="337" bestFit="1" customWidth="1"/>
    <col min="17" max="17" width="3.28515625" style="337" customWidth="1"/>
    <col min="18" max="16384" width="9.140625" style="337"/>
  </cols>
  <sheetData>
    <row r="2" spans="2:19">
      <c r="B2" s="510" t="s">
        <v>263</v>
      </c>
      <c r="C2" s="336"/>
      <c r="D2" s="336"/>
      <c r="E2" s="336"/>
    </row>
    <row r="4" spans="2:19" ht="13.5" thickBot="1">
      <c r="C4" s="338" t="s">
        <v>24</v>
      </c>
      <c r="D4" s="338" t="s">
        <v>25</v>
      </c>
      <c r="E4" s="338" t="s">
        <v>26</v>
      </c>
    </row>
    <row r="5" spans="2:19" ht="38.25">
      <c r="B5" s="512"/>
      <c r="C5" s="339" t="s">
        <v>264</v>
      </c>
      <c r="D5" s="339" t="s">
        <v>265</v>
      </c>
      <c r="E5" s="339" t="s">
        <v>266</v>
      </c>
    </row>
    <row r="6" spans="2:19">
      <c r="B6" s="513" t="s">
        <v>267</v>
      </c>
      <c r="C6" s="340">
        <v>0.12418</v>
      </c>
      <c r="D6" s="340">
        <v>7.8020624999999968E-2</v>
      </c>
      <c r="E6" s="340">
        <v>4.615937500000003E-2</v>
      </c>
      <c r="R6" s="341"/>
      <c r="S6" s="342"/>
    </row>
    <row r="7" spans="2:19">
      <c r="B7" s="513" t="s">
        <v>268</v>
      </c>
      <c r="C7" s="340">
        <v>0.11983333333333333</v>
      </c>
      <c r="D7" s="340">
        <v>7.8934374999999987E-2</v>
      </c>
      <c r="E7" s="340">
        <v>4.0898958333333346E-2</v>
      </c>
      <c r="R7" s="341"/>
      <c r="S7" s="342"/>
    </row>
    <row r="8" spans="2:19">
      <c r="B8" s="513" t="s">
        <v>269</v>
      </c>
      <c r="C8" s="340">
        <v>0.11865999999999999</v>
      </c>
      <c r="D8" s="340">
        <v>7.4454461538461553E-2</v>
      </c>
      <c r="E8" s="340">
        <v>4.4205538461538435E-2</v>
      </c>
      <c r="R8" s="341"/>
      <c r="S8" s="342"/>
    </row>
    <row r="9" spans="2:19">
      <c r="B9" s="513" t="s">
        <v>270</v>
      </c>
      <c r="C9" s="340">
        <v>0.11940000000000001</v>
      </c>
      <c r="D9" s="340">
        <v>7.5184696969696943E-2</v>
      </c>
      <c r="E9" s="340">
        <v>4.4215303030303063E-2</v>
      </c>
      <c r="R9" s="341"/>
      <c r="S9" s="342"/>
    </row>
    <row r="10" spans="2:19">
      <c r="B10" s="513" t="s">
        <v>271</v>
      </c>
      <c r="C10" s="340">
        <v>0.11749999999999999</v>
      </c>
      <c r="D10" s="340">
        <v>7.0683968253968263E-2</v>
      </c>
      <c r="E10" s="340">
        <v>4.681603174603173E-2</v>
      </c>
      <c r="R10" s="341"/>
      <c r="S10" s="342"/>
    </row>
    <row r="11" spans="2:19">
      <c r="B11" s="514" t="s">
        <v>272</v>
      </c>
      <c r="C11" s="340">
        <v>0.11708333333333332</v>
      </c>
      <c r="D11" s="340">
        <v>6.8553230769230741E-2</v>
      </c>
      <c r="E11" s="340">
        <v>4.8530102564102576E-2</v>
      </c>
      <c r="R11" s="341"/>
      <c r="S11" s="342"/>
    </row>
    <row r="12" spans="2:19">
      <c r="B12" s="514" t="s">
        <v>273</v>
      </c>
      <c r="C12" s="340">
        <v>0.11387499999999999</v>
      </c>
      <c r="D12" s="340">
        <v>6.3142727272727309E-2</v>
      </c>
      <c r="E12" s="340">
        <v>5.0732272727272681E-2</v>
      </c>
      <c r="R12" s="341"/>
      <c r="S12" s="342"/>
    </row>
    <row r="13" spans="2:19">
      <c r="B13" s="514" t="s">
        <v>274</v>
      </c>
      <c r="C13" s="340">
        <v>0.11155555555555557</v>
      </c>
      <c r="D13" s="340">
        <v>6.1389999999999986E-2</v>
      </c>
      <c r="E13" s="340">
        <v>5.0165555555555588E-2</v>
      </c>
      <c r="R13" s="341"/>
      <c r="S13" s="342"/>
    </row>
    <row r="14" spans="2:19">
      <c r="B14" s="514" t="s">
        <v>275</v>
      </c>
      <c r="C14" s="340">
        <v>0.11120000000000001</v>
      </c>
      <c r="D14" s="340">
        <v>6.5745156249999992E-2</v>
      </c>
      <c r="E14" s="340">
        <v>4.5454843750000015E-2</v>
      </c>
      <c r="R14" s="341"/>
      <c r="S14" s="342"/>
    </row>
    <row r="15" spans="2:19">
      <c r="B15" s="514" t="s">
        <v>276</v>
      </c>
      <c r="C15" s="340">
        <v>0.10835</v>
      </c>
      <c r="D15" s="340">
        <v>7.3526307692307669E-2</v>
      </c>
      <c r="E15" s="340">
        <v>3.4823692307692333E-2</v>
      </c>
      <c r="R15" s="341"/>
      <c r="S15" s="342"/>
    </row>
    <row r="16" spans="2:19">
      <c r="B16" s="514" t="s">
        <v>277</v>
      </c>
      <c r="C16" s="340">
        <v>0.10866666666666668</v>
      </c>
      <c r="D16" s="340">
        <v>7.5847727272727289E-2</v>
      </c>
      <c r="E16" s="340">
        <v>3.2818939393939386E-2</v>
      </c>
      <c r="R16" s="341"/>
      <c r="S16" s="342"/>
    </row>
    <row r="17" spans="2:19">
      <c r="B17" s="514" t="s">
        <v>278</v>
      </c>
      <c r="C17" s="340">
        <v>0.11525833333333334</v>
      </c>
      <c r="D17" s="340">
        <v>7.9568461538461532E-2</v>
      </c>
      <c r="E17" s="340">
        <v>3.5689871794871805E-2</v>
      </c>
      <c r="R17" s="341"/>
      <c r="S17" s="342"/>
    </row>
    <row r="18" spans="2:19">
      <c r="B18" s="514" t="s">
        <v>279</v>
      </c>
      <c r="C18" s="340">
        <v>0.11</v>
      </c>
      <c r="D18" s="340">
        <v>6.9425846153846171E-2</v>
      </c>
      <c r="E18" s="340">
        <v>4.0574153846153829E-2</v>
      </c>
      <c r="R18" s="341"/>
      <c r="S18" s="342"/>
    </row>
    <row r="19" spans="2:19">
      <c r="B19" s="514" t="s">
        <v>280</v>
      </c>
      <c r="C19" s="340">
        <v>0.11066666666666668</v>
      </c>
      <c r="D19" s="340">
        <v>6.7118615384615374E-2</v>
      </c>
      <c r="E19" s="340">
        <v>4.3548051282051303E-2</v>
      </c>
      <c r="R19" s="341"/>
      <c r="S19" s="342"/>
    </row>
    <row r="20" spans="2:19">
      <c r="B20" s="514" t="s">
        <v>281</v>
      </c>
      <c r="C20" s="340">
        <v>0.11606666666666667</v>
      </c>
      <c r="D20" s="340">
        <v>6.2348153846153817E-2</v>
      </c>
      <c r="E20" s="340">
        <v>5.3718512820512848E-2</v>
      </c>
      <c r="R20" s="341"/>
      <c r="S20" s="342"/>
    </row>
    <row r="21" spans="2:19">
      <c r="B21" s="514" t="s">
        <v>282</v>
      </c>
      <c r="C21" s="340">
        <v>0.11449999999999999</v>
      </c>
      <c r="D21" s="340">
        <v>6.2925692307692321E-2</v>
      </c>
      <c r="E21" s="340">
        <v>5.1574307692307669E-2</v>
      </c>
      <c r="R21" s="341"/>
      <c r="S21" s="342"/>
    </row>
    <row r="22" spans="2:19">
      <c r="B22" s="514" t="s">
        <v>283</v>
      </c>
      <c r="C22" s="340">
        <v>0.10875000000000001</v>
      </c>
      <c r="D22" s="340">
        <v>6.9183230769230789E-2</v>
      </c>
      <c r="E22" s="340">
        <v>3.9566769230769225E-2</v>
      </c>
      <c r="R22" s="341"/>
      <c r="S22" s="342"/>
    </row>
    <row r="23" spans="2:19">
      <c r="B23" s="514" t="s">
        <v>284</v>
      </c>
      <c r="C23" s="340">
        <v>0.1125</v>
      </c>
      <c r="D23" s="340">
        <v>6.9644696969696968E-2</v>
      </c>
      <c r="E23" s="340">
        <v>4.2855303030303035E-2</v>
      </c>
      <c r="R23" s="341"/>
      <c r="S23" s="342"/>
    </row>
    <row r="24" spans="2:19">
      <c r="B24" s="514" t="s">
        <v>285</v>
      </c>
      <c r="C24" s="340">
        <v>0.11194285714285714</v>
      </c>
      <c r="D24" s="340">
        <v>6.6189999999999999E-2</v>
      </c>
      <c r="E24" s="340">
        <v>4.5752857142857137E-2</v>
      </c>
      <c r="H24" s="42" t="s">
        <v>286</v>
      </c>
      <c r="I24" s="42"/>
      <c r="J24" s="42"/>
      <c r="K24" s="42"/>
      <c r="L24" s="42"/>
      <c r="M24" s="42"/>
      <c r="N24" s="42"/>
      <c r="O24" s="42"/>
      <c r="P24" s="42"/>
      <c r="R24" s="341"/>
      <c r="S24" s="342"/>
    </row>
    <row r="25" spans="2:19" ht="13.5" thickBot="1">
      <c r="B25" s="514" t="s">
        <v>287</v>
      </c>
      <c r="C25" s="340">
        <v>0.11307142857142859</v>
      </c>
      <c r="D25" s="340">
        <v>6.8133281250000011E-2</v>
      </c>
      <c r="E25" s="340">
        <v>4.4938147321428576E-2</v>
      </c>
      <c r="H25" s="42"/>
      <c r="I25" s="42"/>
      <c r="J25" s="42"/>
      <c r="K25" s="42"/>
      <c r="L25" s="42"/>
      <c r="M25" s="42"/>
      <c r="N25" s="42"/>
      <c r="O25" s="42"/>
      <c r="P25" s="42"/>
      <c r="R25" s="341"/>
      <c r="S25" s="342"/>
    </row>
    <row r="26" spans="2:19">
      <c r="B26" s="514" t="s">
        <v>288</v>
      </c>
      <c r="C26" s="340">
        <v>0.11699999999999999</v>
      </c>
      <c r="D26" s="340">
        <v>6.9324153846153841E-2</v>
      </c>
      <c r="E26" s="340">
        <v>4.7675846153846152E-2</v>
      </c>
      <c r="H26" s="343" t="s">
        <v>289</v>
      </c>
      <c r="I26" s="343"/>
      <c r="J26" s="42"/>
      <c r="K26" s="42"/>
      <c r="L26" s="42"/>
      <c r="M26" s="42"/>
      <c r="N26" s="42"/>
      <c r="O26" s="42"/>
      <c r="P26" s="42"/>
      <c r="R26" s="341"/>
      <c r="S26" s="342"/>
    </row>
    <row r="27" spans="2:19">
      <c r="B27" s="514" t="s">
        <v>290</v>
      </c>
      <c r="C27" s="340">
        <v>0.12</v>
      </c>
      <c r="D27" s="340">
        <v>6.5281666666666668E-2</v>
      </c>
      <c r="E27" s="340">
        <v>5.4718333333333327E-2</v>
      </c>
      <c r="H27" s="42" t="s">
        <v>291</v>
      </c>
      <c r="I27" s="42">
        <v>0.91928401424396722</v>
      </c>
      <c r="J27" s="42"/>
      <c r="K27" s="42"/>
      <c r="L27" s="42"/>
      <c r="M27" s="42"/>
      <c r="N27" s="42"/>
      <c r="O27" s="42"/>
      <c r="P27" s="42"/>
      <c r="R27" s="341"/>
      <c r="S27" s="342"/>
    </row>
    <row r="28" spans="2:19">
      <c r="B28" s="513" t="s">
        <v>292</v>
      </c>
      <c r="C28" s="340">
        <v>0.10916666666666668</v>
      </c>
      <c r="D28" s="340">
        <v>6.1372272727272741E-2</v>
      </c>
      <c r="E28" s="340">
        <v>4.7794393939393935E-2</v>
      </c>
      <c r="H28" s="42" t="s">
        <v>293</v>
      </c>
      <c r="I28" s="42">
        <v>0.84508309884450261</v>
      </c>
      <c r="J28" s="42"/>
      <c r="K28" s="42"/>
      <c r="L28" s="42"/>
      <c r="M28" s="42"/>
      <c r="N28" s="42"/>
      <c r="O28" s="42"/>
      <c r="P28" s="42"/>
      <c r="R28" s="341"/>
      <c r="S28" s="342"/>
    </row>
    <row r="29" spans="2:19">
      <c r="B29" s="514" t="s">
        <v>294</v>
      </c>
      <c r="C29" s="340">
        <v>0.11366666666666665</v>
      </c>
      <c r="D29" s="340">
        <v>5.8462461538461553E-2</v>
      </c>
      <c r="E29" s="340">
        <v>5.5204205128205099E-2</v>
      </c>
      <c r="H29" s="42" t="s">
        <v>295</v>
      </c>
      <c r="I29" s="42">
        <v>0.84366184287059898</v>
      </c>
      <c r="J29" s="42"/>
      <c r="K29" s="42"/>
      <c r="L29" s="42"/>
      <c r="M29" s="42"/>
      <c r="N29" s="42"/>
      <c r="O29" s="42"/>
      <c r="P29" s="42"/>
      <c r="R29" s="341"/>
      <c r="S29" s="342"/>
    </row>
    <row r="30" spans="2:19">
      <c r="B30" s="514" t="s">
        <v>296</v>
      </c>
      <c r="C30" s="340">
        <v>0.11409999999999999</v>
      </c>
      <c r="D30" s="340">
        <v>5.4731969696969689E-2</v>
      </c>
      <c r="E30" s="340">
        <v>5.9368030303030304E-2</v>
      </c>
      <c r="H30" s="42" t="s">
        <v>297</v>
      </c>
      <c r="I30" s="42">
        <v>3.9363859887269186E-3</v>
      </c>
      <c r="J30" s="42"/>
      <c r="K30" s="42"/>
      <c r="L30" s="42"/>
      <c r="M30" s="42"/>
      <c r="N30" s="42"/>
      <c r="O30" s="42"/>
      <c r="P30" s="42"/>
      <c r="R30" s="341"/>
      <c r="S30" s="342"/>
    </row>
    <row r="31" spans="2:19" ht="13.5" thickBot="1">
      <c r="B31" s="514" t="s">
        <v>298</v>
      </c>
      <c r="C31" s="340">
        <v>0.1169</v>
      </c>
      <c r="D31" s="340">
        <v>5.1047272727272747E-2</v>
      </c>
      <c r="E31" s="340">
        <v>6.5852727272727257E-2</v>
      </c>
      <c r="H31" s="344" t="s">
        <v>299</v>
      </c>
      <c r="I31" s="344">
        <v>111</v>
      </c>
      <c r="J31" s="42"/>
      <c r="K31" s="42"/>
      <c r="L31" s="42"/>
      <c r="M31" s="42"/>
      <c r="N31" s="42"/>
      <c r="O31" s="42"/>
      <c r="P31" s="42"/>
      <c r="R31" s="341"/>
      <c r="S31" s="342"/>
    </row>
    <row r="32" spans="2:19">
      <c r="B32" s="513" t="s">
        <v>300</v>
      </c>
      <c r="C32" s="340">
        <v>0.10816666666666667</v>
      </c>
      <c r="D32" s="340">
        <v>5.3729687500000019E-2</v>
      </c>
      <c r="E32" s="340">
        <v>5.4436979166666656E-2</v>
      </c>
      <c r="H32" s="42"/>
      <c r="I32" s="42"/>
      <c r="J32" s="42"/>
      <c r="K32" s="42"/>
      <c r="L32" s="42"/>
      <c r="M32" s="42"/>
      <c r="N32" s="42"/>
      <c r="O32" s="42"/>
      <c r="P32" s="42"/>
      <c r="R32" s="341"/>
      <c r="S32" s="342"/>
    </row>
    <row r="33" spans="2:19" ht="13.5" thickBot="1">
      <c r="B33" s="513" t="s">
        <v>301</v>
      </c>
      <c r="C33" s="340">
        <v>0.1125</v>
      </c>
      <c r="D33" s="340">
        <v>5.794030769230768E-2</v>
      </c>
      <c r="E33" s="340">
        <v>5.4559692307692323E-2</v>
      </c>
      <c r="H33" s="42" t="s">
        <v>302</v>
      </c>
      <c r="I33" s="42"/>
      <c r="J33" s="42"/>
      <c r="K33" s="42"/>
      <c r="L33" s="42"/>
      <c r="M33" s="42"/>
      <c r="N33" s="42"/>
      <c r="O33" s="42"/>
      <c r="P33" s="42"/>
      <c r="R33" s="341"/>
      <c r="S33" s="342"/>
    </row>
    <row r="34" spans="2:19">
      <c r="B34" s="513" t="s">
        <v>303</v>
      </c>
      <c r="C34" s="340">
        <v>0.10375</v>
      </c>
      <c r="D34" s="340">
        <v>6.2528484848484861E-2</v>
      </c>
      <c r="E34" s="340">
        <v>4.1221515151515134E-2</v>
      </c>
      <c r="H34" s="345"/>
      <c r="I34" s="345" t="s">
        <v>304</v>
      </c>
      <c r="J34" s="345" t="s">
        <v>305</v>
      </c>
      <c r="K34" s="345" t="s">
        <v>306</v>
      </c>
      <c r="L34" s="345" t="s">
        <v>307</v>
      </c>
      <c r="M34" s="345" t="s">
        <v>308</v>
      </c>
      <c r="N34" s="42"/>
      <c r="O34" s="42"/>
      <c r="P34" s="42"/>
      <c r="R34" s="341"/>
      <c r="S34" s="342"/>
    </row>
    <row r="35" spans="2:19">
      <c r="B35" s="514" t="s">
        <v>309</v>
      </c>
      <c r="C35" s="340">
        <v>0.10655000000000001</v>
      </c>
      <c r="D35" s="340">
        <v>6.2912615384615386E-2</v>
      </c>
      <c r="E35" s="340">
        <v>4.363738461538462E-2</v>
      </c>
      <c r="H35" s="42" t="s">
        <v>310</v>
      </c>
      <c r="I35" s="42">
        <v>1</v>
      </c>
      <c r="J35" s="42">
        <v>9.2134539093380145E-3</v>
      </c>
      <c r="K35" s="42">
        <v>9.2134539093380145E-3</v>
      </c>
      <c r="L35" s="42">
        <v>594.60302321430765</v>
      </c>
      <c r="M35" s="42">
        <v>6.0041472104322216E-46</v>
      </c>
      <c r="N35" s="42"/>
      <c r="O35" s="42"/>
      <c r="P35" s="42"/>
      <c r="R35" s="341"/>
      <c r="S35" s="342"/>
    </row>
    <row r="36" spans="2:19">
      <c r="B36" s="513" t="s">
        <v>311</v>
      </c>
      <c r="C36" s="340">
        <v>0.11033333333333334</v>
      </c>
      <c r="D36" s="340">
        <v>5.9723230769230765E-2</v>
      </c>
      <c r="E36" s="340">
        <v>5.0610102564102574E-2</v>
      </c>
      <c r="H36" s="42" t="s">
        <v>312</v>
      </c>
      <c r="I36" s="42">
        <v>109</v>
      </c>
      <c r="J36" s="42">
        <v>1.6889696770947707E-3</v>
      </c>
      <c r="K36" s="42">
        <v>1.5495134652245601E-5</v>
      </c>
      <c r="L36" s="42"/>
      <c r="M36" s="42"/>
      <c r="N36" s="42"/>
      <c r="O36" s="42"/>
      <c r="P36" s="42"/>
      <c r="R36" s="341"/>
      <c r="S36" s="342"/>
    </row>
    <row r="37" spans="2:19" ht="13.5" thickBot="1">
      <c r="B37" s="514" t="s">
        <v>313</v>
      </c>
      <c r="C37" s="340">
        <v>0.11334</v>
      </c>
      <c r="D37" s="340">
        <v>5.7871875000000017E-2</v>
      </c>
      <c r="E37" s="340">
        <v>5.5468124999999979E-2</v>
      </c>
      <c r="H37" s="344" t="s">
        <v>314</v>
      </c>
      <c r="I37" s="344">
        <v>110</v>
      </c>
      <c r="J37" s="344">
        <v>1.0902423586432786E-2</v>
      </c>
      <c r="K37" s="344"/>
      <c r="L37" s="344"/>
      <c r="M37" s="344"/>
      <c r="N37" s="42"/>
      <c r="O37" s="42"/>
      <c r="P37" s="42"/>
      <c r="R37" s="341"/>
      <c r="S37" s="342"/>
    </row>
    <row r="38" spans="2:19" ht="13.5" thickBot="1">
      <c r="B38" s="514" t="s">
        <v>315</v>
      </c>
      <c r="C38" s="340">
        <v>0.121</v>
      </c>
      <c r="D38" s="340">
        <v>5.686107692307691E-2</v>
      </c>
      <c r="E38" s="340">
        <v>6.4138923076923093E-2</v>
      </c>
      <c r="H38" s="42"/>
      <c r="I38" s="42"/>
      <c r="J38" s="42"/>
      <c r="K38" s="42"/>
      <c r="L38" s="42"/>
      <c r="M38" s="42"/>
      <c r="N38" s="42"/>
      <c r="O38" s="42"/>
      <c r="P38" s="42"/>
      <c r="R38" s="341"/>
      <c r="S38" s="342"/>
    </row>
    <row r="39" spans="2:19">
      <c r="B39" s="513" t="s">
        <v>316</v>
      </c>
      <c r="C39" s="340">
        <v>0.11375</v>
      </c>
      <c r="D39" s="340">
        <v>5.4425937500000014E-2</v>
      </c>
      <c r="E39" s="340">
        <v>5.932406249999999E-2</v>
      </c>
      <c r="H39" s="345"/>
      <c r="I39" s="345" t="s">
        <v>317</v>
      </c>
      <c r="J39" s="345" t="s">
        <v>297</v>
      </c>
      <c r="K39" s="345" t="s">
        <v>318</v>
      </c>
      <c r="L39" s="345" t="s">
        <v>319</v>
      </c>
      <c r="M39" s="345" t="s">
        <v>320</v>
      </c>
      <c r="N39" s="345" t="s">
        <v>321</v>
      </c>
      <c r="O39" s="345" t="s">
        <v>322</v>
      </c>
      <c r="P39" s="345" t="s">
        <v>323</v>
      </c>
      <c r="R39" s="341"/>
      <c r="S39" s="342"/>
    </row>
    <row r="40" spans="2:19">
      <c r="B40" s="513" t="s">
        <v>324</v>
      </c>
      <c r="C40" s="340">
        <v>0.1075</v>
      </c>
      <c r="D40" s="340">
        <v>5.699338461538464E-2</v>
      </c>
      <c r="E40" s="340">
        <v>5.0506615384615358E-2</v>
      </c>
      <c r="H40" s="42" t="s">
        <v>325</v>
      </c>
      <c r="I40" s="42">
        <v>8.5054995166720715E-2</v>
      </c>
      <c r="J40" s="42">
        <v>1.1603188202713379E-3</v>
      </c>
      <c r="K40" s="42">
        <v>73.303124693634459</v>
      </c>
      <c r="L40" s="42">
        <v>1.420941819461264E-94</v>
      </c>
      <c r="M40" s="42">
        <v>8.2755280987213534E-2</v>
      </c>
      <c r="N40" s="42">
        <v>8.7354709346227896E-2</v>
      </c>
      <c r="O40" s="42">
        <v>8.2755280987213534E-2</v>
      </c>
      <c r="P40" s="42">
        <v>8.7354709346227896E-2</v>
      </c>
      <c r="R40" s="341"/>
      <c r="S40" s="342"/>
    </row>
    <row r="41" spans="2:19" ht="13.5" thickBot="1">
      <c r="B41" s="514" t="s">
        <v>326</v>
      </c>
      <c r="C41" s="340">
        <v>0.10650000000000001</v>
      </c>
      <c r="D41" s="340">
        <v>5.2970909090909089E-2</v>
      </c>
      <c r="E41" s="340">
        <v>5.3529090909090922E-2</v>
      </c>
      <c r="H41" s="344" t="s">
        <v>327</v>
      </c>
      <c r="I41" s="344">
        <v>-0.57491697171438794</v>
      </c>
      <c r="J41" s="344">
        <v>2.3577164457213983E-2</v>
      </c>
      <c r="K41" s="344">
        <v>-24.384483246817183</v>
      </c>
      <c r="L41" s="344">
        <v>6.0041472104320512E-46</v>
      </c>
      <c r="M41" s="344">
        <v>-0.6216461451687566</v>
      </c>
      <c r="N41" s="344">
        <v>-0.52818779826001927</v>
      </c>
      <c r="O41" s="344">
        <v>-0.6216461451687566</v>
      </c>
      <c r="P41" s="344">
        <v>-0.52818779826001927</v>
      </c>
      <c r="R41" s="341"/>
      <c r="S41" s="342"/>
    </row>
    <row r="42" spans="2:19">
      <c r="B42" s="513" t="s">
        <v>328</v>
      </c>
      <c r="C42" s="340">
        <v>0.10666666666666667</v>
      </c>
      <c r="D42" s="340">
        <v>5.5132187499999999E-2</v>
      </c>
      <c r="E42" s="340">
        <v>5.1534479166666675E-2</v>
      </c>
      <c r="H42" s="42"/>
      <c r="I42" s="42"/>
      <c r="J42" s="42"/>
      <c r="K42" s="42"/>
      <c r="L42" s="42"/>
      <c r="M42" s="42"/>
      <c r="N42" s="42"/>
      <c r="O42" s="42"/>
      <c r="P42" s="42"/>
      <c r="R42" s="341"/>
      <c r="S42" s="342"/>
    </row>
    <row r="43" spans="2:19">
      <c r="B43" s="514" t="s">
        <v>329</v>
      </c>
      <c r="C43" s="340">
        <v>0.116425</v>
      </c>
      <c r="D43" s="340">
        <v>5.6129153846153849E-2</v>
      </c>
      <c r="E43" s="340">
        <v>6.0295846153846151E-2</v>
      </c>
      <c r="H43" s="42"/>
      <c r="I43" s="42"/>
      <c r="J43" s="42"/>
      <c r="K43" s="42"/>
      <c r="L43" s="42"/>
      <c r="M43" s="42"/>
      <c r="N43" s="42"/>
      <c r="O43" s="42"/>
      <c r="P43" s="42"/>
      <c r="R43" s="341"/>
      <c r="S43" s="342"/>
    </row>
    <row r="44" spans="2:19">
      <c r="B44" s="514" t="s">
        <v>330</v>
      </c>
      <c r="C44" s="340">
        <v>0.11499999999999999</v>
      </c>
      <c r="D44" s="340">
        <v>5.0848590909090899E-2</v>
      </c>
      <c r="E44" s="340">
        <v>6.4151409090909092E-2</v>
      </c>
      <c r="H44" s="42"/>
      <c r="I44" s="42"/>
      <c r="J44" s="42"/>
      <c r="K44" s="42"/>
      <c r="L44" s="42"/>
      <c r="M44" s="42"/>
      <c r="N44" s="42"/>
      <c r="O44" s="42"/>
      <c r="P44" s="42"/>
      <c r="R44" s="341"/>
      <c r="S44" s="342"/>
    </row>
    <row r="45" spans="2:19" ht="13.5" thickBot="1">
      <c r="B45" s="513" t="s">
        <v>331</v>
      </c>
      <c r="C45" s="340">
        <v>0.1101111111111111</v>
      </c>
      <c r="D45" s="340">
        <v>4.9307318181818195E-2</v>
      </c>
      <c r="E45" s="340">
        <v>6.0803792929292909E-2</v>
      </c>
      <c r="H45" s="42"/>
      <c r="I45" s="42"/>
      <c r="J45" s="42"/>
      <c r="K45" s="346" t="s">
        <v>117</v>
      </c>
      <c r="L45" s="346" t="s">
        <v>118</v>
      </c>
      <c r="M45" s="346" t="s">
        <v>119</v>
      </c>
      <c r="R45" s="341"/>
      <c r="S45" s="342"/>
    </row>
    <row r="46" spans="2:19">
      <c r="B46" s="514" t="s">
        <v>332</v>
      </c>
      <c r="C46" s="340">
        <v>0.11382</v>
      </c>
      <c r="D46" s="340">
        <v>4.8490953125E-2</v>
      </c>
      <c r="E46" s="340">
        <v>6.5329046875000005E-2</v>
      </c>
      <c r="H46" s="347"/>
      <c r="I46" s="347"/>
      <c r="J46" s="347"/>
      <c r="K46" s="348" t="s">
        <v>333</v>
      </c>
      <c r="L46" s="348"/>
      <c r="M46" s="348"/>
      <c r="R46" s="341"/>
      <c r="S46" s="342"/>
    </row>
    <row r="47" spans="2:19">
      <c r="B47" s="514" t="s">
        <v>334</v>
      </c>
      <c r="C47" s="340">
        <v>0.113625</v>
      </c>
      <c r="D47" s="340">
        <v>4.5979046153846168E-2</v>
      </c>
      <c r="E47" s="340">
        <v>6.7645953846153836E-2</v>
      </c>
      <c r="K47" s="338" t="s">
        <v>335</v>
      </c>
      <c r="L47" s="338" t="s">
        <v>336</v>
      </c>
      <c r="M47" s="338"/>
      <c r="R47" s="341"/>
      <c r="S47" s="342"/>
    </row>
    <row r="48" spans="2:19">
      <c r="B48" s="514" t="s">
        <v>337</v>
      </c>
      <c r="C48" s="340">
        <v>0.10611999999999999</v>
      </c>
      <c r="D48" s="340">
        <v>5.1104863636363636E-2</v>
      </c>
      <c r="E48" s="340">
        <v>5.5015136363636356E-2</v>
      </c>
      <c r="H48" s="349"/>
      <c r="I48" s="349"/>
      <c r="J48" s="349"/>
      <c r="K48" s="350" t="s">
        <v>338</v>
      </c>
      <c r="L48" s="350" t="s">
        <v>154</v>
      </c>
      <c r="M48" s="350" t="s">
        <v>215</v>
      </c>
      <c r="R48" s="341"/>
      <c r="S48" s="342"/>
    </row>
    <row r="49" spans="2:19">
      <c r="B49" s="514" t="s">
        <v>339</v>
      </c>
      <c r="C49" s="340">
        <v>0.1084181818181818</v>
      </c>
      <c r="D49" s="340">
        <v>5.1142196969696983E-2</v>
      </c>
      <c r="E49" s="340">
        <v>5.7275984848484819E-2</v>
      </c>
      <c r="R49" s="341"/>
      <c r="S49" s="342"/>
    </row>
    <row r="50" spans="2:19">
      <c r="B50" s="514" t="s">
        <v>340</v>
      </c>
      <c r="C50" s="340">
        <v>0.11059999999999999</v>
      </c>
      <c r="D50" s="340">
        <v>4.8753138461538476E-2</v>
      </c>
      <c r="E50" s="340">
        <v>6.1846861538461514E-2</v>
      </c>
      <c r="H50" s="337" t="s">
        <v>341</v>
      </c>
      <c r="K50" s="351">
        <f>'Schedule-4 CAPM Gas Proxy 1'!D6</f>
        <v>1.4230000000000003E-2</v>
      </c>
      <c r="L50" s="340">
        <f>$I$40+($I$41*K50)</f>
        <v>7.6873926659224975E-2</v>
      </c>
      <c r="M50" s="340">
        <f>SUM(K50:L50)</f>
        <v>9.1103926659224982E-2</v>
      </c>
      <c r="R50" s="341"/>
      <c r="S50" s="342"/>
    </row>
    <row r="51" spans="2:19">
      <c r="B51" s="514" t="s">
        <v>342</v>
      </c>
      <c r="C51" s="340">
        <v>0.10573333333333335</v>
      </c>
      <c r="D51" s="340">
        <v>5.3192861538461533E-2</v>
      </c>
      <c r="E51" s="340">
        <v>5.2540471794871813E-2</v>
      </c>
      <c r="H51" s="337" t="s">
        <v>605</v>
      </c>
      <c r="K51" s="351">
        <f>'Schedule-4 CAPM Gas Proxy 1'!D29</f>
        <v>1.72E-2</v>
      </c>
      <c r="L51" s="340">
        <f>$I$40+($I$41*K51)</f>
        <v>7.516642325323325E-2</v>
      </c>
      <c r="M51" s="340">
        <f>SUM(K51:L51)</f>
        <v>9.2366423253233243E-2</v>
      </c>
      <c r="R51" s="341"/>
      <c r="S51" s="342"/>
    </row>
    <row r="52" spans="2:19">
      <c r="B52" s="514" t="s">
        <v>343</v>
      </c>
      <c r="C52" s="340">
        <v>0.1036875</v>
      </c>
      <c r="D52" s="340">
        <v>5.0588015151515148E-2</v>
      </c>
      <c r="E52" s="340">
        <v>5.3099484848484854E-2</v>
      </c>
      <c r="H52" s="349" t="s">
        <v>344</v>
      </c>
      <c r="I52" s="349"/>
      <c r="J52" s="349"/>
      <c r="K52" s="352">
        <f>'Schedule-4 CAPM Gas Proxy 1'!D52</f>
        <v>0.03</v>
      </c>
      <c r="L52" s="352">
        <f>$I$40+($I$41*K52)</f>
        <v>6.7807486015289076E-2</v>
      </c>
      <c r="M52" s="352">
        <f>SUM(K52:L52)</f>
        <v>9.7807486015289075E-2</v>
      </c>
      <c r="R52" s="341"/>
      <c r="S52" s="342"/>
    </row>
    <row r="53" spans="2:19" ht="13.5" thickBot="1">
      <c r="B53" s="514" t="s">
        <v>345</v>
      </c>
      <c r="C53" s="340">
        <v>0.10658333333333332</v>
      </c>
      <c r="D53" s="340">
        <v>4.864845454545455E-2</v>
      </c>
      <c r="E53" s="340">
        <v>5.7934878787878771E-2</v>
      </c>
      <c r="H53" s="353" t="s">
        <v>346</v>
      </c>
      <c r="I53" s="353"/>
      <c r="J53" s="353"/>
      <c r="K53" s="354"/>
      <c r="L53" s="354"/>
      <c r="M53" s="354">
        <f>AVERAGE(M50:M52)</f>
        <v>9.3759278642582433E-2</v>
      </c>
      <c r="R53" s="341"/>
      <c r="S53" s="342"/>
    </row>
    <row r="54" spans="2:19">
      <c r="B54" s="514" t="s">
        <v>347</v>
      </c>
      <c r="C54" s="340">
        <v>0.10650000000000001</v>
      </c>
      <c r="D54" s="340">
        <v>4.6927312499999985E-2</v>
      </c>
      <c r="E54" s="340">
        <v>5.9572687500000027E-2</v>
      </c>
      <c r="R54" s="341"/>
      <c r="S54" s="342"/>
    </row>
    <row r="55" spans="2:19">
      <c r="B55" s="513" t="s">
        <v>348</v>
      </c>
      <c r="C55" s="340">
        <v>0.10535999999999998</v>
      </c>
      <c r="D55" s="340">
        <v>4.4650938461538468E-2</v>
      </c>
      <c r="E55" s="340">
        <v>6.0709061538461513E-2</v>
      </c>
      <c r="H55" s="355" t="s">
        <v>21</v>
      </c>
      <c r="R55" s="341"/>
      <c r="S55" s="342"/>
    </row>
    <row r="56" spans="2:19">
      <c r="B56" s="514" t="s">
        <v>349</v>
      </c>
      <c r="C56" s="340">
        <v>0.10471999999999999</v>
      </c>
      <c r="D56" s="340">
        <v>4.4381742424242414E-2</v>
      </c>
      <c r="E56" s="340">
        <v>6.033825757575758E-2</v>
      </c>
      <c r="H56" s="356" t="s">
        <v>606</v>
      </c>
      <c r="R56" s="341"/>
      <c r="S56" s="342"/>
    </row>
    <row r="57" spans="2:19">
      <c r="B57" s="514" t="s">
        <v>350</v>
      </c>
      <c r="C57" s="340">
        <v>0.10316428571428571</v>
      </c>
      <c r="D57" s="340">
        <v>4.6829078125E-2</v>
      </c>
      <c r="E57" s="340">
        <v>5.6335207589285709E-2</v>
      </c>
      <c r="H57" s="356" t="s">
        <v>351</v>
      </c>
      <c r="R57" s="341"/>
      <c r="S57" s="342"/>
    </row>
    <row r="58" spans="2:19">
      <c r="B58" s="514" t="s">
        <v>352</v>
      </c>
      <c r="C58" s="340">
        <v>0.10680000000000001</v>
      </c>
      <c r="D58" s="340">
        <v>4.633183076923076E-2</v>
      </c>
      <c r="E58" s="340">
        <v>6.0468169230769246E-2</v>
      </c>
      <c r="H58" s="356" t="s">
        <v>353</v>
      </c>
      <c r="R58" s="341"/>
      <c r="S58" s="342"/>
    </row>
    <row r="59" spans="2:19">
      <c r="B59" s="514" t="s">
        <v>354</v>
      </c>
      <c r="C59" s="340">
        <v>0.106</v>
      </c>
      <c r="D59" s="340">
        <v>5.1406507692307687E-2</v>
      </c>
      <c r="E59" s="340">
        <v>5.459349230769231E-2</v>
      </c>
      <c r="H59" s="42" t="s">
        <v>607</v>
      </c>
      <c r="R59" s="341"/>
      <c r="S59" s="342"/>
    </row>
    <row r="60" spans="2:19">
      <c r="B60" s="514" t="s">
        <v>355</v>
      </c>
      <c r="C60" s="340">
        <v>0.10337499999999999</v>
      </c>
      <c r="D60" s="340">
        <v>4.9925692307692303E-2</v>
      </c>
      <c r="E60" s="340">
        <v>5.3449307692307692E-2</v>
      </c>
      <c r="H60" s="42" t="s">
        <v>608</v>
      </c>
      <c r="R60" s="341"/>
      <c r="S60" s="342"/>
    </row>
    <row r="61" spans="2:19">
      <c r="B61" s="514" t="s">
        <v>356</v>
      </c>
      <c r="C61" s="340">
        <v>0.10142</v>
      </c>
      <c r="D61" s="340">
        <v>4.739560000000001E-2</v>
      </c>
      <c r="E61" s="340">
        <v>5.4024399999999986E-2</v>
      </c>
      <c r="H61" s="42" t="s">
        <v>357</v>
      </c>
      <c r="R61" s="341"/>
      <c r="S61" s="342"/>
    </row>
    <row r="62" spans="2:19">
      <c r="B62" s="514" t="s">
        <v>358</v>
      </c>
      <c r="C62" s="340">
        <v>0.10518181818181818</v>
      </c>
      <c r="D62" s="340">
        <v>4.7964107692307696E-2</v>
      </c>
      <c r="E62" s="340">
        <v>5.7217710489510486E-2</v>
      </c>
      <c r="H62" s="42" t="s">
        <v>359</v>
      </c>
      <c r="R62" s="341"/>
      <c r="S62" s="342"/>
    </row>
    <row r="63" spans="2:19">
      <c r="B63" s="514" t="s">
        <v>360</v>
      </c>
      <c r="C63" s="340">
        <v>0.10126666666666666</v>
      </c>
      <c r="D63" s="340">
        <v>4.9891384615384615E-2</v>
      </c>
      <c r="E63" s="340">
        <v>5.1375282051282042E-2</v>
      </c>
      <c r="H63" s="357" t="str">
        <f>"[8] Equals "&amp;TEXT(I40,"0.000000")&amp;" + ("&amp;TEXT(I41,"0.000000")&amp;" x Column [7])"</f>
        <v>[8] Equals 0.085055 + (-0.574917 x Column [7])</v>
      </c>
      <c r="R63" s="341"/>
      <c r="S63" s="342"/>
    </row>
    <row r="64" spans="2:19">
      <c r="B64" s="514" t="s">
        <v>361</v>
      </c>
      <c r="C64" s="340">
        <v>0.1002625</v>
      </c>
      <c r="D64" s="340">
        <v>4.9470430769230793E-2</v>
      </c>
      <c r="E64" s="340">
        <v>5.0792069230769211E-2</v>
      </c>
      <c r="H64" s="356" t="s">
        <v>362</v>
      </c>
      <c r="R64" s="341"/>
      <c r="S64" s="342"/>
    </row>
    <row r="65" spans="2:19">
      <c r="B65" s="514" t="s">
        <v>363</v>
      </c>
      <c r="C65" s="340">
        <v>0.10117692307692307</v>
      </c>
      <c r="D65" s="340">
        <v>4.6137848484848476E-2</v>
      </c>
      <c r="E65" s="340">
        <v>5.5039074592074591E-2</v>
      </c>
      <c r="H65" s="356"/>
      <c r="R65" s="341"/>
      <c r="S65" s="342"/>
    </row>
    <row r="66" spans="2:19">
      <c r="B66" s="514" t="s">
        <v>364</v>
      </c>
      <c r="C66" s="340">
        <v>0.10375714285714287</v>
      </c>
      <c r="D66" s="340">
        <v>4.4057984615384606E-2</v>
      </c>
      <c r="E66" s="340">
        <v>5.9699158241758261E-2</v>
      </c>
      <c r="R66" s="341"/>
      <c r="S66" s="342"/>
    </row>
    <row r="67" spans="2:19">
      <c r="B67" s="514" t="s">
        <v>365</v>
      </c>
      <c r="C67" s="340">
        <v>0.10166666666666667</v>
      </c>
      <c r="D67" s="340">
        <v>4.5697861538461525E-2</v>
      </c>
      <c r="E67" s="340">
        <v>5.5968805128205144E-2</v>
      </c>
      <c r="R67" s="341"/>
      <c r="S67" s="342"/>
    </row>
    <row r="68" spans="2:19">
      <c r="B68" s="514" t="s">
        <v>366</v>
      </c>
      <c r="C68" s="340">
        <v>0.10551111111111111</v>
      </c>
      <c r="D68" s="340">
        <v>4.4448575757575763E-2</v>
      </c>
      <c r="E68" s="340">
        <v>6.1062535353535348E-2</v>
      </c>
      <c r="R68" s="341"/>
      <c r="S68" s="342"/>
    </row>
    <row r="69" spans="2:19">
      <c r="B69" s="514" t="s">
        <v>367</v>
      </c>
      <c r="C69" s="340">
        <v>0.10338461538461538</v>
      </c>
      <c r="D69" s="340">
        <v>3.648545454545455E-2</v>
      </c>
      <c r="E69" s="340">
        <v>6.6899160839160837E-2</v>
      </c>
      <c r="R69" s="341"/>
      <c r="S69" s="342"/>
    </row>
    <row r="70" spans="2:19">
      <c r="B70" s="514" t="s">
        <v>368</v>
      </c>
      <c r="C70" s="340">
        <v>0.102425</v>
      </c>
      <c r="D70" s="340">
        <v>3.4371828125000004E-2</v>
      </c>
      <c r="E70" s="340">
        <v>6.8053171874999999E-2</v>
      </c>
      <c r="R70" s="341"/>
      <c r="S70" s="342"/>
    </row>
    <row r="71" spans="2:19">
      <c r="B71" s="514" t="s">
        <v>369</v>
      </c>
      <c r="C71" s="340">
        <v>0.10107500000000001</v>
      </c>
      <c r="D71" s="340">
        <v>4.1675338461538453E-2</v>
      </c>
      <c r="E71" s="340">
        <v>5.9399661538461559E-2</v>
      </c>
      <c r="R71" s="341"/>
      <c r="S71" s="342"/>
    </row>
    <row r="72" spans="2:19">
      <c r="B72" s="514" t="s">
        <v>370</v>
      </c>
      <c r="C72" s="340">
        <v>9.8799999999999999E-2</v>
      </c>
      <c r="D72" s="340">
        <v>4.3207924242424235E-2</v>
      </c>
      <c r="E72" s="340">
        <v>5.5592075757575764E-2</v>
      </c>
      <c r="R72" s="341"/>
      <c r="S72" s="342"/>
    </row>
    <row r="73" spans="2:19">
      <c r="B73" s="514" t="s">
        <v>371</v>
      </c>
      <c r="C73" s="340">
        <v>0.10304999999999999</v>
      </c>
      <c r="D73" s="340">
        <v>4.3369015151515151E-2</v>
      </c>
      <c r="E73" s="340">
        <v>5.9680984848484837E-2</v>
      </c>
      <c r="R73" s="341"/>
      <c r="S73" s="342"/>
    </row>
    <row r="74" spans="2:19">
      <c r="B74" s="514" t="s">
        <v>372</v>
      </c>
      <c r="C74" s="340">
        <v>0.10236666666666666</v>
      </c>
      <c r="D74" s="340">
        <v>4.6233281250000008E-2</v>
      </c>
      <c r="E74" s="340">
        <v>5.6133385416666653E-2</v>
      </c>
      <c r="R74" s="341"/>
      <c r="S74" s="342"/>
    </row>
    <row r="75" spans="2:19">
      <c r="B75" s="514" t="s">
        <v>373</v>
      </c>
      <c r="C75" s="340">
        <v>9.985454545454546E-2</v>
      </c>
      <c r="D75" s="340">
        <v>4.3635553846153849E-2</v>
      </c>
      <c r="E75" s="340">
        <v>5.6218991608391611E-2</v>
      </c>
      <c r="R75" s="341"/>
      <c r="S75" s="342"/>
    </row>
    <row r="76" spans="2:19">
      <c r="B76" s="514" t="s">
        <v>374</v>
      </c>
      <c r="C76" s="340">
        <v>0.10425</v>
      </c>
      <c r="D76" s="340">
        <v>3.855463636363636E-2</v>
      </c>
      <c r="E76" s="340">
        <v>6.5695363636363635E-2</v>
      </c>
      <c r="R76" s="341"/>
      <c r="S76" s="342"/>
    </row>
    <row r="77" spans="2:19">
      <c r="B77" s="514" t="s">
        <v>375</v>
      </c>
      <c r="C77" s="340">
        <v>0.10092307692307691</v>
      </c>
      <c r="D77" s="340">
        <v>4.1662787878787896E-2</v>
      </c>
      <c r="E77" s="340">
        <v>5.9260289044289011E-2</v>
      </c>
      <c r="R77" s="341"/>
      <c r="S77" s="342"/>
    </row>
    <row r="78" spans="2:19">
      <c r="B78" s="514" t="s">
        <v>376</v>
      </c>
      <c r="C78" s="340">
        <v>0.10100000000000001</v>
      </c>
      <c r="D78" s="340">
        <v>4.5583796874999978E-2</v>
      </c>
      <c r="E78" s="340">
        <v>5.5416203125000028E-2</v>
      </c>
      <c r="R78" s="341"/>
      <c r="S78" s="342"/>
    </row>
    <row r="79" spans="2:19">
      <c r="B79" s="513" t="s">
        <v>377</v>
      </c>
      <c r="C79" s="340">
        <v>9.845000000000001E-2</v>
      </c>
      <c r="D79" s="340">
        <v>4.3380446153846154E-2</v>
      </c>
      <c r="E79" s="340">
        <v>5.5069553846153856E-2</v>
      </c>
      <c r="R79" s="341"/>
      <c r="S79" s="342"/>
    </row>
    <row r="80" spans="2:19">
      <c r="B80" s="513" t="s">
        <v>378</v>
      </c>
      <c r="C80" s="340">
        <v>9.6500000000000002E-2</v>
      </c>
      <c r="D80" s="340">
        <v>3.692825757575758E-2</v>
      </c>
      <c r="E80" s="340">
        <v>5.9571742424242423E-2</v>
      </c>
      <c r="R80" s="341"/>
      <c r="S80" s="342"/>
    </row>
    <row r="81" spans="2:19">
      <c r="B81" s="513" t="s">
        <v>379</v>
      </c>
      <c r="C81" s="340">
        <v>9.8750000000000004E-2</v>
      </c>
      <c r="D81" s="340">
        <v>3.0392815384615392E-2</v>
      </c>
      <c r="E81" s="340">
        <v>6.835718461538462E-2</v>
      </c>
      <c r="R81" s="341"/>
      <c r="S81" s="342"/>
    </row>
    <row r="82" spans="2:19">
      <c r="B82" s="513" t="s">
        <v>380</v>
      </c>
      <c r="C82" s="340">
        <v>9.6319999999999989E-2</v>
      </c>
      <c r="D82" s="340">
        <v>3.1351338461538467E-2</v>
      </c>
      <c r="E82" s="340">
        <v>6.4968661538461522E-2</v>
      </c>
      <c r="R82" s="341"/>
      <c r="S82" s="342"/>
    </row>
    <row r="83" spans="2:19">
      <c r="B83" s="513" t="s">
        <v>381</v>
      </c>
      <c r="C83" s="340">
        <v>9.8312499999999997E-2</v>
      </c>
      <c r="D83" s="340">
        <v>2.9340830769230764E-2</v>
      </c>
      <c r="E83" s="340">
        <v>6.8971669230769236E-2</v>
      </c>
      <c r="R83" s="341"/>
      <c r="S83" s="342"/>
    </row>
    <row r="84" spans="2:19">
      <c r="B84" s="513" t="s">
        <v>382</v>
      </c>
      <c r="C84" s="340">
        <v>9.7500000000000003E-2</v>
      </c>
      <c r="D84" s="340">
        <v>2.7412938461538462E-2</v>
      </c>
      <c r="E84" s="340">
        <v>7.0087061538461545E-2</v>
      </c>
      <c r="R84" s="341"/>
      <c r="S84" s="342"/>
    </row>
    <row r="85" spans="2:19">
      <c r="B85" s="513" t="s">
        <v>383</v>
      </c>
      <c r="C85" s="340">
        <v>0.10055</v>
      </c>
      <c r="D85" s="340">
        <v>2.8642166666666666E-2</v>
      </c>
      <c r="E85" s="340">
        <v>7.1907833333333337E-2</v>
      </c>
      <c r="R85" s="341"/>
      <c r="S85" s="342"/>
    </row>
    <row r="86" spans="2:19">
      <c r="B86" s="513" t="s">
        <v>384</v>
      </c>
      <c r="C86" s="340">
        <v>9.5666666666666678E-2</v>
      </c>
      <c r="D86" s="340">
        <v>3.1295609374999998E-2</v>
      </c>
      <c r="E86" s="340">
        <v>6.4371057291666672E-2</v>
      </c>
      <c r="R86" s="341"/>
      <c r="S86" s="342"/>
    </row>
    <row r="87" spans="2:19">
      <c r="B87" s="513" t="s">
        <v>385</v>
      </c>
      <c r="C87" s="340">
        <v>9.4683333333333328E-2</v>
      </c>
      <c r="D87" s="340">
        <v>3.1398800000000004E-2</v>
      </c>
      <c r="E87" s="340">
        <v>6.3284533333333323E-2</v>
      </c>
      <c r="R87" s="341"/>
      <c r="S87" s="342"/>
    </row>
    <row r="88" spans="2:19">
      <c r="B88" s="513" t="s">
        <v>386</v>
      </c>
      <c r="C88" s="340">
        <v>9.6000000000000002E-2</v>
      </c>
      <c r="D88" s="340">
        <v>3.7113621212121202E-2</v>
      </c>
      <c r="E88" s="340">
        <v>5.88863787878788E-2</v>
      </c>
      <c r="R88" s="341"/>
      <c r="S88" s="342"/>
    </row>
    <row r="89" spans="2:19">
      <c r="B89" s="513" t="s">
        <v>387</v>
      </c>
      <c r="C89" s="340">
        <v>9.8290909090909109E-2</v>
      </c>
      <c r="D89" s="340">
        <v>3.7872272727272713E-2</v>
      </c>
      <c r="E89" s="340">
        <v>6.0418636363636397E-2</v>
      </c>
      <c r="R89" s="341"/>
      <c r="S89" s="342"/>
    </row>
    <row r="90" spans="2:19">
      <c r="B90" s="513" t="s">
        <v>388</v>
      </c>
      <c r="C90" s="340">
        <v>9.5416666666666664E-2</v>
      </c>
      <c r="D90" s="340">
        <v>3.6892906249999989E-2</v>
      </c>
      <c r="E90" s="340">
        <v>5.8523760416666674E-2</v>
      </c>
      <c r="R90" s="341"/>
      <c r="S90" s="342"/>
    </row>
    <row r="91" spans="2:19">
      <c r="B91" s="513" t="s">
        <v>389</v>
      </c>
      <c r="C91" s="340">
        <v>9.8362499999999992E-2</v>
      </c>
      <c r="D91" s="340">
        <v>3.4420169230769224E-2</v>
      </c>
      <c r="E91" s="340">
        <v>6.3942330769230768E-2</v>
      </c>
      <c r="R91" s="341"/>
      <c r="S91" s="342"/>
    </row>
    <row r="92" spans="2:19">
      <c r="B92" s="513" t="s">
        <v>390</v>
      </c>
      <c r="C92" s="340">
        <v>9.4500000000000015E-2</v>
      </c>
      <c r="D92" s="340">
        <v>3.2637651515151515E-2</v>
      </c>
      <c r="E92" s="340">
        <v>6.1862348484848499E-2</v>
      </c>
      <c r="R92" s="341"/>
      <c r="S92" s="342"/>
    </row>
    <row r="93" spans="2:19">
      <c r="B93" s="513" t="s">
        <v>391</v>
      </c>
      <c r="C93" s="340">
        <v>0.10283333333333333</v>
      </c>
      <c r="D93" s="340">
        <v>2.9634439393939404E-2</v>
      </c>
      <c r="E93" s="340">
        <v>7.3198893939393925E-2</v>
      </c>
      <c r="R93" s="341"/>
    </row>
    <row r="94" spans="2:19">
      <c r="B94" s="513" t="s">
        <v>392</v>
      </c>
      <c r="C94" s="340">
        <v>9.4666666666666677E-2</v>
      </c>
      <c r="D94" s="340">
        <v>2.5536187500000005E-2</v>
      </c>
      <c r="E94" s="340">
        <v>6.9130479166666675E-2</v>
      </c>
      <c r="R94" s="341"/>
    </row>
    <row r="95" spans="2:19">
      <c r="B95" s="513" t="s">
        <v>393</v>
      </c>
      <c r="C95" s="340">
        <v>9.4333333333333338E-2</v>
      </c>
      <c r="D95" s="340">
        <v>2.8846923076923076E-2</v>
      </c>
      <c r="E95" s="340">
        <v>6.5486410256410263E-2</v>
      </c>
      <c r="R95" s="341"/>
    </row>
    <row r="96" spans="2:19">
      <c r="B96" s="513" t="s">
        <v>394</v>
      </c>
      <c r="C96" s="340">
        <v>9.7500000000000003E-2</v>
      </c>
      <c r="D96" s="340">
        <v>2.9591227272727273E-2</v>
      </c>
      <c r="E96" s="340">
        <v>6.7908772727272734E-2</v>
      </c>
      <c r="R96" s="341"/>
    </row>
    <row r="97" spans="2:18">
      <c r="B97" s="513" t="s">
        <v>395</v>
      </c>
      <c r="C97" s="340">
        <v>9.6777777777777782E-2</v>
      </c>
      <c r="D97" s="340">
        <v>2.9592590909090898E-2</v>
      </c>
      <c r="E97" s="340">
        <v>6.718518686868688E-2</v>
      </c>
      <c r="R97" s="341"/>
    </row>
    <row r="98" spans="2:18">
      <c r="B98" s="513" t="s">
        <v>396</v>
      </c>
      <c r="C98" s="340">
        <v>9.4833333333333325E-2</v>
      </c>
      <c r="D98" s="340">
        <v>2.7197200000000001E-2</v>
      </c>
      <c r="E98" s="340">
        <v>6.763613333333332E-2</v>
      </c>
      <c r="R98" s="341"/>
    </row>
    <row r="99" spans="2:18">
      <c r="B99" s="513" t="s">
        <v>397</v>
      </c>
      <c r="C99" s="340">
        <v>9.4149999999999998E-2</v>
      </c>
      <c r="D99" s="340">
        <v>2.5666046153846152E-2</v>
      </c>
      <c r="E99" s="340">
        <v>6.8483953846153842E-2</v>
      </c>
    </row>
    <row r="100" spans="2:18">
      <c r="B100" s="513" t="s">
        <v>398</v>
      </c>
      <c r="C100" s="340">
        <v>9.4649999999999984E-2</v>
      </c>
      <c r="D100" s="340">
        <v>2.2773333333333333E-2</v>
      </c>
      <c r="E100" s="340">
        <v>7.1876666666666644E-2</v>
      </c>
    </row>
    <row r="101" spans="2:18">
      <c r="B101" s="513" t="s">
        <v>399</v>
      </c>
      <c r="C101" s="340">
        <v>9.6722222222222209E-2</v>
      </c>
      <c r="D101" s="340">
        <v>2.8326507692307684E-2</v>
      </c>
      <c r="E101" s="340">
        <v>6.8395714529914525E-2</v>
      </c>
    </row>
    <row r="102" spans="2:18">
      <c r="B102" s="513" t="s">
        <v>400</v>
      </c>
      <c r="C102" s="340">
        <v>9.6000000000000016E-2</v>
      </c>
      <c r="D102" s="340">
        <v>3.0435492307692304E-2</v>
      </c>
      <c r="E102" s="340">
        <v>6.5564507692307705E-2</v>
      </c>
    </row>
    <row r="103" spans="2:18">
      <c r="B103" s="513" t="s">
        <v>401</v>
      </c>
      <c r="C103" s="340">
        <v>9.4714285714285709E-2</v>
      </c>
      <c r="D103" s="340">
        <v>2.8955353846153841E-2</v>
      </c>
      <c r="E103" s="340">
        <v>6.5758931868131865E-2</v>
      </c>
    </row>
    <row r="104" spans="2:18">
      <c r="B104" s="513" t="s">
        <v>402</v>
      </c>
      <c r="C104" s="340">
        <v>0.10138333333333333</v>
      </c>
      <c r="D104" s="340">
        <v>2.8157476923076918E-2</v>
      </c>
      <c r="E104" s="340">
        <v>7.3225856410256404E-2</v>
      </c>
    </row>
    <row r="105" spans="2:18">
      <c r="B105" s="513" t="s">
        <v>403</v>
      </c>
      <c r="C105" s="340">
        <v>9.6999999999999989E-2</v>
      </c>
      <c r="D105" s="340">
        <v>2.8170630769230768E-2</v>
      </c>
      <c r="E105" s="340">
        <v>6.8829369230769225E-2</v>
      </c>
    </row>
    <row r="106" spans="2:18">
      <c r="B106" s="513" t="s">
        <v>404</v>
      </c>
      <c r="C106" s="340">
        <v>9.6816666666666662E-2</v>
      </c>
      <c r="D106" s="340">
        <v>3.0233969230769233E-2</v>
      </c>
      <c r="E106" s="340">
        <v>6.6582697435897426E-2</v>
      </c>
    </row>
    <row r="107" spans="2:18">
      <c r="B107" s="513" t="s">
        <v>405</v>
      </c>
      <c r="C107" s="340">
        <v>9.4285714285714278E-2</v>
      </c>
      <c r="D107" s="340">
        <v>3.0863630769230772E-2</v>
      </c>
      <c r="E107" s="340">
        <v>6.3422083516483513E-2</v>
      </c>
    </row>
    <row r="108" spans="2:18">
      <c r="B108" s="513" t="s">
        <v>406</v>
      </c>
      <c r="C108" s="340">
        <v>9.7108333333333338E-2</v>
      </c>
      <c r="D108" s="340">
        <v>3.0584523076923074E-2</v>
      </c>
      <c r="E108" s="340">
        <v>6.6523810256410271E-2</v>
      </c>
    </row>
    <row r="109" spans="2:18">
      <c r="B109" s="513" t="s">
        <v>407</v>
      </c>
      <c r="C109" s="340">
        <v>9.5307142857142882E-2</v>
      </c>
      <c r="D109" s="340">
        <v>3.270189393939394E-2</v>
      </c>
      <c r="E109" s="340">
        <v>6.2605248917748935E-2</v>
      </c>
    </row>
    <row r="110" spans="2:18">
      <c r="B110" s="513" t="s">
        <v>408</v>
      </c>
      <c r="C110" s="340">
        <v>9.5500000000000002E-2</v>
      </c>
      <c r="D110" s="340">
        <v>3.0102703124999998E-2</v>
      </c>
      <c r="E110" s="340">
        <v>6.5397296875000011E-2</v>
      </c>
    </row>
    <row r="111" spans="2:18">
      <c r="B111" s="513" t="s">
        <v>409</v>
      </c>
      <c r="C111" s="340">
        <v>9.7266666666666668E-2</v>
      </c>
      <c r="D111" s="340">
        <v>2.7823599999999997E-2</v>
      </c>
      <c r="E111" s="340">
        <v>6.9443066666666664E-2</v>
      </c>
    </row>
    <row r="112" spans="2:18">
      <c r="B112" s="513" t="s">
        <v>410</v>
      </c>
      <c r="C112" s="340">
        <v>9.9500000000000005E-2</v>
      </c>
      <c r="D112" s="340">
        <v>2.2855318181818182E-2</v>
      </c>
      <c r="E112" s="340">
        <v>7.664468181818182E-2</v>
      </c>
    </row>
    <row r="113" spans="2:5">
      <c r="B113" s="513" t="s">
        <v>411</v>
      </c>
      <c r="C113" s="340">
        <v>9.7309523809523818E-2</v>
      </c>
      <c r="D113" s="340">
        <v>2.2538393939393941E-2</v>
      </c>
      <c r="E113" s="340">
        <v>7.4771129870129877E-2</v>
      </c>
    </row>
    <row r="114" spans="2:5">
      <c r="B114" s="513" t="s">
        <v>412</v>
      </c>
      <c r="C114" s="340">
        <v>9.3522222222222229E-2</v>
      </c>
      <c r="D114" s="340">
        <v>1.888032307692307E-2</v>
      </c>
      <c r="E114" s="340">
        <v>7.4641899145299159E-2</v>
      </c>
    </row>
    <row r="115" spans="2:5">
      <c r="B115" s="513" t="s">
        <v>413</v>
      </c>
      <c r="C115" s="340">
        <v>9.5499999999999988E-2</v>
      </c>
      <c r="D115" s="340">
        <v>1.3756846153846161E-2</v>
      </c>
      <c r="E115" s="340">
        <v>8.1743153846153827E-2</v>
      </c>
    </row>
    <row r="116" spans="2:5">
      <c r="B116" s="513" t="s">
        <v>414</v>
      </c>
      <c r="C116" s="340">
        <v>9.5187499999999994E-2</v>
      </c>
      <c r="D116" s="340">
        <v>1.3650969696969693E-2</v>
      </c>
      <c r="E116" s="340">
        <v>8.1536530303030305E-2</v>
      </c>
    </row>
    <row r="117" spans="2:5">
      <c r="B117" s="513"/>
      <c r="C117" s="340"/>
      <c r="D117" s="340"/>
      <c r="E117" s="340"/>
    </row>
    <row r="118" spans="2:5">
      <c r="B118" s="515" t="s">
        <v>346</v>
      </c>
      <c r="C118" s="359">
        <f>AVERAGE(C6:C116)</f>
        <v>0.10486067523317526</v>
      </c>
      <c r="D118" s="359">
        <f>AVERAGE(D6:D116)</f>
        <v>4.6592497814679099E-2</v>
      </c>
      <c r="E118" s="359">
        <f>AVERAGE(E6:E116)</f>
        <v>5.8268177418496173E-2</v>
      </c>
    </row>
    <row r="119" spans="2:5" ht="13.5" thickBot="1">
      <c r="B119" s="516" t="s">
        <v>415</v>
      </c>
      <c r="C119" s="360">
        <f>MEDIAN(C6:C116)</f>
        <v>0.10375</v>
      </c>
      <c r="D119" s="360">
        <f>MEDIAN(D6:D116)</f>
        <v>4.633183076923076E-2</v>
      </c>
      <c r="E119" s="360">
        <f>MEDIAN(E6:E116)</f>
        <v>5.932406249999999E-2</v>
      </c>
    </row>
    <row r="120" spans="2:5">
      <c r="B120" s="513"/>
      <c r="C120" s="42"/>
      <c r="D120" s="340"/>
    </row>
    <row r="121" spans="2:5">
      <c r="C121" s="42"/>
      <c r="D121" s="340"/>
    </row>
    <row r="122" spans="2:5">
      <c r="B122" s="513"/>
      <c r="D122" s="340"/>
    </row>
    <row r="123" spans="2:5">
      <c r="B123" s="513"/>
      <c r="D123" s="340"/>
    </row>
    <row r="124" spans="2:5">
      <c r="D124" s="340"/>
    </row>
    <row r="125" spans="2:5">
      <c r="D125" s="340"/>
    </row>
    <row r="126" spans="2:5">
      <c r="D126" s="340"/>
    </row>
    <row r="127" spans="2:5">
      <c r="D127" s="340"/>
    </row>
    <row r="128" spans="2:5">
      <c r="D128" s="340"/>
    </row>
  </sheetData>
  <printOptions horizontalCentered="1"/>
  <pageMargins left="0.2" right="0.2" top="0.75" bottom="0.5" header="0.3" footer="0.3"/>
  <pageSetup scale="60" fitToWidth="0" orientation="landscape" useFirstPageNumber="1" r:id="rId1"/>
  <headerFooter>
    <oddHeader>&amp;RPetitioner's Exhibit No.12
 Attachment AEB-2
Vectren South
Schedule 5 (Natural Gas Utility Proxy Group)
Page &amp;P of 3</oddHeader>
  </headerFooter>
  <rowBreaks count="1" manualBreakCount="1">
    <brk id="119" min="1" max="4"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1">
    <tabColor rgb="FF92D050"/>
  </sheetPr>
  <dimension ref="A1:O29"/>
  <sheetViews>
    <sheetView zoomScaleNormal="100" workbookViewId="0">
      <selection activeCell="E27" sqref="E27"/>
    </sheetView>
  </sheetViews>
  <sheetFormatPr defaultColWidth="9.140625" defaultRowHeight="12.75"/>
  <cols>
    <col min="1" max="1" width="3" style="71" customWidth="1"/>
    <col min="2" max="2" width="31.85546875" style="71" customWidth="1"/>
    <col min="3" max="3" width="5.7109375" style="71" bestFit="1" customWidth="1"/>
    <col min="4" max="4" width="13.28515625" style="71" customWidth="1"/>
    <col min="5" max="5" width="12.28515625" style="71" customWidth="1"/>
    <col min="6" max="6" width="14" style="71" customWidth="1"/>
    <col min="7" max="8" width="12" style="71" customWidth="1"/>
    <col min="9" max="9" width="13.42578125" style="71" customWidth="1"/>
    <col min="10" max="10" width="11.5703125" style="71" customWidth="1"/>
    <col min="11" max="11" width="13.140625" style="71" customWidth="1"/>
    <col min="12" max="12" width="12.42578125" style="71" customWidth="1"/>
    <col min="13" max="13" width="13.85546875" style="71" customWidth="1"/>
    <col min="14" max="14" width="19" style="71" bestFit="1" customWidth="1"/>
    <col min="15" max="16384" width="9.140625" style="71"/>
  </cols>
  <sheetData>
    <row r="1" spans="1:15" ht="12.75" customHeight="1">
      <c r="B1" s="72"/>
      <c r="C1" s="72"/>
      <c r="D1" s="72"/>
      <c r="E1" s="72"/>
      <c r="F1" s="72"/>
      <c r="G1" s="72"/>
      <c r="H1" s="72"/>
      <c r="I1" s="72"/>
      <c r="J1" s="72"/>
      <c r="K1" s="72"/>
      <c r="L1" s="72"/>
      <c r="M1" s="72"/>
    </row>
    <row r="2" spans="1:15">
      <c r="B2" s="766" t="s">
        <v>116</v>
      </c>
      <c r="C2" s="766"/>
      <c r="D2" s="766"/>
      <c r="E2" s="766"/>
      <c r="F2" s="766"/>
      <c r="G2" s="766"/>
      <c r="H2" s="766"/>
      <c r="I2" s="766"/>
      <c r="J2" s="766"/>
      <c r="K2" s="766"/>
      <c r="L2" s="766"/>
      <c r="M2" s="766"/>
    </row>
    <row r="3" spans="1:15" ht="12.75" customHeight="1"/>
    <row r="4" spans="1:15" ht="12.75" customHeight="1" thickBot="1">
      <c r="D4" s="303" t="s">
        <v>24</v>
      </c>
      <c r="E4" s="303" t="s">
        <v>25</v>
      </c>
      <c r="F4" s="303" t="s">
        <v>26</v>
      </c>
      <c r="G4" s="303" t="s">
        <v>27</v>
      </c>
      <c r="H4" s="303" t="s">
        <v>28</v>
      </c>
      <c r="I4" s="303" t="s">
        <v>29</v>
      </c>
      <c r="J4" s="303" t="s">
        <v>117</v>
      </c>
      <c r="K4" s="303" t="s">
        <v>118</v>
      </c>
      <c r="L4" s="303" t="s">
        <v>119</v>
      </c>
      <c r="M4" s="303" t="s">
        <v>120</v>
      </c>
      <c r="O4" s="73"/>
    </row>
    <row r="5" spans="1:15" ht="63" customHeight="1">
      <c r="A5" s="74"/>
      <c r="B5" s="75"/>
      <c r="C5" s="75"/>
      <c r="D5" s="175" t="s">
        <v>121</v>
      </c>
      <c r="E5" s="175" t="s">
        <v>122</v>
      </c>
      <c r="F5" s="175" t="s">
        <v>123</v>
      </c>
      <c r="G5" s="175" t="s">
        <v>124</v>
      </c>
      <c r="H5" s="175" t="s">
        <v>125</v>
      </c>
      <c r="I5" s="175" t="s">
        <v>126</v>
      </c>
      <c r="J5" s="175" t="s">
        <v>127</v>
      </c>
      <c r="K5" s="76" t="s">
        <v>128</v>
      </c>
      <c r="L5" s="76" t="s">
        <v>129</v>
      </c>
      <c r="M5" s="76" t="s">
        <v>130</v>
      </c>
    </row>
    <row r="6" spans="1:15" ht="12.75" customHeight="1">
      <c r="A6" s="74"/>
      <c r="D6" s="74"/>
      <c r="E6" s="74"/>
      <c r="F6" s="74"/>
      <c r="G6" s="74"/>
      <c r="H6" s="74"/>
      <c r="I6" s="74"/>
      <c r="J6" s="74"/>
      <c r="K6" s="74"/>
      <c r="L6" s="74"/>
      <c r="M6" s="74"/>
      <c r="O6" s="77"/>
    </row>
    <row r="7" spans="1:15">
      <c r="A7" s="78"/>
      <c r="B7" s="42" t="s">
        <v>38</v>
      </c>
      <c r="C7" s="44" t="s">
        <v>39</v>
      </c>
      <c r="D7" s="41">
        <v>0.09</v>
      </c>
      <c r="E7" s="79">
        <v>9279.7000000000007</v>
      </c>
      <c r="F7" s="41">
        <v>0.62</v>
      </c>
      <c r="G7" s="80">
        <f>E7*F7</f>
        <v>5753.4140000000007</v>
      </c>
      <c r="H7" s="80">
        <v>16000</v>
      </c>
      <c r="I7" s="41">
        <v>0.6</v>
      </c>
      <c r="J7" s="80">
        <f>H7*I7</f>
        <v>9600</v>
      </c>
      <c r="K7" s="177">
        <f>IFERROR((J7/G7)^(1/5)-1, " ")</f>
        <v>0.10781979604067837</v>
      </c>
      <c r="L7" s="81">
        <f>IFERROR(2*(1+K7)/(2+K7), " ")</f>
        <v>1.0511522836265257</v>
      </c>
      <c r="M7" s="82">
        <f>D7*L7</f>
        <v>9.4603705526387305E-2</v>
      </c>
      <c r="N7" s="83"/>
      <c r="O7" s="84"/>
    </row>
    <row r="8" spans="1:15">
      <c r="A8" s="78"/>
      <c r="B8" s="42" t="s">
        <v>79</v>
      </c>
      <c r="C8" s="44" t="s">
        <v>80</v>
      </c>
      <c r="D8" s="41">
        <v>9.5000000000000001E-2</v>
      </c>
      <c r="E8" s="79">
        <v>3088.9</v>
      </c>
      <c r="F8" s="41">
        <v>0.502</v>
      </c>
      <c r="G8" s="80">
        <f t="shared" ref="G8:G13" si="0">E8*F8</f>
        <v>1550.6278</v>
      </c>
      <c r="H8" s="80">
        <v>4580</v>
      </c>
      <c r="I8" s="41">
        <v>0.56499999999999995</v>
      </c>
      <c r="J8" s="80">
        <f>H8*I8</f>
        <v>2587.6999999999998</v>
      </c>
      <c r="K8" s="177">
        <f t="shared" ref="K8:K13" si="1">IFERROR((J8/G8)^(1/5)-1, " ")</f>
        <v>0.10785079069694747</v>
      </c>
      <c r="L8" s="81">
        <f t="shared" ref="L8:L12" si="2">IFERROR(2*(1+K8)/(2+K8), " ")</f>
        <v>1.0511662358516787</v>
      </c>
      <c r="M8" s="82">
        <f t="shared" ref="M8:M13" si="3">D8*L8</f>
        <v>9.9860792405909476E-2</v>
      </c>
    </row>
    <row r="9" spans="1:15">
      <c r="A9" s="78"/>
      <c r="B9" s="42" t="s">
        <v>43</v>
      </c>
      <c r="C9" s="44" t="s">
        <v>44</v>
      </c>
      <c r="D9" s="41">
        <v>8.5000000000000006E-2</v>
      </c>
      <c r="E9" s="79">
        <v>1672</v>
      </c>
      <c r="F9" s="41">
        <v>0.51800000000000002</v>
      </c>
      <c r="G9" s="80">
        <f t="shared" si="0"/>
        <v>866.096</v>
      </c>
      <c r="H9" s="80">
        <v>1825</v>
      </c>
      <c r="I9" s="41">
        <v>0.52500000000000002</v>
      </c>
      <c r="J9" s="80">
        <f t="shared" ref="J9:J12" si="4">H9*I9</f>
        <v>958.125</v>
      </c>
      <c r="K9" s="177">
        <f t="shared" si="1"/>
        <v>2.0401827798542937E-2</v>
      </c>
      <c r="L9" s="81">
        <f t="shared" si="2"/>
        <v>1.0100979060293036</v>
      </c>
      <c r="M9" s="82">
        <f t="shared" si="3"/>
        <v>8.5858322012490815E-2</v>
      </c>
    </row>
    <row r="10" spans="1:15">
      <c r="A10" s="78"/>
      <c r="B10" s="42" t="s">
        <v>131</v>
      </c>
      <c r="C10" s="44" t="s">
        <v>47</v>
      </c>
      <c r="D10" s="41">
        <v>8.5000000000000006E-2</v>
      </c>
      <c r="E10" s="79">
        <v>3415.5</v>
      </c>
      <c r="F10" s="41">
        <v>0.623</v>
      </c>
      <c r="G10" s="80">
        <f t="shared" si="0"/>
        <v>2127.8564999999999</v>
      </c>
      <c r="H10" s="80">
        <v>4800</v>
      </c>
      <c r="I10" s="41">
        <v>0.62</v>
      </c>
      <c r="J10" s="80">
        <f t="shared" si="4"/>
        <v>2976</v>
      </c>
      <c r="K10" s="177">
        <f t="shared" si="1"/>
        <v>6.9394923423376387E-2</v>
      </c>
      <c r="L10" s="81">
        <f t="shared" si="2"/>
        <v>1.0335339198129361</v>
      </c>
      <c r="M10" s="82">
        <f t="shared" si="3"/>
        <v>8.7850383184099573E-2</v>
      </c>
    </row>
    <row r="11" spans="1:15">
      <c r="A11" s="78"/>
      <c r="B11" s="42" t="s">
        <v>48</v>
      </c>
      <c r="C11" s="44" t="s">
        <v>49</v>
      </c>
      <c r="D11" s="41">
        <v>0.12</v>
      </c>
      <c r="E11" s="79">
        <v>3493.9</v>
      </c>
      <c r="F11" s="41">
        <v>0.40799999999999997</v>
      </c>
      <c r="G11" s="80">
        <f t="shared" si="0"/>
        <v>1425.5111999999999</v>
      </c>
      <c r="H11" s="80">
        <v>5500</v>
      </c>
      <c r="I11" s="41">
        <v>0.41</v>
      </c>
      <c r="J11" s="80">
        <f t="shared" si="4"/>
        <v>2255</v>
      </c>
      <c r="K11" s="177">
        <f t="shared" si="1"/>
        <v>9.6062154627631902E-2</v>
      </c>
      <c r="L11" s="81">
        <f t="shared" si="2"/>
        <v>1.0458298216088433</v>
      </c>
      <c r="M11" s="82">
        <f t="shared" si="3"/>
        <v>0.12549957859306118</v>
      </c>
    </row>
    <row r="12" spans="1:15">
      <c r="A12" s="78"/>
      <c r="B12" s="42" t="s">
        <v>51</v>
      </c>
      <c r="C12" s="562" t="s">
        <v>52</v>
      </c>
      <c r="D12" s="41">
        <v>0.1</v>
      </c>
      <c r="E12" s="79">
        <v>4806.3999999999996</v>
      </c>
      <c r="F12" s="41">
        <v>0.52100000000000002</v>
      </c>
      <c r="G12" s="80">
        <f t="shared" si="0"/>
        <v>2504.1343999999999</v>
      </c>
      <c r="H12" s="80">
        <v>7175</v>
      </c>
      <c r="I12" s="41">
        <v>0.55500000000000005</v>
      </c>
      <c r="J12" s="80">
        <f t="shared" si="4"/>
        <v>3982.1250000000005</v>
      </c>
      <c r="K12" s="177">
        <f t="shared" si="1"/>
        <v>9.7214279072272536E-2</v>
      </c>
      <c r="L12" s="81">
        <f t="shared" si="2"/>
        <v>1.0463540039958512</v>
      </c>
      <c r="M12" s="82">
        <f t="shared" si="3"/>
        <v>0.10463540039958513</v>
      </c>
    </row>
    <row r="13" spans="1:15">
      <c r="A13" s="78"/>
      <c r="B13" s="261" t="s">
        <v>54</v>
      </c>
      <c r="C13" s="228" t="s">
        <v>55</v>
      </c>
      <c r="D13" s="262">
        <v>7.0000000000000007E-2</v>
      </c>
      <c r="E13" s="263">
        <v>4625.6000000000004</v>
      </c>
      <c r="F13" s="262">
        <v>0.55000000000000004</v>
      </c>
      <c r="G13" s="176">
        <f t="shared" si="0"/>
        <v>2544.0800000000004</v>
      </c>
      <c r="H13" s="176">
        <v>7200</v>
      </c>
      <c r="I13" s="262">
        <v>0.55000000000000004</v>
      </c>
      <c r="J13" s="176">
        <f>H13*I13</f>
        <v>3960.0000000000005</v>
      </c>
      <c r="K13" s="178">
        <f t="shared" si="1"/>
        <v>9.2528775475132718E-2</v>
      </c>
      <c r="L13" s="264">
        <f>IFERROR(2*(1+K13)/(2+K13), " ")</f>
        <v>1.0442186394565223</v>
      </c>
      <c r="M13" s="265">
        <f t="shared" si="3"/>
        <v>7.3095304761956567E-2</v>
      </c>
      <c r="N13" s="88"/>
    </row>
    <row r="14" spans="1:15" ht="12.75" customHeight="1">
      <c r="A14" s="78"/>
      <c r="B14" s="90" t="s">
        <v>99</v>
      </c>
      <c r="C14" s="89"/>
      <c r="D14" s="91"/>
      <c r="E14" s="91"/>
      <c r="F14" s="91"/>
      <c r="G14" s="91"/>
      <c r="H14" s="91"/>
      <c r="I14" s="91"/>
      <c r="J14" s="91"/>
      <c r="K14" s="91"/>
      <c r="L14" s="88"/>
      <c r="M14" s="92">
        <f>AVERAGE(M7, M9:M13)</f>
        <v>9.5257115746263429E-2</v>
      </c>
    </row>
    <row r="15" spans="1:15" ht="12.75" customHeight="1" thickBot="1">
      <c r="A15" s="78"/>
      <c r="B15" s="386" t="s">
        <v>100</v>
      </c>
      <c r="C15" s="387"/>
      <c r="D15" s="388"/>
      <c r="E15" s="388"/>
      <c r="F15" s="388"/>
      <c r="G15" s="388"/>
      <c r="H15" s="388"/>
      <c r="I15" s="388"/>
      <c r="J15" s="388"/>
      <c r="K15" s="388"/>
      <c r="L15" s="385"/>
      <c r="M15" s="389">
        <f>AVERAGE(M7:M13)</f>
        <v>9.5914783840498577E-2</v>
      </c>
    </row>
    <row r="16" spans="1:15" ht="12.75" customHeight="1">
      <c r="B16" s="93"/>
      <c r="C16" s="88"/>
      <c r="D16" s="88"/>
      <c r="E16" s="88"/>
      <c r="F16" s="88"/>
      <c r="G16" s="88"/>
      <c r="H16" s="88"/>
      <c r="I16" s="88"/>
      <c r="J16" s="88"/>
      <c r="K16" s="88"/>
      <c r="L16" s="88"/>
      <c r="M16" s="88"/>
      <c r="N16" s="88"/>
    </row>
    <row r="17" spans="2:14" ht="12.75" customHeight="1">
      <c r="B17" s="88" t="s">
        <v>21</v>
      </c>
      <c r="C17" s="88"/>
      <c r="D17" s="88"/>
      <c r="E17" s="88"/>
      <c r="F17" s="88"/>
      <c r="G17" s="88"/>
      <c r="H17" s="88"/>
      <c r="I17" s="88"/>
      <c r="J17" s="88"/>
      <c r="K17" s="88"/>
      <c r="L17" s="88"/>
      <c r="M17" s="88"/>
      <c r="N17" s="89"/>
    </row>
    <row r="18" spans="2:14" ht="12.75" customHeight="1">
      <c r="B18" s="563" t="s">
        <v>587</v>
      </c>
      <c r="C18" s="88"/>
      <c r="D18" s="88"/>
      <c r="E18" s="88"/>
      <c r="F18" s="88"/>
      <c r="G18" s="95"/>
      <c r="H18" s="96"/>
      <c r="I18" s="96"/>
      <c r="J18" s="96"/>
      <c r="K18" s="96"/>
      <c r="L18" s="96"/>
      <c r="M18" s="96"/>
      <c r="N18" s="97"/>
    </row>
    <row r="19" spans="2:14" ht="12.75" customHeight="1">
      <c r="B19" s="564" t="s">
        <v>588</v>
      </c>
      <c r="G19" s="86"/>
      <c r="H19" s="86"/>
      <c r="I19" s="84"/>
      <c r="J19" s="86"/>
      <c r="K19" s="86"/>
      <c r="L19" s="86"/>
      <c r="N19" s="86"/>
    </row>
    <row r="20" spans="2:14" ht="12.75" customHeight="1">
      <c r="B20" s="564" t="s">
        <v>589</v>
      </c>
      <c r="G20" s="84"/>
      <c r="H20" s="114"/>
      <c r="K20" s="84"/>
      <c r="L20" s="84"/>
      <c r="N20" s="84"/>
    </row>
    <row r="21" spans="2:14" ht="12.75" customHeight="1">
      <c r="B21" s="85" t="s">
        <v>132</v>
      </c>
      <c r="H21" s="115"/>
    </row>
    <row r="22" spans="2:14" ht="12.75" customHeight="1">
      <c r="B22" s="87" t="s">
        <v>590</v>
      </c>
      <c r="H22" s="115"/>
    </row>
    <row r="23" spans="2:14" ht="12.75" customHeight="1">
      <c r="B23" s="87" t="s">
        <v>591</v>
      </c>
      <c r="H23" s="115"/>
    </row>
    <row r="24" spans="2:14" ht="12.75" customHeight="1">
      <c r="B24" s="85" t="s">
        <v>133</v>
      </c>
      <c r="H24" s="115"/>
    </row>
    <row r="25" spans="2:14" ht="12.75" customHeight="1">
      <c r="B25" s="85" t="s">
        <v>134</v>
      </c>
      <c r="H25" s="115"/>
    </row>
    <row r="26" spans="2:14" ht="12.75" customHeight="1">
      <c r="B26" s="85" t="s">
        <v>135</v>
      </c>
      <c r="H26" s="115"/>
    </row>
    <row r="27" spans="2:14" ht="12.75" customHeight="1">
      <c r="B27" s="85" t="s">
        <v>136</v>
      </c>
      <c r="H27" s="115"/>
    </row>
    <row r="28" spans="2:14" ht="12.75" customHeight="1">
      <c r="B28" s="85"/>
    </row>
    <row r="29" spans="2:14" ht="12.75" customHeight="1">
      <c r="B29" s="85"/>
      <c r="H29" s="115"/>
    </row>
  </sheetData>
  <mergeCells count="1">
    <mergeCell ref="B2:M2"/>
  </mergeCells>
  <conditionalFormatting sqref="D14:K15 D7:J13">
    <cfRule type="expression" dxfId="68" priority="3">
      <formula>$D7="Yes"</formula>
    </cfRule>
  </conditionalFormatting>
  <conditionalFormatting sqref="B7:C14">
    <cfRule type="expression" dxfId="67" priority="1">
      <formula>"(blank)"</formula>
    </cfRule>
  </conditionalFormatting>
  <conditionalFormatting sqref="B7:C14">
    <cfRule type="expression" dxfId="66" priority="2">
      <formula>#REF!</formula>
    </cfRule>
  </conditionalFormatting>
  <printOptions horizontalCentered="1"/>
  <pageMargins left="0.7" right="0.7" top="1.25" bottom="0.75" header="0.3" footer="0.3"/>
  <pageSetup scale="74" orientation="landscape" useFirstPageNumber="1" r:id="rId1"/>
  <headerFooter>
    <oddHeader>&amp;RPetitioner's Exhibit No.12
 Attachment AEB-2
Vectren South
Schedule 6 (Natural Gas Utility Proxy Group)
Page &amp;P of 2</oddHeader>
  </headerFooter>
  <colBreaks count="1" manualBreakCount="1">
    <brk id="13"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F0"/>
  </sheetPr>
  <dimension ref="A1:O38"/>
  <sheetViews>
    <sheetView zoomScaleNormal="100" workbookViewId="0">
      <selection activeCell="E27" sqref="E27"/>
    </sheetView>
  </sheetViews>
  <sheetFormatPr defaultColWidth="9.140625" defaultRowHeight="12.75"/>
  <cols>
    <col min="1" max="1" width="3" style="71" customWidth="1"/>
    <col min="2" max="2" width="31.85546875" style="71" customWidth="1"/>
    <col min="3" max="3" width="5.7109375" style="71" bestFit="1" customWidth="1"/>
    <col min="4" max="4" width="13.28515625" style="71" customWidth="1"/>
    <col min="5" max="5" width="12.28515625" style="71" customWidth="1"/>
    <col min="6" max="6" width="14" style="71" customWidth="1"/>
    <col min="7" max="8" width="12" style="71" customWidth="1"/>
    <col min="9" max="9" width="13.42578125" style="71" customWidth="1"/>
    <col min="10" max="10" width="11.5703125" style="71" customWidth="1"/>
    <col min="11" max="11" width="13.140625" style="71" customWidth="1"/>
    <col min="12" max="12" width="12.42578125" style="71" customWidth="1"/>
    <col min="13" max="13" width="13.85546875" style="71" customWidth="1"/>
    <col min="14" max="14" width="19" style="71" bestFit="1" customWidth="1"/>
    <col min="15" max="16384" width="9.140625" style="71"/>
  </cols>
  <sheetData>
    <row r="1" spans="1:15" ht="12.75" customHeight="1"/>
    <row r="2" spans="1:15">
      <c r="B2" s="766" t="s">
        <v>116</v>
      </c>
      <c r="C2" s="766"/>
      <c r="D2" s="766"/>
      <c r="E2" s="766"/>
      <c r="F2" s="766"/>
      <c r="G2" s="766"/>
      <c r="H2" s="766"/>
      <c r="I2" s="766"/>
      <c r="J2" s="766"/>
      <c r="K2" s="766"/>
      <c r="L2" s="766"/>
      <c r="M2" s="766"/>
    </row>
    <row r="3" spans="1:15" ht="12.75" customHeight="1"/>
    <row r="4" spans="1:15" ht="12.75" customHeight="1" thickBot="1">
      <c r="D4" s="428" t="s">
        <v>24</v>
      </c>
      <c r="E4" s="428" t="s">
        <v>25</v>
      </c>
      <c r="F4" s="428" t="s">
        <v>26</v>
      </c>
      <c r="G4" s="428" t="s">
        <v>27</v>
      </c>
      <c r="H4" s="428" t="s">
        <v>28</v>
      </c>
      <c r="I4" s="428" t="s">
        <v>29</v>
      </c>
      <c r="J4" s="428" t="s">
        <v>117</v>
      </c>
      <c r="K4" s="428" t="s">
        <v>118</v>
      </c>
      <c r="L4" s="428" t="s">
        <v>119</v>
      </c>
      <c r="M4" s="428" t="s">
        <v>120</v>
      </c>
      <c r="O4" s="73"/>
    </row>
    <row r="5" spans="1:15" ht="63" customHeight="1">
      <c r="A5" s="74"/>
      <c r="B5" s="75"/>
      <c r="C5" s="75"/>
      <c r="D5" s="175" t="s">
        <v>121</v>
      </c>
      <c r="E5" s="175" t="s">
        <v>122</v>
      </c>
      <c r="F5" s="175" t="s">
        <v>123</v>
      </c>
      <c r="G5" s="175" t="s">
        <v>124</v>
      </c>
      <c r="H5" s="175" t="s">
        <v>125</v>
      </c>
      <c r="I5" s="175" t="s">
        <v>126</v>
      </c>
      <c r="J5" s="175" t="s">
        <v>127</v>
      </c>
      <c r="K5" s="76" t="s">
        <v>128</v>
      </c>
      <c r="L5" s="76" t="s">
        <v>129</v>
      </c>
      <c r="M5" s="76" t="s">
        <v>130</v>
      </c>
    </row>
    <row r="6" spans="1:15" ht="12.75" customHeight="1">
      <c r="A6" s="74"/>
      <c r="D6" s="74"/>
      <c r="E6" s="74"/>
      <c r="F6" s="74"/>
      <c r="G6" s="74"/>
      <c r="H6" s="74"/>
      <c r="I6" s="74"/>
      <c r="J6" s="74"/>
      <c r="K6" s="74"/>
      <c r="L6" s="74"/>
      <c r="M6" s="74"/>
      <c r="O6" s="77"/>
    </row>
    <row r="7" spans="1:15">
      <c r="A7" s="78"/>
      <c r="B7" s="42" t="s">
        <v>38</v>
      </c>
      <c r="C7" s="44" t="s">
        <v>39</v>
      </c>
      <c r="D7" s="438">
        <v>0.09</v>
      </c>
      <c r="E7" s="79">
        <v>9279.7000000000007</v>
      </c>
      <c r="F7" s="438">
        <v>0.62</v>
      </c>
      <c r="G7" s="80">
        <f>E7*F7</f>
        <v>5753.4140000000007</v>
      </c>
      <c r="H7" s="80">
        <v>16000</v>
      </c>
      <c r="I7" s="438">
        <v>0.6</v>
      </c>
      <c r="J7" s="80">
        <f>H7*I7</f>
        <v>9600</v>
      </c>
      <c r="K7" s="177">
        <f>IFERROR((J7/G7)^(1/5)-1, " ")</f>
        <v>0.10781979604067837</v>
      </c>
      <c r="L7" s="81">
        <f>IFERROR(2*(1+K7)/(2+K7), " ")</f>
        <v>1.0511522836265257</v>
      </c>
      <c r="M7" s="82">
        <f>D7*L7</f>
        <v>9.4603705526387305E-2</v>
      </c>
      <c r="N7" s="83"/>
      <c r="O7" s="84"/>
    </row>
    <row r="8" spans="1:15">
      <c r="A8" s="78"/>
      <c r="B8" s="42" t="s">
        <v>43</v>
      </c>
      <c r="C8" s="44" t="s">
        <v>44</v>
      </c>
      <c r="D8" s="438">
        <v>8.5000000000000006E-2</v>
      </c>
      <c r="E8" s="79">
        <v>1672</v>
      </c>
      <c r="F8" s="438">
        <v>0.51800000000000002</v>
      </c>
      <c r="G8" s="80">
        <f t="shared" ref="G8:G22" si="0">E8*F8</f>
        <v>866.096</v>
      </c>
      <c r="H8" s="80">
        <v>1825</v>
      </c>
      <c r="I8" s="438">
        <v>0.52500000000000002</v>
      </c>
      <c r="J8" s="80">
        <f t="shared" ref="J8:J22" si="1">H8*I8</f>
        <v>958.125</v>
      </c>
      <c r="K8" s="177">
        <f t="shared" ref="K8:K22" si="2">IFERROR((J8/G8)^(1/5)-1, " ")</f>
        <v>2.0401827798542937E-2</v>
      </c>
      <c r="L8" s="81">
        <f t="shared" ref="L8:L22" si="3">IFERROR(2*(1+K8)/(2+K8), " ")</f>
        <v>1.0100979060293036</v>
      </c>
      <c r="M8" s="82">
        <f t="shared" ref="M8:M22" si="4">D8*L8</f>
        <v>8.5858322012490815E-2</v>
      </c>
    </row>
    <row r="9" spans="1:15">
      <c r="A9" s="78"/>
      <c r="B9" s="42" t="s">
        <v>131</v>
      </c>
      <c r="C9" s="44" t="s">
        <v>47</v>
      </c>
      <c r="D9" s="438">
        <v>8.5000000000000006E-2</v>
      </c>
      <c r="E9" s="79">
        <v>3415.5</v>
      </c>
      <c r="F9" s="438">
        <v>0.623</v>
      </c>
      <c r="G9" s="80">
        <f t="shared" si="0"/>
        <v>2127.8564999999999</v>
      </c>
      <c r="H9" s="80">
        <v>4800</v>
      </c>
      <c r="I9" s="438">
        <v>0.62</v>
      </c>
      <c r="J9" s="80">
        <f t="shared" si="1"/>
        <v>2976</v>
      </c>
      <c r="K9" s="177">
        <f t="shared" si="2"/>
        <v>6.9394923423376387E-2</v>
      </c>
      <c r="L9" s="81">
        <f t="shared" si="3"/>
        <v>1.0335339198129361</v>
      </c>
      <c r="M9" s="82">
        <f t="shared" si="4"/>
        <v>8.7850383184099573E-2</v>
      </c>
    </row>
    <row r="10" spans="1:15">
      <c r="A10" s="78"/>
      <c r="B10" s="42" t="s">
        <v>48</v>
      </c>
      <c r="C10" s="44" t="s">
        <v>49</v>
      </c>
      <c r="D10" s="438">
        <v>0.12</v>
      </c>
      <c r="E10" s="79">
        <v>3493.9</v>
      </c>
      <c r="F10" s="438">
        <v>0.40799999999999997</v>
      </c>
      <c r="G10" s="80">
        <f t="shared" si="0"/>
        <v>1425.5111999999999</v>
      </c>
      <c r="H10" s="80">
        <v>5500</v>
      </c>
      <c r="I10" s="438">
        <v>0.41</v>
      </c>
      <c r="J10" s="80">
        <f t="shared" si="1"/>
        <v>2255</v>
      </c>
      <c r="K10" s="177">
        <f t="shared" si="2"/>
        <v>9.6062154627631902E-2</v>
      </c>
      <c r="L10" s="81">
        <f t="shared" si="3"/>
        <v>1.0458298216088433</v>
      </c>
      <c r="M10" s="82">
        <f t="shared" si="4"/>
        <v>0.12549957859306118</v>
      </c>
    </row>
    <row r="11" spans="1:15">
      <c r="A11" s="78"/>
      <c r="B11" s="42" t="s">
        <v>51</v>
      </c>
      <c r="C11" s="44" t="s">
        <v>52</v>
      </c>
      <c r="D11" s="438">
        <v>0.1</v>
      </c>
      <c r="E11" s="79">
        <v>4806.3999999999996</v>
      </c>
      <c r="F11" s="438">
        <v>0.52100000000000002</v>
      </c>
      <c r="G11" s="80">
        <f t="shared" si="0"/>
        <v>2504.1343999999999</v>
      </c>
      <c r="H11" s="80">
        <v>7175</v>
      </c>
      <c r="I11" s="438">
        <v>0.55500000000000005</v>
      </c>
      <c r="J11" s="80">
        <f t="shared" si="1"/>
        <v>3982.1250000000005</v>
      </c>
      <c r="K11" s="177">
        <f t="shared" si="2"/>
        <v>9.7214279072272536E-2</v>
      </c>
      <c r="L11" s="81">
        <f t="shared" si="3"/>
        <v>1.0463540039958512</v>
      </c>
      <c r="M11" s="82">
        <f t="shared" si="4"/>
        <v>0.10463540039958513</v>
      </c>
    </row>
    <row r="12" spans="1:15">
      <c r="A12" s="78"/>
      <c r="B12" s="441" t="s">
        <v>54</v>
      </c>
      <c r="C12" s="442" t="s">
        <v>55</v>
      </c>
      <c r="D12" s="438">
        <v>7.0000000000000007E-2</v>
      </c>
      <c r="E12" s="79">
        <v>4625.6000000000004</v>
      </c>
      <c r="F12" s="438">
        <v>0.55000000000000004</v>
      </c>
      <c r="G12" s="80">
        <f t="shared" si="0"/>
        <v>2544.0800000000004</v>
      </c>
      <c r="H12" s="80">
        <v>7200</v>
      </c>
      <c r="I12" s="438">
        <v>0.55000000000000004</v>
      </c>
      <c r="J12" s="80">
        <f t="shared" si="1"/>
        <v>3960.0000000000005</v>
      </c>
      <c r="K12" s="177">
        <f t="shared" si="2"/>
        <v>9.2528775475132718E-2</v>
      </c>
      <c r="L12" s="81">
        <f t="shared" si="3"/>
        <v>1.0442186394565223</v>
      </c>
      <c r="M12" s="82">
        <f t="shared" si="4"/>
        <v>7.3095304761956567E-2</v>
      </c>
      <c r="N12" s="88"/>
    </row>
    <row r="13" spans="1:15">
      <c r="A13" s="78"/>
      <c r="B13" s="3" t="s">
        <v>463</v>
      </c>
      <c r="C13" s="436" t="s">
        <v>464</v>
      </c>
      <c r="D13" s="438">
        <v>0.1</v>
      </c>
      <c r="E13" s="79">
        <v>17116</v>
      </c>
      <c r="F13" s="438">
        <v>0.47099999999999997</v>
      </c>
      <c r="G13" s="80">
        <f t="shared" si="0"/>
        <v>8061.6359999999995</v>
      </c>
      <c r="H13" s="80">
        <v>24500</v>
      </c>
      <c r="I13" s="438">
        <v>0.49</v>
      </c>
      <c r="J13" s="80">
        <f t="shared" si="1"/>
        <v>12005</v>
      </c>
      <c r="K13" s="177">
        <f t="shared" si="2"/>
        <v>8.2898609085881425E-2</v>
      </c>
      <c r="L13" s="81">
        <f t="shared" si="3"/>
        <v>1.0397996372575538</v>
      </c>
      <c r="M13" s="82">
        <f t="shared" si="4"/>
        <v>0.10397996372575538</v>
      </c>
      <c r="N13" s="88"/>
    </row>
    <row r="14" spans="1:15">
      <c r="A14" s="78"/>
      <c r="B14" s="3" t="s">
        <v>465</v>
      </c>
      <c r="C14" s="436" t="s">
        <v>466</v>
      </c>
      <c r="D14" s="438">
        <v>7.4999999999999997E-2</v>
      </c>
      <c r="E14" s="79">
        <v>3834.6</v>
      </c>
      <c r="F14" s="438">
        <v>0.50600000000000001</v>
      </c>
      <c r="G14" s="80">
        <f t="shared" si="0"/>
        <v>1940.3075999999999</v>
      </c>
      <c r="H14" s="80">
        <v>4750</v>
      </c>
      <c r="I14" s="438">
        <v>0.49</v>
      </c>
      <c r="J14" s="80">
        <f t="shared" si="1"/>
        <v>2327.5</v>
      </c>
      <c r="K14" s="177">
        <f t="shared" si="2"/>
        <v>3.7059850465761324E-2</v>
      </c>
      <c r="L14" s="81">
        <f t="shared" si="3"/>
        <v>1.0181928137542391</v>
      </c>
      <c r="M14" s="82">
        <f t="shared" si="4"/>
        <v>7.6364461031567923E-2</v>
      </c>
      <c r="N14" s="88"/>
    </row>
    <row r="15" spans="1:15">
      <c r="A15" s="78"/>
      <c r="B15" s="3" t="s">
        <v>467</v>
      </c>
      <c r="C15" s="436" t="s">
        <v>468</v>
      </c>
      <c r="D15" s="438">
        <v>0.13500000000000001</v>
      </c>
      <c r="E15" s="79">
        <v>17082</v>
      </c>
      <c r="F15" s="438">
        <v>0.29399999999999998</v>
      </c>
      <c r="G15" s="80">
        <f t="shared" si="0"/>
        <v>5022.1079999999993</v>
      </c>
      <c r="H15" s="80">
        <v>24100</v>
      </c>
      <c r="I15" s="438">
        <v>0.32</v>
      </c>
      <c r="J15" s="80">
        <f t="shared" si="1"/>
        <v>7712</v>
      </c>
      <c r="K15" s="177">
        <f t="shared" si="2"/>
        <v>8.957265342338383E-2</v>
      </c>
      <c r="L15" s="81">
        <f t="shared" si="3"/>
        <v>1.0428664939104344</v>
      </c>
      <c r="M15" s="82">
        <f t="shared" si="4"/>
        <v>0.14078697667790865</v>
      </c>
      <c r="N15" s="88"/>
    </row>
    <row r="16" spans="1:15">
      <c r="A16" s="78"/>
      <c r="B16" s="3" t="s">
        <v>469</v>
      </c>
      <c r="C16" s="436" t="s">
        <v>470</v>
      </c>
      <c r="D16" s="438">
        <v>0.11</v>
      </c>
      <c r="E16" s="79">
        <v>65818</v>
      </c>
      <c r="F16" s="438">
        <v>0.45</v>
      </c>
      <c r="G16" s="80">
        <f t="shared" si="0"/>
        <v>29618.100000000002</v>
      </c>
      <c r="H16" s="80">
        <v>69400</v>
      </c>
      <c r="I16" s="438">
        <v>0.5</v>
      </c>
      <c r="J16" s="80">
        <f t="shared" si="1"/>
        <v>34700</v>
      </c>
      <c r="K16" s="177">
        <f t="shared" si="2"/>
        <v>3.2177661855595563E-2</v>
      </c>
      <c r="L16" s="81">
        <f t="shared" si="3"/>
        <v>1.0158340791061613</v>
      </c>
      <c r="M16" s="82">
        <f t="shared" si="4"/>
        <v>0.11174174870167775</v>
      </c>
      <c r="N16" s="88"/>
    </row>
    <row r="17" spans="1:14">
      <c r="A17" s="78"/>
      <c r="B17" s="3" t="s">
        <v>471</v>
      </c>
      <c r="C17" s="436" t="s">
        <v>472</v>
      </c>
      <c r="D17" s="438">
        <v>0.11</v>
      </c>
      <c r="E17" s="79">
        <v>27607</v>
      </c>
      <c r="F17" s="438">
        <v>0.42299999999999999</v>
      </c>
      <c r="G17" s="80">
        <f t="shared" si="0"/>
        <v>11677.761</v>
      </c>
      <c r="H17" s="80">
        <v>39000</v>
      </c>
      <c r="I17" s="438">
        <v>0.41499999999999998</v>
      </c>
      <c r="J17" s="80">
        <f t="shared" si="1"/>
        <v>16185</v>
      </c>
      <c r="K17" s="177">
        <f t="shared" si="2"/>
        <v>6.7457576889145887E-2</v>
      </c>
      <c r="L17" s="81">
        <f t="shared" si="3"/>
        <v>1.032628276218682</v>
      </c>
      <c r="M17" s="82">
        <f t="shared" si="4"/>
        <v>0.11358911038405502</v>
      </c>
      <c r="N17" s="88"/>
    </row>
    <row r="18" spans="1:14">
      <c r="A18" s="78"/>
      <c r="B18" s="3" t="s">
        <v>473</v>
      </c>
      <c r="C18" s="436" t="s">
        <v>474</v>
      </c>
      <c r="D18" s="438">
        <v>8.5000000000000006E-2</v>
      </c>
      <c r="E18" s="79">
        <v>4289.8</v>
      </c>
      <c r="F18" s="438">
        <v>0.47499999999999998</v>
      </c>
      <c r="G18" s="80">
        <f t="shared" si="0"/>
        <v>2037.655</v>
      </c>
      <c r="H18" s="80">
        <v>4825</v>
      </c>
      <c r="I18" s="438">
        <v>0.5</v>
      </c>
      <c r="J18" s="80">
        <f t="shared" si="1"/>
        <v>2412.5</v>
      </c>
      <c r="K18" s="177">
        <f t="shared" si="2"/>
        <v>3.4349558712733819E-2</v>
      </c>
      <c r="L18" s="81">
        <f t="shared" si="3"/>
        <v>1.0168847868674395</v>
      </c>
      <c r="M18" s="82">
        <f t="shared" si="4"/>
        <v>8.6435206883732366E-2</v>
      </c>
      <c r="N18" s="88"/>
    </row>
    <row r="19" spans="1:14">
      <c r="A19" s="78"/>
      <c r="B19" s="3" t="s">
        <v>475</v>
      </c>
      <c r="C19" s="436" t="s">
        <v>476</v>
      </c>
      <c r="D19" s="438">
        <v>0.105</v>
      </c>
      <c r="E19" s="79">
        <v>40734</v>
      </c>
      <c r="F19" s="438">
        <v>0.434</v>
      </c>
      <c r="G19" s="80">
        <f t="shared" si="0"/>
        <v>17678.556</v>
      </c>
      <c r="H19" s="80">
        <v>58500</v>
      </c>
      <c r="I19" s="438">
        <v>0.51500000000000001</v>
      </c>
      <c r="J19" s="80">
        <f t="shared" si="1"/>
        <v>30127.5</v>
      </c>
      <c r="K19" s="177">
        <f t="shared" si="2"/>
        <v>0.11250830394509959</v>
      </c>
      <c r="L19" s="81">
        <f t="shared" si="3"/>
        <v>1.0532581593809553</v>
      </c>
      <c r="M19" s="82">
        <f t="shared" si="4"/>
        <v>0.11059210673500031</v>
      </c>
      <c r="N19" s="88"/>
    </row>
    <row r="20" spans="1:14">
      <c r="A20" s="78"/>
      <c r="B20" s="3" t="s">
        <v>477</v>
      </c>
      <c r="C20" s="436" t="s">
        <v>478</v>
      </c>
      <c r="D20" s="438">
        <v>0.125</v>
      </c>
      <c r="E20" s="79">
        <v>69594</v>
      </c>
      <c r="F20" s="438">
        <v>0.39500000000000002</v>
      </c>
      <c r="G20" s="80">
        <f t="shared" si="0"/>
        <v>27489.63</v>
      </c>
      <c r="H20" s="80">
        <v>84000</v>
      </c>
      <c r="I20" s="438">
        <v>0.39500000000000002</v>
      </c>
      <c r="J20" s="80">
        <f t="shared" si="1"/>
        <v>33180</v>
      </c>
      <c r="K20" s="177">
        <f t="shared" si="2"/>
        <v>3.8344573198617615E-2</v>
      </c>
      <c r="L20" s="81">
        <f t="shared" si="3"/>
        <v>1.0188116247384249</v>
      </c>
      <c r="M20" s="82">
        <f t="shared" si="4"/>
        <v>0.12735145309230311</v>
      </c>
      <c r="N20" s="88"/>
    </row>
    <row r="21" spans="1:14">
      <c r="A21" s="78"/>
      <c r="B21" s="3" t="s">
        <v>479</v>
      </c>
      <c r="C21" s="436" t="s">
        <v>480</v>
      </c>
      <c r="D21" s="438">
        <v>0.125</v>
      </c>
      <c r="E21" s="79">
        <v>21355</v>
      </c>
      <c r="F21" s="438">
        <v>0.47399999999999998</v>
      </c>
      <c r="G21" s="80">
        <f t="shared" si="0"/>
        <v>10122.269999999999</v>
      </c>
      <c r="H21" s="80">
        <v>25000</v>
      </c>
      <c r="I21" s="438">
        <v>0.48</v>
      </c>
      <c r="J21" s="80">
        <f t="shared" si="1"/>
        <v>12000</v>
      </c>
      <c r="K21" s="177">
        <f t="shared" si="2"/>
        <v>3.4619514777220584E-2</v>
      </c>
      <c r="L21" s="81">
        <f t="shared" si="3"/>
        <v>1.0170152279213793</v>
      </c>
      <c r="M21" s="82">
        <f t="shared" si="4"/>
        <v>0.12712690349017242</v>
      </c>
      <c r="N21" s="88"/>
    </row>
    <row r="22" spans="1:14" ht="12.75" customHeight="1">
      <c r="A22" s="78"/>
      <c r="B22" s="19" t="s">
        <v>481</v>
      </c>
      <c r="C22" s="440" t="s">
        <v>482</v>
      </c>
      <c r="D22" s="439">
        <v>0.105</v>
      </c>
      <c r="E22" s="263">
        <v>30646</v>
      </c>
      <c r="F22" s="439">
        <v>0.432</v>
      </c>
      <c r="G22" s="176">
        <f t="shared" si="0"/>
        <v>13239.072</v>
      </c>
      <c r="H22" s="176">
        <v>41700</v>
      </c>
      <c r="I22" s="439">
        <v>0.42499999999999999</v>
      </c>
      <c r="J22" s="176">
        <f t="shared" si="1"/>
        <v>17722.5</v>
      </c>
      <c r="K22" s="178">
        <f t="shared" si="2"/>
        <v>6.0067422534503701E-2</v>
      </c>
      <c r="L22" s="264">
        <f t="shared" si="3"/>
        <v>1.0291579886548581</v>
      </c>
      <c r="M22" s="265">
        <f t="shared" si="4"/>
        <v>0.1080615888087601</v>
      </c>
    </row>
    <row r="23" spans="1:14" ht="12.75" customHeight="1" thickBot="1">
      <c r="A23" s="78"/>
      <c r="B23" s="386" t="s">
        <v>99</v>
      </c>
      <c r="C23" s="387"/>
      <c r="D23" s="387"/>
      <c r="E23" s="387"/>
      <c r="F23" s="387"/>
      <c r="G23" s="387"/>
      <c r="H23" s="387"/>
      <c r="I23" s="387"/>
      <c r="J23" s="387"/>
      <c r="K23" s="387"/>
      <c r="L23" s="387"/>
      <c r="M23" s="389">
        <f>AVERAGE(M7:M22)</f>
        <v>0.1048482633755321</v>
      </c>
    </row>
    <row r="24" spans="1:14" ht="12.75" customHeight="1">
      <c r="A24" s="78"/>
      <c r="B24" s="90"/>
      <c r="C24" s="89"/>
      <c r="D24" s="91"/>
      <c r="E24" s="91"/>
      <c r="F24" s="91"/>
      <c r="G24" s="91"/>
      <c r="H24" s="91"/>
      <c r="I24" s="91"/>
      <c r="J24" s="91"/>
      <c r="K24" s="91"/>
      <c r="L24" s="88"/>
      <c r="M24" s="92"/>
    </row>
    <row r="25" spans="1:14" ht="12.75" customHeight="1">
      <c r="B25" s="93"/>
      <c r="C25" s="88"/>
      <c r="D25" s="88"/>
      <c r="E25" s="88"/>
      <c r="F25" s="88"/>
      <c r="G25" s="88"/>
      <c r="H25" s="88"/>
      <c r="I25" s="88"/>
      <c r="J25" s="88"/>
      <c r="K25" s="88"/>
      <c r="L25" s="88"/>
      <c r="M25" s="88"/>
      <c r="N25" s="88"/>
    </row>
    <row r="26" spans="1:14" ht="12.75" customHeight="1">
      <c r="B26" s="88" t="s">
        <v>21</v>
      </c>
      <c r="C26" s="88"/>
      <c r="D26" s="88"/>
      <c r="E26" s="88"/>
      <c r="F26" s="88"/>
      <c r="G26" s="88"/>
      <c r="H26" s="88"/>
      <c r="I26" s="88"/>
      <c r="J26" s="88"/>
      <c r="K26" s="88"/>
      <c r="L26" s="88"/>
      <c r="M26" s="88"/>
      <c r="N26" s="89"/>
    </row>
    <row r="27" spans="1:14" ht="12.75" customHeight="1">
      <c r="B27" s="94" t="s">
        <v>599</v>
      </c>
      <c r="C27" s="88"/>
      <c r="D27" s="88"/>
      <c r="E27" s="88"/>
      <c r="F27" s="88"/>
      <c r="G27" s="95"/>
      <c r="H27" s="96"/>
      <c r="I27" s="96"/>
      <c r="J27" s="96"/>
      <c r="K27" s="96"/>
      <c r="L27" s="96"/>
      <c r="M27" s="96"/>
      <c r="N27" s="97"/>
    </row>
    <row r="28" spans="1:14" ht="12.75" customHeight="1">
      <c r="B28" s="87" t="s">
        <v>597</v>
      </c>
      <c r="G28" s="86"/>
      <c r="H28" s="86"/>
      <c r="I28" s="84"/>
      <c r="J28" s="86"/>
      <c r="K28" s="86"/>
      <c r="L28" s="86"/>
      <c r="N28" s="86"/>
    </row>
    <row r="29" spans="1:14" ht="12.75" customHeight="1">
      <c r="B29" s="87" t="s">
        <v>600</v>
      </c>
      <c r="G29" s="84"/>
      <c r="H29" s="114"/>
      <c r="K29" s="84"/>
      <c r="L29" s="84"/>
      <c r="N29" s="84"/>
    </row>
    <row r="30" spans="1:14" ht="12.75" customHeight="1">
      <c r="B30" s="85" t="s">
        <v>132</v>
      </c>
      <c r="H30" s="115"/>
    </row>
    <row r="31" spans="1:14" ht="12.75" customHeight="1">
      <c r="B31" s="87" t="s">
        <v>601</v>
      </c>
      <c r="H31" s="115"/>
    </row>
    <row r="32" spans="1:14" ht="12.75" customHeight="1">
      <c r="B32" s="87" t="s">
        <v>602</v>
      </c>
      <c r="H32" s="115"/>
    </row>
    <row r="33" spans="2:8" ht="12.75" customHeight="1">
      <c r="B33" s="85" t="s">
        <v>133</v>
      </c>
      <c r="H33" s="115"/>
    </row>
    <row r="34" spans="2:8" ht="12.75" customHeight="1">
      <c r="B34" s="85" t="s">
        <v>134</v>
      </c>
      <c r="H34" s="115"/>
    </row>
    <row r="35" spans="2:8" ht="12.75" customHeight="1">
      <c r="B35" s="85" t="s">
        <v>135</v>
      </c>
      <c r="H35" s="115"/>
    </row>
    <row r="36" spans="2:8" ht="12.75" customHeight="1">
      <c r="B36" s="85" t="s">
        <v>136</v>
      </c>
      <c r="H36" s="115"/>
    </row>
    <row r="37" spans="2:8" ht="12.75" customHeight="1">
      <c r="B37" s="85"/>
    </row>
    <row r="38" spans="2:8" ht="12.75" customHeight="1">
      <c r="B38" s="85"/>
      <c r="H38" s="115"/>
    </row>
  </sheetData>
  <mergeCells count="1">
    <mergeCell ref="B2:M2"/>
  </mergeCells>
  <conditionalFormatting sqref="D23:K24 J22:K22 J13:J22 G13:G22 D23:L23">
    <cfRule type="expression" dxfId="65" priority="18">
      <formula>$D13="Yes"</formula>
    </cfRule>
  </conditionalFormatting>
  <conditionalFormatting sqref="B7:C12">
    <cfRule type="expression" dxfId="64" priority="16">
      <formula>"(blank)"</formula>
    </cfRule>
  </conditionalFormatting>
  <conditionalFormatting sqref="B7:C12">
    <cfRule type="expression" dxfId="63" priority="17">
      <formula>#REF!</formula>
    </cfRule>
  </conditionalFormatting>
  <conditionalFormatting sqref="D7:D22">
    <cfRule type="expression" dxfId="62" priority="15">
      <formula>$D7="Yes"</formula>
    </cfRule>
  </conditionalFormatting>
  <conditionalFormatting sqref="B13:C22">
    <cfRule type="expression" dxfId="61" priority="13">
      <formula>"(blank)"</formula>
    </cfRule>
  </conditionalFormatting>
  <conditionalFormatting sqref="B13:C22">
    <cfRule type="expression" dxfId="60" priority="14">
      <formula>#REF!</formula>
    </cfRule>
  </conditionalFormatting>
  <conditionalFormatting sqref="E13:E22">
    <cfRule type="expression" dxfId="59" priority="12">
      <formula>$D13="Yes"</formula>
    </cfRule>
  </conditionalFormatting>
  <conditionalFormatting sqref="I13:I22">
    <cfRule type="expression" dxfId="58" priority="8">
      <formula>$D13="Yes"</formula>
    </cfRule>
  </conditionalFormatting>
  <conditionalFormatting sqref="F13:F22">
    <cfRule type="expression" dxfId="57" priority="11">
      <formula>$D13="Yes"</formula>
    </cfRule>
  </conditionalFormatting>
  <conditionalFormatting sqref="H13:H22">
    <cfRule type="expression" dxfId="56" priority="9">
      <formula>$D13="Yes"</formula>
    </cfRule>
  </conditionalFormatting>
  <conditionalFormatting sqref="D7 F7:G22 I7:J22">
    <cfRule type="expression" dxfId="55" priority="7">
      <formula>$D7="Yes"</formula>
    </cfRule>
  </conditionalFormatting>
  <conditionalFormatting sqref="D8:J12">
    <cfRule type="expression" dxfId="54" priority="6">
      <formula>$D8="Yes"</formula>
    </cfRule>
  </conditionalFormatting>
  <conditionalFormatting sqref="E7:E22">
    <cfRule type="expression" dxfId="53" priority="4">
      <formula>$D7="Yes"</formula>
    </cfRule>
  </conditionalFormatting>
  <conditionalFormatting sqref="F7:F22">
    <cfRule type="expression" dxfId="52" priority="3">
      <formula>$D7="Yes"</formula>
    </cfRule>
  </conditionalFormatting>
  <conditionalFormatting sqref="H7:H22">
    <cfRule type="expression" dxfId="51" priority="2">
      <formula>$D7="Yes"</formula>
    </cfRule>
  </conditionalFormatting>
  <conditionalFormatting sqref="I7:I22">
    <cfRule type="expression" dxfId="50" priority="1">
      <formula>$D7="Yes"</formula>
    </cfRule>
  </conditionalFormatting>
  <printOptions horizontalCentered="1"/>
  <pageMargins left="0.7" right="0.7" top="1.25" bottom="0.75" header="0.3" footer="0.3"/>
  <pageSetup scale="74" firstPageNumber="2" orientation="landscape" useFirstPageNumber="1" r:id="rId1"/>
  <headerFooter>
    <oddHeader>&amp;RPetitioner's Exhibit No.12
 Attachment AEB-2
Vectren South
Schedule 6 (Alternative Proxy Group)
Page &amp;P of 2</oddHeader>
  </headerFooter>
  <colBreaks count="1" manualBreakCount="1">
    <brk id="13"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8">
    <tabColor rgb="FF92D050"/>
  </sheetPr>
  <dimension ref="B2:M67"/>
  <sheetViews>
    <sheetView zoomScaleNormal="100" workbookViewId="0">
      <selection activeCell="G27" sqref="G27"/>
    </sheetView>
  </sheetViews>
  <sheetFormatPr defaultColWidth="9.140625" defaultRowHeight="12.75"/>
  <cols>
    <col min="1" max="1" width="2.42578125" style="181" customWidth="1"/>
    <col min="2" max="2" width="17.5703125" style="181" customWidth="1"/>
    <col min="3" max="3" width="19.5703125" style="181" customWidth="1"/>
    <col min="4" max="4" width="16.28515625" style="181" customWidth="1"/>
    <col min="5" max="5" width="9.140625" style="181" customWidth="1"/>
    <col min="6" max="6" width="13.85546875" style="181" bestFit="1" customWidth="1"/>
    <col min="7" max="7" width="13.7109375" style="181" customWidth="1"/>
    <col min="8" max="8" width="2.42578125" style="181" customWidth="1"/>
    <col min="9" max="9" width="12.28515625" style="181" bestFit="1" customWidth="1"/>
    <col min="10" max="10" width="14.42578125" style="181" customWidth="1"/>
    <col min="11" max="16384" width="9.140625" style="181"/>
  </cols>
  <sheetData>
    <row r="2" spans="2:12" s="204" customFormat="1">
      <c r="B2" s="180" t="s">
        <v>137</v>
      </c>
      <c r="C2" s="180"/>
      <c r="D2" s="180"/>
      <c r="E2" s="180"/>
      <c r="F2" s="180"/>
      <c r="G2" s="180"/>
    </row>
    <row r="4" spans="2:12">
      <c r="B4" s="180" t="s">
        <v>138</v>
      </c>
      <c r="C4" s="180"/>
      <c r="D4" s="180"/>
      <c r="E4" s="180"/>
      <c r="F4" s="180"/>
      <c r="G4" s="180"/>
    </row>
    <row r="6" spans="2:12" ht="13.5" thickBot="1">
      <c r="F6" s="267" t="s">
        <v>24</v>
      </c>
      <c r="G6" s="267" t="s">
        <v>25</v>
      </c>
    </row>
    <row r="7" spans="2:12">
      <c r="B7" s="268"/>
      <c r="C7" s="268"/>
      <c r="D7" s="268"/>
      <c r="E7" s="268"/>
      <c r="F7" s="269" t="s">
        <v>139</v>
      </c>
      <c r="G7" s="268"/>
    </row>
    <row r="8" spans="2:12">
      <c r="F8" s="291" t="s">
        <v>140</v>
      </c>
      <c r="G8" s="291" t="s">
        <v>141</v>
      </c>
    </row>
    <row r="9" spans="2:12">
      <c r="B9" s="182" t="s">
        <v>30</v>
      </c>
      <c r="C9" s="182"/>
      <c r="D9" s="182"/>
      <c r="E9" s="183" t="s">
        <v>31</v>
      </c>
      <c r="F9" s="183" t="s">
        <v>142</v>
      </c>
      <c r="G9" s="183" t="s">
        <v>143</v>
      </c>
    </row>
    <row r="10" spans="2:12">
      <c r="B10" s="180"/>
      <c r="C10" s="180"/>
      <c r="D10" s="180"/>
      <c r="E10" s="291"/>
      <c r="F10" s="291"/>
      <c r="G10" s="291"/>
    </row>
    <row r="11" spans="2:12">
      <c r="B11" s="270" t="s">
        <v>38</v>
      </c>
      <c r="E11" s="271" t="s">
        <v>39</v>
      </c>
      <c r="F11" s="184">
        <v>11.881634109999997</v>
      </c>
      <c r="G11" s="184">
        <v>1.8388366666666667</v>
      </c>
    </row>
    <row r="12" spans="2:12">
      <c r="B12" s="270" t="s">
        <v>79</v>
      </c>
      <c r="E12" s="271" t="s">
        <v>80</v>
      </c>
      <c r="F12" s="184">
        <v>2.76512381</v>
      </c>
      <c r="G12" s="184">
        <v>1.5036666666666667</v>
      </c>
    </row>
    <row r="13" spans="2:12">
      <c r="B13" s="270" t="s">
        <v>43</v>
      </c>
      <c r="E13" s="271" t="s">
        <v>44</v>
      </c>
      <c r="F13" s="184">
        <v>1.4653336866666666</v>
      </c>
      <c r="G13" s="184">
        <v>1.6576133333333334</v>
      </c>
    </row>
    <row r="14" spans="2:12">
      <c r="B14" s="270" t="s">
        <v>46</v>
      </c>
      <c r="E14" s="271" t="s">
        <v>47</v>
      </c>
      <c r="F14" s="184">
        <v>3.7632318800000006</v>
      </c>
      <c r="G14" s="184">
        <v>1.7168099999999997</v>
      </c>
    </row>
    <row r="15" spans="2:12">
      <c r="B15" s="270" t="s">
        <v>48</v>
      </c>
      <c r="C15" s="185"/>
      <c r="E15" s="185" t="s">
        <v>49</v>
      </c>
      <c r="F15" s="184">
        <v>2.0996050133333335</v>
      </c>
      <c r="G15" s="184">
        <v>1.2600133333333332</v>
      </c>
      <c r="L15" s="186"/>
    </row>
    <row r="16" spans="2:12">
      <c r="B16" s="270" t="s">
        <v>51</v>
      </c>
      <c r="E16" s="271" t="s">
        <v>52</v>
      </c>
      <c r="F16" s="184">
        <v>3.4604916499999994</v>
      </c>
      <c r="G16" s="184">
        <v>1.3252033333333333</v>
      </c>
    </row>
    <row r="17" spans="2:10">
      <c r="B17" s="270" t="s">
        <v>54</v>
      </c>
      <c r="E17" s="271" t="s">
        <v>55</v>
      </c>
      <c r="F17" s="184">
        <v>2.8460342033333337</v>
      </c>
      <c r="G17" s="184">
        <v>1.2286500000000002</v>
      </c>
    </row>
    <row r="18" spans="2:10">
      <c r="B18" s="272"/>
      <c r="C18" s="187"/>
      <c r="D18" s="187"/>
      <c r="E18" s="273"/>
      <c r="F18" s="188"/>
      <c r="G18" s="188"/>
    </row>
    <row r="19" spans="2:10">
      <c r="B19" s="767" t="s">
        <v>144</v>
      </c>
      <c r="C19" s="767"/>
      <c r="D19" s="767"/>
      <c r="E19" s="271"/>
      <c r="F19" s="274">
        <f>AVERAGE(F11, F13:F17)</f>
        <v>4.252721757222222</v>
      </c>
      <c r="G19" s="274">
        <f>AVERAGE(G11, G13:G17)</f>
        <v>1.5045211111111112</v>
      </c>
      <c r="I19" s="266"/>
    </row>
    <row r="20" spans="2:10">
      <c r="B20" s="767" t="s">
        <v>570</v>
      </c>
      <c r="C20" s="767"/>
      <c r="D20" s="767"/>
      <c r="F20" s="274">
        <f>AVERAGE(F11:F17)</f>
        <v>4.0402077647619041</v>
      </c>
      <c r="G20" s="274">
        <f>AVERAGE(G11:G17)</f>
        <v>1.5043990476190476</v>
      </c>
    </row>
    <row r="21" spans="2:10">
      <c r="B21" s="767" t="s">
        <v>459</v>
      </c>
      <c r="C21" s="767"/>
      <c r="D21" s="767"/>
      <c r="F21" s="274">
        <f>MEDIAN(F11, F13:F17)</f>
        <v>3.1532629266666667</v>
      </c>
      <c r="G21" s="274">
        <f>MEDIAN(G11, G13:G17)</f>
        <v>1.4914083333333332</v>
      </c>
    </row>
    <row r="22" spans="2:10" ht="13.5" thickBot="1">
      <c r="B22" s="521" t="s">
        <v>571</v>
      </c>
      <c r="C22" s="521"/>
      <c r="D22" s="521"/>
      <c r="E22" s="522"/>
      <c r="F22" s="523">
        <f>MEDIAN(F11:F17)</f>
        <v>2.8460342033333337</v>
      </c>
      <c r="G22" s="523">
        <f>MEDIAN(G11:G17)</f>
        <v>1.5036666666666667</v>
      </c>
    </row>
    <row r="23" spans="2:10" s="204" customFormat="1">
      <c r="B23" s="181"/>
      <c r="C23" s="181"/>
      <c r="D23" s="181"/>
      <c r="E23" s="181"/>
      <c r="F23" s="181"/>
      <c r="G23" s="181"/>
    </row>
    <row r="25" spans="2:10">
      <c r="B25" s="181" t="s">
        <v>431</v>
      </c>
      <c r="G25" s="275"/>
    </row>
    <row r="26" spans="2:10">
      <c r="B26" s="525" t="s">
        <v>432</v>
      </c>
      <c r="C26" s="204"/>
      <c r="D26" s="204"/>
      <c r="E26" s="204"/>
      <c r="F26" s="204"/>
      <c r="G26" s="729">
        <v>432.60783400000003</v>
      </c>
    </row>
    <row r="27" spans="2:10">
      <c r="B27" s="307" t="s">
        <v>145</v>
      </c>
      <c r="G27" s="730">
        <v>0.55489999999999995</v>
      </c>
    </row>
    <row r="28" spans="2:10">
      <c r="B28" s="276" t="s">
        <v>146</v>
      </c>
      <c r="G28" s="275">
        <f>G26*G27</f>
        <v>240.05408708659999</v>
      </c>
    </row>
    <row r="29" spans="2:10">
      <c r="B29" s="276" t="s">
        <v>147</v>
      </c>
      <c r="C29" s="518"/>
      <c r="D29" s="518"/>
      <c r="E29" s="518"/>
      <c r="F29" s="518"/>
      <c r="G29" s="275">
        <f>G28*G21</f>
        <v>358.01866593168091</v>
      </c>
      <c r="J29" s="275">
        <f>G28*G22</f>
        <v>360.96132894921755</v>
      </c>
    </row>
    <row r="30" spans="2:10">
      <c r="B30" s="189" t="s">
        <v>148</v>
      </c>
      <c r="G30" s="394">
        <f>G29/(F21*1000)</f>
        <v>0.11353910988645169</v>
      </c>
      <c r="H30" s="180"/>
      <c r="J30" s="524">
        <f>J29/(F22*1000)</f>
        <v>0.12682958220475785</v>
      </c>
    </row>
    <row r="31" spans="2:10">
      <c r="B31" s="189"/>
    </row>
    <row r="33" spans="2:13">
      <c r="B33" s="180" t="s">
        <v>149</v>
      </c>
      <c r="C33" s="180"/>
      <c r="D33" s="180"/>
      <c r="E33" s="180"/>
      <c r="F33" s="180"/>
      <c r="G33" s="180"/>
    </row>
    <row r="34" spans="2:13">
      <c r="B34" s="180"/>
      <c r="C34" s="180"/>
      <c r="D34" s="180"/>
      <c r="E34" s="180"/>
      <c r="F34" s="180"/>
      <c r="G34" s="180"/>
    </row>
    <row r="35" spans="2:13" ht="13.5" thickBot="1">
      <c r="F35" s="267" t="s">
        <v>29</v>
      </c>
      <c r="G35" s="267" t="s">
        <v>117</v>
      </c>
      <c r="J35" s="390"/>
    </row>
    <row r="36" spans="2:13">
      <c r="B36" s="268"/>
      <c r="C36" s="268"/>
      <c r="D36" s="268"/>
      <c r="E36" s="268"/>
      <c r="F36" s="277" t="s">
        <v>139</v>
      </c>
      <c r="G36" s="278"/>
    </row>
    <row r="37" spans="2:13">
      <c r="F37" s="279" t="s">
        <v>140</v>
      </c>
      <c r="G37" s="280"/>
      <c r="I37" s="190"/>
    </row>
    <row r="38" spans="2:13">
      <c r="F38" s="279" t="s">
        <v>150</v>
      </c>
      <c r="G38" s="280"/>
      <c r="I38" s="190"/>
    </row>
    <row r="39" spans="2:13">
      <c r="F39" s="279" t="s">
        <v>30</v>
      </c>
      <c r="G39" s="279" t="s">
        <v>151</v>
      </c>
      <c r="I39" s="190"/>
    </row>
    <row r="40" spans="2:13">
      <c r="B40" s="187" t="s">
        <v>152</v>
      </c>
      <c r="C40" s="187"/>
      <c r="D40" s="187"/>
      <c r="E40" s="187"/>
      <c r="F40" s="281" t="s">
        <v>153</v>
      </c>
      <c r="G40" s="281" t="s">
        <v>154</v>
      </c>
      <c r="I40" s="190"/>
      <c r="K40" s="191"/>
      <c r="L40" s="191"/>
    </row>
    <row r="41" spans="2:13">
      <c r="B41" s="304" t="s">
        <v>155</v>
      </c>
      <c r="F41" s="282">
        <v>1061355.0109999999</v>
      </c>
      <c r="G41" s="191">
        <f>(11.25%-4.94%)-(0.92*(12.09%-4.94%))</f>
        <v>-2.6800000000000018E-3</v>
      </c>
      <c r="I41" s="190"/>
      <c r="K41" s="191"/>
      <c r="L41" s="191"/>
      <c r="M41" s="191"/>
    </row>
    <row r="42" spans="2:13">
      <c r="B42" s="304">
        <v>2</v>
      </c>
      <c r="F42" s="282">
        <v>30542.936000000002</v>
      </c>
      <c r="G42" s="191">
        <f>(12.86%-4.94%)-(1.04*(12.09%-4.94%))</f>
        <v>4.840000000000011E-3</v>
      </c>
      <c r="I42" s="190"/>
    </row>
    <row r="43" spans="2:13">
      <c r="B43" s="304">
        <v>3</v>
      </c>
      <c r="F43" s="282">
        <v>13100.225</v>
      </c>
      <c r="G43" s="191">
        <f>(13.57%-4.94%)-(1.11*(12.09%-4.94%))</f>
        <v>6.9350000000000245E-3</v>
      </c>
      <c r="I43" s="190"/>
    </row>
    <row r="44" spans="2:13">
      <c r="B44" s="304">
        <v>4</v>
      </c>
      <c r="F44" s="282">
        <v>6614.9620000000004</v>
      </c>
      <c r="G44" s="191">
        <f>(13.79%-4.94%)-(1.13*(12.09%-4.94%))</f>
        <v>7.7050000000000313E-3</v>
      </c>
      <c r="I44" s="190"/>
    </row>
    <row r="45" spans="2:13">
      <c r="B45" s="304">
        <v>5</v>
      </c>
      <c r="F45" s="282">
        <v>4311.2520000000004</v>
      </c>
      <c r="G45" s="191">
        <f>(14.39%-4.94%)-(1.17*(12.09%-4.94%))</f>
        <v>1.0845000000000035E-2</v>
      </c>
      <c r="I45" s="190"/>
    </row>
    <row r="46" spans="2:13">
      <c r="B46" s="304">
        <v>6</v>
      </c>
      <c r="F46" s="282">
        <v>2685.8649999999998</v>
      </c>
      <c r="G46" s="191">
        <f>(14.68%-4.94%)-(1.17*(12.09%-4.94%))</f>
        <v>1.3745000000000021E-2</v>
      </c>
      <c r="I46" s="190"/>
    </row>
    <row r="47" spans="2:13">
      <c r="B47" s="304">
        <v>7</v>
      </c>
      <c r="F47" s="282">
        <v>1668.2819999999999</v>
      </c>
      <c r="G47" s="191">
        <f>(15.35%-4.94%)-(1.25*(12.09%-4.94%))</f>
        <v>1.4725000000000016E-2</v>
      </c>
      <c r="I47" s="190"/>
    </row>
    <row r="48" spans="2:13">
      <c r="B48" s="304">
        <v>8</v>
      </c>
      <c r="F48" s="282">
        <v>993.84699999999998</v>
      </c>
      <c r="G48" s="191">
        <f>(15.84%-4.94%)-(1.3*(12.09%-4.94%))</f>
        <v>1.6050000000000009E-2</v>
      </c>
    </row>
    <row r="49" spans="2:11">
      <c r="B49" s="304">
        <v>9</v>
      </c>
      <c r="F49" s="282">
        <v>515.60199999999998</v>
      </c>
      <c r="G49" s="191">
        <f>(16.71%-4.94%)-(1.33*(12.09%-4.94%))</f>
        <v>2.2605000000000014E-2</v>
      </c>
    </row>
    <row r="50" spans="2:11">
      <c r="B50" s="192" t="s">
        <v>156</v>
      </c>
      <c r="C50" s="187"/>
      <c r="D50" s="187"/>
      <c r="E50" s="187"/>
      <c r="F50" s="283">
        <v>229.74799999999999</v>
      </c>
      <c r="G50" s="193">
        <f>(19.87%-4.94%)-(1.39*(12.09%-4.94%))</f>
        <v>4.9915000000000057E-2</v>
      </c>
    </row>
    <row r="51" spans="2:11">
      <c r="I51" s="266"/>
    </row>
    <row r="52" spans="2:11">
      <c r="B52" s="390" t="s">
        <v>433</v>
      </c>
      <c r="F52" s="446">
        <f>G29</f>
        <v>358.01866593168091</v>
      </c>
      <c r="G52" s="447">
        <f>G49</f>
        <v>2.2605000000000014E-2</v>
      </c>
      <c r="I52" s="266"/>
      <c r="J52" s="229">
        <f>J29</f>
        <v>360.96132894921755</v>
      </c>
      <c r="K52" s="191">
        <f>G49</f>
        <v>2.2605000000000014E-2</v>
      </c>
    </row>
    <row r="53" spans="2:11">
      <c r="B53" s="390" t="s">
        <v>434</v>
      </c>
      <c r="F53" s="446">
        <f>F21*1000</f>
        <v>3153.2629266666668</v>
      </c>
      <c r="G53" s="448">
        <f>G45</f>
        <v>1.0845000000000035E-2</v>
      </c>
      <c r="J53" s="229">
        <f>F22*1000</f>
        <v>2846.0342033333336</v>
      </c>
      <c r="K53" s="191">
        <f>G45</f>
        <v>1.0845000000000035E-2</v>
      </c>
    </row>
    <row r="55" spans="2:11">
      <c r="B55" s="181" t="s">
        <v>157</v>
      </c>
      <c r="G55" s="191">
        <f>G52-G53</f>
        <v>1.1759999999999979E-2</v>
      </c>
      <c r="K55" s="191">
        <f>K52-K53</f>
        <v>1.1759999999999979E-2</v>
      </c>
    </row>
    <row r="58" spans="2:11">
      <c r="B58" s="284" t="s">
        <v>21</v>
      </c>
      <c r="C58" s="187"/>
    </row>
    <row r="59" spans="2:11">
      <c r="B59" s="391" t="s">
        <v>609</v>
      </c>
    </row>
    <row r="60" spans="2:11">
      <c r="B60" s="391" t="s">
        <v>610</v>
      </c>
    </row>
    <row r="61" spans="2:11">
      <c r="B61" s="391" t="s">
        <v>435</v>
      </c>
    </row>
    <row r="62" spans="2:11">
      <c r="B62" s="280" t="s">
        <v>158</v>
      </c>
    </row>
    <row r="63" spans="2:11">
      <c r="B63" s="391" t="s">
        <v>425</v>
      </c>
    </row>
    <row r="64" spans="2:11">
      <c r="B64" s="280" t="s">
        <v>159</v>
      </c>
    </row>
    <row r="65" spans="2:2">
      <c r="B65" s="280" t="s">
        <v>160</v>
      </c>
    </row>
    <row r="66" spans="2:2">
      <c r="B66" s="280" t="str">
        <f>"[8] Equals "&amp;TEXT(G52,"0.00%")&amp;" − "&amp;TEXT(G53,"0.00%")</f>
        <v>[8] Equals 2.26% − 1.08%</v>
      </c>
    </row>
    <row r="67" spans="2:2">
      <c r="B67" s="285"/>
    </row>
  </sheetData>
  <mergeCells count="3">
    <mergeCell ref="B20:D20"/>
    <mergeCell ref="B19:D19"/>
    <mergeCell ref="B21:D21"/>
  </mergeCells>
  <conditionalFormatting sqref="B16:B17 B11:B14">
    <cfRule type="expression" dxfId="49" priority="5">
      <formula>"(blank)"</formula>
    </cfRule>
  </conditionalFormatting>
  <conditionalFormatting sqref="B16:B17 B11:B14">
    <cfRule type="expression" dxfId="48" priority="6">
      <formula>#REF!</formula>
    </cfRule>
  </conditionalFormatting>
  <conditionalFormatting sqref="B15:C15">
    <cfRule type="expression" dxfId="47" priority="3">
      <formula>"(blank)"</formula>
    </cfRule>
  </conditionalFormatting>
  <conditionalFormatting sqref="B15:C15">
    <cfRule type="expression" dxfId="46" priority="4">
      <formula>#REF!</formula>
    </cfRule>
  </conditionalFormatting>
  <conditionalFormatting sqref="E15">
    <cfRule type="expression" dxfId="45" priority="1">
      <formula>"(blank)"</formula>
    </cfRule>
  </conditionalFormatting>
  <conditionalFormatting sqref="E15">
    <cfRule type="expression" dxfId="44" priority="2">
      <formula>#REF!</formula>
    </cfRule>
  </conditionalFormatting>
  <printOptions horizontalCentered="1"/>
  <pageMargins left="0.7" right="0.7" top="1.25" bottom="0.75" header="0.3" footer="0.3"/>
  <pageSetup scale="55" orientation="landscape" useFirstPageNumber="1" r:id="rId1"/>
  <headerFooter>
    <oddHeader>&amp;RPetitioner's Exhibit No.12
 Attachment AEB-2
Vectren South
REVISED
Schedule 7 (Natural Gas Utility Proxy Group)
Page &amp;P of 1</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
    <tabColor rgb="FF92D050"/>
  </sheetPr>
  <dimension ref="A1:N54"/>
  <sheetViews>
    <sheetView zoomScaleNormal="100" workbookViewId="0">
      <selection activeCell="E27" sqref="E27"/>
    </sheetView>
  </sheetViews>
  <sheetFormatPr defaultRowHeight="12.75"/>
  <cols>
    <col min="1" max="1" width="48" customWidth="1"/>
    <col min="2" max="2" width="11.140625" bestFit="1" customWidth="1"/>
    <col min="3" max="3" width="11.140625" customWidth="1"/>
    <col min="4" max="4" width="10.28515625" customWidth="1"/>
    <col min="5" max="8" width="10.5703125" customWidth="1"/>
    <col min="9" max="10" width="12.7109375" bestFit="1" customWidth="1"/>
    <col min="11" max="13" width="10.5703125" customWidth="1"/>
  </cols>
  <sheetData>
    <row r="1" spans="1:14">
      <c r="A1" s="3"/>
      <c r="B1" s="3"/>
      <c r="C1" s="3"/>
      <c r="D1" s="3"/>
      <c r="E1" s="3"/>
      <c r="F1" s="3"/>
      <c r="G1" s="3"/>
      <c r="H1" s="3"/>
      <c r="I1" s="3"/>
      <c r="J1" s="3"/>
      <c r="K1" s="3"/>
      <c r="L1" s="3"/>
      <c r="M1" s="3"/>
      <c r="N1" s="3"/>
    </row>
    <row r="2" spans="1:14" ht="13.35" customHeight="1">
      <c r="A2" s="768" t="s">
        <v>197</v>
      </c>
      <c r="B2" s="768"/>
      <c r="C2" s="768"/>
      <c r="D2" s="768"/>
      <c r="E2" s="768"/>
      <c r="F2" s="768"/>
      <c r="G2" s="768"/>
      <c r="H2" s="768"/>
      <c r="I2" s="768"/>
      <c r="J2" s="768"/>
      <c r="K2" s="768"/>
      <c r="L2" s="768"/>
      <c r="M2" s="768"/>
      <c r="N2" s="3"/>
    </row>
    <row r="3" spans="1:14" ht="13.5" thickBot="1">
      <c r="A3" s="3"/>
      <c r="B3" s="3"/>
      <c r="C3" s="3"/>
      <c r="D3" s="3"/>
      <c r="E3" s="3"/>
      <c r="F3" s="3"/>
      <c r="G3" s="3"/>
      <c r="H3" s="3"/>
      <c r="I3" s="3"/>
      <c r="J3" s="3"/>
      <c r="K3" s="3"/>
      <c r="L3" s="3"/>
      <c r="M3" s="3"/>
      <c r="N3" s="3"/>
    </row>
    <row r="4" spans="1:14" ht="51.75" customHeight="1">
      <c r="A4" s="124" t="s">
        <v>30</v>
      </c>
      <c r="B4" s="125" t="s">
        <v>198</v>
      </c>
      <c r="C4" s="126" t="s">
        <v>199</v>
      </c>
      <c r="D4" s="126" t="s">
        <v>200</v>
      </c>
      <c r="E4" s="126" t="s">
        <v>201</v>
      </c>
      <c r="F4" s="126" t="s">
        <v>202</v>
      </c>
      <c r="G4" s="126" t="s">
        <v>203</v>
      </c>
      <c r="H4" s="126" t="s">
        <v>204</v>
      </c>
      <c r="I4" s="126" t="s">
        <v>205</v>
      </c>
      <c r="J4" s="126" t="s">
        <v>206</v>
      </c>
      <c r="K4" s="126" t="s">
        <v>207</v>
      </c>
      <c r="L4" s="3"/>
      <c r="M4" s="3"/>
      <c r="N4" s="3"/>
    </row>
    <row r="5" spans="1:14">
      <c r="A5" s="3"/>
      <c r="B5" s="3"/>
      <c r="C5" s="3"/>
      <c r="D5" s="3"/>
      <c r="E5" s="3"/>
      <c r="F5" s="3"/>
      <c r="G5" s="3"/>
      <c r="H5" s="3"/>
      <c r="I5" s="3"/>
      <c r="J5" s="3"/>
      <c r="K5" s="3"/>
      <c r="L5" s="3"/>
      <c r="N5" s="3"/>
    </row>
    <row r="6" spans="1:14">
      <c r="A6" s="127" t="s">
        <v>429</v>
      </c>
      <c r="B6" s="128">
        <v>43369</v>
      </c>
      <c r="C6" s="129">
        <v>69633.027000000002</v>
      </c>
      <c r="D6" s="130">
        <v>27.25</v>
      </c>
      <c r="E6" s="130">
        <v>0.75</v>
      </c>
      <c r="F6" s="131">
        <v>1000</v>
      </c>
      <c r="G6" s="132">
        <f>J6/C6</f>
        <v>26.485638998574625</v>
      </c>
      <c r="H6" s="133">
        <f>E6*C6+F6</f>
        <v>53224.770250000001</v>
      </c>
      <c r="I6" s="133">
        <f>C6*D6</f>
        <v>1897499.98575</v>
      </c>
      <c r="J6" s="133">
        <f>I6-H6</f>
        <v>1844275.2154999999</v>
      </c>
      <c r="K6" s="235">
        <f>H6/I6</f>
        <v>2.8049945006435689E-2</v>
      </c>
      <c r="M6" s="3"/>
      <c r="N6" s="3"/>
    </row>
    <row r="7" spans="1:14" ht="12" customHeight="1">
      <c r="A7" s="127" t="s">
        <v>429</v>
      </c>
      <c r="B7" s="128">
        <v>40338</v>
      </c>
      <c r="C7" s="129">
        <v>25300</v>
      </c>
      <c r="D7" s="130">
        <v>12.9</v>
      </c>
      <c r="E7" s="130">
        <v>0.45150000000000001</v>
      </c>
      <c r="F7" s="131">
        <v>390</v>
      </c>
      <c r="G7" s="132">
        <f>J7/C7</f>
        <v>12.433084980237153</v>
      </c>
      <c r="H7" s="133">
        <f>E7*C7+F7</f>
        <v>11812.95</v>
      </c>
      <c r="I7" s="133">
        <f>C7*D7</f>
        <v>326370</v>
      </c>
      <c r="J7" s="133">
        <f>I7-H7</f>
        <v>314557.05</v>
      </c>
      <c r="K7" s="235">
        <f>H7/I7</f>
        <v>3.6194962772313634E-2</v>
      </c>
      <c r="L7" s="3"/>
      <c r="M7" s="3"/>
      <c r="N7" s="3"/>
    </row>
    <row r="8" spans="1:14" ht="12" customHeight="1">
      <c r="A8" s="127" t="s">
        <v>429</v>
      </c>
      <c r="B8" s="128">
        <v>40066</v>
      </c>
      <c r="C8" s="129">
        <v>24150</v>
      </c>
      <c r="D8" s="130">
        <v>12</v>
      </c>
      <c r="E8" s="130">
        <v>0.42</v>
      </c>
      <c r="F8" s="131">
        <v>345</v>
      </c>
      <c r="G8" s="132">
        <f>J8/C8</f>
        <v>11.565714285714286</v>
      </c>
      <c r="H8" s="133">
        <f>E8*C8+F8</f>
        <v>10488</v>
      </c>
      <c r="I8" s="133">
        <f>C8*D8</f>
        <v>289800</v>
      </c>
      <c r="J8" s="133">
        <f>I8-H8</f>
        <v>279312</v>
      </c>
      <c r="K8" s="235">
        <f>H8/I8</f>
        <v>3.619047619047619E-2</v>
      </c>
      <c r="L8" s="3"/>
      <c r="M8" s="3"/>
      <c r="N8" s="3"/>
    </row>
    <row r="9" spans="1:14" ht="12" customHeight="1">
      <c r="A9" s="127" t="s">
        <v>430</v>
      </c>
      <c r="B9" s="128">
        <v>39135</v>
      </c>
      <c r="C9" s="129">
        <v>5290</v>
      </c>
      <c r="D9" s="130">
        <v>28.33</v>
      </c>
      <c r="E9" s="130">
        <v>0.99</v>
      </c>
      <c r="F9" s="131">
        <v>425</v>
      </c>
      <c r="G9" s="132">
        <f t="shared" ref="G9:G11" si="0">J9/C9</f>
        <v>27.259659735349711</v>
      </c>
      <c r="H9" s="133">
        <f t="shared" ref="H9:H11" si="1">E9*C9+F9</f>
        <v>5662.1</v>
      </c>
      <c r="I9" s="133">
        <f t="shared" ref="I9:I11" si="2">C9*D9</f>
        <v>149865.69999999998</v>
      </c>
      <c r="J9" s="133">
        <f t="shared" ref="J9:J11" si="3">I9-H9</f>
        <v>144203.59999999998</v>
      </c>
      <c r="K9" s="235">
        <f t="shared" ref="K9:K11" si="4">H9/I9</f>
        <v>3.7781160065311813E-2</v>
      </c>
      <c r="L9" s="3"/>
      <c r="M9" s="3"/>
      <c r="N9" s="3"/>
    </row>
    <row r="10" spans="1:14" ht="12" customHeight="1">
      <c r="A10" s="127" t="s">
        <v>430</v>
      </c>
      <c r="B10" s="128">
        <v>37840</v>
      </c>
      <c r="C10" s="129">
        <v>7475</v>
      </c>
      <c r="D10" s="130">
        <v>22.81</v>
      </c>
      <c r="E10" s="130">
        <v>0.79800000000000004</v>
      </c>
      <c r="F10" s="131">
        <v>300</v>
      </c>
      <c r="G10" s="132">
        <f t="shared" si="0"/>
        <v>21.971866220735787</v>
      </c>
      <c r="H10" s="133">
        <f t="shared" si="1"/>
        <v>6265.05</v>
      </c>
      <c r="I10" s="133">
        <f t="shared" si="2"/>
        <v>170504.75</v>
      </c>
      <c r="J10" s="133">
        <f t="shared" si="3"/>
        <v>164239.70000000001</v>
      </c>
      <c r="K10" s="235">
        <f t="shared" si="4"/>
        <v>3.6744137626664362E-2</v>
      </c>
      <c r="L10" s="3"/>
      <c r="M10" s="3"/>
      <c r="N10" s="3"/>
    </row>
    <row r="11" spans="1:14" ht="12" customHeight="1">
      <c r="A11" s="127" t="s">
        <v>430</v>
      </c>
      <c r="B11" s="128">
        <v>36930</v>
      </c>
      <c r="C11" s="129">
        <v>5500</v>
      </c>
      <c r="D11" s="130">
        <v>21.27</v>
      </c>
      <c r="E11" s="130">
        <v>0.74</v>
      </c>
      <c r="F11" s="131">
        <v>425</v>
      </c>
      <c r="G11" s="132">
        <f t="shared" si="0"/>
        <v>20.452727272727273</v>
      </c>
      <c r="H11" s="133">
        <f t="shared" si="1"/>
        <v>4495</v>
      </c>
      <c r="I11" s="133">
        <f t="shared" si="2"/>
        <v>116985</v>
      </c>
      <c r="J11" s="133">
        <f t="shared" si="3"/>
        <v>112490</v>
      </c>
      <c r="K11" s="235">
        <f t="shared" si="4"/>
        <v>3.8423729537974953E-2</v>
      </c>
      <c r="L11" s="3"/>
      <c r="M11" s="3"/>
      <c r="N11" s="3"/>
    </row>
    <row r="12" spans="1:14" ht="13.5" thickBot="1">
      <c r="A12" s="134"/>
      <c r="B12" s="134"/>
      <c r="C12" s="134"/>
      <c r="D12" s="134"/>
      <c r="E12" s="134"/>
      <c r="F12" s="135"/>
      <c r="G12" s="135"/>
      <c r="H12" s="136">
        <f>SUM(H6:H11)</f>
        <v>91947.870250000007</v>
      </c>
      <c r="I12" s="136">
        <f t="shared" ref="I12" si="5">SUM(I6:I11)</f>
        <v>2951025.4357500002</v>
      </c>
      <c r="J12" s="136">
        <f>SUM(J6:J11)</f>
        <v>2859077.5655</v>
      </c>
      <c r="K12" s="137">
        <f>H12/I12</f>
        <v>3.115793891035424E-2</v>
      </c>
      <c r="L12" s="3"/>
      <c r="M12" s="3"/>
      <c r="N12" s="3"/>
    </row>
    <row r="13" spans="1:14">
      <c r="A13" s="3"/>
      <c r="B13" s="3"/>
      <c r="C13" s="138"/>
      <c r="D13" s="3"/>
      <c r="E13" s="3"/>
      <c r="F13" s="139"/>
      <c r="G13" s="139"/>
      <c r="H13" s="140"/>
      <c r="I13" s="3"/>
      <c r="J13" s="3"/>
      <c r="K13" s="3"/>
      <c r="L13" s="3"/>
      <c r="M13" s="3"/>
      <c r="N13" s="3"/>
    </row>
    <row r="14" spans="1:14">
      <c r="A14" s="141" t="s">
        <v>21</v>
      </c>
      <c r="B14" s="3"/>
      <c r="C14" s="3"/>
      <c r="D14" s="3"/>
      <c r="E14" s="3"/>
      <c r="F14" s="139"/>
      <c r="G14" s="139"/>
      <c r="H14" s="140"/>
      <c r="I14" s="3"/>
      <c r="J14" s="3"/>
      <c r="K14" s="3"/>
      <c r="L14" s="3"/>
      <c r="M14" s="3"/>
      <c r="N14" s="3"/>
    </row>
    <row r="15" spans="1:14">
      <c r="A15" s="142" t="s">
        <v>208</v>
      </c>
      <c r="B15" s="3"/>
      <c r="C15" s="3"/>
      <c r="D15" s="3"/>
      <c r="E15" s="3"/>
      <c r="F15" s="3"/>
      <c r="G15" s="3"/>
      <c r="H15" s="3"/>
      <c r="I15" s="3"/>
      <c r="J15" s="3"/>
      <c r="K15" s="3"/>
      <c r="L15" s="3"/>
      <c r="M15" s="3"/>
      <c r="N15" s="3"/>
    </row>
    <row r="16" spans="1:14">
      <c r="A16" s="142" t="s">
        <v>209</v>
      </c>
      <c r="B16" s="3"/>
      <c r="C16" s="3"/>
      <c r="D16" s="3"/>
      <c r="E16" s="3"/>
      <c r="F16" s="3"/>
      <c r="G16" s="3"/>
      <c r="H16" s="3"/>
      <c r="I16" s="3"/>
      <c r="J16" s="3"/>
      <c r="K16" s="3"/>
      <c r="L16" s="3"/>
      <c r="M16" s="3"/>
      <c r="N16" s="3"/>
    </row>
    <row r="17" spans="1:14">
      <c r="A17" s="142"/>
      <c r="B17" s="3"/>
      <c r="C17" s="3"/>
      <c r="D17" s="3"/>
      <c r="E17" s="3"/>
      <c r="F17" s="3"/>
      <c r="G17" s="3"/>
      <c r="H17" s="3"/>
      <c r="I17" s="3"/>
      <c r="J17" s="3"/>
      <c r="K17" s="3"/>
      <c r="L17" s="3"/>
      <c r="M17" s="3"/>
      <c r="N17" s="3"/>
    </row>
    <row r="18" spans="1:14">
      <c r="A18" s="3" t="str">
        <f>"The flotation cost adjustment is derived by dividing the dividend yield by 1 − F (where F = flotation costs expressed in percentage terms), or by "&amp;TEXT(1-K12,"0.0000")&amp;", and adding that result to the constant growth rate"</f>
        <v>The flotation cost adjustment is derived by dividing the dividend yield by 1 − F (where F = flotation costs expressed in percentage terms), or by 0.9688, and adding that result to the constant growth rate</v>
      </c>
      <c r="B18" s="3"/>
      <c r="C18" s="3"/>
      <c r="D18" s="3"/>
      <c r="E18" s="3"/>
      <c r="F18" s="3"/>
      <c r="G18" s="3"/>
      <c r="H18" s="3"/>
      <c r="I18" s="3"/>
      <c r="J18" s="3"/>
      <c r="K18" s="3"/>
      <c r="L18" s="143"/>
      <c r="M18" s="3"/>
      <c r="N18" s="3"/>
    </row>
    <row r="19" spans="1:14">
      <c r="A19" s="3" t="s">
        <v>210</v>
      </c>
      <c r="B19" s="3"/>
      <c r="C19" s="3"/>
      <c r="D19" s="3"/>
      <c r="E19" s="3"/>
      <c r="F19" s="3"/>
      <c r="G19" s="3"/>
      <c r="H19" s="3"/>
      <c r="I19" s="3"/>
      <c r="J19" s="3"/>
      <c r="K19" s="3"/>
      <c r="L19" s="3"/>
      <c r="M19" s="3"/>
      <c r="N19" s="3"/>
    </row>
    <row r="20" spans="1:14">
      <c r="A20" s="3"/>
      <c r="B20" s="3"/>
      <c r="C20" s="3"/>
      <c r="D20" s="3"/>
      <c r="E20" s="3"/>
      <c r="F20" s="3"/>
      <c r="G20" s="3"/>
      <c r="H20" s="3"/>
      <c r="I20" s="3"/>
      <c r="J20" s="3"/>
      <c r="K20" s="3"/>
      <c r="L20" s="3"/>
      <c r="M20" s="3"/>
      <c r="N20" s="3"/>
    </row>
    <row r="21" spans="1:14">
      <c r="A21" s="3"/>
      <c r="B21" s="3"/>
      <c r="C21" s="3"/>
      <c r="D21" s="3"/>
      <c r="E21" s="3"/>
      <c r="F21" s="3"/>
      <c r="G21" s="3"/>
      <c r="H21" s="3"/>
      <c r="I21" s="3"/>
      <c r="J21" s="3"/>
      <c r="K21" s="3"/>
      <c r="L21" s="3"/>
      <c r="M21" s="3"/>
      <c r="N21" s="3"/>
    </row>
    <row r="22" spans="1:14">
      <c r="A22" s="3"/>
      <c r="B22" s="3"/>
      <c r="C22" s="3"/>
      <c r="D22" s="3"/>
      <c r="E22" s="3"/>
      <c r="F22" s="3"/>
      <c r="G22" s="3"/>
      <c r="H22" s="3"/>
      <c r="I22" s="3"/>
      <c r="J22" s="3"/>
      <c r="K22" s="3"/>
      <c r="L22" s="3"/>
      <c r="M22" s="3"/>
      <c r="N22" s="3"/>
    </row>
    <row r="23" spans="1:14">
      <c r="A23" s="3"/>
      <c r="B23" s="3"/>
      <c r="C23" s="3"/>
      <c r="D23" s="3"/>
      <c r="E23" s="3"/>
      <c r="F23" s="3"/>
      <c r="G23" s="3"/>
      <c r="H23" s="3"/>
      <c r="I23" s="3"/>
      <c r="J23" s="3"/>
      <c r="K23" s="3"/>
      <c r="L23" s="3"/>
      <c r="M23" s="3"/>
      <c r="N23" s="3"/>
    </row>
    <row r="24" spans="1:14">
      <c r="A24" s="3"/>
      <c r="B24" s="3"/>
      <c r="C24" s="3"/>
      <c r="D24" s="3"/>
      <c r="E24" s="3"/>
      <c r="F24" s="3"/>
      <c r="G24" s="3"/>
      <c r="H24" s="3"/>
      <c r="I24" s="3"/>
      <c r="J24" s="3"/>
      <c r="K24" s="3"/>
      <c r="L24" s="3"/>
      <c r="M24" s="3"/>
      <c r="N24" s="3"/>
    </row>
    <row r="25" spans="1:14" ht="13.5" thickBot="1">
      <c r="A25" s="3"/>
      <c r="B25" s="3"/>
      <c r="C25" s="302" t="s">
        <v>24</v>
      </c>
      <c r="D25" s="302" t="s">
        <v>25</v>
      </c>
      <c r="E25" s="302" t="s">
        <v>26</v>
      </c>
      <c r="F25" s="302" t="s">
        <v>27</v>
      </c>
      <c r="G25" s="302" t="s">
        <v>28</v>
      </c>
      <c r="H25" s="302" t="s">
        <v>29</v>
      </c>
      <c r="I25" s="302" t="s">
        <v>117</v>
      </c>
      <c r="J25" s="302" t="s">
        <v>118</v>
      </c>
      <c r="K25" s="302" t="s">
        <v>119</v>
      </c>
      <c r="L25" s="302" t="s">
        <v>120</v>
      </c>
      <c r="M25" s="302" t="s">
        <v>211</v>
      </c>
      <c r="N25" s="3"/>
    </row>
    <row r="26" spans="1:14" ht="89.25">
      <c r="A26" s="124" t="s">
        <v>30</v>
      </c>
      <c r="B26" s="125" t="s">
        <v>31</v>
      </c>
      <c r="C26" s="126" t="s">
        <v>68</v>
      </c>
      <c r="D26" s="126" t="s">
        <v>212</v>
      </c>
      <c r="E26" s="126" t="s">
        <v>70</v>
      </c>
      <c r="F26" s="126" t="s">
        <v>71</v>
      </c>
      <c r="G26" s="126" t="s">
        <v>213</v>
      </c>
      <c r="H26" s="126" t="s">
        <v>72</v>
      </c>
      <c r="I26" s="126" t="s">
        <v>73</v>
      </c>
      <c r="J26" s="126" t="s">
        <v>74</v>
      </c>
      <c r="K26" s="126" t="s">
        <v>214</v>
      </c>
      <c r="L26" s="126" t="s">
        <v>215</v>
      </c>
      <c r="M26" s="126" t="s">
        <v>216</v>
      </c>
      <c r="N26" s="3"/>
    </row>
    <row r="27" spans="1:14">
      <c r="A27" s="3"/>
      <c r="B27" s="3"/>
      <c r="C27" s="3"/>
      <c r="D27" s="3"/>
      <c r="E27" s="3"/>
      <c r="F27" s="3"/>
      <c r="G27" s="3"/>
      <c r="H27" s="3"/>
      <c r="I27" s="3"/>
      <c r="J27" s="3"/>
      <c r="K27" s="3"/>
      <c r="L27" s="3"/>
      <c r="M27" s="3"/>
      <c r="N27" s="3"/>
    </row>
    <row r="28" spans="1:14">
      <c r="A28" s="3" t="s">
        <v>38</v>
      </c>
      <c r="B28" s="302" t="s">
        <v>39</v>
      </c>
      <c r="C28" s="144">
        <f>'Schedule-3 Constant DCF 1 Gas P'!C7</f>
        <v>2.2999999999999998</v>
      </c>
      <c r="D28" s="144">
        <f>'Schedule-3 Constant DCF 1 Gas P'!D7</f>
        <v>96.501333333333335</v>
      </c>
      <c r="E28" s="116">
        <f>IFERROR(C28/D28,"")</f>
        <v>2.3833867580413396E-2</v>
      </c>
      <c r="F28" s="110">
        <f>E28*(1+(0.5*K28))</f>
        <v>2.4689900657676577E-2</v>
      </c>
      <c r="G28" s="110">
        <f>F28/(1-$K$12)</f>
        <v>2.5483927307933064E-2</v>
      </c>
      <c r="H28" s="116">
        <f>'Schedule-3 Constant DCF 1 Gas P'!G7</f>
        <v>7.0000000000000007E-2</v>
      </c>
      <c r="I28" s="116">
        <f>'Schedule-3 Constant DCF 1 Gas P'!H7</f>
        <v>7.2499999999999995E-2</v>
      </c>
      <c r="J28" s="116">
        <f>'Schedule-3 Constant DCF 1 Gas P'!I7</f>
        <v>7.2999999999999995E-2</v>
      </c>
      <c r="K28" s="116">
        <f>AVERAGE(H28:J28)</f>
        <v>7.1833333333333346E-2</v>
      </c>
      <c r="L28" s="110">
        <f>K28+F28</f>
        <v>9.6523233991009927E-2</v>
      </c>
      <c r="M28" s="110">
        <f>K28+G28</f>
        <v>9.7317260641266418E-2</v>
      </c>
      <c r="N28" s="3"/>
    </row>
    <row r="29" spans="1:14">
      <c r="A29" s="3" t="s">
        <v>79</v>
      </c>
      <c r="B29" s="302" t="s">
        <v>80</v>
      </c>
      <c r="C29" s="144">
        <f>'Schedule-3 Constant DCF 1 Gas P'!C8</f>
        <v>1.33</v>
      </c>
      <c r="D29" s="144">
        <f>'Schedule-3 Constant DCF 1 Gas P'!D8</f>
        <v>28.904333333333337</v>
      </c>
      <c r="E29" s="116">
        <f t="shared" ref="E29:E33" si="6">IFERROR(C29/D29,"")</f>
        <v>4.601386182002698E-2</v>
      </c>
      <c r="F29" s="110">
        <f t="shared" ref="F29:F34" si="7">E29*(1+(0.5*K29))</f>
        <v>4.7087518595827611E-2</v>
      </c>
      <c r="G29" s="110">
        <f t="shared" ref="G29:G33" si="8">F29/(1-$K$12)</f>
        <v>4.8601852135598665E-2</v>
      </c>
      <c r="H29" s="116">
        <f>'Schedule-3 Constant DCF 1 Gas P'!G8</f>
        <v>0.02</v>
      </c>
      <c r="I29" s="116">
        <f>'Schedule-3 Constant DCF 1 Gas P'!H8</f>
        <v>0.06</v>
      </c>
      <c r="J29" s="116">
        <f>'Schedule-3 Constant DCF 1 Gas P'!I8</f>
        <v>0.06</v>
      </c>
      <c r="K29" s="116">
        <f t="shared" ref="K29:K33" si="9">AVERAGE(H29:J29)</f>
        <v>4.6666666666666669E-2</v>
      </c>
      <c r="L29" s="110">
        <f t="shared" ref="L29:L33" si="10">K29+F29</f>
        <v>9.375418526249428E-2</v>
      </c>
      <c r="M29" s="110">
        <f t="shared" ref="M29:M34" si="11">K29+G29</f>
        <v>9.5268518802265334E-2</v>
      </c>
      <c r="N29" s="3"/>
    </row>
    <row r="30" spans="1:14">
      <c r="A30" s="3" t="s">
        <v>43</v>
      </c>
      <c r="B30" s="302" t="s">
        <v>44</v>
      </c>
      <c r="C30" s="144">
        <f>'Schedule-3 Constant DCF 1 Gas P'!C9</f>
        <v>1.91</v>
      </c>
      <c r="D30" s="144">
        <f>'Schedule-3 Constant DCF 1 Gas P'!D9</f>
        <v>48.104999999999997</v>
      </c>
      <c r="E30" s="116">
        <f t="shared" si="6"/>
        <v>3.9704812389564498E-2</v>
      </c>
      <c r="F30" s="110">
        <f t="shared" si="7"/>
        <v>4.0536477325997806E-2</v>
      </c>
      <c r="G30" s="110">
        <f t="shared" si="8"/>
        <v>4.1840129525762833E-2</v>
      </c>
      <c r="H30" s="116">
        <f>'Schedule-3 Constant DCF 1 Gas P'!G9</f>
        <v>5.9677199268453274E-2</v>
      </c>
      <c r="I30" s="116">
        <f>'Schedule-3 Constant DCF 1 Gas P'!H9</f>
        <v>3.3000000000000002E-2</v>
      </c>
      <c r="J30" s="116">
        <f>'Schedule-3 Constant DCF 1 Gas P'!I9</f>
        <v>3.3000000000000002E-2</v>
      </c>
      <c r="K30" s="116">
        <f t="shared" si="9"/>
        <v>4.189239975615109E-2</v>
      </c>
      <c r="L30" s="110">
        <f t="shared" si="10"/>
        <v>8.2428877082148896E-2</v>
      </c>
      <c r="M30" s="110">
        <f t="shared" si="11"/>
        <v>8.3732529281913923E-2</v>
      </c>
      <c r="N30" s="3"/>
    </row>
    <row r="31" spans="1:14">
      <c r="A31" s="3" t="s">
        <v>46</v>
      </c>
      <c r="B31" s="302" t="s">
        <v>47</v>
      </c>
      <c r="C31" s="144">
        <f>'Schedule-3 Constant DCF 1 Gas P'!C10</f>
        <v>2.16</v>
      </c>
      <c r="D31" s="144">
        <f>'Schedule-3 Constant DCF 1 Gas P'!D10</f>
        <v>71.150000000000034</v>
      </c>
      <c r="E31" s="116">
        <f>IFERROR(C31/D31,"")</f>
        <v>3.0358397751229782E-2</v>
      </c>
      <c r="F31" s="110">
        <f>E31*(1+(0.5*K31))</f>
        <v>3.1218552354181292E-2</v>
      </c>
      <c r="G31" s="110">
        <f>F31/(1-$K$12)</f>
        <v>3.2222540296268865E-2</v>
      </c>
      <c r="H31" s="116">
        <f>'Schedule-3 Constant DCF 1 Gas P'!G10</f>
        <v>6.5000000000000002E-2</v>
      </c>
      <c r="I31" s="116">
        <f>'Schedule-3 Constant DCF 1 Gas P'!H10</f>
        <v>0.05</v>
      </c>
      <c r="J31" s="116">
        <f>'Schedule-3 Constant DCF 1 Gas P'!I10</f>
        <v>5.5E-2</v>
      </c>
      <c r="K31" s="116">
        <f t="shared" si="9"/>
        <v>5.6666666666666671E-2</v>
      </c>
      <c r="L31" s="110">
        <f>K31+F31</f>
        <v>8.7885219020847963E-2</v>
      </c>
      <c r="M31" s="110">
        <f t="shared" si="11"/>
        <v>8.8889206962935535E-2</v>
      </c>
      <c r="N31" s="3"/>
    </row>
    <row r="32" spans="1:14">
      <c r="A32" s="3" t="s">
        <v>48</v>
      </c>
      <c r="B32" s="302" t="s">
        <v>49</v>
      </c>
      <c r="C32" s="144">
        <f>'Schedule-3 Constant DCF 1 Gas P'!C11</f>
        <v>1.18</v>
      </c>
      <c r="D32" s="144">
        <f>'Schedule-3 Constant DCF 1 Gas P'!D11</f>
        <v>20.931000000000001</v>
      </c>
      <c r="E32" s="116">
        <f t="shared" si="6"/>
        <v>5.6375710668386599E-2</v>
      </c>
      <c r="F32" s="110">
        <f t="shared" si="7"/>
        <v>5.956093832115044E-2</v>
      </c>
      <c r="G32" s="110">
        <f t="shared" si="8"/>
        <v>6.1476416758953385E-2</v>
      </c>
      <c r="H32" s="116">
        <f>'Schedule-3 Constant DCF 1 Gas P'!G11</f>
        <v>0.125</v>
      </c>
      <c r="I32" s="116">
        <f>'Schedule-3 Constant DCF 1 Gas P'!H11</f>
        <v>0.107</v>
      </c>
      <c r="J32" s="116">
        <f>'Schedule-3 Constant DCF 1 Gas P'!I11</f>
        <v>0.107</v>
      </c>
      <c r="K32" s="116">
        <f t="shared" si="9"/>
        <v>0.11299999999999999</v>
      </c>
      <c r="L32" s="110">
        <f t="shared" si="10"/>
        <v>0.17256093832115044</v>
      </c>
      <c r="M32" s="110">
        <f t="shared" si="11"/>
        <v>0.17447641675895337</v>
      </c>
      <c r="N32" s="3"/>
    </row>
    <row r="33" spans="1:14">
      <c r="A33" s="3" t="s">
        <v>51</v>
      </c>
      <c r="B33" s="302" t="s">
        <v>52</v>
      </c>
      <c r="C33" s="144">
        <f>'Schedule-3 Constant DCF 1 Gas P'!C12</f>
        <v>2.2799999999999998</v>
      </c>
      <c r="D33" s="144">
        <f>'Schedule-3 Constant DCF 1 Gas P'!D12</f>
        <v>62.986999999999995</v>
      </c>
      <c r="E33" s="116">
        <f t="shared" si="6"/>
        <v>3.6197945607823835E-2</v>
      </c>
      <c r="F33" s="110">
        <f t="shared" si="7"/>
        <v>3.728388397605855E-2</v>
      </c>
      <c r="G33" s="110">
        <f t="shared" si="8"/>
        <v>3.8482932846790101E-2</v>
      </c>
      <c r="H33" s="116">
        <f>'Schedule-3 Constant DCF 1 Gas P'!G12</f>
        <v>0.09</v>
      </c>
      <c r="I33" s="116">
        <f>'Schedule-3 Constant DCF 1 Gas P'!H12</f>
        <v>0.04</v>
      </c>
      <c r="J33" s="116">
        <f>'Schedule-3 Constant DCF 1 Gas P'!I12</f>
        <v>0.05</v>
      </c>
      <c r="K33" s="116">
        <f t="shared" si="9"/>
        <v>0.06</v>
      </c>
      <c r="L33" s="110">
        <f t="shared" si="10"/>
        <v>9.7283883976058555E-2</v>
      </c>
      <c r="M33" s="110">
        <f t="shared" si="11"/>
        <v>9.8482932846790106E-2</v>
      </c>
      <c r="N33" s="3"/>
    </row>
    <row r="34" spans="1:14">
      <c r="A34" s="3" t="s">
        <v>54</v>
      </c>
      <c r="B34" s="302" t="s">
        <v>55</v>
      </c>
      <c r="C34" s="144">
        <f>'Schedule-3 Constant DCF 1 Gas P'!C13</f>
        <v>2.4900000000000002</v>
      </c>
      <c r="D34" s="144">
        <f>'Schedule-3 Constant DCF 1 Gas P'!D13</f>
        <v>55.367333333333328</v>
      </c>
      <c r="E34" s="116">
        <f>IFERROR(C34/D34,"")</f>
        <v>4.4972366377286258E-2</v>
      </c>
      <c r="F34" s="110">
        <f t="shared" si="7"/>
        <v>4.6097425076158036E-2</v>
      </c>
      <c r="G34" s="110">
        <f>F34/(1-$K$12)</f>
        <v>4.7579917230588423E-2</v>
      </c>
      <c r="H34" s="116">
        <f>'Schedule-3 Constant DCF 1 Gas P'!G13</f>
        <v>5.5E-2</v>
      </c>
      <c r="I34" s="116">
        <f>'Schedule-3 Constant DCF 1 Gas P'!H13</f>
        <v>4.7100000000000003E-2</v>
      </c>
      <c r="J34" s="116">
        <f>'Schedule-3 Constant DCF 1 Gas P'!I13</f>
        <v>4.8000000000000001E-2</v>
      </c>
      <c r="K34" s="116">
        <f>AVERAGE(H34:J34)</f>
        <v>5.0033333333333339E-2</v>
      </c>
      <c r="L34" s="110">
        <f>K34+F34</f>
        <v>9.6130758409491368E-2</v>
      </c>
      <c r="M34" s="110">
        <f t="shared" si="11"/>
        <v>9.7613250563921755E-2</v>
      </c>
      <c r="N34" s="3"/>
    </row>
    <row r="36" spans="1:14">
      <c r="A36" s="294" t="s">
        <v>99</v>
      </c>
      <c r="B36" s="18"/>
      <c r="C36" s="18"/>
      <c r="D36" s="18"/>
      <c r="E36" s="18"/>
      <c r="F36" s="18"/>
      <c r="G36" s="18"/>
      <c r="H36" s="18"/>
      <c r="I36" s="18"/>
      <c r="J36" s="18"/>
      <c r="K36" s="18"/>
      <c r="L36" s="297">
        <f>AVERAGE(L28, L30:L34)</f>
        <v>0.10546881846678452</v>
      </c>
      <c r="M36" s="297">
        <f>AVERAGE(M28, M30:M34)</f>
        <v>0.10675193284263018</v>
      </c>
      <c r="N36" s="3"/>
    </row>
    <row r="37" spans="1:14">
      <c r="A37" s="294" t="s">
        <v>422</v>
      </c>
      <c r="B37" s="18"/>
      <c r="C37" s="18"/>
      <c r="D37" s="18"/>
      <c r="E37" s="18"/>
      <c r="F37" s="18"/>
      <c r="G37" s="18"/>
      <c r="H37" s="18"/>
      <c r="I37" s="18"/>
      <c r="J37" s="18"/>
      <c r="K37" s="18"/>
      <c r="L37" s="295"/>
      <c r="M37" s="296">
        <f>M36-L36</f>
        <v>1.283114375845662E-3</v>
      </c>
      <c r="N37" s="3"/>
    </row>
    <row r="38" spans="1:14">
      <c r="A38" s="294" t="s">
        <v>100</v>
      </c>
      <c r="B38" s="18"/>
      <c r="C38" s="18"/>
      <c r="D38" s="18"/>
      <c r="E38" s="18"/>
      <c r="F38" s="18"/>
      <c r="G38" s="18"/>
      <c r="H38" s="18"/>
      <c r="I38" s="18"/>
      <c r="J38" s="18"/>
      <c r="K38" s="18"/>
      <c r="L38" s="297">
        <f>AVERAGE(L28:L34)</f>
        <v>0.10379529943760021</v>
      </c>
      <c r="M38" s="297">
        <f>AVERAGE(M28:M34)</f>
        <v>0.10511144512257807</v>
      </c>
      <c r="N38" s="3"/>
    </row>
    <row r="39" spans="1:14" ht="13.5" thickBot="1">
      <c r="A39" s="145" t="s">
        <v>423</v>
      </c>
      <c r="B39" s="146"/>
      <c r="C39" s="146"/>
      <c r="D39" s="146"/>
      <c r="E39" s="146"/>
      <c r="F39" s="146"/>
      <c r="G39" s="146"/>
      <c r="H39" s="146"/>
      <c r="I39" s="146"/>
      <c r="J39" s="146"/>
      <c r="K39" s="146"/>
      <c r="L39" s="147"/>
      <c r="M39" s="148">
        <f>M38-L38</f>
        <v>1.3161456849778569E-3</v>
      </c>
      <c r="N39" s="3"/>
    </row>
    <row r="40" spans="1:14">
      <c r="A40" s="3"/>
      <c r="B40" s="3"/>
      <c r="C40" s="3"/>
      <c r="D40" s="3"/>
      <c r="E40" s="3"/>
      <c r="F40" s="3"/>
      <c r="G40" s="3"/>
      <c r="H40" s="3"/>
      <c r="I40" s="3"/>
      <c r="J40" s="3"/>
      <c r="K40" s="3"/>
      <c r="L40" s="3"/>
      <c r="M40" s="3"/>
      <c r="N40" s="3"/>
    </row>
    <row r="41" spans="1:14">
      <c r="A41" s="19" t="s">
        <v>21</v>
      </c>
      <c r="B41" s="3"/>
      <c r="C41" s="3"/>
      <c r="D41" s="3"/>
      <c r="E41" s="3"/>
      <c r="F41" s="3"/>
      <c r="G41" s="3"/>
      <c r="H41" s="3"/>
      <c r="I41" s="3"/>
      <c r="J41" s="3"/>
      <c r="K41" s="3"/>
      <c r="L41" s="3"/>
      <c r="M41" s="3"/>
      <c r="N41" s="3"/>
    </row>
    <row r="42" spans="1:14">
      <c r="A42" s="3" t="s">
        <v>592</v>
      </c>
      <c r="B42" s="3"/>
      <c r="C42" s="3"/>
      <c r="D42" s="3"/>
      <c r="E42" s="3"/>
      <c r="F42" s="3"/>
      <c r="G42" s="3"/>
      <c r="H42" s="3"/>
      <c r="I42" s="3"/>
      <c r="J42" s="3"/>
      <c r="K42" s="3"/>
      <c r="L42" s="3"/>
      <c r="M42" s="3"/>
      <c r="N42" s="3"/>
    </row>
    <row r="43" spans="1:14">
      <c r="A43" s="3" t="s">
        <v>593</v>
      </c>
      <c r="B43" s="3"/>
      <c r="C43" s="3"/>
      <c r="D43" s="3"/>
      <c r="E43" s="3"/>
      <c r="F43" s="3"/>
      <c r="G43" s="3"/>
      <c r="H43" s="3"/>
      <c r="I43" s="3"/>
      <c r="J43" s="3"/>
      <c r="K43" s="3"/>
      <c r="L43" s="3"/>
      <c r="M43" s="3"/>
      <c r="N43" s="3"/>
    </row>
    <row r="44" spans="1:14">
      <c r="A44" s="3" t="s">
        <v>81</v>
      </c>
      <c r="B44" s="3"/>
      <c r="C44" s="3"/>
      <c r="D44" s="3"/>
      <c r="E44" s="3"/>
      <c r="F44" s="3"/>
      <c r="G44" s="3"/>
      <c r="H44" s="3"/>
      <c r="I44" s="3"/>
      <c r="J44" s="3"/>
      <c r="K44" s="3"/>
      <c r="L44" s="3"/>
      <c r="M44" s="3"/>
      <c r="N44" s="3"/>
    </row>
    <row r="45" spans="1:14">
      <c r="A45" s="3" t="s">
        <v>217</v>
      </c>
      <c r="B45" s="3"/>
      <c r="C45" s="3"/>
      <c r="D45" s="3"/>
      <c r="E45" s="3"/>
      <c r="F45" s="3"/>
      <c r="G45" s="3"/>
      <c r="H45" s="3"/>
      <c r="I45" s="3"/>
      <c r="J45" s="3"/>
      <c r="K45" s="3"/>
      <c r="L45" s="3"/>
      <c r="M45" s="3"/>
      <c r="N45" s="3"/>
    </row>
    <row r="46" spans="1:14">
      <c r="A46" s="3" t="s">
        <v>218</v>
      </c>
      <c r="B46" s="3"/>
      <c r="C46" s="3"/>
      <c r="D46" s="3"/>
      <c r="E46" s="3"/>
      <c r="F46" s="3"/>
      <c r="G46" s="3"/>
      <c r="H46" s="3"/>
      <c r="I46" s="3"/>
      <c r="J46" s="3"/>
      <c r="K46" s="3"/>
      <c r="L46" s="3"/>
      <c r="M46" s="3"/>
      <c r="N46" s="3"/>
    </row>
    <row r="47" spans="1:14">
      <c r="A47" s="3" t="s">
        <v>219</v>
      </c>
      <c r="B47" s="3"/>
      <c r="C47" s="3"/>
      <c r="D47" s="3"/>
      <c r="E47" s="3"/>
      <c r="F47" s="3"/>
      <c r="G47" s="3"/>
      <c r="H47" s="3"/>
      <c r="I47" s="3"/>
      <c r="J47" s="3"/>
      <c r="K47" s="3"/>
      <c r="L47" s="3"/>
      <c r="M47" s="3"/>
      <c r="N47" s="3"/>
    </row>
    <row r="48" spans="1:14">
      <c r="A48" s="3" t="s">
        <v>220</v>
      </c>
      <c r="B48" s="3"/>
      <c r="C48" s="3"/>
      <c r="D48" s="3"/>
      <c r="E48" s="3"/>
      <c r="F48" s="3"/>
      <c r="G48" s="3"/>
      <c r="H48" s="3"/>
      <c r="I48" s="3"/>
      <c r="J48" s="3"/>
      <c r="K48" s="3"/>
      <c r="L48" s="3"/>
      <c r="M48" s="3"/>
      <c r="N48" s="3"/>
    </row>
    <row r="49" spans="1:14">
      <c r="A49" s="3" t="s">
        <v>221</v>
      </c>
      <c r="B49" s="3"/>
      <c r="C49" s="3"/>
      <c r="D49" s="3"/>
      <c r="E49" s="3"/>
      <c r="F49" s="3"/>
      <c r="G49" s="3"/>
      <c r="H49" s="3"/>
      <c r="I49" s="3"/>
      <c r="J49" s="3"/>
      <c r="K49" s="3"/>
      <c r="L49" s="3"/>
      <c r="M49" s="3"/>
      <c r="N49" s="3"/>
    </row>
    <row r="50" spans="1:14">
      <c r="A50" s="3" t="s">
        <v>222</v>
      </c>
      <c r="B50" s="3"/>
      <c r="C50" s="3"/>
      <c r="D50" s="3"/>
      <c r="E50" s="3"/>
      <c r="F50" s="3"/>
      <c r="G50" s="3"/>
      <c r="H50" s="3"/>
      <c r="I50" s="3"/>
      <c r="J50" s="3"/>
      <c r="K50" s="3"/>
      <c r="L50" s="3"/>
      <c r="M50" s="3"/>
      <c r="N50" s="3"/>
    </row>
    <row r="51" spans="1:14">
      <c r="A51" s="3" t="s">
        <v>223</v>
      </c>
      <c r="B51" s="3"/>
      <c r="C51" s="3"/>
      <c r="D51" s="3"/>
      <c r="E51" s="3"/>
      <c r="F51" s="3"/>
      <c r="G51" s="3"/>
      <c r="H51" s="3"/>
      <c r="I51" s="3"/>
      <c r="J51" s="3"/>
      <c r="K51" s="3"/>
      <c r="L51" s="3"/>
      <c r="M51" s="3"/>
      <c r="N51" s="3"/>
    </row>
    <row r="52" spans="1:14">
      <c r="A52" s="3" t="s">
        <v>224</v>
      </c>
      <c r="B52" s="3"/>
      <c r="C52" s="3"/>
      <c r="D52" s="3"/>
      <c r="E52" s="3"/>
      <c r="F52" s="3"/>
      <c r="G52" s="3"/>
      <c r="H52" s="3"/>
      <c r="I52" s="3"/>
      <c r="J52" s="3"/>
      <c r="K52" s="3"/>
      <c r="L52" s="3"/>
      <c r="M52" s="3"/>
      <c r="N52" s="3"/>
    </row>
    <row r="53" spans="1:14">
      <c r="A53" s="3" t="s">
        <v>421</v>
      </c>
      <c r="B53" s="3"/>
      <c r="C53" s="3"/>
      <c r="D53" s="3"/>
      <c r="E53" s="3"/>
      <c r="F53" s="3"/>
      <c r="G53" s="3"/>
      <c r="H53" s="3"/>
      <c r="I53" s="3"/>
      <c r="J53" s="3"/>
      <c r="K53" s="3"/>
      <c r="L53" s="3"/>
      <c r="M53" s="3"/>
      <c r="N53" s="3"/>
    </row>
    <row r="54" spans="1:14">
      <c r="A54" s="3" t="s">
        <v>424</v>
      </c>
    </row>
  </sheetData>
  <mergeCells count="1">
    <mergeCell ref="A2:M2"/>
  </mergeCells>
  <printOptions horizontalCentered="1"/>
  <pageMargins left="0.7" right="0.7" top="1.25" bottom="0.75" header="0.3" footer="0.3"/>
  <pageSetup scale="56" fitToWidth="0" fitToHeight="0" orientation="landscape" useFirstPageNumber="1" r:id="rId1"/>
  <headerFooter>
    <oddHeader>&amp;RPetitioner's Exhibit No.12
Attachment AEB-2
Vectren South
Schedule 8 (Natural Gas Utility Proxy Group)
Page &amp;P of 1</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2:M61"/>
  <sheetViews>
    <sheetView topLeftCell="A34" zoomScaleNormal="100" workbookViewId="0">
      <selection activeCell="G66" sqref="G66"/>
    </sheetView>
  </sheetViews>
  <sheetFormatPr defaultColWidth="9.140625" defaultRowHeight="12.75"/>
  <cols>
    <col min="1" max="1" width="2.5703125" style="3" customWidth="1"/>
    <col min="2" max="2" width="30.5703125" style="3" customWidth="1"/>
    <col min="3" max="3" width="10.5703125" style="3" customWidth="1"/>
    <col min="4" max="4" width="9.140625" style="3" bestFit="1" customWidth="1"/>
    <col min="5" max="5" width="9.42578125" style="3" customWidth="1"/>
    <col min="6" max="6" width="10.85546875" style="3" customWidth="1"/>
    <col min="7" max="7" width="11" style="3" customWidth="1"/>
    <col min="8" max="8" width="11.5703125" style="3" customWidth="1"/>
    <col min="9" max="9" width="11.7109375" style="3" customWidth="1"/>
    <col min="10" max="10" width="10.5703125" style="3" customWidth="1"/>
    <col min="11" max="12" width="9.140625" style="3"/>
    <col min="13" max="13" width="12.5703125" style="3" bestFit="1" customWidth="1"/>
    <col min="14" max="16384" width="9.140625" style="3"/>
  </cols>
  <sheetData>
    <row r="2" spans="1:10">
      <c r="A2" s="395" t="s">
        <v>436</v>
      </c>
      <c r="B2" s="395"/>
      <c r="C2" s="395"/>
      <c r="D2" s="395"/>
      <c r="E2" s="395"/>
      <c r="F2" s="395"/>
      <c r="G2" s="395"/>
      <c r="H2" s="395"/>
      <c r="I2" s="395"/>
      <c r="J2" s="395"/>
    </row>
    <row r="3" spans="1:10">
      <c r="A3" s="769" t="s">
        <v>437</v>
      </c>
      <c r="B3" s="769"/>
      <c r="C3" s="769"/>
      <c r="D3" s="769"/>
      <c r="E3" s="769"/>
      <c r="F3" s="769"/>
      <c r="G3" s="769"/>
      <c r="H3" s="769"/>
      <c r="I3" s="769"/>
      <c r="J3" s="769"/>
    </row>
    <row r="4" spans="1:10">
      <c r="A4" s="396"/>
    </row>
    <row r="5" spans="1:10" ht="13.5" thickBot="1">
      <c r="A5" s="396"/>
      <c r="D5" s="392" t="s">
        <v>24</v>
      </c>
      <c r="E5" s="392" t="s">
        <v>25</v>
      </c>
      <c r="F5" s="392" t="s">
        <v>26</v>
      </c>
      <c r="G5" s="392" t="s">
        <v>27</v>
      </c>
      <c r="H5" s="392" t="s">
        <v>28</v>
      </c>
      <c r="I5" s="392" t="s">
        <v>29</v>
      </c>
      <c r="J5" s="392" t="s">
        <v>117</v>
      </c>
    </row>
    <row r="6" spans="1:10">
      <c r="A6" s="397"/>
      <c r="B6" s="398"/>
      <c r="C6" s="398"/>
      <c r="D6" s="398"/>
      <c r="E6" s="398"/>
      <c r="F6" s="398"/>
      <c r="G6" s="398"/>
      <c r="H6" s="398"/>
      <c r="I6" s="398"/>
      <c r="J6" s="399" t="s">
        <v>438</v>
      </c>
    </row>
    <row r="7" spans="1:10">
      <c r="J7" s="392" t="s">
        <v>439</v>
      </c>
    </row>
    <row r="8" spans="1:10">
      <c r="J8" s="392">
        <v>2019</v>
      </c>
    </row>
    <row r="9" spans="1:10">
      <c r="A9" s="19"/>
      <c r="B9" s="19"/>
      <c r="C9" s="19"/>
      <c r="D9" s="400">
        <v>2019</v>
      </c>
      <c r="E9" s="400">
        <v>2021</v>
      </c>
      <c r="F9" s="400">
        <f>E9+1</f>
        <v>2022</v>
      </c>
      <c r="G9" s="400">
        <f>F9+1</f>
        <v>2023</v>
      </c>
      <c r="H9" s="400">
        <f>G9+1</f>
        <v>2024</v>
      </c>
      <c r="I9" s="400">
        <v>2025</v>
      </c>
      <c r="J9" s="400" t="s">
        <v>440</v>
      </c>
    </row>
    <row r="10" spans="1:10">
      <c r="D10" s="392"/>
      <c r="E10" s="392"/>
      <c r="F10" s="392"/>
      <c r="G10" s="392"/>
      <c r="H10" s="392"/>
      <c r="I10" s="392"/>
      <c r="J10" s="392"/>
    </row>
    <row r="11" spans="1:10">
      <c r="A11" s="3" t="s">
        <v>38</v>
      </c>
      <c r="C11" s="392" t="s">
        <v>39</v>
      </c>
    </row>
    <row r="12" spans="1:10">
      <c r="A12"/>
      <c r="B12" t="s">
        <v>441</v>
      </c>
      <c r="C12" s="393"/>
      <c r="E12" s="401">
        <v>15.4</v>
      </c>
      <c r="F12" s="144">
        <f>AVERAGE(E12,G12)</f>
        <v>15.45</v>
      </c>
      <c r="G12" s="144">
        <v>15.5</v>
      </c>
      <c r="H12" s="144">
        <v>15.5</v>
      </c>
      <c r="I12" s="144">
        <f>H12</f>
        <v>15.5</v>
      </c>
    </row>
    <row r="13" spans="1:10">
      <c r="A13"/>
      <c r="B13" t="s">
        <v>442</v>
      </c>
      <c r="C13" s="393"/>
      <c r="D13" s="19"/>
      <c r="E13" s="402">
        <v>130</v>
      </c>
      <c r="F13" s="402">
        <f>AVERAGE(E13,G13)</f>
        <v>137.5</v>
      </c>
      <c r="G13" s="402">
        <v>145</v>
      </c>
      <c r="H13" s="402">
        <v>145</v>
      </c>
      <c r="I13" s="402">
        <f>H13</f>
        <v>145</v>
      </c>
      <c r="J13" s="19"/>
    </row>
    <row r="14" spans="1:10">
      <c r="A14"/>
      <c r="B14" t="s">
        <v>443</v>
      </c>
      <c r="C14" s="393"/>
      <c r="E14" s="403">
        <f>E12*E13</f>
        <v>2002</v>
      </c>
      <c r="F14" s="403">
        <f t="shared" ref="F14:I14" si="0">F12*F13</f>
        <v>2124.375</v>
      </c>
      <c r="G14" s="403">
        <f t="shared" si="0"/>
        <v>2247.5</v>
      </c>
      <c r="H14" s="403">
        <f t="shared" si="0"/>
        <v>2247.5</v>
      </c>
      <c r="I14" s="403">
        <f t="shared" si="0"/>
        <v>2247.5</v>
      </c>
      <c r="J14" s="404">
        <f>SUM(E14:I14)/D15</f>
        <v>0.92202875805904305</v>
      </c>
    </row>
    <row r="15" spans="1:10">
      <c r="A15"/>
      <c r="B15" t="s">
        <v>440</v>
      </c>
      <c r="C15" s="393"/>
      <c r="D15" s="405">
        <v>11788</v>
      </c>
    </row>
    <row r="16" spans="1:10">
      <c r="A16" s="3" t="s">
        <v>79</v>
      </c>
      <c r="B16"/>
      <c r="C16" s="393" t="s">
        <v>80</v>
      </c>
    </row>
    <row r="17" spans="1:10">
      <c r="A17"/>
      <c r="B17" t="s">
        <v>441</v>
      </c>
      <c r="C17" s="393"/>
      <c r="E17" s="401">
        <v>4.0999999999999996</v>
      </c>
      <c r="F17" s="144">
        <f>AVERAGE(E17,G17)</f>
        <v>4.05</v>
      </c>
      <c r="G17" s="144">
        <v>4</v>
      </c>
      <c r="H17" s="144">
        <v>4</v>
      </c>
      <c r="I17" s="144">
        <f>H17</f>
        <v>4</v>
      </c>
    </row>
    <row r="18" spans="1:10">
      <c r="A18"/>
      <c r="B18" t="s">
        <v>442</v>
      </c>
      <c r="C18" s="393"/>
      <c r="D18" s="19"/>
      <c r="E18" s="402">
        <v>97</v>
      </c>
      <c r="F18" s="402">
        <f>AVERAGE(E18,G18)</f>
        <v>98.5</v>
      </c>
      <c r="G18" s="402">
        <v>100</v>
      </c>
      <c r="H18" s="402">
        <v>100</v>
      </c>
      <c r="I18" s="402">
        <f>H18</f>
        <v>100</v>
      </c>
      <c r="J18" s="19"/>
    </row>
    <row r="19" spans="1:10">
      <c r="A19"/>
      <c r="B19" t="s">
        <v>443</v>
      </c>
      <c r="C19" s="393"/>
      <c r="E19" s="403">
        <f>E17*E18</f>
        <v>397.7</v>
      </c>
      <c r="F19" s="403">
        <f t="shared" ref="F19" si="1">F17*F18</f>
        <v>398.92499999999995</v>
      </c>
      <c r="G19" s="403">
        <f t="shared" ref="G19" si="2">G17*G18</f>
        <v>400</v>
      </c>
      <c r="H19" s="403">
        <f t="shared" ref="H19" si="3">H17*H18</f>
        <v>400</v>
      </c>
      <c r="I19" s="403">
        <f t="shared" ref="I19" si="4">I17*I18</f>
        <v>400</v>
      </c>
      <c r="J19" s="404">
        <f>SUM(E19:I19)/D20</f>
        <v>0.6565253847165593</v>
      </c>
    </row>
    <row r="20" spans="1:10">
      <c r="A20"/>
      <c r="B20" t="s">
        <v>440</v>
      </c>
      <c r="C20" s="393"/>
      <c r="D20" s="405">
        <v>3041.2</v>
      </c>
    </row>
    <row r="21" spans="1:10">
      <c r="A21" t="s">
        <v>43</v>
      </c>
      <c r="B21"/>
      <c r="C21" s="392" t="s">
        <v>44</v>
      </c>
    </row>
    <row r="22" spans="1:10">
      <c r="A22"/>
      <c r="B22" t="s">
        <v>441</v>
      </c>
      <c r="C22" s="393"/>
      <c r="E22" s="401">
        <v>6.15</v>
      </c>
      <c r="F22" s="144">
        <f>AVERAGE(E22,G22)</f>
        <v>6.2</v>
      </c>
      <c r="G22" s="144">
        <v>6.25</v>
      </c>
      <c r="H22" s="144">
        <v>6.25</v>
      </c>
      <c r="I22" s="144">
        <f>H22</f>
        <v>6.25</v>
      </c>
    </row>
    <row r="23" spans="1:10">
      <c r="A23"/>
      <c r="B23" t="s">
        <v>442</v>
      </c>
      <c r="C23" s="393"/>
      <c r="D23" s="19"/>
      <c r="E23" s="402">
        <v>31</v>
      </c>
      <c r="F23" s="402">
        <f>AVERAGE(E23,G23)</f>
        <v>31.5</v>
      </c>
      <c r="G23" s="402">
        <v>32</v>
      </c>
      <c r="H23" s="402">
        <v>32</v>
      </c>
      <c r="I23" s="402">
        <f>H23</f>
        <v>32</v>
      </c>
      <c r="J23" s="19"/>
    </row>
    <row r="24" spans="1:10">
      <c r="A24"/>
      <c r="B24" t="s">
        <v>443</v>
      </c>
      <c r="C24" s="393"/>
      <c r="E24" s="403">
        <f>E22*E23</f>
        <v>190.65</v>
      </c>
      <c r="F24" s="403">
        <f t="shared" ref="F24" si="5">F22*F23</f>
        <v>195.3</v>
      </c>
      <c r="G24" s="403">
        <f t="shared" ref="G24" si="6">G22*G23</f>
        <v>200</v>
      </c>
      <c r="H24" s="403">
        <f t="shared" ref="H24" si="7">H22*H23</f>
        <v>200</v>
      </c>
      <c r="I24" s="403">
        <f t="shared" ref="I24" si="8">I22*I23</f>
        <v>200</v>
      </c>
      <c r="J24" s="404">
        <f>SUM(E24:I24)/D25</f>
        <v>0.40426011726598055</v>
      </c>
    </row>
    <row r="25" spans="1:10">
      <c r="A25"/>
      <c r="B25" t="s">
        <v>440</v>
      </c>
      <c r="C25" s="393"/>
      <c r="D25" s="405">
        <v>2438.9</v>
      </c>
    </row>
    <row r="26" spans="1:10">
      <c r="A26" t="s">
        <v>46</v>
      </c>
      <c r="C26" s="393" t="s">
        <v>47</v>
      </c>
    </row>
    <row r="27" spans="1:10">
      <c r="A27"/>
      <c r="B27" t="s">
        <v>441</v>
      </c>
      <c r="C27" s="393"/>
      <c r="E27" s="401">
        <v>8.9499999999999993</v>
      </c>
      <c r="F27" s="144">
        <f>AVERAGE(E27,G27)</f>
        <v>9.1499999999999986</v>
      </c>
      <c r="G27" s="144">
        <v>9.35</v>
      </c>
      <c r="H27" s="144">
        <v>9.35</v>
      </c>
      <c r="I27" s="144">
        <f>H27</f>
        <v>9.35</v>
      </c>
    </row>
    <row r="28" spans="1:10">
      <c r="A28"/>
      <c r="B28" t="s">
        <v>442</v>
      </c>
      <c r="C28" s="393"/>
      <c r="D28" s="19"/>
      <c r="E28" s="402">
        <v>53.5</v>
      </c>
      <c r="F28" s="402">
        <f>AVERAGE(E28,G28)</f>
        <v>54.25</v>
      </c>
      <c r="G28" s="402">
        <v>55</v>
      </c>
      <c r="H28" s="402">
        <v>55</v>
      </c>
      <c r="I28" s="402">
        <f>H28</f>
        <v>55</v>
      </c>
      <c r="J28" s="19"/>
    </row>
    <row r="29" spans="1:10">
      <c r="A29"/>
      <c r="B29" t="s">
        <v>443</v>
      </c>
      <c r="C29" s="393"/>
      <c r="E29" s="403">
        <f>E27*E28</f>
        <v>478.82499999999999</v>
      </c>
      <c r="F29" s="403">
        <f t="shared" ref="F29" si="9">F27*F28</f>
        <v>496.38749999999993</v>
      </c>
      <c r="G29" s="403">
        <f t="shared" ref="G29" si="10">G27*G28</f>
        <v>514.25</v>
      </c>
      <c r="H29" s="403">
        <f t="shared" ref="H29" si="11">H27*H28</f>
        <v>514.25</v>
      </c>
      <c r="I29" s="403">
        <f t="shared" ref="I29" si="12">I27*I28</f>
        <v>514.25</v>
      </c>
      <c r="J29" s="404">
        <f>SUM(E29:I29)/D30</f>
        <v>0.5515557916411109</v>
      </c>
    </row>
    <row r="30" spans="1:10">
      <c r="A30"/>
      <c r="B30" t="s">
        <v>440</v>
      </c>
      <c r="C30" s="393"/>
      <c r="D30" s="405">
        <v>4565.2</v>
      </c>
    </row>
    <row r="31" spans="1:10">
      <c r="A31" t="s">
        <v>48</v>
      </c>
      <c r="B31"/>
      <c r="C31" s="406" t="s">
        <v>49</v>
      </c>
    </row>
    <row r="32" spans="1:10">
      <c r="A32"/>
      <c r="B32" t="s">
        <v>441</v>
      </c>
      <c r="C32" s="406"/>
      <c r="E32" s="401">
        <v>5.85</v>
      </c>
      <c r="F32" s="144">
        <f>AVERAGE(E32,G32)</f>
        <v>6.55</v>
      </c>
      <c r="G32" s="144">
        <v>7.25</v>
      </c>
      <c r="H32" s="144">
        <v>7.25</v>
      </c>
      <c r="I32" s="144">
        <f>H32</f>
        <v>7.25</v>
      </c>
    </row>
    <row r="33" spans="1:13">
      <c r="A33"/>
      <c r="B33" t="s">
        <v>442</v>
      </c>
      <c r="C33" s="406"/>
      <c r="D33" s="19"/>
      <c r="E33" s="402">
        <v>103</v>
      </c>
      <c r="F33" s="402">
        <f>AVERAGE(E33,G33)</f>
        <v>106.5</v>
      </c>
      <c r="G33" s="402">
        <v>110</v>
      </c>
      <c r="H33" s="402">
        <v>110</v>
      </c>
      <c r="I33" s="402">
        <f>H33</f>
        <v>110</v>
      </c>
      <c r="J33" s="19"/>
    </row>
    <row r="34" spans="1:13">
      <c r="A34"/>
      <c r="B34" t="s">
        <v>443</v>
      </c>
      <c r="C34" s="406"/>
      <c r="E34" s="403">
        <f>E32*E33</f>
        <v>602.54999999999995</v>
      </c>
      <c r="F34" s="403">
        <f t="shared" ref="F34" si="13">F32*F33</f>
        <v>697.57499999999993</v>
      </c>
      <c r="G34" s="403">
        <f t="shared" ref="G34" si="14">G32*G33</f>
        <v>797.5</v>
      </c>
      <c r="H34" s="403">
        <f t="shared" ref="H34" si="15">H32*H33</f>
        <v>797.5</v>
      </c>
      <c r="I34" s="403">
        <f t="shared" ref="I34" si="16">I32*I33</f>
        <v>797.5</v>
      </c>
      <c r="J34" s="404">
        <f>SUM(E34:I34)/D35</f>
        <v>0.90649932490487295</v>
      </c>
    </row>
    <row r="35" spans="1:13">
      <c r="A35"/>
      <c r="B35" t="s">
        <v>440</v>
      </c>
      <c r="C35" s="406"/>
      <c r="D35" s="405">
        <v>4073.5</v>
      </c>
    </row>
    <row r="36" spans="1:13">
      <c r="A36" t="s">
        <v>51</v>
      </c>
      <c r="B36"/>
      <c r="C36" s="406" t="s">
        <v>52</v>
      </c>
    </row>
    <row r="37" spans="1:13">
      <c r="A37"/>
      <c r="B37" t="s">
        <v>441</v>
      </c>
      <c r="C37" s="406"/>
      <c r="E37" s="401">
        <v>17.8</v>
      </c>
      <c r="F37" s="144">
        <f>AVERAGE(E37,G37)</f>
        <v>19.675000000000001</v>
      </c>
      <c r="G37" s="144">
        <v>21.55</v>
      </c>
      <c r="H37" s="144">
        <v>21.55</v>
      </c>
      <c r="I37" s="144">
        <f>H37</f>
        <v>21.55</v>
      </c>
    </row>
    <row r="38" spans="1:13">
      <c r="A38"/>
      <c r="B38" t="s">
        <v>442</v>
      </c>
      <c r="C38" s="406"/>
      <c r="D38" s="19"/>
      <c r="E38" s="402">
        <v>59</v>
      </c>
      <c r="F38" s="402">
        <f>AVERAGE(E38,G38)</f>
        <v>62</v>
      </c>
      <c r="G38" s="402">
        <v>65</v>
      </c>
      <c r="H38" s="402">
        <v>65</v>
      </c>
      <c r="I38" s="402">
        <f>H38</f>
        <v>65</v>
      </c>
      <c r="J38" s="19"/>
    </row>
    <row r="39" spans="1:13">
      <c r="A39"/>
      <c r="B39" t="s">
        <v>443</v>
      </c>
      <c r="C39" s="406"/>
      <c r="E39" s="403">
        <f>E37*E38</f>
        <v>1050.2</v>
      </c>
      <c r="F39" s="403">
        <f t="shared" ref="F39" si="17">F37*F38</f>
        <v>1219.8500000000001</v>
      </c>
      <c r="G39" s="403">
        <f t="shared" ref="G39" si="18">G37*G38</f>
        <v>1400.75</v>
      </c>
      <c r="H39" s="403">
        <f t="shared" ref="H39" si="19">H37*H38</f>
        <v>1400.75</v>
      </c>
      <c r="I39" s="403">
        <f t="shared" ref="I39" si="20">I37*I38</f>
        <v>1400.75</v>
      </c>
      <c r="J39" s="404">
        <f>SUM(E39:I39)/D40</f>
        <v>1.1384471962288047</v>
      </c>
    </row>
    <row r="40" spans="1:13">
      <c r="A40"/>
      <c r="B40" t="s">
        <v>440</v>
      </c>
      <c r="C40" s="406"/>
      <c r="D40" s="405">
        <v>5685.2</v>
      </c>
    </row>
    <row r="41" spans="1:13">
      <c r="A41" t="s">
        <v>54</v>
      </c>
      <c r="B41"/>
      <c r="C41" s="406" t="s">
        <v>55</v>
      </c>
    </row>
    <row r="42" spans="1:13">
      <c r="A42"/>
      <c r="B42" t="s">
        <v>441</v>
      </c>
      <c r="C42" s="406"/>
      <c r="E42" s="401">
        <v>10.1</v>
      </c>
      <c r="F42" s="144">
        <f>AVERAGE(E42,G42)</f>
        <v>10.3</v>
      </c>
      <c r="G42" s="144">
        <v>10.5</v>
      </c>
      <c r="H42" s="144">
        <v>10.5</v>
      </c>
      <c r="I42" s="144">
        <f>H42</f>
        <v>10.5</v>
      </c>
    </row>
    <row r="43" spans="1:13">
      <c r="A43"/>
      <c r="B43" t="s">
        <v>442</v>
      </c>
      <c r="C43" s="406"/>
      <c r="D43" s="19"/>
      <c r="E43" s="402">
        <v>52.5</v>
      </c>
      <c r="F43" s="402">
        <f>AVERAGE(E43,G43)</f>
        <v>53.75</v>
      </c>
      <c r="G43" s="402">
        <v>55</v>
      </c>
      <c r="H43" s="402">
        <v>55</v>
      </c>
      <c r="I43" s="402">
        <f>H43</f>
        <v>55</v>
      </c>
      <c r="J43" s="19"/>
    </row>
    <row r="44" spans="1:13">
      <c r="A44"/>
      <c r="B44" t="s">
        <v>443</v>
      </c>
      <c r="C44" s="406"/>
      <c r="E44" s="403">
        <f>E42*E43</f>
        <v>530.25</v>
      </c>
      <c r="F44" s="403">
        <f t="shared" ref="F44" si="21">F42*F43</f>
        <v>553.625</v>
      </c>
      <c r="G44" s="403">
        <f t="shared" ref="G44" si="22">G42*G43</f>
        <v>577.5</v>
      </c>
      <c r="H44" s="403">
        <f t="shared" ref="H44" si="23">H42*H43</f>
        <v>577.5</v>
      </c>
      <c r="I44" s="403">
        <f t="shared" ref="I44" si="24">I42*I43</f>
        <v>577.5</v>
      </c>
      <c r="J44" s="404">
        <f>SUM(E44:I44)/D45</f>
        <v>0.64714499080882348</v>
      </c>
    </row>
    <row r="45" spans="1:13">
      <c r="A45"/>
      <c r="B45" t="s">
        <v>440</v>
      </c>
      <c r="C45" s="406"/>
      <c r="D45" s="405">
        <v>4352</v>
      </c>
    </row>
    <row r="46" spans="1:13">
      <c r="J46" s="404"/>
      <c r="M46" s="138"/>
    </row>
    <row r="47" spans="1:13">
      <c r="A47" s="390" t="s">
        <v>444</v>
      </c>
      <c r="C47" s="517" t="s">
        <v>445</v>
      </c>
      <c r="E47" s="144"/>
      <c r="F47" s="144"/>
      <c r="G47" s="144"/>
      <c r="H47" s="144"/>
      <c r="I47" s="144"/>
      <c r="J47" s="407"/>
      <c r="M47" s="138"/>
    </row>
    <row r="48" spans="1:13">
      <c r="B48" s="3" t="s">
        <v>446</v>
      </c>
      <c r="E48" s="408">
        <f>50.122</f>
        <v>50.122</v>
      </c>
      <c r="F48" s="408">
        <f>58.574</f>
        <v>58.573999999999998</v>
      </c>
      <c r="G48" s="408">
        <f>122.121</f>
        <v>122.121</v>
      </c>
      <c r="H48" s="408">
        <f>62.914</f>
        <v>62.914000000000001</v>
      </c>
      <c r="I48" s="408">
        <f>75.472</f>
        <v>75.471999999999994</v>
      </c>
      <c r="J48" s="404">
        <f>SUM(E48:I48)/D49</f>
        <v>1.0485742686736721</v>
      </c>
      <c r="M48" s="409"/>
    </row>
    <row r="49" spans="1:10">
      <c r="B49" s="3" t="s">
        <v>447</v>
      </c>
      <c r="D49" s="405">
        <v>352.1</v>
      </c>
      <c r="E49" s="403"/>
      <c r="F49" s="403"/>
      <c r="G49" s="403"/>
      <c r="H49" s="403"/>
      <c r="I49" s="403"/>
      <c r="J49" s="410"/>
    </row>
    <row r="50" spans="1:10">
      <c r="D50" s="411"/>
      <c r="E50" s="403"/>
      <c r="F50" s="403"/>
      <c r="G50" s="403"/>
      <c r="H50" s="403"/>
      <c r="I50" s="403"/>
      <c r="J50" s="410"/>
    </row>
    <row r="52" spans="1:10">
      <c r="D52" s="403"/>
      <c r="F52" s="3" t="s">
        <v>448</v>
      </c>
      <c r="J52" s="412">
        <f>SUM(E48:I48)</f>
        <v>369.20299999999997</v>
      </c>
    </row>
    <row r="53" spans="1:10">
      <c r="F53" s="3" t="s">
        <v>449</v>
      </c>
      <c r="J53" s="413">
        <f>AVERAGE(E48:I48)</f>
        <v>73.840599999999995</v>
      </c>
    </row>
    <row r="54" spans="1:10">
      <c r="F54" s="3" t="s">
        <v>450</v>
      </c>
      <c r="J54" s="410">
        <f>MEDIAN(J11:J15,J24:J45)</f>
        <v>0.77682215785684816</v>
      </c>
    </row>
    <row r="55" spans="1:10">
      <c r="F55" s="3" t="s">
        <v>451</v>
      </c>
      <c r="J55" s="414">
        <f>J48/J54</f>
        <v>1.3498253854737523</v>
      </c>
    </row>
    <row r="56" spans="1:10">
      <c r="J56" s="414"/>
    </row>
    <row r="57" spans="1:10">
      <c r="A57" s="19" t="s">
        <v>21</v>
      </c>
      <c r="B57" s="19"/>
    </row>
    <row r="58" spans="1:10">
      <c r="A58" s="3" t="s">
        <v>594</v>
      </c>
    </row>
    <row r="59" spans="1:10">
      <c r="A59" s="3" t="s">
        <v>452</v>
      </c>
    </row>
    <row r="60" spans="1:10">
      <c r="A60" s="3" t="s">
        <v>453</v>
      </c>
    </row>
    <row r="61" spans="1:10">
      <c r="A61" s="3" t="s">
        <v>454</v>
      </c>
      <c r="B61"/>
    </row>
  </sheetData>
  <mergeCells count="1">
    <mergeCell ref="A3:J3"/>
  </mergeCells>
  <printOptions horizontalCentered="1"/>
  <pageMargins left="0.7" right="0.7" top="1.25" bottom="0.75" header="0.3" footer="0.3"/>
  <pageSetup scale="51" fitToHeight="0" orientation="portrait" useFirstPageNumber="1" r:id="rId1"/>
  <headerFooter>
    <oddHeader>&amp;RPetitioner's Exhibit No.12
 Attachment AEB-2
Vectren South
Schedule 9 (Natural Gas Utility Proxy Group)
Page &amp;P of 2</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sheetPr>
  <dimension ref="A2:M57"/>
  <sheetViews>
    <sheetView topLeftCell="A10" zoomScaleNormal="100" workbookViewId="0">
      <selection activeCell="G40" sqref="G40"/>
    </sheetView>
  </sheetViews>
  <sheetFormatPr defaultColWidth="9.140625" defaultRowHeight="12.75"/>
  <cols>
    <col min="1" max="1" width="12.5703125" customWidth="1"/>
    <col min="2" max="2" width="35.5703125" customWidth="1"/>
    <col min="3" max="3" width="16.5703125" bestFit="1" customWidth="1"/>
    <col min="4" max="5" width="12.5703125" customWidth="1"/>
  </cols>
  <sheetData>
    <row r="2" spans="1:13">
      <c r="A2" s="395" t="s">
        <v>436</v>
      </c>
      <c r="B2" s="415"/>
      <c r="C2" s="415"/>
      <c r="D2" s="415"/>
      <c r="E2" s="415"/>
      <c r="F2" s="3"/>
      <c r="G2" s="3"/>
      <c r="H2" s="3"/>
      <c r="I2" s="3"/>
      <c r="J2" s="3"/>
      <c r="K2" s="3"/>
      <c r="L2" s="3"/>
      <c r="M2" s="3"/>
    </row>
    <row r="3" spans="1:13">
      <c r="F3" s="3"/>
      <c r="G3" s="3"/>
      <c r="H3" s="3"/>
      <c r="I3" s="3"/>
      <c r="J3" s="3"/>
      <c r="K3" s="3"/>
      <c r="L3" s="3"/>
      <c r="M3" s="3"/>
    </row>
    <row r="4" spans="1:13">
      <c r="F4" s="3"/>
      <c r="G4" s="3"/>
      <c r="H4" s="3"/>
      <c r="I4" s="3"/>
      <c r="J4" s="3"/>
      <c r="K4" s="3"/>
      <c r="L4" s="3"/>
      <c r="M4" s="3"/>
    </row>
    <row r="5" spans="1:13">
      <c r="F5" s="3"/>
      <c r="G5" s="3"/>
      <c r="H5" s="3"/>
      <c r="I5" s="3"/>
      <c r="J5" s="3"/>
      <c r="K5" s="3"/>
      <c r="L5" s="3"/>
      <c r="M5" s="3"/>
    </row>
    <row r="6" spans="1:13">
      <c r="F6" s="3"/>
      <c r="G6" s="3"/>
      <c r="H6" s="3"/>
      <c r="I6" s="3"/>
      <c r="J6" s="3"/>
      <c r="K6" s="3"/>
      <c r="L6" s="3"/>
      <c r="M6" s="3"/>
    </row>
    <row r="7" spans="1:13">
      <c r="F7" s="3"/>
      <c r="G7" s="3"/>
      <c r="H7" s="3"/>
      <c r="I7" s="3"/>
      <c r="J7" s="3"/>
      <c r="K7" s="3"/>
      <c r="L7" s="3"/>
      <c r="M7" s="3"/>
    </row>
    <row r="8" spans="1:13">
      <c r="F8" s="3"/>
      <c r="G8" s="3"/>
      <c r="H8" s="3"/>
      <c r="I8" s="3"/>
      <c r="J8" s="3"/>
      <c r="K8" s="3"/>
      <c r="L8" s="3"/>
      <c r="M8" s="3"/>
    </row>
    <row r="9" spans="1:13">
      <c r="F9" s="3"/>
      <c r="G9" s="3"/>
      <c r="H9" s="3"/>
      <c r="I9" s="3"/>
      <c r="J9" s="3"/>
      <c r="K9" s="3"/>
      <c r="L9" s="3"/>
      <c r="M9" s="3"/>
    </row>
    <row r="10" spans="1:13">
      <c r="F10" s="3"/>
      <c r="G10" s="3"/>
      <c r="H10" s="3"/>
      <c r="I10" s="3"/>
      <c r="J10" s="3"/>
      <c r="K10" s="3"/>
      <c r="L10" s="3"/>
      <c r="M10" s="3"/>
    </row>
    <row r="11" spans="1:13">
      <c r="F11" s="3"/>
      <c r="G11" s="3"/>
      <c r="H11" s="3"/>
      <c r="I11" s="3"/>
      <c r="J11" s="3"/>
      <c r="K11" s="3"/>
      <c r="L11" s="3"/>
      <c r="M11" s="3"/>
    </row>
    <row r="12" spans="1:13">
      <c r="F12" s="3"/>
      <c r="G12" s="3"/>
      <c r="H12" s="3"/>
      <c r="I12" s="3"/>
      <c r="J12" s="3"/>
      <c r="K12" s="3"/>
      <c r="L12" s="3"/>
      <c r="M12" s="3"/>
    </row>
    <row r="13" spans="1:13">
      <c r="F13" s="3"/>
      <c r="G13" s="3"/>
      <c r="H13" s="3"/>
      <c r="I13" s="3"/>
      <c r="J13" s="3"/>
      <c r="K13" s="3"/>
      <c r="L13" s="3"/>
      <c r="M13" s="3"/>
    </row>
    <row r="14" spans="1:13">
      <c r="F14" s="3"/>
      <c r="G14" s="3"/>
      <c r="H14" s="3"/>
      <c r="I14" s="3"/>
      <c r="J14" s="3"/>
      <c r="K14" s="3"/>
      <c r="L14" s="3"/>
      <c r="M14" s="3"/>
    </row>
    <row r="15" spans="1:13">
      <c r="F15" s="3"/>
      <c r="G15" s="3"/>
      <c r="H15" s="3"/>
      <c r="I15" s="3"/>
      <c r="J15" s="3"/>
      <c r="K15" s="3"/>
      <c r="L15" s="3"/>
      <c r="M15" s="3"/>
    </row>
    <row r="16" spans="1:13">
      <c r="F16" s="3"/>
      <c r="G16" s="3"/>
      <c r="H16" s="3"/>
      <c r="I16" s="3"/>
      <c r="J16" s="3"/>
      <c r="K16" s="3"/>
      <c r="L16" s="3"/>
      <c r="M16" s="3"/>
    </row>
    <row r="17" spans="2:13">
      <c r="F17" s="3"/>
      <c r="G17" s="3"/>
      <c r="H17" s="3"/>
      <c r="I17" s="3"/>
      <c r="J17" s="3"/>
      <c r="K17" s="3"/>
      <c r="L17" s="3"/>
      <c r="M17" s="3"/>
    </row>
    <row r="18" spans="2:13">
      <c r="F18" s="3"/>
      <c r="G18" s="3"/>
      <c r="H18" s="3"/>
      <c r="I18" s="3"/>
      <c r="J18" s="3"/>
      <c r="K18" s="3"/>
      <c r="L18" s="3"/>
      <c r="M18" s="3"/>
    </row>
    <row r="19" spans="2:13">
      <c r="F19" s="3"/>
      <c r="G19" s="3"/>
      <c r="H19" s="3"/>
      <c r="I19" s="3"/>
      <c r="J19" s="3"/>
      <c r="K19" s="3"/>
      <c r="L19" s="3"/>
      <c r="M19" s="3"/>
    </row>
    <row r="20" spans="2:13">
      <c r="F20" s="3"/>
      <c r="G20" s="3"/>
      <c r="H20" s="3"/>
      <c r="I20" s="3"/>
      <c r="J20" s="3"/>
      <c r="K20" s="3"/>
      <c r="L20" s="3"/>
      <c r="M20" s="3"/>
    </row>
    <row r="21" spans="2:13">
      <c r="F21" s="3"/>
      <c r="G21" s="3"/>
      <c r="H21" s="3"/>
      <c r="I21" s="3"/>
      <c r="J21" s="3"/>
      <c r="K21" s="3"/>
      <c r="L21" s="3"/>
      <c r="M21" s="3"/>
    </row>
    <row r="22" spans="2:13">
      <c r="F22" s="3"/>
      <c r="G22" s="3"/>
      <c r="H22" s="3"/>
      <c r="I22" s="3"/>
      <c r="J22" s="3"/>
      <c r="K22" s="3"/>
      <c r="L22" s="3"/>
      <c r="M22" s="3"/>
    </row>
    <row r="23" spans="2:13">
      <c r="F23" s="3"/>
      <c r="G23" s="3"/>
      <c r="H23" s="3"/>
      <c r="I23" s="3"/>
      <c r="J23" s="3"/>
      <c r="K23" s="3"/>
      <c r="L23" s="3"/>
      <c r="M23" s="3"/>
    </row>
    <row r="24" spans="2:13">
      <c r="B24" s="416" t="s">
        <v>455</v>
      </c>
      <c r="C24" s="415"/>
      <c r="D24" s="415"/>
      <c r="F24" s="417"/>
      <c r="G24" s="417"/>
      <c r="H24" s="417"/>
      <c r="I24" s="417"/>
      <c r="J24" s="3"/>
      <c r="K24" s="3"/>
      <c r="L24" s="3"/>
      <c r="M24" s="3"/>
    </row>
    <row r="25" spans="2:13">
      <c r="F25" s="417"/>
      <c r="G25" s="417"/>
      <c r="H25" s="417"/>
      <c r="I25" s="417"/>
      <c r="J25" s="3"/>
      <c r="K25" s="3"/>
      <c r="L25" s="3"/>
      <c r="M25" s="3"/>
    </row>
    <row r="26" spans="2:13" ht="13.5" thickBot="1">
      <c r="B26" s="393" t="s">
        <v>30</v>
      </c>
      <c r="D26" s="393" t="s">
        <v>456</v>
      </c>
      <c r="F26" s="417"/>
      <c r="G26" s="417" t="s">
        <v>457</v>
      </c>
      <c r="H26" s="417"/>
      <c r="I26" s="417"/>
      <c r="J26" s="3"/>
      <c r="K26" s="3"/>
      <c r="L26" s="3"/>
      <c r="M26" s="3"/>
    </row>
    <row r="27" spans="2:13">
      <c r="B27" s="418"/>
      <c r="C27" s="419"/>
      <c r="D27" s="419"/>
      <c r="F27" s="417"/>
      <c r="G27" s="420" t="s">
        <v>458</v>
      </c>
      <c r="H27" s="420" t="s">
        <v>459</v>
      </c>
      <c r="I27" s="417"/>
      <c r="J27" s="3"/>
      <c r="K27" s="3"/>
      <c r="L27" s="3"/>
      <c r="M27" s="3"/>
    </row>
    <row r="28" spans="2:13">
      <c r="B28" s="3" t="s">
        <v>43</v>
      </c>
      <c r="C28" s="392" t="s">
        <v>44</v>
      </c>
      <c r="D28" s="116">
        <f>INDEX('Schedule-9 CapEx Gas Proxy 1'!J:J, MATCH(C28, 'Schedule-9 CapEx Gas Proxy 1'!C:C, 0)+3,0)</f>
        <v>0.40426011726598055</v>
      </c>
      <c r="F28" s="417"/>
      <c r="G28" s="417"/>
      <c r="H28" s="417"/>
      <c r="I28" s="417"/>
      <c r="J28" s="3"/>
      <c r="K28" s="3"/>
      <c r="L28" s="3"/>
      <c r="M28" s="3"/>
    </row>
    <row r="29" spans="2:13">
      <c r="B29" s="3" t="s">
        <v>46</v>
      </c>
      <c r="C29" s="392" t="s">
        <v>47</v>
      </c>
      <c r="D29" s="116">
        <f>INDEX('Schedule-9 CapEx Gas Proxy 1'!J:J, MATCH(C29, 'Schedule-9 CapEx Gas Proxy 1'!C:C, 0)+3,0)</f>
        <v>0.5515557916411109</v>
      </c>
      <c r="F29" s="3"/>
      <c r="G29" s="3"/>
      <c r="H29" s="3"/>
      <c r="I29" s="3"/>
      <c r="J29" s="3"/>
      <c r="K29" s="3"/>
      <c r="L29" s="3"/>
      <c r="M29" s="3"/>
    </row>
    <row r="30" spans="2:13">
      <c r="B30" s="3" t="s">
        <v>79</v>
      </c>
      <c r="C30" s="392" t="s">
        <v>80</v>
      </c>
      <c r="D30" s="116">
        <f>INDEX('Schedule-9 CapEx Gas Proxy 1'!J:J, MATCH(C30, 'Schedule-9 CapEx Gas Proxy 1'!C:C, 0)+3,0)</f>
        <v>0.6565253847165593</v>
      </c>
      <c r="F30" s="3"/>
      <c r="G30" s="3"/>
      <c r="H30" s="3"/>
      <c r="I30" s="3"/>
      <c r="J30" s="3"/>
      <c r="K30" s="3"/>
      <c r="L30" s="3"/>
      <c r="M30" s="3"/>
    </row>
    <row r="31" spans="2:13">
      <c r="B31" s="3" t="s">
        <v>54</v>
      </c>
      <c r="C31" s="392" t="s">
        <v>55</v>
      </c>
      <c r="D31" s="116">
        <f>INDEX('Schedule-9 CapEx Gas Proxy 1'!J:J, MATCH(C31, 'Schedule-9 CapEx Gas Proxy 1'!C:C, 0)+3,0)</f>
        <v>0.64714499080882348</v>
      </c>
      <c r="F31" s="3"/>
      <c r="G31" s="3"/>
      <c r="H31" s="3"/>
      <c r="I31" s="3"/>
      <c r="J31" s="3"/>
      <c r="K31" s="3"/>
      <c r="L31" s="3"/>
      <c r="M31" s="3"/>
    </row>
    <row r="32" spans="2:13">
      <c r="B32" s="3" t="s">
        <v>38</v>
      </c>
      <c r="C32" s="392" t="s">
        <v>39</v>
      </c>
      <c r="D32" s="116">
        <f>INDEX('Schedule-9 CapEx Gas Proxy 1'!J:J, MATCH(C32, 'Schedule-9 CapEx Gas Proxy 1'!C:C, 0)+3,0)</f>
        <v>0.92202875805904305</v>
      </c>
      <c r="F32" s="3"/>
      <c r="G32" s="3"/>
      <c r="H32" s="3"/>
      <c r="I32" s="3"/>
      <c r="J32" s="3"/>
      <c r="K32" s="3"/>
      <c r="L32" s="3"/>
      <c r="M32" s="3"/>
    </row>
    <row r="33" spans="2:13">
      <c r="B33" s="3" t="s">
        <v>48</v>
      </c>
      <c r="C33" s="392" t="s">
        <v>49</v>
      </c>
      <c r="D33" s="116">
        <f>INDEX('Schedule-9 CapEx Gas Proxy 1'!J:J, MATCH(C33, 'Schedule-9 CapEx Gas Proxy 1'!C:C, 0)+3,0)</f>
        <v>0.90649932490487295</v>
      </c>
      <c r="F33" s="3"/>
      <c r="G33" s="3"/>
      <c r="H33" s="3"/>
      <c r="I33" s="3"/>
      <c r="J33" s="3"/>
      <c r="K33" s="3"/>
      <c r="L33" s="3"/>
      <c r="M33" s="3"/>
    </row>
    <row r="34" spans="2:13">
      <c r="B34" s="390" t="s">
        <v>444</v>
      </c>
      <c r="C34" s="517" t="s">
        <v>445</v>
      </c>
      <c r="D34" s="116">
        <f>'Schedule-9 CapEx Gas Proxy 1'!J48</f>
        <v>1.0485742686736721</v>
      </c>
      <c r="F34" s="3"/>
      <c r="G34" s="3"/>
      <c r="H34" s="3"/>
      <c r="I34" s="3"/>
      <c r="J34" s="3"/>
      <c r="K34" s="3"/>
      <c r="L34" s="3"/>
      <c r="M34" s="3"/>
    </row>
    <row r="35" spans="2:13">
      <c r="B35" s="3" t="s">
        <v>51</v>
      </c>
      <c r="C35" s="508" t="s">
        <v>52</v>
      </c>
      <c r="D35" s="116">
        <f>INDEX('Schedule-9 CapEx Gas Proxy 1'!J:J, MATCH(C35, 'Schedule-9 CapEx Gas Proxy 1'!C:C, 0)+3,0)</f>
        <v>1.1384471962288047</v>
      </c>
      <c r="F35" s="3"/>
      <c r="G35" s="3"/>
      <c r="H35" s="3"/>
      <c r="I35" s="3"/>
      <c r="J35" s="3"/>
      <c r="K35" s="3"/>
      <c r="L35" s="3"/>
      <c r="M35" s="3"/>
    </row>
    <row r="36" spans="2:13">
      <c r="C36" s="3"/>
      <c r="D36" s="3"/>
      <c r="F36" s="3"/>
      <c r="G36" s="3"/>
      <c r="H36" s="3"/>
      <c r="I36" s="3"/>
      <c r="J36" s="3"/>
      <c r="K36" s="3"/>
      <c r="L36" s="3"/>
      <c r="M36" s="3"/>
    </row>
    <row r="37" spans="2:13">
      <c r="B37" s="239" t="s">
        <v>460</v>
      </c>
      <c r="C37" s="421"/>
      <c r="D37" s="422">
        <f>MEDIAN(D28:D29,D31:D33,D35)</f>
        <v>0.77682215785684816</v>
      </c>
      <c r="E37" s="12"/>
      <c r="F37" s="3"/>
      <c r="G37" s="3"/>
      <c r="H37" s="3"/>
      <c r="I37" s="3"/>
      <c r="J37" s="3"/>
      <c r="K37" s="3"/>
      <c r="L37" s="3"/>
      <c r="M37" s="3"/>
    </row>
    <row r="38" spans="2:13" ht="13.5" thickBot="1">
      <c r="B38" s="334" t="s">
        <v>461</v>
      </c>
      <c r="C38" s="146"/>
      <c r="D38" s="423">
        <f>'Schedule-9 CapEx Gas Proxy 1'!J48/D37</f>
        <v>1.3498253854737523</v>
      </c>
      <c r="F38" s="3"/>
      <c r="G38" s="3"/>
      <c r="H38" s="3"/>
      <c r="I38" s="3"/>
      <c r="J38" s="3"/>
      <c r="K38" s="3"/>
      <c r="L38" s="3"/>
      <c r="M38" s="3"/>
    </row>
    <row r="39" spans="2:13">
      <c r="C39" s="3"/>
      <c r="D39" s="408"/>
      <c r="F39" s="3"/>
      <c r="G39" s="3"/>
      <c r="H39" s="3"/>
      <c r="I39" s="3"/>
      <c r="J39" s="3"/>
      <c r="K39" s="3"/>
      <c r="L39" s="3"/>
      <c r="M39" s="3"/>
    </row>
    <row r="40" spans="2:13">
      <c r="C40" s="3"/>
      <c r="D40" s="408"/>
      <c r="F40" s="3"/>
      <c r="G40" s="3"/>
      <c r="H40" s="3"/>
      <c r="I40" s="3"/>
      <c r="J40" s="3"/>
      <c r="K40" s="3"/>
      <c r="L40" s="3"/>
      <c r="M40" s="3"/>
    </row>
    <row r="41" spans="2:13">
      <c r="B41" s="332" t="s">
        <v>21</v>
      </c>
      <c r="F41" s="3"/>
      <c r="G41" s="3"/>
      <c r="H41" s="3"/>
      <c r="I41" s="3"/>
      <c r="J41" s="3"/>
      <c r="K41" s="3"/>
      <c r="L41" s="3"/>
      <c r="M41" s="3"/>
    </row>
    <row r="42" spans="2:13">
      <c r="B42" t="s">
        <v>462</v>
      </c>
      <c r="F42" s="3"/>
      <c r="G42" s="3"/>
      <c r="H42" s="3"/>
      <c r="I42" s="3"/>
      <c r="J42" s="3"/>
      <c r="K42" s="3"/>
      <c r="L42" s="3"/>
      <c r="M42" s="3"/>
    </row>
    <row r="43" spans="2:13">
      <c r="F43" s="3"/>
      <c r="G43" s="3"/>
      <c r="H43" s="3"/>
      <c r="I43" s="3"/>
      <c r="J43" s="3"/>
      <c r="K43" s="3"/>
      <c r="L43" s="3"/>
      <c r="M43" s="3"/>
    </row>
    <row r="44" spans="2:13">
      <c r="B44" s="3"/>
      <c r="E44" s="3"/>
      <c r="F44" s="3"/>
      <c r="G44" s="3"/>
      <c r="H44" s="3"/>
      <c r="I44" s="3"/>
      <c r="J44" s="3"/>
      <c r="K44" s="3"/>
      <c r="L44" s="3"/>
      <c r="M44" s="3"/>
    </row>
    <row r="45" spans="2:13">
      <c r="B45" s="3"/>
      <c r="C45" s="392"/>
      <c r="E45" s="3"/>
      <c r="F45" s="3"/>
      <c r="I45" s="3"/>
      <c r="J45" s="3"/>
      <c r="K45" s="3"/>
      <c r="L45" s="3"/>
      <c r="M45" s="3"/>
    </row>
    <row r="46" spans="2:13">
      <c r="B46" s="3"/>
      <c r="E46" s="3"/>
      <c r="F46" s="3"/>
      <c r="I46" s="3"/>
      <c r="J46" s="3"/>
      <c r="K46" s="3"/>
      <c r="L46" s="3"/>
      <c r="M46" s="3"/>
    </row>
    <row r="47" spans="2:13">
      <c r="B47" s="3"/>
      <c r="C47" s="392"/>
      <c r="E47" s="3"/>
      <c r="F47" s="3"/>
      <c r="I47" s="3"/>
      <c r="J47" s="3"/>
      <c r="K47" s="3"/>
      <c r="L47" s="3"/>
      <c r="M47" s="3"/>
    </row>
    <row r="48" spans="2:13">
      <c r="B48" s="3"/>
      <c r="C48" s="3"/>
      <c r="D48" s="3"/>
      <c r="E48" s="3"/>
      <c r="F48" s="3"/>
      <c r="I48" s="3"/>
      <c r="J48" s="3"/>
      <c r="K48" s="3"/>
      <c r="L48" s="3"/>
      <c r="M48" s="3"/>
    </row>
    <row r="49" spans="2:13">
      <c r="B49" s="3"/>
      <c r="C49" s="3"/>
      <c r="D49" s="3"/>
      <c r="E49" s="3"/>
      <c r="F49" s="3"/>
      <c r="I49" s="3"/>
      <c r="J49" s="3"/>
      <c r="K49" s="3"/>
      <c r="L49" s="3"/>
      <c r="M49" s="3"/>
    </row>
    <row r="50" spans="2:13">
      <c r="B50" s="3"/>
      <c r="C50" s="3"/>
      <c r="D50" s="3"/>
      <c r="E50" s="3"/>
      <c r="F50" s="3"/>
    </row>
    <row r="51" spans="2:13">
      <c r="B51" s="3"/>
      <c r="C51" s="3"/>
      <c r="D51" s="3"/>
      <c r="E51" s="3"/>
      <c r="F51" s="3"/>
    </row>
    <row r="52" spans="2:13">
      <c r="B52" s="3"/>
      <c r="C52" s="3"/>
      <c r="D52" s="3"/>
      <c r="E52" s="3"/>
      <c r="F52" s="3"/>
    </row>
    <row r="53" spans="2:13">
      <c r="B53" s="3"/>
      <c r="C53" s="3"/>
      <c r="D53" s="3"/>
      <c r="E53" s="3"/>
      <c r="F53" s="3"/>
    </row>
    <row r="54" spans="2:13">
      <c r="C54" s="3"/>
      <c r="D54" s="3"/>
      <c r="E54" s="3"/>
    </row>
    <row r="55" spans="2:13">
      <c r="C55" s="3"/>
      <c r="D55" s="3"/>
      <c r="E55" s="3"/>
    </row>
    <row r="56" spans="2:13">
      <c r="C56" s="3"/>
      <c r="D56" s="3"/>
      <c r="E56" s="3"/>
    </row>
    <row r="57" spans="2:13">
      <c r="C57" s="3"/>
      <c r="D57" s="3"/>
      <c r="E57" s="3"/>
    </row>
  </sheetData>
  <printOptions horizontalCentered="1"/>
  <pageMargins left="0.7" right="0.7" top="1.25" bottom="0.75" header="0.3" footer="0.3"/>
  <pageSetup firstPageNumber="2" orientation="portrait" useFirstPageNumber="1" r:id="rId1"/>
  <headerFooter>
    <oddHeader>&amp;RPetitioner's Exhibit No.12
 Attachment AEB-2
Vectren South
Schedule 9 (Natural Gas Utility Proxy Group)
Page &amp;P of 2</oddHead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0">
    <tabColor rgb="FF92D050"/>
  </sheetPr>
  <dimension ref="A2:O41"/>
  <sheetViews>
    <sheetView zoomScaleNormal="100" workbookViewId="0">
      <selection activeCell="E27" sqref="E27"/>
    </sheetView>
  </sheetViews>
  <sheetFormatPr defaultColWidth="9.140625" defaultRowHeight="12.75"/>
  <cols>
    <col min="1" max="1" width="34.42578125" style="150" customWidth="1"/>
    <col min="2" max="2" width="18.28515625" style="150" bestFit="1" customWidth="1"/>
    <col min="3" max="3" width="16.85546875" style="150" customWidth="1"/>
    <col min="4" max="9" width="10.5703125" style="150" customWidth="1"/>
    <col min="10" max="13" width="9.140625" style="150"/>
    <col min="14" max="14" width="10.85546875" style="150" customWidth="1"/>
    <col min="15" max="15" width="4" style="150" customWidth="1"/>
    <col min="16" max="16384" width="9.140625" style="150"/>
  </cols>
  <sheetData>
    <row r="2" spans="1:15" s="149" customFormat="1">
      <c r="A2" s="774" t="s">
        <v>489</v>
      </c>
      <c r="B2" s="774"/>
      <c r="C2" s="774"/>
      <c r="D2" s="774"/>
      <c r="E2" s="774"/>
      <c r="F2" s="774"/>
      <c r="G2" s="774"/>
      <c r="H2" s="774"/>
      <c r="I2" s="774"/>
    </row>
    <row r="3" spans="1:15">
      <c r="A3" s="775" t="s">
        <v>161</v>
      </c>
      <c r="B3" s="775"/>
      <c r="C3" s="775"/>
      <c r="D3" s="775"/>
      <c r="E3" s="775"/>
      <c r="F3" s="775"/>
      <c r="G3" s="775"/>
      <c r="H3" s="775"/>
      <c r="I3" s="775"/>
    </row>
    <row r="5" spans="1:15" ht="13.5" thickBot="1">
      <c r="A5" s="151"/>
      <c r="B5" s="151"/>
      <c r="C5" s="152" t="s">
        <v>24</v>
      </c>
      <c r="D5" s="776" t="s">
        <v>25</v>
      </c>
      <c r="E5" s="776"/>
      <c r="F5" s="777" t="s">
        <v>26</v>
      </c>
      <c r="G5" s="777"/>
      <c r="H5" s="777" t="s">
        <v>27</v>
      </c>
      <c r="I5" s="777"/>
    </row>
    <row r="6" spans="1:15" s="154" customFormat="1" ht="26.25" customHeight="1">
      <c r="A6" s="153" t="s">
        <v>30</v>
      </c>
      <c r="B6" s="153" t="s">
        <v>162</v>
      </c>
      <c r="C6" s="305" t="s">
        <v>163</v>
      </c>
      <c r="D6" s="772" t="s">
        <v>164</v>
      </c>
      <c r="E6" s="772"/>
      <c r="F6" s="773" t="s">
        <v>165</v>
      </c>
      <c r="G6" s="773"/>
      <c r="H6" s="773" t="s">
        <v>166</v>
      </c>
      <c r="I6" s="773"/>
      <c r="J6" s="298"/>
      <c r="K6" s="298"/>
      <c r="L6" s="298"/>
      <c r="M6" s="298"/>
      <c r="N6" s="298"/>
      <c r="O6" s="298"/>
    </row>
    <row r="7" spans="1:15" s="154" customFormat="1">
      <c r="A7" s="155"/>
      <c r="B7" s="194"/>
      <c r="C7" s="195"/>
      <c r="D7" s="196"/>
      <c r="E7" s="196"/>
      <c r="F7" s="197"/>
      <c r="G7" s="156"/>
      <c r="H7" s="156"/>
      <c r="I7" s="156"/>
      <c r="J7" s="298"/>
      <c r="K7" s="298"/>
      <c r="L7" s="298"/>
      <c r="M7" s="298"/>
      <c r="N7" s="298"/>
      <c r="O7" s="298"/>
    </row>
    <row r="8" spans="1:15">
      <c r="A8" s="157" t="s">
        <v>38</v>
      </c>
      <c r="B8" s="198" t="s">
        <v>167</v>
      </c>
      <c r="C8" s="199" t="s">
        <v>168</v>
      </c>
      <c r="D8" s="200"/>
      <c r="E8" s="201" t="s">
        <v>169</v>
      </c>
      <c r="F8" s="169"/>
      <c r="G8" s="170" t="s">
        <v>170</v>
      </c>
      <c r="H8" s="169"/>
      <c r="I8" s="170" t="s">
        <v>40</v>
      </c>
    </row>
    <row r="9" spans="1:15">
      <c r="A9" s="158"/>
      <c r="B9" s="198" t="s">
        <v>171</v>
      </c>
      <c r="C9" s="199" t="s">
        <v>172</v>
      </c>
      <c r="D9" s="200"/>
      <c r="E9" s="201" t="s">
        <v>144</v>
      </c>
      <c r="F9" s="169"/>
      <c r="G9" s="170" t="s">
        <v>170</v>
      </c>
      <c r="H9" s="169"/>
      <c r="I9" s="170" t="s">
        <v>40</v>
      </c>
    </row>
    <row r="10" spans="1:15">
      <c r="A10" s="158"/>
      <c r="B10" s="198" t="s">
        <v>173</v>
      </c>
      <c r="C10" s="199" t="s">
        <v>168</v>
      </c>
      <c r="D10" s="200"/>
      <c r="E10" s="201" t="s">
        <v>169</v>
      </c>
      <c r="F10" s="169"/>
      <c r="G10" s="170" t="s">
        <v>170</v>
      </c>
      <c r="H10" s="169"/>
      <c r="I10" s="170" t="s">
        <v>40</v>
      </c>
    </row>
    <row r="11" spans="1:15">
      <c r="A11" s="158"/>
      <c r="B11" s="198" t="s">
        <v>174</v>
      </c>
      <c r="C11" s="199" t="s">
        <v>175</v>
      </c>
      <c r="D11" s="200"/>
      <c r="E11" s="201" t="s">
        <v>144</v>
      </c>
      <c r="F11" s="169"/>
      <c r="G11" s="170" t="s">
        <v>170</v>
      </c>
      <c r="H11" s="169"/>
      <c r="I11" s="170" t="s">
        <v>40</v>
      </c>
    </row>
    <row r="12" spans="1:15">
      <c r="A12" s="158"/>
      <c r="B12" s="198" t="s">
        <v>176</v>
      </c>
      <c r="C12" s="199" t="s">
        <v>172</v>
      </c>
      <c r="D12" s="200"/>
      <c r="E12" s="201" t="s">
        <v>144</v>
      </c>
      <c r="F12" s="169"/>
      <c r="G12" s="170" t="s">
        <v>170</v>
      </c>
      <c r="H12" s="169"/>
      <c r="I12" s="170" t="s">
        <v>42</v>
      </c>
    </row>
    <row r="13" spans="1:15">
      <c r="A13" s="158"/>
      <c r="B13" s="198" t="s">
        <v>177</v>
      </c>
      <c r="C13" s="199" t="s">
        <v>168</v>
      </c>
      <c r="D13" s="200"/>
      <c r="E13" s="201" t="s">
        <v>169</v>
      </c>
      <c r="F13" s="169"/>
      <c r="G13" s="170" t="s">
        <v>170</v>
      </c>
      <c r="H13" s="169"/>
      <c r="I13" s="170" t="s">
        <v>40</v>
      </c>
    </row>
    <row r="14" spans="1:15">
      <c r="A14" s="150" t="s">
        <v>43</v>
      </c>
      <c r="B14" s="171" t="s">
        <v>178</v>
      </c>
      <c r="C14" s="172" t="s">
        <v>172</v>
      </c>
      <c r="D14" s="171"/>
      <c r="E14" s="202" t="s">
        <v>144</v>
      </c>
      <c r="F14" s="171"/>
      <c r="G14" s="172" t="s">
        <v>170</v>
      </c>
      <c r="H14" s="171"/>
      <c r="I14" s="172" t="s">
        <v>42</v>
      </c>
    </row>
    <row r="15" spans="1:15">
      <c r="B15" s="171" t="s">
        <v>179</v>
      </c>
      <c r="C15" s="172" t="s">
        <v>168</v>
      </c>
      <c r="D15" s="171"/>
      <c r="E15" s="202" t="s">
        <v>144</v>
      </c>
      <c r="F15" s="173"/>
      <c r="G15" s="172" t="s">
        <v>42</v>
      </c>
      <c r="H15" s="173"/>
      <c r="I15" s="172" t="s">
        <v>42</v>
      </c>
    </row>
    <row r="16" spans="1:15">
      <c r="A16" s="150" t="s">
        <v>180</v>
      </c>
      <c r="B16" s="171" t="s">
        <v>167</v>
      </c>
      <c r="C16" s="172" t="s">
        <v>168</v>
      </c>
      <c r="D16" s="171"/>
      <c r="E16" s="201" t="s">
        <v>169</v>
      </c>
      <c r="F16" s="173"/>
      <c r="G16" s="172" t="s">
        <v>170</v>
      </c>
      <c r="H16" s="173"/>
      <c r="I16" s="172" t="s">
        <v>40</v>
      </c>
    </row>
    <row r="17" spans="1:9">
      <c r="B17" s="171" t="s">
        <v>181</v>
      </c>
      <c r="C17" s="172" t="s">
        <v>168</v>
      </c>
      <c r="D17" s="171"/>
      <c r="E17" s="201" t="s">
        <v>169</v>
      </c>
      <c r="F17" s="173"/>
      <c r="G17" s="172" t="s">
        <v>170</v>
      </c>
      <c r="H17" s="173"/>
      <c r="I17" s="172" t="s">
        <v>42</v>
      </c>
    </row>
    <row r="18" spans="1:9">
      <c r="B18" s="171" t="s">
        <v>177</v>
      </c>
      <c r="C18" s="172" t="s">
        <v>168</v>
      </c>
      <c r="D18" s="171"/>
      <c r="E18" s="201" t="s">
        <v>169</v>
      </c>
      <c r="F18" s="173"/>
      <c r="G18" s="172" t="s">
        <v>170</v>
      </c>
      <c r="H18" s="173"/>
      <c r="I18" s="172" t="s">
        <v>40</v>
      </c>
    </row>
    <row r="19" spans="1:9">
      <c r="A19" s="150" t="s">
        <v>48</v>
      </c>
      <c r="B19" s="171" t="s">
        <v>182</v>
      </c>
      <c r="C19" s="172" t="s">
        <v>175</v>
      </c>
      <c r="D19" s="171"/>
      <c r="E19" s="201" t="s">
        <v>169</v>
      </c>
      <c r="F19" s="173"/>
      <c r="G19" s="172" t="s">
        <v>183</v>
      </c>
      <c r="H19" s="173"/>
      <c r="I19" s="172" t="s">
        <v>40</v>
      </c>
    </row>
    <row r="20" spans="1:9">
      <c r="A20" s="150" t="s">
        <v>51</v>
      </c>
      <c r="B20" s="171" t="s">
        <v>184</v>
      </c>
      <c r="C20" s="172" t="s">
        <v>168</v>
      </c>
      <c r="D20" s="171"/>
      <c r="E20" s="201" t="s">
        <v>169</v>
      </c>
      <c r="F20" s="173"/>
      <c r="G20" s="172" t="s">
        <v>183</v>
      </c>
      <c r="H20" s="173"/>
      <c r="I20" s="172" t="s">
        <v>40</v>
      </c>
    </row>
    <row r="21" spans="1:9">
      <c r="B21" s="171" t="s">
        <v>185</v>
      </c>
      <c r="C21" s="172" t="s">
        <v>172</v>
      </c>
      <c r="D21" s="171"/>
      <c r="E21" s="201" t="s">
        <v>144</v>
      </c>
      <c r="F21" s="173"/>
      <c r="G21" s="172" t="s">
        <v>183</v>
      </c>
      <c r="H21" s="173"/>
      <c r="I21" s="172" t="s">
        <v>42</v>
      </c>
    </row>
    <row r="22" spans="1:9">
      <c r="B22" s="171" t="s">
        <v>186</v>
      </c>
      <c r="C22" s="172" t="s">
        <v>168</v>
      </c>
      <c r="D22" s="171"/>
      <c r="E22" s="201" t="s">
        <v>169</v>
      </c>
      <c r="F22" s="173"/>
      <c r="G22" s="172" t="s">
        <v>183</v>
      </c>
      <c r="H22" s="173"/>
      <c r="I22" s="172" t="s">
        <v>40</v>
      </c>
    </row>
    <row r="23" spans="1:9">
      <c r="A23" s="150" t="s">
        <v>54</v>
      </c>
      <c r="B23" s="171" t="s">
        <v>187</v>
      </c>
      <c r="C23" s="172" t="s">
        <v>172</v>
      </c>
      <c r="D23" s="171"/>
      <c r="E23" s="201" t="s">
        <v>144</v>
      </c>
      <c r="F23" s="173"/>
      <c r="G23" s="172" t="s">
        <v>170</v>
      </c>
      <c r="H23" s="173"/>
      <c r="I23" s="172" t="s">
        <v>42</v>
      </c>
    </row>
    <row r="24" spans="1:9">
      <c r="B24" s="171" t="s">
        <v>188</v>
      </c>
      <c r="C24" s="172" t="s">
        <v>168</v>
      </c>
      <c r="D24" s="171"/>
      <c r="E24" s="203" t="s">
        <v>169</v>
      </c>
      <c r="F24" s="173"/>
      <c r="G24" s="172" t="s">
        <v>170</v>
      </c>
      <c r="H24" s="173"/>
      <c r="I24" s="172" t="s">
        <v>40</v>
      </c>
    </row>
    <row r="25" spans="1:9">
      <c r="B25" s="171" t="s">
        <v>189</v>
      </c>
      <c r="C25" s="172" t="s">
        <v>168</v>
      </c>
      <c r="D25" s="171"/>
      <c r="E25" s="202" t="s">
        <v>169</v>
      </c>
      <c r="F25" s="173"/>
      <c r="G25" s="298" t="s">
        <v>42</v>
      </c>
      <c r="H25" s="160"/>
      <c r="I25" s="298" t="s">
        <v>40</v>
      </c>
    </row>
    <row r="26" spans="1:9">
      <c r="C26" s="298"/>
      <c r="E26" s="159"/>
      <c r="F26" s="160"/>
      <c r="G26" s="298"/>
      <c r="H26" s="160"/>
      <c r="I26" s="298"/>
    </row>
    <row r="27" spans="1:9">
      <c r="C27" s="298"/>
      <c r="D27" s="298"/>
      <c r="E27" s="298"/>
    </row>
    <row r="28" spans="1:9">
      <c r="A28" s="150" t="s">
        <v>190</v>
      </c>
      <c r="B28" s="150" t="s">
        <v>172</v>
      </c>
      <c r="C28" s="298">
        <f>COUNTIF($C$8:$C$25,"Fully Forecast")</f>
        <v>5</v>
      </c>
      <c r="D28" s="161" t="s">
        <v>169</v>
      </c>
      <c r="E28" s="298">
        <f>COUNTIF($E$8:$E$25,D28)</f>
        <v>11</v>
      </c>
      <c r="F28" s="298" t="s">
        <v>183</v>
      </c>
      <c r="G28" s="298">
        <f>COUNTIF($G$8:$G$25,"Full")</f>
        <v>4</v>
      </c>
      <c r="H28" s="298" t="s">
        <v>40</v>
      </c>
      <c r="I28" s="298">
        <f>COUNTIF($I$8:$I$25,"Yes")</f>
        <v>12</v>
      </c>
    </row>
    <row r="29" spans="1:9">
      <c r="B29" s="150" t="s">
        <v>175</v>
      </c>
      <c r="C29" s="298">
        <f>COUNTIF($C$8:$C$25,"Partially Forecast")</f>
        <v>2</v>
      </c>
      <c r="D29" s="161" t="s">
        <v>144</v>
      </c>
      <c r="E29" s="298">
        <f>COUNTIF($E$8:$E$25,D29)</f>
        <v>7</v>
      </c>
      <c r="F29" s="298" t="s">
        <v>170</v>
      </c>
      <c r="G29" s="298">
        <f>COUNTIF($G$8:$G$25,"Partial")</f>
        <v>12</v>
      </c>
      <c r="H29" s="298" t="s">
        <v>42</v>
      </c>
      <c r="I29" s="298">
        <f>COUNTIF($I$8:$I$25,"No")</f>
        <v>6</v>
      </c>
    </row>
    <row r="30" spans="1:9">
      <c r="A30" s="162" t="s">
        <v>191</v>
      </c>
      <c r="B30" s="163" t="s">
        <v>168</v>
      </c>
      <c r="C30" s="298">
        <f>COUNTIF($C$8:$C$25,"Historical")</f>
        <v>11</v>
      </c>
      <c r="D30" s="161"/>
      <c r="E30" s="161"/>
      <c r="F30" s="298" t="s">
        <v>42</v>
      </c>
      <c r="G30" s="298">
        <f>COUNTIF($G$8:$G$25,"No")</f>
        <v>2</v>
      </c>
      <c r="H30" s="298"/>
    </row>
    <row r="31" spans="1:9">
      <c r="A31" s="162"/>
      <c r="B31" s="163"/>
      <c r="C31" s="298"/>
      <c r="D31" s="161"/>
      <c r="E31" s="161"/>
      <c r="F31" s="298"/>
      <c r="G31" s="298"/>
      <c r="H31" s="298"/>
    </row>
    <row r="32" spans="1:9">
      <c r="A32" s="162"/>
      <c r="B32" s="164" t="s">
        <v>192</v>
      </c>
      <c r="C32" s="161">
        <f>(C28+C29)/(C28+C29+C30)</f>
        <v>0.3888888888888889</v>
      </c>
      <c r="D32" s="165" t="s">
        <v>169</v>
      </c>
      <c r="E32" s="161">
        <f>E28/(E28+E29)</f>
        <v>0.61111111111111116</v>
      </c>
      <c r="F32" s="166" t="s">
        <v>193</v>
      </c>
      <c r="G32" s="161">
        <f>(G28+G29)/(G28+G29+G30)</f>
        <v>0.88888888888888884</v>
      </c>
      <c r="H32" s="166" t="s">
        <v>194</v>
      </c>
      <c r="I32" s="161">
        <f>I28/(I28+I29)</f>
        <v>0.66666666666666663</v>
      </c>
    </row>
    <row r="33" spans="1:9">
      <c r="A33" s="162"/>
      <c r="B33" s="163"/>
      <c r="C33" s="298"/>
      <c r="D33" s="161"/>
      <c r="E33" s="161"/>
      <c r="F33" s="298"/>
      <c r="G33" s="298"/>
      <c r="H33" s="298"/>
    </row>
    <row r="34" spans="1:9">
      <c r="A34" s="179" t="s">
        <v>426</v>
      </c>
      <c r="B34" s="179" t="s">
        <v>428</v>
      </c>
      <c r="C34" s="308" t="s">
        <v>172</v>
      </c>
      <c r="D34" s="309"/>
      <c r="E34" s="310" t="s">
        <v>169</v>
      </c>
      <c r="F34" s="308"/>
      <c r="G34" s="308" t="s">
        <v>183</v>
      </c>
      <c r="H34" s="308"/>
      <c r="I34" s="308" t="s">
        <v>40</v>
      </c>
    </row>
    <row r="36" spans="1:9">
      <c r="G36" s="150" t="s">
        <v>191</v>
      </c>
    </row>
    <row r="37" spans="1:9">
      <c r="A37" s="167" t="s">
        <v>195</v>
      </c>
    </row>
    <row r="38" spans="1:9">
      <c r="A38" s="771" t="s">
        <v>611</v>
      </c>
      <c r="B38" s="771"/>
      <c r="C38" s="771"/>
      <c r="D38" s="771"/>
      <c r="E38" s="771"/>
      <c r="F38" s="771"/>
      <c r="G38" s="771"/>
      <c r="H38" s="771"/>
      <c r="I38" s="771"/>
    </row>
    <row r="39" spans="1:9">
      <c r="A39" s="168" t="s">
        <v>612</v>
      </c>
    </row>
    <row r="40" spans="1:9" ht="24.75" customHeight="1">
      <c r="A40" s="770" t="s">
        <v>196</v>
      </c>
      <c r="B40" s="770"/>
      <c r="C40" s="770"/>
      <c r="D40" s="770"/>
      <c r="E40" s="770"/>
      <c r="F40" s="770"/>
      <c r="G40" s="770"/>
      <c r="H40" s="770"/>
      <c r="I40" s="770"/>
    </row>
    <row r="41" spans="1:9" ht="13.5" customHeight="1">
      <c r="A41" s="168" t="s">
        <v>427</v>
      </c>
    </row>
  </sheetData>
  <mergeCells count="10">
    <mergeCell ref="A2:I2"/>
    <mergeCell ref="A3:I3"/>
    <mergeCell ref="D5:E5"/>
    <mergeCell ref="F5:G5"/>
    <mergeCell ref="H5:I5"/>
    <mergeCell ref="A40:I40"/>
    <mergeCell ref="A38:I38"/>
    <mergeCell ref="D6:E6"/>
    <mergeCell ref="F6:G6"/>
    <mergeCell ref="H6:I6"/>
  </mergeCells>
  <printOptions horizontalCentered="1"/>
  <pageMargins left="0.7" right="0.7" top="1.25" bottom="0.75" header="0.3" footer="0.3"/>
  <pageSetup scale="74" orientation="landscape" useFirstPageNumber="1" r:id="rId1"/>
  <headerFooter>
    <oddHeader>&amp;RPetitioner's Exhibit No.12
 Attachment AEB-2
Vectren South
Schedule 10 (Natural Gas Utility Proxy Group)
Page &amp;P of 3</oddHeader>
  </headerFooter>
  <colBreaks count="1" manualBreakCount="1">
    <brk id="14" max="48" man="1"/>
  </colBreak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00B0F0"/>
  </sheetPr>
  <dimension ref="A2:L100"/>
  <sheetViews>
    <sheetView view="pageLayout" zoomScaleNormal="100" workbookViewId="0">
      <selection activeCell="B8" sqref="B8"/>
    </sheetView>
  </sheetViews>
  <sheetFormatPr defaultColWidth="9.140625" defaultRowHeight="12.75"/>
  <cols>
    <col min="1" max="1" width="34.42578125" style="150" customWidth="1"/>
    <col min="2" max="2" width="24" style="150" customWidth="1"/>
    <col min="3" max="3" width="16.85546875" style="150" customWidth="1"/>
    <col min="4" max="9" width="10.5703125" style="150" customWidth="1"/>
    <col min="10" max="11" width="9.140625" style="150"/>
    <col min="12" max="12" width="9.5703125" style="150" bestFit="1" customWidth="1"/>
    <col min="13" max="16384" width="9.140625" style="150"/>
  </cols>
  <sheetData>
    <row r="2" spans="1:12" s="149" customFormat="1">
      <c r="A2" s="774" t="s">
        <v>489</v>
      </c>
      <c r="B2" s="774"/>
      <c r="C2" s="774"/>
      <c r="D2" s="774"/>
      <c r="E2" s="774"/>
      <c r="F2" s="774"/>
      <c r="G2" s="774"/>
      <c r="H2" s="774"/>
      <c r="I2" s="774"/>
    </row>
    <row r="3" spans="1:12">
      <c r="A3" s="775" t="s">
        <v>161</v>
      </c>
      <c r="B3" s="775"/>
      <c r="C3" s="775"/>
      <c r="D3" s="775"/>
      <c r="E3" s="775"/>
      <c r="F3" s="775"/>
      <c r="G3" s="775"/>
      <c r="H3" s="775"/>
      <c r="I3" s="775"/>
    </row>
    <row r="5" spans="1:12" ht="13.5" thickBot="1">
      <c r="A5" s="151"/>
      <c r="B5" s="151"/>
      <c r="C5" s="152" t="s">
        <v>24</v>
      </c>
      <c r="D5" s="776" t="s">
        <v>25</v>
      </c>
      <c r="E5" s="776"/>
      <c r="F5" s="777" t="s">
        <v>26</v>
      </c>
      <c r="G5" s="777"/>
      <c r="H5" s="777" t="s">
        <v>27</v>
      </c>
      <c r="I5" s="777"/>
    </row>
    <row r="6" spans="1:12" s="298" customFormat="1" ht="26.25" customHeight="1">
      <c r="A6" s="153" t="s">
        <v>30</v>
      </c>
      <c r="B6" s="153" t="s">
        <v>162</v>
      </c>
      <c r="C6" s="429" t="s">
        <v>163</v>
      </c>
      <c r="D6" s="772" t="s">
        <v>164</v>
      </c>
      <c r="E6" s="772"/>
      <c r="F6" s="773" t="s">
        <v>165</v>
      </c>
      <c r="G6" s="773"/>
      <c r="H6" s="773" t="s">
        <v>166</v>
      </c>
      <c r="I6" s="773"/>
    </row>
    <row r="7" spans="1:12" s="298" customFormat="1">
      <c r="A7" s="155"/>
      <c r="B7" s="194"/>
      <c r="C7" s="195"/>
      <c r="D7" s="196"/>
      <c r="E7" s="196"/>
      <c r="F7" s="197"/>
      <c r="G7" s="156"/>
      <c r="H7" s="156"/>
      <c r="I7" s="156"/>
    </row>
    <row r="8" spans="1:12">
      <c r="A8" s="456" t="s">
        <v>38</v>
      </c>
      <c r="B8" s="457" t="s">
        <v>167</v>
      </c>
      <c r="C8" s="458" t="s">
        <v>168</v>
      </c>
      <c r="D8" s="459"/>
      <c r="E8" s="460" t="s">
        <v>169</v>
      </c>
      <c r="F8" s="461"/>
      <c r="G8" s="462" t="s">
        <v>170</v>
      </c>
      <c r="H8" s="461"/>
      <c r="I8" s="462" t="s">
        <v>40</v>
      </c>
      <c r="L8" s="298"/>
    </row>
    <row r="9" spans="1:12">
      <c r="A9" s="456"/>
      <c r="B9" s="457" t="s">
        <v>171</v>
      </c>
      <c r="C9" s="458" t="s">
        <v>172</v>
      </c>
      <c r="D9" s="459"/>
      <c r="E9" s="460" t="s">
        <v>144</v>
      </c>
      <c r="F9" s="461"/>
      <c r="G9" s="462" t="s">
        <v>170</v>
      </c>
      <c r="H9" s="461"/>
      <c r="I9" s="462" t="s">
        <v>40</v>
      </c>
      <c r="L9" s="298"/>
    </row>
    <row r="10" spans="1:12">
      <c r="A10" s="456"/>
      <c r="B10" s="457" t="s">
        <v>173</v>
      </c>
      <c r="C10" s="458" t="s">
        <v>168</v>
      </c>
      <c r="D10" s="459"/>
      <c r="E10" s="460" t="s">
        <v>169</v>
      </c>
      <c r="F10" s="461"/>
      <c r="G10" s="462" t="s">
        <v>170</v>
      </c>
      <c r="H10" s="461"/>
      <c r="I10" s="462" t="s">
        <v>40</v>
      </c>
      <c r="L10" s="298"/>
    </row>
    <row r="11" spans="1:12">
      <c r="A11" s="456"/>
      <c r="B11" s="457" t="s">
        <v>174</v>
      </c>
      <c r="C11" s="458" t="s">
        <v>175</v>
      </c>
      <c r="D11" s="459"/>
      <c r="E11" s="460" t="s">
        <v>144</v>
      </c>
      <c r="F11" s="461"/>
      <c r="G11" s="462" t="s">
        <v>170</v>
      </c>
      <c r="H11" s="461"/>
      <c r="I11" s="462" t="s">
        <v>40</v>
      </c>
      <c r="L11" s="298"/>
    </row>
    <row r="12" spans="1:12">
      <c r="A12" s="456"/>
      <c r="B12" s="457" t="s">
        <v>176</v>
      </c>
      <c r="C12" s="458" t="s">
        <v>172</v>
      </c>
      <c r="D12" s="459"/>
      <c r="E12" s="460" t="s">
        <v>144</v>
      </c>
      <c r="F12" s="461"/>
      <c r="G12" s="462" t="s">
        <v>170</v>
      </c>
      <c r="H12" s="461"/>
      <c r="I12" s="462" t="s">
        <v>42</v>
      </c>
      <c r="L12" s="298"/>
    </row>
    <row r="13" spans="1:12">
      <c r="A13" s="456"/>
      <c r="B13" s="457" t="s">
        <v>177</v>
      </c>
      <c r="C13" s="458" t="s">
        <v>168</v>
      </c>
      <c r="D13" s="459"/>
      <c r="E13" s="460" t="s">
        <v>169</v>
      </c>
      <c r="F13" s="461"/>
      <c r="G13" s="462" t="s">
        <v>170</v>
      </c>
      <c r="H13" s="461"/>
      <c r="I13" s="462" t="s">
        <v>40</v>
      </c>
      <c r="L13" s="298"/>
    </row>
    <row r="14" spans="1:12">
      <c r="A14" s="463" t="s">
        <v>43</v>
      </c>
      <c r="B14" s="464" t="s">
        <v>178</v>
      </c>
      <c r="C14" s="465" t="s">
        <v>172</v>
      </c>
      <c r="D14" s="464"/>
      <c r="E14" s="466" t="s">
        <v>144</v>
      </c>
      <c r="F14" s="464"/>
      <c r="G14" s="465" t="s">
        <v>170</v>
      </c>
      <c r="H14" s="464"/>
      <c r="I14" s="465" t="s">
        <v>42</v>
      </c>
      <c r="L14" s="298"/>
    </row>
    <row r="15" spans="1:12">
      <c r="A15" s="463"/>
      <c r="B15" s="464" t="s">
        <v>179</v>
      </c>
      <c r="C15" s="465" t="s">
        <v>168</v>
      </c>
      <c r="D15" s="464"/>
      <c r="E15" s="466" t="s">
        <v>144</v>
      </c>
      <c r="F15" s="467"/>
      <c r="G15" s="465" t="s">
        <v>42</v>
      </c>
      <c r="H15" s="467"/>
      <c r="I15" s="465" t="s">
        <v>42</v>
      </c>
      <c r="L15" s="298"/>
    </row>
    <row r="16" spans="1:12">
      <c r="A16" s="463" t="s">
        <v>180</v>
      </c>
      <c r="B16" s="464" t="s">
        <v>167</v>
      </c>
      <c r="C16" s="465" t="s">
        <v>168</v>
      </c>
      <c r="D16" s="464"/>
      <c r="E16" s="460" t="s">
        <v>169</v>
      </c>
      <c r="F16" s="467"/>
      <c r="G16" s="465" t="s">
        <v>170</v>
      </c>
      <c r="H16" s="467"/>
      <c r="I16" s="465" t="s">
        <v>40</v>
      </c>
      <c r="L16" s="298"/>
    </row>
    <row r="17" spans="1:12">
      <c r="A17" s="463"/>
      <c r="B17" s="464" t="s">
        <v>181</v>
      </c>
      <c r="C17" s="465" t="s">
        <v>168</v>
      </c>
      <c r="D17" s="464"/>
      <c r="E17" s="460" t="s">
        <v>169</v>
      </c>
      <c r="F17" s="467"/>
      <c r="G17" s="465" t="s">
        <v>170</v>
      </c>
      <c r="H17" s="467"/>
      <c r="I17" s="465" t="s">
        <v>42</v>
      </c>
      <c r="L17" s="298"/>
    </row>
    <row r="18" spans="1:12">
      <c r="A18" s="463"/>
      <c r="B18" s="464" t="s">
        <v>177</v>
      </c>
      <c r="C18" s="465" t="s">
        <v>168</v>
      </c>
      <c r="D18" s="464"/>
      <c r="E18" s="460" t="s">
        <v>169</v>
      </c>
      <c r="F18" s="467"/>
      <c r="G18" s="465" t="s">
        <v>170</v>
      </c>
      <c r="H18" s="467"/>
      <c r="I18" s="465" t="s">
        <v>40</v>
      </c>
    </row>
    <row r="19" spans="1:12">
      <c r="A19" s="463" t="s">
        <v>48</v>
      </c>
      <c r="B19" s="464" t="s">
        <v>182</v>
      </c>
      <c r="C19" s="465" t="s">
        <v>175</v>
      </c>
      <c r="D19" s="464"/>
      <c r="E19" s="460" t="s">
        <v>169</v>
      </c>
      <c r="F19" s="467"/>
      <c r="G19" s="465" t="s">
        <v>183</v>
      </c>
      <c r="H19" s="467"/>
      <c r="I19" s="465" t="s">
        <v>40</v>
      </c>
    </row>
    <row r="20" spans="1:12">
      <c r="A20" s="463" t="s">
        <v>51</v>
      </c>
      <c r="B20" s="464" t="s">
        <v>184</v>
      </c>
      <c r="C20" s="465" t="s">
        <v>168</v>
      </c>
      <c r="D20" s="464"/>
      <c r="E20" s="460" t="s">
        <v>169</v>
      </c>
      <c r="F20" s="467"/>
      <c r="G20" s="465" t="s">
        <v>183</v>
      </c>
      <c r="H20" s="467"/>
      <c r="I20" s="465" t="s">
        <v>40</v>
      </c>
    </row>
    <row r="21" spans="1:12">
      <c r="A21" s="463"/>
      <c r="B21" s="464" t="s">
        <v>185</v>
      </c>
      <c r="C21" s="465" t="s">
        <v>172</v>
      </c>
      <c r="D21" s="464"/>
      <c r="E21" s="460" t="s">
        <v>144</v>
      </c>
      <c r="F21" s="467"/>
      <c r="G21" s="465" t="s">
        <v>183</v>
      </c>
      <c r="H21" s="467"/>
      <c r="I21" s="465" t="s">
        <v>42</v>
      </c>
    </row>
    <row r="22" spans="1:12">
      <c r="A22" s="463"/>
      <c r="B22" s="464" t="s">
        <v>186</v>
      </c>
      <c r="C22" s="465" t="s">
        <v>168</v>
      </c>
      <c r="D22" s="464"/>
      <c r="E22" s="460" t="s">
        <v>169</v>
      </c>
      <c r="F22" s="467"/>
      <c r="G22" s="465" t="s">
        <v>183</v>
      </c>
      <c r="H22" s="467"/>
      <c r="I22" s="465" t="s">
        <v>40</v>
      </c>
    </row>
    <row r="23" spans="1:12">
      <c r="A23" s="463" t="s">
        <v>54</v>
      </c>
      <c r="B23" s="464" t="s">
        <v>187</v>
      </c>
      <c r="C23" s="465" t="s">
        <v>172</v>
      </c>
      <c r="D23" s="464"/>
      <c r="E23" s="460" t="s">
        <v>144</v>
      </c>
      <c r="F23" s="467"/>
      <c r="G23" s="465" t="s">
        <v>170</v>
      </c>
      <c r="H23" s="464"/>
      <c r="I23" s="465" t="s">
        <v>42</v>
      </c>
    </row>
    <row r="24" spans="1:12">
      <c r="A24" s="463"/>
      <c r="B24" s="464" t="s">
        <v>188</v>
      </c>
      <c r="C24" s="465" t="s">
        <v>168</v>
      </c>
      <c r="D24" s="464"/>
      <c r="E24" s="466" t="s">
        <v>169</v>
      </c>
      <c r="F24" s="464"/>
      <c r="G24" s="465" t="s">
        <v>170</v>
      </c>
      <c r="H24" s="464"/>
      <c r="I24" s="465" t="s">
        <v>40</v>
      </c>
    </row>
    <row r="25" spans="1:12">
      <c r="A25" s="463"/>
      <c r="B25" s="464" t="s">
        <v>189</v>
      </c>
      <c r="C25" s="465" t="s">
        <v>168</v>
      </c>
      <c r="D25" s="464"/>
      <c r="E25" s="466" t="s">
        <v>169</v>
      </c>
      <c r="F25" s="464"/>
      <c r="G25" s="468" t="s">
        <v>42</v>
      </c>
      <c r="H25" s="464"/>
      <c r="I25" s="468" t="s">
        <v>40</v>
      </c>
    </row>
    <row r="26" spans="1:12">
      <c r="A26" s="6" t="s">
        <v>463</v>
      </c>
      <c r="B26" s="171" t="s">
        <v>498</v>
      </c>
      <c r="C26" s="201" t="s">
        <v>168</v>
      </c>
      <c r="D26" s="171"/>
      <c r="E26" s="450" t="s">
        <v>169</v>
      </c>
      <c r="F26" s="171"/>
      <c r="G26" s="298" t="s">
        <v>42</v>
      </c>
      <c r="H26" s="171"/>
      <c r="I26" s="311" t="s">
        <v>42</v>
      </c>
    </row>
    <row r="27" spans="1:12">
      <c r="A27" s="6"/>
      <c r="B27" s="449" t="s">
        <v>497</v>
      </c>
      <c r="C27" s="201" t="s">
        <v>172</v>
      </c>
      <c r="D27" s="171"/>
      <c r="E27" s="450" t="s">
        <v>144</v>
      </c>
      <c r="F27" s="171"/>
      <c r="G27" s="298" t="s">
        <v>170</v>
      </c>
      <c r="H27" s="171"/>
      <c r="I27" s="311" t="s">
        <v>40</v>
      </c>
    </row>
    <row r="28" spans="1:12">
      <c r="A28" s="6"/>
      <c r="B28" s="449" t="s">
        <v>501</v>
      </c>
      <c r="C28" s="201" t="s">
        <v>168</v>
      </c>
      <c r="D28" s="171"/>
      <c r="E28" s="450" t="s">
        <v>169</v>
      </c>
      <c r="F28" s="171"/>
      <c r="G28" s="298" t="s">
        <v>170</v>
      </c>
      <c r="H28" s="171"/>
      <c r="I28" s="311" t="s">
        <v>40</v>
      </c>
    </row>
    <row r="29" spans="1:12">
      <c r="A29" s="6"/>
      <c r="B29" s="449" t="s">
        <v>500</v>
      </c>
      <c r="C29" s="201" t="s">
        <v>168</v>
      </c>
      <c r="D29" s="171"/>
      <c r="E29" s="450" t="s">
        <v>169</v>
      </c>
      <c r="F29" s="171"/>
      <c r="G29" s="298" t="s">
        <v>170</v>
      </c>
      <c r="H29" s="171"/>
      <c r="I29" s="311" t="s">
        <v>40</v>
      </c>
    </row>
    <row r="30" spans="1:12">
      <c r="A30" s="158" t="s">
        <v>465</v>
      </c>
      <c r="B30" s="157" t="s">
        <v>490</v>
      </c>
      <c r="C30" s="199" t="s">
        <v>168</v>
      </c>
      <c r="D30" s="171"/>
      <c r="E30" s="450" t="s">
        <v>144</v>
      </c>
      <c r="F30" s="171"/>
      <c r="G30" s="298" t="s">
        <v>42</v>
      </c>
      <c r="H30" s="171"/>
      <c r="I30" s="298" t="s">
        <v>42</v>
      </c>
    </row>
    <row r="31" spans="1:12">
      <c r="A31" s="158"/>
      <c r="B31" s="157" t="s">
        <v>491</v>
      </c>
      <c r="C31" s="199" t="s">
        <v>168</v>
      </c>
      <c r="D31" s="171"/>
      <c r="E31" s="311" t="s">
        <v>169</v>
      </c>
      <c r="F31" s="171"/>
      <c r="G31" s="298" t="s">
        <v>183</v>
      </c>
      <c r="H31" s="171"/>
      <c r="I31" s="298" t="s">
        <v>42</v>
      </c>
    </row>
    <row r="32" spans="1:12">
      <c r="A32" s="158"/>
      <c r="B32" s="157" t="s">
        <v>492</v>
      </c>
      <c r="C32" s="199" t="s">
        <v>168</v>
      </c>
      <c r="D32" s="171"/>
      <c r="E32" s="311" t="s">
        <v>169</v>
      </c>
      <c r="F32" s="171"/>
      <c r="G32" s="298" t="s">
        <v>183</v>
      </c>
      <c r="H32" s="171"/>
      <c r="I32" s="298" t="s">
        <v>42</v>
      </c>
    </row>
    <row r="33" spans="1:9">
      <c r="A33" s="158"/>
      <c r="B33" s="157" t="s">
        <v>178</v>
      </c>
      <c r="C33" s="199" t="s">
        <v>172</v>
      </c>
      <c r="D33" s="171"/>
      <c r="E33" s="450" t="s">
        <v>169</v>
      </c>
      <c r="F33" s="171"/>
      <c r="G33" s="298" t="s">
        <v>183</v>
      </c>
      <c r="H33" s="171"/>
      <c r="I33" s="298" t="s">
        <v>42</v>
      </c>
    </row>
    <row r="34" spans="1:9">
      <c r="A34" s="158"/>
      <c r="B34" s="157" t="s">
        <v>493</v>
      </c>
      <c r="C34" s="199" t="s">
        <v>168</v>
      </c>
      <c r="D34" s="171"/>
      <c r="E34" s="450" t="s">
        <v>144</v>
      </c>
      <c r="F34" s="171"/>
      <c r="G34" s="298" t="s">
        <v>170</v>
      </c>
      <c r="H34" s="171"/>
      <c r="I34" s="298" t="s">
        <v>42</v>
      </c>
    </row>
    <row r="35" spans="1:9">
      <c r="A35" s="158"/>
      <c r="B35" s="157" t="s">
        <v>179</v>
      </c>
      <c r="C35" s="199" t="s">
        <v>168</v>
      </c>
      <c r="D35" s="171"/>
      <c r="E35" s="450" t="s">
        <v>144</v>
      </c>
      <c r="F35" s="171"/>
      <c r="G35" s="298" t="s">
        <v>170</v>
      </c>
      <c r="H35" s="171"/>
      <c r="I35" s="298" t="s">
        <v>42</v>
      </c>
    </row>
    <row r="36" spans="1:9">
      <c r="A36" s="18" t="s">
        <v>467</v>
      </c>
      <c r="B36" s="150" t="s">
        <v>494</v>
      </c>
      <c r="C36" s="172" t="s">
        <v>172</v>
      </c>
      <c r="D36" s="171"/>
      <c r="E36" s="450" t="s">
        <v>144</v>
      </c>
      <c r="F36" s="171"/>
      <c r="G36" s="298" t="s">
        <v>42</v>
      </c>
      <c r="H36" s="171"/>
      <c r="I36" s="298" t="s">
        <v>42</v>
      </c>
    </row>
    <row r="37" spans="1:9">
      <c r="A37" s="18"/>
      <c r="B37" s="150" t="s">
        <v>495</v>
      </c>
      <c r="C37" s="172" t="s">
        <v>172</v>
      </c>
      <c r="D37" s="171"/>
      <c r="E37" s="450" t="s">
        <v>144</v>
      </c>
      <c r="F37" s="171"/>
      <c r="G37" s="298" t="s">
        <v>170</v>
      </c>
      <c r="H37" s="171"/>
      <c r="I37" s="298" t="s">
        <v>40</v>
      </c>
    </row>
    <row r="38" spans="1:9">
      <c r="A38" s="6" t="s">
        <v>469</v>
      </c>
      <c r="B38" s="171" t="s">
        <v>505</v>
      </c>
      <c r="C38" s="201" t="s">
        <v>168</v>
      </c>
      <c r="D38" s="171"/>
      <c r="E38" s="450" t="s">
        <v>169</v>
      </c>
      <c r="F38" s="171"/>
      <c r="G38" s="311" t="s">
        <v>42</v>
      </c>
      <c r="H38" s="311"/>
      <c r="I38" s="311" t="s">
        <v>42</v>
      </c>
    </row>
    <row r="39" spans="1:9">
      <c r="A39" s="6"/>
      <c r="B39" s="171" t="s">
        <v>506</v>
      </c>
      <c r="C39" s="201" t="s">
        <v>168</v>
      </c>
      <c r="D39" s="171"/>
      <c r="E39" s="450" t="s">
        <v>169</v>
      </c>
      <c r="F39" s="171"/>
      <c r="G39" s="311" t="s">
        <v>183</v>
      </c>
      <c r="H39" s="311"/>
      <c r="I39" s="311" t="s">
        <v>40</v>
      </c>
    </row>
    <row r="40" spans="1:9">
      <c r="A40" s="6"/>
      <c r="B40" s="171" t="s">
        <v>507</v>
      </c>
      <c r="C40" s="460" t="s">
        <v>175</v>
      </c>
      <c r="D40" s="171"/>
      <c r="E40" s="450" t="s">
        <v>169</v>
      </c>
      <c r="F40" s="171"/>
      <c r="G40" s="311" t="s">
        <v>183</v>
      </c>
      <c r="H40" s="311"/>
      <c r="I40" s="311" t="s">
        <v>40</v>
      </c>
    </row>
    <row r="41" spans="1:9">
      <c r="A41" s="6"/>
      <c r="B41" s="171" t="s">
        <v>508</v>
      </c>
      <c r="C41" s="201" t="s">
        <v>168</v>
      </c>
      <c r="D41" s="171"/>
      <c r="E41" s="450" t="s">
        <v>169</v>
      </c>
      <c r="F41" s="171"/>
      <c r="G41" s="311" t="s">
        <v>42</v>
      </c>
      <c r="H41" s="311"/>
      <c r="I41" s="311" t="s">
        <v>40</v>
      </c>
    </row>
    <row r="42" spans="1:9">
      <c r="A42" s="6"/>
      <c r="B42" s="171" t="s">
        <v>509</v>
      </c>
      <c r="C42" s="201" t="s">
        <v>168</v>
      </c>
      <c r="D42" s="171"/>
      <c r="E42" s="450" t="s">
        <v>169</v>
      </c>
      <c r="F42" s="171"/>
      <c r="G42" s="311" t="s">
        <v>170</v>
      </c>
      <c r="H42" s="311"/>
      <c r="I42" s="311" t="s">
        <v>42</v>
      </c>
    </row>
    <row r="43" spans="1:9">
      <c r="A43" s="6"/>
      <c r="B43" s="171" t="s">
        <v>510</v>
      </c>
      <c r="C43" s="201" t="s">
        <v>172</v>
      </c>
      <c r="D43" s="171"/>
      <c r="E43" s="450" t="s">
        <v>144</v>
      </c>
      <c r="F43" s="171"/>
      <c r="G43" s="311" t="s">
        <v>183</v>
      </c>
      <c r="H43" s="311"/>
      <c r="I43" s="311" t="s">
        <v>40</v>
      </c>
    </row>
    <row r="44" spans="1:9">
      <c r="A44" s="6"/>
      <c r="B44" s="171" t="s">
        <v>511</v>
      </c>
      <c r="C44" s="201" t="s">
        <v>168</v>
      </c>
      <c r="D44" s="171"/>
      <c r="E44" s="450" t="s">
        <v>169</v>
      </c>
      <c r="F44" s="171"/>
      <c r="G44" s="311" t="s">
        <v>42</v>
      </c>
      <c r="H44" s="311"/>
      <c r="I44" s="311" t="s">
        <v>40</v>
      </c>
    </row>
    <row r="45" spans="1:9">
      <c r="A45" s="6"/>
      <c r="B45" s="171" t="s">
        <v>512</v>
      </c>
      <c r="C45" s="201" t="s">
        <v>168</v>
      </c>
      <c r="D45" s="171"/>
      <c r="E45" s="450" t="s">
        <v>144</v>
      </c>
      <c r="F45" s="171"/>
      <c r="G45" s="311" t="s">
        <v>42</v>
      </c>
      <c r="H45" s="311"/>
      <c r="I45" s="311" t="s">
        <v>40</v>
      </c>
    </row>
    <row r="46" spans="1:9">
      <c r="A46" s="6"/>
      <c r="B46" s="171" t="s">
        <v>513</v>
      </c>
      <c r="C46" s="460" t="s">
        <v>168</v>
      </c>
      <c r="D46" s="171"/>
      <c r="E46" s="311" t="s">
        <v>169</v>
      </c>
      <c r="F46" s="171"/>
      <c r="G46" s="311" t="s">
        <v>170</v>
      </c>
      <c r="H46" s="311"/>
      <c r="I46" s="311" t="s">
        <v>42</v>
      </c>
    </row>
    <row r="47" spans="1:9">
      <c r="A47" s="6" t="s">
        <v>471</v>
      </c>
      <c r="B47" s="171" t="s">
        <v>494</v>
      </c>
      <c r="C47" s="201" t="s">
        <v>172</v>
      </c>
      <c r="D47" s="171"/>
      <c r="E47" s="450" t="s">
        <v>144</v>
      </c>
      <c r="F47" s="171"/>
      <c r="G47" s="311" t="s">
        <v>42</v>
      </c>
      <c r="H47" s="311"/>
      <c r="I47" s="311" t="s">
        <v>42</v>
      </c>
    </row>
    <row r="48" spans="1:9">
      <c r="A48" s="6"/>
      <c r="B48" s="171" t="s">
        <v>495</v>
      </c>
      <c r="C48" s="201" t="s">
        <v>172</v>
      </c>
      <c r="D48" s="171"/>
      <c r="E48" s="450" t="s">
        <v>144</v>
      </c>
      <c r="F48" s="171"/>
      <c r="G48" s="311" t="s">
        <v>170</v>
      </c>
      <c r="H48" s="311"/>
      <c r="I48" s="311" t="s">
        <v>40</v>
      </c>
    </row>
    <row r="49" spans="1:9">
      <c r="A49" s="18" t="s">
        <v>473</v>
      </c>
      <c r="B49" s="150" t="s">
        <v>514</v>
      </c>
      <c r="C49" s="172" t="s">
        <v>168</v>
      </c>
      <c r="D49" s="171"/>
      <c r="E49" s="450" t="s">
        <v>144</v>
      </c>
      <c r="F49" s="171"/>
      <c r="G49" s="298" t="s">
        <v>42</v>
      </c>
      <c r="H49" s="171"/>
      <c r="I49" s="298" t="s">
        <v>42</v>
      </c>
    </row>
    <row r="50" spans="1:9">
      <c r="A50" s="18"/>
      <c r="B50" s="150" t="s">
        <v>515</v>
      </c>
      <c r="C50" s="172" t="s">
        <v>168</v>
      </c>
      <c r="D50" s="171"/>
      <c r="E50" s="450" t="s">
        <v>144</v>
      </c>
      <c r="F50" s="171"/>
      <c r="G50" s="298" t="s">
        <v>42</v>
      </c>
      <c r="H50" s="160"/>
      <c r="I50" s="298" t="s">
        <v>40</v>
      </c>
    </row>
    <row r="51" spans="1:9">
      <c r="A51" s="18"/>
      <c r="B51" s="150" t="s">
        <v>516</v>
      </c>
      <c r="C51" s="172" t="s">
        <v>168</v>
      </c>
      <c r="D51" s="171"/>
      <c r="E51" s="450" t="s">
        <v>169</v>
      </c>
      <c r="F51" s="171"/>
      <c r="G51" s="298" t="s">
        <v>42</v>
      </c>
      <c r="H51" s="160"/>
      <c r="I51" s="298" t="s">
        <v>42</v>
      </c>
    </row>
    <row r="52" spans="1:9">
      <c r="A52" s="18"/>
      <c r="B52" s="150" t="s">
        <v>517</v>
      </c>
      <c r="C52" s="172" t="s">
        <v>168</v>
      </c>
      <c r="D52" s="171"/>
      <c r="E52" s="311" t="s">
        <v>144</v>
      </c>
      <c r="F52" s="171"/>
      <c r="G52" s="298" t="s">
        <v>170</v>
      </c>
      <c r="H52" s="160"/>
      <c r="I52" s="298" t="s">
        <v>42</v>
      </c>
    </row>
    <row r="53" spans="1:9">
      <c r="A53" s="18"/>
      <c r="B53" s="150" t="s">
        <v>518</v>
      </c>
      <c r="C53" s="172" t="s">
        <v>168</v>
      </c>
      <c r="D53" s="171"/>
      <c r="E53" s="311" t="s">
        <v>144</v>
      </c>
      <c r="F53" s="171"/>
      <c r="G53" s="298" t="s">
        <v>42</v>
      </c>
      <c r="H53" s="160"/>
      <c r="I53" s="298" t="s">
        <v>42</v>
      </c>
    </row>
    <row r="54" spans="1:9">
      <c r="A54" s="18" t="s">
        <v>475</v>
      </c>
      <c r="B54" s="150" t="s">
        <v>496</v>
      </c>
      <c r="C54" s="172" t="s">
        <v>172</v>
      </c>
      <c r="E54" s="311" t="s">
        <v>144</v>
      </c>
      <c r="F54" s="160"/>
      <c r="G54" s="311" t="s">
        <v>183</v>
      </c>
      <c r="H54" s="160"/>
      <c r="I54" s="298" t="s">
        <v>42</v>
      </c>
    </row>
    <row r="55" spans="1:9">
      <c r="A55" s="18"/>
      <c r="B55" s="150" t="s">
        <v>185</v>
      </c>
      <c r="C55" s="172" t="s">
        <v>172</v>
      </c>
      <c r="E55" s="311" t="s">
        <v>144</v>
      </c>
      <c r="F55" s="160"/>
      <c r="G55" s="311" t="s">
        <v>183</v>
      </c>
      <c r="H55" s="160"/>
      <c r="I55" s="298" t="s">
        <v>42</v>
      </c>
    </row>
    <row r="56" spans="1:9">
      <c r="A56" s="18"/>
      <c r="B56" s="150" t="s">
        <v>530</v>
      </c>
      <c r="C56" s="172" t="s">
        <v>168</v>
      </c>
      <c r="E56" s="202" t="s">
        <v>169</v>
      </c>
      <c r="F56" s="160"/>
      <c r="G56" s="311" t="s">
        <v>42</v>
      </c>
      <c r="H56" s="160"/>
      <c r="I56" s="311" t="s">
        <v>40</v>
      </c>
    </row>
    <row r="57" spans="1:9">
      <c r="A57" s="6" t="s">
        <v>477</v>
      </c>
      <c r="B57" s="171" t="s">
        <v>519</v>
      </c>
      <c r="C57" s="460" t="s">
        <v>172</v>
      </c>
      <c r="E57" s="311" t="s">
        <v>144</v>
      </c>
      <c r="F57" s="160"/>
      <c r="G57" s="311" t="s">
        <v>42</v>
      </c>
      <c r="H57" s="160"/>
      <c r="I57" s="311" t="s">
        <v>40</v>
      </c>
    </row>
    <row r="58" spans="1:9">
      <c r="A58" s="6"/>
      <c r="B58" s="171" t="s">
        <v>520</v>
      </c>
      <c r="C58" s="460" t="s">
        <v>172</v>
      </c>
      <c r="E58" s="450" t="s">
        <v>144</v>
      </c>
      <c r="F58" s="160"/>
      <c r="G58" s="311" t="s">
        <v>42</v>
      </c>
      <c r="H58" s="160"/>
      <c r="I58" s="311" t="s">
        <v>40</v>
      </c>
    </row>
    <row r="59" spans="1:9">
      <c r="A59" s="6"/>
      <c r="B59" s="171" t="s">
        <v>521</v>
      </c>
      <c r="C59" s="460" t="s">
        <v>172</v>
      </c>
      <c r="E59" s="450" t="s">
        <v>144</v>
      </c>
      <c r="F59" s="160"/>
      <c r="G59" s="311" t="s">
        <v>183</v>
      </c>
      <c r="H59" s="160"/>
      <c r="I59" s="311" t="s">
        <v>40</v>
      </c>
    </row>
    <row r="60" spans="1:9">
      <c r="A60" s="6"/>
      <c r="B60" s="171" t="s">
        <v>497</v>
      </c>
      <c r="C60" s="201" t="s">
        <v>172</v>
      </c>
      <c r="E60" s="450" t="s">
        <v>144</v>
      </c>
      <c r="F60" s="160"/>
      <c r="G60" s="311" t="s">
        <v>170</v>
      </c>
      <c r="H60" s="160"/>
      <c r="I60" s="311" t="s">
        <v>40</v>
      </c>
    </row>
    <row r="61" spans="1:9">
      <c r="A61" s="6"/>
      <c r="B61" s="171" t="s">
        <v>522</v>
      </c>
      <c r="C61" s="201" t="s">
        <v>172</v>
      </c>
      <c r="E61" s="450" t="s">
        <v>144</v>
      </c>
      <c r="F61" s="160"/>
      <c r="G61" s="311" t="s">
        <v>170</v>
      </c>
      <c r="H61" s="160"/>
      <c r="I61" s="311" t="s">
        <v>42</v>
      </c>
    </row>
    <row r="62" spans="1:9">
      <c r="A62" s="6"/>
      <c r="B62" s="171" t="s">
        <v>176</v>
      </c>
      <c r="C62" s="201" t="s">
        <v>172</v>
      </c>
      <c r="E62" s="450" t="s">
        <v>144</v>
      </c>
      <c r="F62" s="160"/>
      <c r="G62" s="311" t="s">
        <v>183</v>
      </c>
      <c r="H62" s="160"/>
      <c r="I62" s="311" t="s">
        <v>42</v>
      </c>
    </row>
    <row r="63" spans="1:9">
      <c r="A63" s="6"/>
      <c r="B63" s="171" t="s">
        <v>523</v>
      </c>
      <c r="C63" s="201" t="s">
        <v>168</v>
      </c>
      <c r="E63" s="450" t="s">
        <v>169</v>
      </c>
      <c r="F63" s="160"/>
      <c r="G63" s="311" t="s">
        <v>170</v>
      </c>
      <c r="H63" s="160"/>
      <c r="I63" s="311" t="s">
        <v>40</v>
      </c>
    </row>
    <row r="64" spans="1:9">
      <c r="A64" s="6" t="s">
        <v>479</v>
      </c>
      <c r="B64" s="171" t="s">
        <v>497</v>
      </c>
      <c r="C64" s="201" t="s">
        <v>172</v>
      </c>
      <c r="E64" s="450" t="s">
        <v>144</v>
      </c>
      <c r="F64" s="160"/>
      <c r="G64" s="311" t="s">
        <v>170</v>
      </c>
      <c r="H64" s="160"/>
      <c r="I64" s="311" t="s">
        <v>40</v>
      </c>
    </row>
    <row r="65" spans="1:9">
      <c r="A65" s="6"/>
      <c r="B65" s="171" t="s">
        <v>494</v>
      </c>
      <c r="C65" s="201" t="s">
        <v>172</v>
      </c>
      <c r="E65" s="450" t="s">
        <v>144</v>
      </c>
      <c r="F65" s="160"/>
      <c r="G65" s="311" t="s">
        <v>42</v>
      </c>
      <c r="H65" s="160"/>
      <c r="I65" s="311" t="s">
        <v>42</v>
      </c>
    </row>
    <row r="66" spans="1:9">
      <c r="A66" s="6"/>
      <c r="B66" s="171" t="s">
        <v>495</v>
      </c>
      <c r="C66" s="201" t="s">
        <v>172</v>
      </c>
      <c r="E66" s="450" t="s">
        <v>144</v>
      </c>
      <c r="F66" s="160"/>
      <c r="G66" s="311" t="s">
        <v>42</v>
      </c>
      <c r="H66" s="160"/>
      <c r="I66" s="311" t="s">
        <v>42</v>
      </c>
    </row>
    <row r="67" spans="1:9">
      <c r="A67" s="6"/>
      <c r="B67" s="171" t="s">
        <v>527</v>
      </c>
      <c r="C67" s="201" t="s">
        <v>172</v>
      </c>
      <c r="E67" s="450" t="s">
        <v>144</v>
      </c>
      <c r="F67" s="160"/>
      <c r="G67" s="311" t="s">
        <v>170</v>
      </c>
      <c r="H67" s="160"/>
      <c r="I67" s="311" t="s">
        <v>40</v>
      </c>
    </row>
    <row r="68" spans="1:9">
      <c r="A68" s="6"/>
      <c r="B68" s="171" t="s">
        <v>531</v>
      </c>
      <c r="C68" s="201" t="s">
        <v>172</v>
      </c>
      <c r="E68" s="450" t="s">
        <v>144</v>
      </c>
      <c r="F68" s="160"/>
      <c r="G68" s="311" t="s">
        <v>42</v>
      </c>
      <c r="H68" s="160"/>
      <c r="I68" s="311" t="s">
        <v>42</v>
      </c>
    </row>
    <row r="69" spans="1:9">
      <c r="A69" s="6"/>
      <c r="B69" s="171" t="s">
        <v>532</v>
      </c>
      <c r="C69" s="201" t="s">
        <v>172</v>
      </c>
      <c r="E69" s="450" t="s">
        <v>144</v>
      </c>
      <c r="F69" s="160"/>
      <c r="G69" s="311" t="s">
        <v>42</v>
      </c>
      <c r="H69" s="160"/>
      <c r="I69" s="311" t="s">
        <v>42</v>
      </c>
    </row>
    <row r="70" spans="1:9">
      <c r="A70" s="6" t="s">
        <v>481</v>
      </c>
      <c r="B70" s="171" t="s">
        <v>524</v>
      </c>
      <c r="C70" s="201" t="s">
        <v>168</v>
      </c>
      <c r="E70" s="311" t="s">
        <v>169</v>
      </c>
      <c r="F70" s="160"/>
      <c r="G70" s="311" t="s">
        <v>42</v>
      </c>
      <c r="H70" s="311"/>
      <c r="I70" s="311" t="s">
        <v>40</v>
      </c>
    </row>
    <row r="71" spans="1:9">
      <c r="A71" s="171"/>
      <c r="B71" s="171" t="s">
        <v>525</v>
      </c>
      <c r="C71" s="201" t="s">
        <v>168</v>
      </c>
      <c r="E71" s="450" t="s">
        <v>144</v>
      </c>
      <c r="F71" s="160"/>
      <c r="G71" s="311" t="s">
        <v>170</v>
      </c>
      <c r="H71" s="311"/>
      <c r="I71" s="311" t="s">
        <v>40</v>
      </c>
    </row>
    <row r="72" spans="1:9">
      <c r="A72" s="171"/>
      <c r="B72" s="171" t="s">
        <v>526</v>
      </c>
      <c r="C72" s="201" t="s">
        <v>172</v>
      </c>
      <c r="E72" s="450" t="s">
        <v>144</v>
      </c>
      <c r="F72" s="160"/>
      <c r="G72" s="311" t="s">
        <v>170</v>
      </c>
      <c r="H72" s="311"/>
      <c r="I72" s="311" t="s">
        <v>42</v>
      </c>
    </row>
    <row r="73" spans="1:9">
      <c r="A73" s="171"/>
      <c r="B73" s="171" t="s">
        <v>527</v>
      </c>
      <c r="C73" s="201" t="s">
        <v>172</v>
      </c>
      <c r="E73" s="450" t="s">
        <v>144</v>
      </c>
      <c r="F73" s="160"/>
      <c r="G73" s="311" t="s">
        <v>42</v>
      </c>
      <c r="H73" s="311"/>
      <c r="I73" s="311" t="s">
        <v>40</v>
      </c>
    </row>
    <row r="74" spans="1:9">
      <c r="A74" s="171"/>
      <c r="B74" s="171" t="s">
        <v>528</v>
      </c>
      <c r="C74" s="201" t="s">
        <v>168</v>
      </c>
      <c r="E74" s="450" t="s">
        <v>169</v>
      </c>
      <c r="F74" s="160"/>
      <c r="G74" s="311" t="s">
        <v>42</v>
      </c>
      <c r="H74" s="311"/>
      <c r="I74" s="311" t="s">
        <v>42</v>
      </c>
    </row>
    <row r="75" spans="1:9">
      <c r="A75" s="171"/>
      <c r="B75" s="171" t="s">
        <v>529</v>
      </c>
      <c r="C75" s="201" t="s">
        <v>172</v>
      </c>
      <c r="E75" s="450" t="s">
        <v>144</v>
      </c>
      <c r="F75" s="160"/>
      <c r="G75" s="311" t="s">
        <v>42</v>
      </c>
      <c r="H75" s="311"/>
      <c r="I75" s="311" t="s">
        <v>40</v>
      </c>
    </row>
    <row r="76" spans="1:9">
      <c r="A76" s="171"/>
      <c r="B76" s="171" t="s">
        <v>533</v>
      </c>
      <c r="C76" s="201" t="s">
        <v>172</v>
      </c>
      <c r="E76" s="450" t="s">
        <v>144</v>
      </c>
      <c r="F76" s="160"/>
      <c r="G76" s="311" t="s">
        <v>183</v>
      </c>
      <c r="H76" s="311"/>
      <c r="I76" s="311" t="s">
        <v>42</v>
      </c>
    </row>
    <row r="77" spans="1:9">
      <c r="A77" s="171"/>
      <c r="B77" s="171" t="s">
        <v>517</v>
      </c>
      <c r="C77" s="201" t="s">
        <v>168</v>
      </c>
      <c r="E77" s="450" t="s">
        <v>144</v>
      </c>
      <c r="F77" s="160"/>
      <c r="G77" s="311" t="s">
        <v>170</v>
      </c>
      <c r="H77" s="311"/>
      <c r="I77" s="311" t="s">
        <v>40</v>
      </c>
    </row>
    <row r="78" spans="1:9">
      <c r="A78" s="171"/>
      <c r="B78" s="171" t="s">
        <v>530</v>
      </c>
      <c r="C78" s="201" t="s">
        <v>168</v>
      </c>
      <c r="E78" s="450" t="s">
        <v>169</v>
      </c>
      <c r="F78" s="160"/>
      <c r="G78" s="311" t="s">
        <v>42</v>
      </c>
      <c r="H78" s="311"/>
      <c r="I78" s="311" t="s">
        <v>40</v>
      </c>
    </row>
    <row r="79" spans="1:9">
      <c r="A79" s="171"/>
      <c r="B79" s="171" t="s">
        <v>531</v>
      </c>
      <c r="C79" s="201" t="s">
        <v>172</v>
      </c>
      <c r="E79" s="450" t="s">
        <v>144</v>
      </c>
      <c r="F79" s="160"/>
      <c r="G79" s="311" t="s">
        <v>42</v>
      </c>
      <c r="H79" s="311"/>
      <c r="I79" s="311" t="s">
        <v>42</v>
      </c>
    </row>
    <row r="80" spans="1:9">
      <c r="A80" s="171"/>
      <c r="B80" s="455" t="s">
        <v>532</v>
      </c>
      <c r="C80" s="565" t="s">
        <v>172</v>
      </c>
      <c r="D80" s="453"/>
      <c r="E80" s="452" t="s">
        <v>144</v>
      </c>
      <c r="F80" s="454"/>
      <c r="G80" s="311" t="s">
        <v>42</v>
      </c>
      <c r="H80" s="311"/>
      <c r="I80" s="311" t="s">
        <v>42</v>
      </c>
    </row>
    <row r="81" spans="1:12">
      <c r="C81" s="298"/>
      <c r="D81" s="298"/>
      <c r="E81" s="298"/>
    </row>
    <row r="82" spans="1:12">
      <c r="A82" s="150" t="s">
        <v>190</v>
      </c>
      <c r="B82" s="150" t="s">
        <v>172</v>
      </c>
      <c r="C82" s="298">
        <f>COUNTIF($C$8:$C$80,"Fully Forecast")</f>
        <v>32</v>
      </c>
      <c r="D82" s="161" t="s">
        <v>169</v>
      </c>
      <c r="E82" s="298">
        <f>COUNTIF($E$8:$E$80,D82)</f>
        <v>30</v>
      </c>
      <c r="F82" s="298" t="s">
        <v>183</v>
      </c>
      <c r="G82" s="298">
        <f>COUNTIF($G$8:$G$80,"Full")</f>
        <v>15</v>
      </c>
      <c r="H82" s="298" t="s">
        <v>40</v>
      </c>
      <c r="I82" s="298">
        <f>COUNTIF($I$8:$I$80,"Yes")</f>
        <v>38</v>
      </c>
    </row>
    <row r="83" spans="1:12">
      <c r="B83" s="150" t="s">
        <v>175</v>
      </c>
      <c r="C83" s="298">
        <f>COUNTIF($C$8:$C$80,"Partially Forecast")</f>
        <v>3</v>
      </c>
      <c r="D83" s="161" t="s">
        <v>144</v>
      </c>
      <c r="E83" s="298">
        <f>COUNTIF($E$8:$E$80,D83)</f>
        <v>43</v>
      </c>
      <c r="F83" s="298" t="s">
        <v>170</v>
      </c>
      <c r="G83" s="298">
        <f>COUNTIF($G$8:$G$80,"Partial")</f>
        <v>30</v>
      </c>
      <c r="H83" s="298" t="s">
        <v>42</v>
      </c>
      <c r="I83" s="298">
        <f>COUNTIF($I$8:$I$80,"No")</f>
        <v>35</v>
      </c>
    </row>
    <row r="84" spans="1:12">
      <c r="A84" s="162" t="s">
        <v>191</v>
      </c>
      <c r="B84" s="163" t="s">
        <v>168</v>
      </c>
      <c r="C84" s="298">
        <f>COUNTIF($C$8:$C$80,"Historical")</f>
        <v>38</v>
      </c>
      <c r="D84" s="161"/>
      <c r="E84" s="161"/>
      <c r="F84" s="298" t="s">
        <v>42</v>
      </c>
      <c r="G84" s="298">
        <f>COUNTIF($G$8:$G$80,"No")</f>
        <v>28</v>
      </c>
      <c r="H84" s="298"/>
    </row>
    <row r="85" spans="1:12">
      <c r="A85" s="162"/>
      <c r="B85" s="163"/>
      <c r="C85" s="298"/>
      <c r="D85" s="161"/>
      <c r="E85" s="161"/>
      <c r="F85" s="298"/>
      <c r="G85" s="298"/>
      <c r="H85" s="298"/>
    </row>
    <row r="86" spans="1:12">
      <c r="A86" s="162"/>
      <c r="B86" s="164" t="s">
        <v>192</v>
      </c>
      <c r="C86" s="161">
        <f>(C82+C83)/(C82+C83+C84)</f>
        <v>0.47945205479452052</v>
      </c>
      <c r="D86" s="165" t="s">
        <v>169</v>
      </c>
      <c r="E86" s="161">
        <f>E82/(E82+E83)</f>
        <v>0.41095890410958902</v>
      </c>
      <c r="F86" s="166" t="s">
        <v>193</v>
      </c>
      <c r="G86" s="161">
        <f>(G82+G83)/(G82+G83+G84)</f>
        <v>0.61643835616438358</v>
      </c>
      <c r="H86" s="166" t="s">
        <v>194</v>
      </c>
      <c r="I86" s="161">
        <f>I82/(I82+I83)</f>
        <v>0.52054794520547942</v>
      </c>
    </row>
    <row r="87" spans="1:12">
      <c r="A87" s="162"/>
      <c r="B87" s="163"/>
      <c r="C87" s="298"/>
      <c r="D87" s="161"/>
      <c r="E87" s="161"/>
      <c r="F87" s="298"/>
      <c r="G87" s="298"/>
      <c r="H87" s="298"/>
    </row>
    <row r="88" spans="1:12" ht="13.5" thickBot="1">
      <c r="A88" s="179" t="s">
        <v>504</v>
      </c>
      <c r="B88" s="179" t="s">
        <v>428</v>
      </c>
      <c r="C88" s="308" t="s">
        <v>172</v>
      </c>
      <c r="D88" s="309"/>
      <c r="E88" s="310" t="s">
        <v>169</v>
      </c>
      <c r="F88" s="308"/>
      <c r="G88" s="308" t="s">
        <v>183</v>
      </c>
      <c r="H88" s="308"/>
      <c r="I88" s="308" t="s">
        <v>40</v>
      </c>
    </row>
    <row r="89" spans="1:12">
      <c r="L89" s="557"/>
    </row>
    <row r="90" spans="1:12">
      <c r="G90" s="150" t="s">
        <v>191</v>
      </c>
    </row>
    <row r="91" spans="1:12">
      <c r="A91" s="167" t="s">
        <v>195</v>
      </c>
    </row>
    <row r="92" spans="1:12">
      <c r="A92" s="778" t="s">
        <v>611</v>
      </c>
      <c r="B92" s="778"/>
      <c r="C92" s="778"/>
      <c r="D92" s="778"/>
      <c r="E92" s="778"/>
      <c r="F92" s="778"/>
      <c r="G92" s="778"/>
      <c r="H92" s="778"/>
      <c r="I92" s="778"/>
    </row>
    <row r="93" spans="1:12">
      <c r="A93" s="561" t="s">
        <v>612</v>
      </c>
      <c r="B93" s="464"/>
      <c r="C93" s="464"/>
      <c r="D93" s="464"/>
      <c r="E93" s="464"/>
      <c r="F93" s="464"/>
      <c r="G93" s="464"/>
      <c r="H93" s="464"/>
      <c r="I93" s="464"/>
    </row>
    <row r="94" spans="1:12" ht="24.75" customHeight="1">
      <c r="A94" s="770" t="s">
        <v>196</v>
      </c>
      <c r="B94" s="770"/>
      <c r="C94" s="770"/>
      <c r="D94" s="770"/>
      <c r="E94" s="770"/>
      <c r="F94" s="770"/>
      <c r="G94" s="770"/>
      <c r="H94" s="770"/>
      <c r="I94" s="770"/>
    </row>
    <row r="95" spans="1:12">
      <c r="A95" s="451" t="s">
        <v>503</v>
      </c>
    </row>
    <row r="96" spans="1:12">
      <c r="A96" s="168" t="s">
        <v>502</v>
      </c>
    </row>
    <row r="99" ht="12.75" customHeight="1"/>
    <row r="100" ht="12.75" customHeight="1"/>
  </sheetData>
  <mergeCells count="10">
    <mergeCell ref="A92:I92"/>
    <mergeCell ref="A94:I94"/>
    <mergeCell ref="A2:I2"/>
    <mergeCell ref="A3:I3"/>
    <mergeCell ref="D5:E5"/>
    <mergeCell ref="F5:G5"/>
    <mergeCell ref="H5:I5"/>
    <mergeCell ref="D6:E6"/>
    <mergeCell ref="F6:G6"/>
    <mergeCell ref="H6:I6"/>
  </mergeCells>
  <conditionalFormatting sqref="A26:A70">
    <cfRule type="expression" dxfId="43" priority="1">
      <formula>"(blank)"</formula>
    </cfRule>
  </conditionalFormatting>
  <conditionalFormatting sqref="A26:A70">
    <cfRule type="expression" dxfId="42" priority="2">
      <formula>#REF!</formula>
    </cfRule>
  </conditionalFormatting>
  <printOptions horizontalCentered="1"/>
  <pageMargins left="0.7" right="0.7" top="1.25" bottom="0.75" header="0.3" footer="0.3"/>
  <pageSetup scale="71" firstPageNumber="2" orientation="landscape" useFirstPageNumber="1" r:id="rId1"/>
  <headerFooter>
    <oddHeader>&amp;RPetitioner's Exhibit No.12
 Attachment AEB-2
Vectren South
Schedule 10 (Alternative Proxy Group)
Page &amp;P of 3</oddHeader>
  </headerFooter>
  <rowBreaks count="1" manualBreakCount="1">
    <brk id="49" max="8" man="1"/>
  </rowBreaks>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1">
    <tabColor rgb="FF92D050"/>
  </sheetPr>
  <dimension ref="B1:T63"/>
  <sheetViews>
    <sheetView topLeftCell="A16" zoomScaleNormal="100" zoomScaleSheetLayoutView="64" workbookViewId="0">
      <selection activeCell="E27" sqref="E27"/>
    </sheetView>
  </sheetViews>
  <sheetFormatPr defaultColWidth="9.140625" defaultRowHeight="12.75"/>
  <cols>
    <col min="1" max="1" width="1.7109375" style="527" customWidth="1"/>
    <col min="2" max="2" width="36.85546875" style="542" customWidth="1"/>
    <col min="3" max="4" width="10.5703125" style="306" customWidth="1"/>
    <col min="5" max="5" width="12.28515625" style="306" customWidth="1"/>
    <col min="6" max="6" width="11" style="306" customWidth="1"/>
    <col min="7" max="7" width="2.28515625" style="542" customWidth="1"/>
    <col min="8" max="8" width="2" style="542" customWidth="1"/>
    <col min="9" max="9" width="33.42578125" style="542" customWidth="1"/>
    <col min="10" max="13" width="10.5703125" style="306" customWidth="1"/>
    <col min="14" max="15" width="1.7109375" style="542" customWidth="1"/>
    <col min="16" max="16" width="40" style="542" customWidth="1"/>
    <col min="17" max="20" width="10.5703125" style="306" customWidth="1"/>
    <col min="21" max="21" width="2.7109375" style="527" customWidth="1"/>
    <col min="22" max="16384" width="9.140625" style="527"/>
  </cols>
  <sheetData>
    <row r="1" spans="2:20" s="526" customFormat="1">
      <c r="B1" s="781" t="s">
        <v>225</v>
      </c>
      <c r="C1" s="781"/>
      <c r="D1" s="781"/>
      <c r="E1" s="781"/>
      <c r="F1" s="781"/>
      <c r="G1" s="519"/>
      <c r="H1" s="519"/>
      <c r="I1" s="781" t="s">
        <v>225</v>
      </c>
      <c r="J1" s="781"/>
      <c r="K1" s="781"/>
      <c r="L1" s="781"/>
      <c r="M1" s="781"/>
      <c r="N1" s="519"/>
      <c r="O1" s="519"/>
      <c r="P1" s="781" t="s">
        <v>225</v>
      </c>
      <c r="Q1" s="781"/>
      <c r="R1" s="781"/>
      <c r="S1" s="781"/>
      <c r="T1" s="781"/>
    </row>
    <row r="2" spans="2:20">
      <c r="B2" s="306"/>
      <c r="G2" s="306"/>
      <c r="H2" s="306"/>
      <c r="I2" s="306"/>
      <c r="N2" s="306"/>
      <c r="O2" s="306"/>
      <c r="P2" s="306"/>
    </row>
    <row r="3" spans="2:20">
      <c r="B3" s="779" t="s">
        <v>226</v>
      </c>
      <c r="C3" s="779"/>
      <c r="D3" s="779"/>
      <c r="E3" s="779"/>
      <c r="F3" s="779"/>
      <c r="G3" s="306"/>
      <c r="H3" s="306"/>
      <c r="I3" s="779" t="s">
        <v>227</v>
      </c>
      <c r="J3" s="779"/>
      <c r="K3" s="779"/>
      <c r="L3" s="779"/>
      <c r="M3" s="779"/>
      <c r="N3" s="306"/>
      <c r="O3" s="306"/>
      <c r="P3" s="780" t="s">
        <v>228</v>
      </c>
      <c r="Q3" s="780"/>
      <c r="R3" s="780"/>
      <c r="S3" s="780"/>
      <c r="T3" s="780"/>
    </row>
    <row r="4" spans="2:20">
      <c r="B4" s="528" t="s">
        <v>229</v>
      </c>
      <c r="C4" s="318" t="s">
        <v>31</v>
      </c>
      <c r="D4" s="318">
        <v>2019</v>
      </c>
      <c r="E4" s="529">
        <v>2018</v>
      </c>
      <c r="F4" s="288" t="s">
        <v>230</v>
      </c>
      <c r="G4" s="306"/>
      <c r="H4" s="306"/>
      <c r="I4" s="530" t="s">
        <v>229</v>
      </c>
      <c r="J4" s="288" t="s">
        <v>31</v>
      </c>
      <c r="K4" s="288">
        <v>2019</v>
      </c>
      <c r="L4" s="529">
        <v>2018</v>
      </c>
      <c r="M4" s="288" t="s">
        <v>230</v>
      </c>
      <c r="N4" s="306"/>
      <c r="O4" s="306"/>
      <c r="P4" s="530" t="s">
        <v>229</v>
      </c>
      <c r="Q4" s="288" t="s">
        <v>31</v>
      </c>
      <c r="R4" s="288">
        <v>2019</v>
      </c>
      <c r="S4" s="529">
        <v>2018</v>
      </c>
      <c r="T4" s="288" t="s">
        <v>230</v>
      </c>
    </row>
    <row r="5" spans="2:20" s="532" customFormat="1">
      <c r="B5" s="324" t="s">
        <v>38</v>
      </c>
      <c r="C5" s="320" t="s">
        <v>39</v>
      </c>
      <c r="D5" s="321">
        <v>0.5843170947282631</v>
      </c>
      <c r="E5" s="321">
        <v>0.6322029733019392</v>
      </c>
      <c r="F5" s="321">
        <f>IF(D5="",E5,D5)</f>
        <v>0.5843170947282631</v>
      </c>
      <c r="G5" s="531"/>
      <c r="H5" s="531"/>
      <c r="I5" s="325" t="s">
        <v>38</v>
      </c>
      <c r="J5" s="44" t="s">
        <v>39</v>
      </c>
      <c r="K5" s="289">
        <v>0.41568290527173696</v>
      </c>
      <c r="L5" s="289">
        <v>0.3677970266980608</v>
      </c>
      <c r="M5" s="321">
        <f>IF(K5="",L5,K5)</f>
        <v>0.41568290527173696</v>
      </c>
      <c r="N5" s="531"/>
      <c r="O5" s="531" t="s">
        <v>91</v>
      </c>
      <c r="P5" s="325" t="s">
        <v>38</v>
      </c>
      <c r="Q5" s="44" t="s">
        <v>39</v>
      </c>
      <c r="R5" s="289">
        <v>0</v>
      </c>
      <c r="S5" s="289">
        <v>0</v>
      </c>
      <c r="T5" s="321">
        <f>IF(R5="",S5,R5)</f>
        <v>0</v>
      </c>
    </row>
    <row r="6" spans="2:20" s="532" customFormat="1">
      <c r="B6" s="324" t="s">
        <v>241</v>
      </c>
      <c r="C6" s="320" t="s">
        <v>80</v>
      </c>
      <c r="D6" s="317">
        <v>0.58868755460749189</v>
      </c>
      <c r="E6" s="317">
        <v>0.61917689918553509</v>
      </c>
      <c r="F6" s="317">
        <f>IF(D6="",E6,D6)</f>
        <v>0.58868755460749189</v>
      </c>
      <c r="G6" s="531"/>
      <c r="H6" s="531"/>
      <c r="I6" s="533" t="s">
        <v>241</v>
      </c>
      <c r="J6" s="44" t="s">
        <v>80</v>
      </c>
      <c r="K6" s="290">
        <v>0.41131244539250805</v>
      </c>
      <c r="L6" s="290">
        <v>0.38082310081446485</v>
      </c>
      <c r="M6" s="317">
        <f>IF(K6="",L6,K6)</f>
        <v>0.41131244539250805</v>
      </c>
      <c r="N6" s="531"/>
      <c r="O6" s="531" t="s">
        <v>91</v>
      </c>
      <c r="P6" s="533" t="s">
        <v>241</v>
      </c>
      <c r="Q6" s="44" t="s">
        <v>80</v>
      </c>
      <c r="R6" s="290">
        <v>0</v>
      </c>
      <c r="S6" s="290">
        <v>0</v>
      </c>
      <c r="T6" s="317">
        <f>IF(R6="",S6,R6)</f>
        <v>0</v>
      </c>
    </row>
    <row r="7" spans="2:20" s="532" customFormat="1">
      <c r="B7" s="324" t="s">
        <v>43</v>
      </c>
      <c r="C7" s="320" t="s">
        <v>44</v>
      </c>
      <c r="D7" s="317">
        <v>0.5150087795211713</v>
      </c>
      <c r="E7" s="317">
        <v>0.50364555102897213</v>
      </c>
      <c r="F7" s="317">
        <f t="shared" ref="F7:F11" si="0">IF(D7="",E7,D7)</f>
        <v>0.5150087795211713</v>
      </c>
      <c r="G7" s="531"/>
      <c r="H7" s="531"/>
      <c r="I7" s="325" t="s">
        <v>43</v>
      </c>
      <c r="J7" s="44" t="s">
        <v>44</v>
      </c>
      <c r="K7" s="290">
        <v>0.4849912204788287</v>
      </c>
      <c r="L7" s="290">
        <v>0.49635444897102793</v>
      </c>
      <c r="M7" s="317">
        <f t="shared" ref="M7:M11" si="1">IF(K7="",L7,K7)</f>
        <v>0.4849912204788287</v>
      </c>
      <c r="N7" s="531"/>
      <c r="O7" s="531" t="s">
        <v>91</v>
      </c>
      <c r="P7" s="325" t="s">
        <v>43</v>
      </c>
      <c r="Q7" s="44" t="s">
        <v>44</v>
      </c>
      <c r="R7" s="290">
        <v>0</v>
      </c>
      <c r="S7" s="290">
        <v>0</v>
      </c>
      <c r="T7" s="317">
        <f t="shared" ref="T7:T11" si="2">IF(R7="",S7,R7)</f>
        <v>0</v>
      </c>
    </row>
    <row r="8" spans="2:20" s="532" customFormat="1">
      <c r="B8" s="324" t="s">
        <v>131</v>
      </c>
      <c r="C8" s="320" t="s">
        <v>47</v>
      </c>
      <c r="D8" s="317">
        <v>0.635479857802694</v>
      </c>
      <c r="E8" s="317">
        <v>0.62027199205218397</v>
      </c>
      <c r="F8" s="317">
        <f t="shared" si="0"/>
        <v>0.635479857802694</v>
      </c>
      <c r="G8" s="531"/>
      <c r="H8" s="531"/>
      <c r="I8" s="325" t="s">
        <v>131</v>
      </c>
      <c r="J8" s="44" t="s">
        <v>47</v>
      </c>
      <c r="K8" s="290">
        <v>0.36452014219730594</v>
      </c>
      <c r="L8" s="290">
        <v>0.37972800794781603</v>
      </c>
      <c r="M8" s="317">
        <f t="shared" si="1"/>
        <v>0.36452014219730594</v>
      </c>
      <c r="N8" s="531"/>
      <c r="O8" s="531" t="s">
        <v>91</v>
      </c>
      <c r="P8" s="325" t="s">
        <v>131</v>
      </c>
      <c r="Q8" s="44" t="s">
        <v>47</v>
      </c>
      <c r="R8" s="290">
        <v>0</v>
      </c>
      <c r="S8" s="290">
        <v>0</v>
      </c>
      <c r="T8" s="317">
        <f t="shared" si="2"/>
        <v>0</v>
      </c>
    </row>
    <row r="9" spans="2:20" s="532" customFormat="1">
      <c r="B9" s="324" t="s">
        <v>48</v>
      </c>
      <c r="C9" s="320" t="s">
        <v>49</v>
      </c>
      <c r="D9" s="317">
        <v>0.66576543884500583</v>
      </c>
      <c r="E9" s="317">
        <v>0.53546135834367403</v>
      </c>
      <c r="F9" s="317">
        <f t="shared" si="0"/>
        <v>0.66576543884500583</v>
      </c>
      <c r="G9" s="531"/>
      <c r="H9" s="531"/>
      <c r="I9" s="534" t="s">
        <v>48</v>
      </c>
      <c r="J9" s="311" t="s">
        <v>49</v>
      </c>
      <c r="K9" s="290">
        <v>0.33423456115499417</v>
      </c>
      <c r="L9" s="290">
        <v>0.46453864165632597</v>
      </c>
      <c r="M9" s="317">
        <f t="shared" si="1"/>
        <v>0.33423456115499417</v>
      </c>
      <c r="N9" s="531"/>
      <c r="O9" s="531" t="s">
        <v>91</v>
      </c>
      <c r="P9" s="534" t="s">
        <v>48</v>
      </c>
      <c r="Q9" s="311" t="s">
        <v>49</v>
      </c>
      <c r="R9" s="290">
        <v>0</v>
      </c>
      <c r="S9" s="290">
        <v>0</v>
      </c>
      <c r="T9" s="317">
        <f t="shared" si="2"/>
        <v>0</v>
      </c>
    </row>
    <row r="10" spans="2:20" s="532" customFormat="1">
      <c r="B10" s="324" t="s">
        <v>51</v>
      </c>
      <c r="C10" s="320" t="s">
        <v>52</v>
      </c>
      <c r="D10" s="317">
        <v>0.50034036468522936</v>
      </c>
      <c r="E10" s="317">
        <v>0.49382216341470714</v>
      </c>
      <c r="F10" s="317">
        <f t="shared" si="0"/>
        <v>0.50034036468522936</v>
      </c>
      <c r="G10" s="531"/>
      <c r="H10" s="531"/>
      <c r="I10" s="533" t="s">
        <v>51</v>
      </c>
      <c r="J10" s="44" t="s">
        <v>52</v>
      </c>
      <c r="K10" s="290">
        <v>0.4996596353147707</v>
      </c>
      <c r="L10" s="290">
        <v>0.50617783658529292</v>
      </c>
      <c r="M10" s="317">
        <f t="shared" si="1"/>
        <v>0.4996596353147707</v>
      </c>
      <c r="N10" s="531"/>
      <c r="O10" s="531" t="s">
        <v>91</v>
      </c>
      <c r="P10" s="533" t="s">
        <v>51</v>
      </c>
      <c r="Q10" s="44" t="s">
        <v>52</v>
      </c>
      <c r="R10" s="290">
        <v>0</v>
      </c>
      <c r="S10" s="290">
        <v>0</v>
      </c>
      <c r="T10" s="317">
        <f t="shared" si="2"/>
        <v>0</v>
      </c>
    </row>
    <row r="11" spans="2:20" s="532" customFormat="1">
      <c r="B11" s="324" t="s">
        <v>231</v>
      </c>
      <c r="C11" s="320" t="s">
        <v>55</v>
      </c>
      <c r="D11" s="317">
        <v>0.63186997294089653</v>
      </c>
      <c r="E11" s="317">
        <v>0.65797728820466461</v>
      </c>
      <c r="F11" s="317">
        <f t="shared" si="0"/>
        <v>0.63186997294089653</v>
      </c>
      <c r="G11" s="531"/>
      <c r="H11" s="531"/>
      <c r="I11" s="533" t="s">
        <v>231</v>
      </c>
      <c r="J11" s="44" t="s">
        <v>55</v>
      </c>
      <c r="K11" s="290">
        <v>0.36813002705910342</v>
      </c>
      <c r="L11" s="290">
        <v>0.34202271179533539</v>
      </c>
      <c r="M11" s="317">
        <f t="shared" si="1"/>
        <v>0.36813002705910342</v>
      </c>
      <c r="N11" s="531"/>
      <c r="O11" s="531" t="s">
        <v>91</v>
      </c>
      <c r="P11" s="533" t="s">
        <v>231</v>
      </c>
      <c r="Q11" s="44" t="s">
        <v>55</v>
      </c>
      <c r="R11" s="290">
        <v>0</v>
      </c>
      <c r="S11" s="290">
        <v>0</v>
      </c>
      <c r="T11" s="317">
        <f t="shared" si="2"/>
        <v>0</v>
      </c>
    </row>
    <row r="12" spans="2:20">
      <c r="B12" s="535"/>
      <c r="C12" s="320"/>
      <c r="D12" s="317"/>
      <c r="E12" s="317"/>
      <c r="F12" s="290"/>
      <c r="G12" s="306"/>
      <c r="H12" s="306"/>
      <c r="I12" s="325"/>
      <c r="J12" s="44"/>
      <c r="K12" s="290"/>
      <c r="L12" s="290"/>
      <c r="M12" s="110"/>
      <c r="N12" s="306"/>
      <c r="O12" s="306"/>
      <c r="P12" s="325"/>
      <c r="Q12" s="44"/>
      <c r="R12" s="290"/>
      <c r="S12" s="290"/>
      <c r="T12" s="110"/>
    </row>
    <row r="13" spans="2:20">
      <c r="B13" s="536" t="s">
        <v>232</v>
      </c>
      <c r="C13" s="320"/>
      <c r="D13" s="320"/>
      <c r="E13" s="322"/>
      <c r="F13" s="313"/>
      <c r="G13" s="306"/>
      <c r="H13" s="306"/>
      <c r="I13" s="537" t="s">
        <v>232</v>
      </c>
      <c r="J13" s="44"/>
      <c r="K13" s="44"/>
      <c r="L13" s="312"/>
      <c r="M13" s="313"/>
      <c r="N13" s="306"/>
      <c r="O13" s="306"/>
      <c r="P13" s="537" t="s">
        <v>232</v>
      </c>
      <c r="Q13" s="44"/>
      <c r="R13" s="44"/>
      <c r="S13" s="312"/>
      <c r="T13" s="313"/>
    </row>
    <row r="14" spans="2:20" s="531" customFormat="1">
      <c r="B14" s="538" t="s">
        <v>233</v>
      </c>
      <c r="C14" s="205"/>
      <c r="D14" s="314">
        <f>AVERAGE(D5,D7:D11)</f>
        <v>0.58879691808721002</v>
      </c>
      <c r="E14" s="314">
        <f t="shared" ref="E14:F14" si="3">AVERAGE(E5,E7:E11)</f>
        <v>0.57389688772435676</v>
      </c>
      <c r="F14" s="314">
        <f t="shared" si="3"/>
        <v>0.58879691808721002</v>
      </c>
      <c r="I14" s="538" t="s">
        <v>233</v>
      </c>
      <c r="J14" s="205"/>
      <c r="K14" s="314">
        <f>AVERAGE(K5,K7:K11)</f>
        <v>0.41120308191278993</v>
      </c>
      <c r="L14" s="314">
        <f t="shared" ref="L14:M14" si="4">AVERAGE(L5,L7:L11)</f>
        <v>0.42610311227564318</v>
      </c>
      <c r="M14" s="314">
        <f t="shared" si="4"/>
        <v>0.41120308191278993</v>
      </c>
      <c r="P14" s="538" t="s">
        <v>233</v>
      </c>
      <c r="Q14" s="205"/>
      <c r="R14" s="314">
        <f t="shared" ref="R14:T14" si="5">AVERAGE(R5,R7:R11)</f>
        <v>0</v>
      </c>
      <c r="S14" s="314">
        <f t="shared" si="5"/>
        <v>0</v>
      </c>
      <c r="T14" s="314">
        <f t="shared" si="5"/>
        <v>0</v>
      </c>
    </row>
    <row r="15" spans="2:20" s="531" customFormat="1">
      <c r="B15" s="539" t="s">
        <v>234</v>
      </c>
      <c r="C15" s="206"/>
      <c r="D15" s="313">
        <f>MIN(D5,D7:D11)</f>
        <v>0.50034036468522936</v>
      </c>
      <c r="E15" s="313">
        <f t="shared" ref="E15:F15" si="6">MIN(E5,E7:E11)</f>
        <v>0.49382216341470714</v>
      </c>
      <c r="F15" s="313">
        <f t="shared" si="6"/>
        <v>0.50034036468522936</v>
      </c>
      <c r="I15" s="539" t="s">
        <v>234</v>
      </c>
      <c r="J15" s="206"/>
      <c r="K15" s="313">
        <f>MIN(K5,K7:K11)</f>
        <v>0.33423456115499417</v>
      </c>
      <c r="L15" s="313">
        <f t="shared" ref="L15:M15" si="7">MIN(L5,L7:L11)</f>
        <v>0.34202271179533539</v>
      </c>
      <c r="M15" s="313">
        <f t="shared" si="7"/>
        <v>0.33423456115499417</v>
      </c>
      <c r="P15" s="539" t="s">
        <v>234</v>
      </c>
      <c r="Q15" s="206"/>
      <c r="R15" s="313">
        <f>MIN(R5,R7:R11)</f>
        <v>0</v>
      </c>
      <c r="S15" s="313">
        <f t="shared" ref="S15:T15" si="8">MIN(S5,S7:S11)</f>
        <v>0</v>
      </c>
      <c r="T15" s="313">
        <f t="shared" si="8"/>
        <v>0</v>
      </c>
    </row>
    <row r="16" spans="2:20" s="531" customFormat="1" ht="13.5" thickBot="1">
      <c r="B16" s="540" t="s">
        <v>235</v>
      </c>
      <c r="C16" s="315"/>
      <c r="D16" s="316">
        <f>MAX(D5,D7:D11)</f>
        <v>0.66576543884500583</v>
      </c>
      <c r="E16" s="316">
        <f t="shared" ref="E16:F16" si="9">MAX(E5,E7:E11)</f>
        <v>0.65797728820466461</v>
      </c>
      <c r="F16" s="316">
        <f t="shared" si="9"/>
        <v>0.66576543884500583</v>
      </c>
      <c r="I16" s="567" t="s">
        <v>235</v>
      </c>
      <c r="J16" s="315"/>
      <c r="K16" s="316">
        <f>MAX(K5,K7:K11)</f>
        <v>0.4996596353147707</v>
      </c>
      <c r="L16" s="316">
        <f t="shared" ref="L16:M16" si="10">MAX(L5,L7:L11)</f>
        <v>0.50617783658529292</v>
      </c>
      <c r="M16" s="316">
        <f t="shared" si="10"/>
        <v>0.4996596353147707</v>
      </c>
      <c r="P16" s="540" t="s">
        <v>235</v>
      </c>
      <c r="Q16" s="315"/>
      <c r="R16" s="316">
        <f>MAX(R5,R7:R11)</f>
        <v>0</v>
      </c>
      <c r="S16" s="316">
        <f t="shared" ref="S16:T16" si="11">MAX(S5,S7:S11)</f>
        <v>0</v>
      </c>
      <c r="T16" s="316">
        <f t="shared" si="11"/>
        <v>0</v>
      </c>
    </row>
    <row r="17" spans="2:20">
      <c r="B17" s="541"/>
      <c r="C17" s="323"/>
      <c r="D17" s="323"/>
      <c r="E17" s="323"/>
      <c r="F17" s="206"/>
      <c r="G17" s="306"/>
      <c r="H17" s="306"/>
      <c r="I17" s="539"/>
      <c r="J17" s="206"/>
      <c r="K17" s="206"/>
      <c r="L17" s="206"/>
      <c r="M17" s="206"/>
      <c r="N17" s="306"/>
      <c r="O17" s="306"/>
      <c r="P17" s="539"/>
      <c r="Q17" s="206"/>
      <c r="R17" s="206"/>
      <c r="S17" s="206"/>
      <c r="T17" s="206"/>
    </row>
    <row r="18" spans="2:20">
      <c r="B18" s="541" t="s">
        <v>236</v>
      </c>
      <c r="C18" s="323"/>
      <c r="D18" s="323"/>
      <c r="E18" s="323"/>
      <c r="F18" s="206"/>
      <c r="G18" s="306"/>
      <c r="H18" s="306"/>
      <c r="I18" s="539" t="s">
        <v>236</v>
      </c>
      <c r="J18" s="206"/>
      <c r="K18" s="206"/>
      <c r="L18" s="206"/>
      <c r="M18" s="206"/>
      <c r="N18" s="306"/>
      <c r="O18" s="306"/>
      <c r="P18" s="539" t="s">
        <v>236</v>
      </c>
      <c r="Q18" s="206"/>
      <c r="R18" s="206"/>
      <c r="S18" s="206"/>
      <c r="T18" s="206"/>
    </row>
    <row r="19" spans="2:20" s="542" customFormat="1">
      <c r="B19" s="538" t="s">
        <v>233</v>
      </c>
      <c r="C19" s="205"/>
      <c r="D19" s="314">
        <f>AVERAGE(D5:D11)</f>
        <v>0.58878129473296459</v>
      </c>
      <c r="E19" s="314">
        <f>AVERAGE(E5:E11)</f>
        <v>0.58036546079023943</v>
      </c>
      <c r="F19" s="314">
        <f>AVERAGE(F5:F11)</f>
        <v>0.58878129473296459</v>
      </c>
      <c r="G19" s="306"/>
      <c r="H19" s="306"/>
      <c r="I19" s="538" t="s">
        <v>233</v>
      </c>
      <c r="J19" s="205"/>
      <c r="K19" s="314">
        <f>AVERAGE(K5:K11)</f>
        <v>0.41121870526703541</v>
      </c>
      <c r="L19" s="314">
        <f>AVERAGE(L5:L11)</f>
        <v>0.41963453920976057</v>
      </c>
      <c r="M19" s="314">
        <f>AVERAGE(M5:M11)</f>
        <v>0.41121870526703541</v>
      </c>
      <c r="N19" s="306"/>
      <c r="O19" s="306"/>
      <c r="P19" s="538" t="s">
        <v>233</v>
      </c>
      <c r="Q19" s="205"/>
      <c r="R19" s="314">
        <f>AVERAGE(R5:R11)</f>
        <v>0</v>
      </c>
      <c r="S19" s="314">
        <f>AVERAGE(S5:S11)</f>
        <v>0</v>
      </c>
      <c r="T19" s="314">
        <f>AVERAGE(T5:T11)</f>
        <v>0</v>
      </c>
    </row>
    <row r="20" spans="2:20" s="542" customFormat="1">
      <c r="B20" s="539" t="s">
        <v>234</v>
      </c>
      <c r="C20" s="206"/>
      <c r="D20" s="313">
        <f>MIN(D5:D11)</f>
        <v>0.50034036468522936</v>
      </c>
      <c r="E20" s="313">
        <f>MIN(E5:E11)</f>
        <v>0.49382216341470714</v>
      </c>
      <c r="F20" s="313">
        <f>MIN(F5:F11)</f>
        <v>0.50034036468522936</v>
      </c>
      <c r="G20" s="306"/>
      <c r="H20" s="306"/>
      <c r="I20" s="539" t="s">
        <v>234</v>
      </c>
      <c r="J20" s="206"/>
      <c r="K20" s="313">
        <f>MIN(K5:K11)</f>
        <v>0.33423456115499417</v>
      </c>
      <c r="L20" s="313">
        <f>MIN(L5:L11)</f>
        <v>0.34202271179533539</v>
      </c>
      <c r="M20" s="313">
        <f>MIN(M5:M11)</f>
        <v>0.33423456115499417</v>
      </c>
      <c r="N20" s="306"/>
      <c r="O20" s="306"/>
      <c r="P20" s="539" t="s">
        <v>234</v>
      </c>
      <c r="Q20" s="206"/>
      <c r="R20" s="313">
        <f>MIN(R5:R11)</f>
        <v>0</v>
      </c>
      <c r="S20" s="313">
        <f>MIN(S5:S11)</f>
        <v>0</v>
      </c>
      <c r="T20" s="313">
        <f>MIN(T5:T11)</f>
        <v>0</v>
      </c>
    </row>
    <row r="21" spans="2:20" s="542" customFormat="1" ht="13.5" thickBot="1">
      <c r="B21" s="540" t="s">
        <v>235</v>
      </c>
      <c r="C21" s="315"/>
      <c r="D21" s="316">
        <f>MAX(D5:D11)</f>
        <v>0.66576543884500583</v>
      </c>
      <c r="E21" s="316">
        <f>MAX(E5:E11)</f>
        <v>0.65797728820466461</v>
      </c>
      <c r="F21" s="316">
        <f>MAX(F5:F11)</f>
        <v>0.66576543884500583</v>
      </c>
      <c r="G21" s="306"/>
      <c r="H21" s="306"/>
      <c r="I21" s="540" t="s">
        <v>235</v>
      </c>
      <c r="J21" s="315"/>
      <c r="K21" s="316">
        <f>MAX(K5:K11)</f>
        <v>0.4996596353147707</v>
      </c>
      <c r="L21" s="316">
        <f>MAX(L5:L11)</f>
        <v>0.50617783658529292</v>
      </c>
      <c r="M21" s="316">
        <f>MAX(M5:M11)</f>
        <v>0.4996596353147707</v>
      </c>
      <c r="N21" s="306"/>
      <c r="O21" s="306"/>
      <c r="P21" s="540" t="s">
        <v>235</v>
      </c>
      <c r="Q21" s="315"/>
      <c r="R21" s="316">
        <f>MAX(R5:R11)</f>
        <v>0</v>
      </c>
      <c r="S21" s="316">
        <f>MAX(S5:S11)</f>
        <v>0</v>
      </c>
      <c r="T21" s="316">
        <f>MAX(T5:T11)</f>
        <v>0</v>
      </c>
    </row>
    <row r="22" spans="2:20">
      <c r="B22" s="539"/>
      <c r="C22" s="206"/>
      <c r="D22" s="206"/>
      <c r="E22" s="110"/>
      <c r="F22" s="110"/>
      <c r="G22" s="306"/>
      <c r="H22" s="306"/>
      <c r="I22" s="539"/>
      <c r="L22" s="110"/>
      <c r="M22" s="110"/>
      <c r="N22" s="306"/>
      <c r="O22" s="306"/>
      <c r="P22" s="539"/>
      <c r="S22" s="110"/>
      <c r="T22" s="110"/>
    </row>
    <row r="23" spans="2:20">
      <c r="B23" s="539"/>
      <c r="C23" s="206"/>
      <c r="D23" s="206"/>
      <c r="G23" s="306"/>
      <c r="H23" s="306"/>
      <c r="I23" s="306"/>
      <c r="N23" s="306"/>
      <c r="O23" s="306"/>
      <c r="P23" s="306"/>
    </row>
    <row r="24" spans="2:20">
      <c r="B24" s="779" t="s">
        <v>237</v>
      </c>
      <c r="C24" s="779"/>
      <c r="D24" s="779"/>
      <c r="E24" s="779"/>
      <c r="F24" s="779"/>
      <c r="G24" s="306"/>
      <c r="H24" s="306"/>
      <c r="I24" s="779" t="s">
        <v>238</v>
      </c>
      <c r="J24" s="779"/>
      <c r="K24" s="779"/>
      <c r="L24" s="779"/>
      <c r="M24" s="779"/>
      <c r="N24" s="306"/>
      <c r="O24" s="306"/>
      <c r="P24" s="780" t="s">
        <v>239</v>
      </c>
      <c r="Q24" s="780"/>
      <c r="R24" s="780"/>
      <c r="S24" s="780"/>
      <c r="T24" s="780"/>
    </row>
    <row r="25" spans="2:20">
      <c r="B25" s="530" t="s">
        <v>240</v>
      </c>
      <c r="C25" s="288" t="s">
        <v>31</v>
      </c>
      <c r="D25" s="288">
        <v>2019</v>
      </c>
      <c r="E25" s="529">
        <f>E4</f>
        <v>2018</v>
      </c>
      <c r="F25" s="288" t="s">
        <v>230</v>
      </c>
      <c r="G25" s="306"/>
      <c r="H25" s="306"/>
      <c r="I25" s="530" t="s">
        <v>240</v>
      </c>
      <c r="J25" s="288" t="s">
        <v>31</v>
      </c>
      <c r="K25" s="288">
        <v>2019</v>
      </c>
      <c r="L25" s="529">
        <f>L4</f>
        <v>2018</v>
      </c>
      <c r="M25" s="288" t="s">
        <v>230</v>
      </c>
      <c r="N25" s="306"/>
      <c r="O25" s="306"/>
      <c r="P25" s="530" t="s">
        <v>240</v>
      </c>
      <c r="Q25" s="288" t="s">
        <v>31</v>
      </c>
      <c r="R25" s="288">
        <v>2019</v>
      </c>
      <c r="S25" s="529">
        <f>S4</f>
        <v>2018</v>
      </c>
      <c r="T25" s="288" t="s">
        <v>230</v>
      </c>
    </row>
    <row r="26" spans="2:20">
      <c r="B26" s="325" t="s">
        <v>38</v>
      </c>
      <c r="C26" s="206" t="s">
        <v>39</v>
      </c>
      <c r="D26" s="317">
        <v>0.5843170947282631</v>
      </c>
      <c r="E26" s="317">
        <v>0.6322029733019392</v>
      </c>
      <c r="F26" s="317">
        <f t="shared" ref="F26:F38" si="12">IF(D26="",E26,D26)</f>
        <v>0.5843170947282631</v>
      </c>
      <c r="G26" s="306"/>
      <c r="H26" s="306"/>
      <c r="I26" s="325" t="s">
        <v>38</v>
      </c>
      <c r="J26" s="206" t="s">
        <v>39</v>
      </c>
      <c r="K26" s="290">
        <v>0.41568290527173696</v>
      </c>
      <c r="L26" s="290">
        <v>0.3677970266980608</v>
      </c>
      <c r="M26" s="317">
        <f t="shared" ref="M26:M38" si="13">IF(K26="",L26,K26)</f>
        <v>0.41568290527173696</v>
      </c>
      <c r="N26" s="306"/>
      <c r="O26" s="306" t="s">
        <v>91</v>
      </c>
      <c r="P26" s="325" t="s">
        <v>38</v>
      </c>
      <c r="Q26" s="206" t="s">
        <v>39</v>
      </c>
      <c r="R26" s="290">
        <v>0</v>
      </c>
      <c r="S26" s="290">
        <v>0</v>
      </c>
      <c r="T26" s="317">
        <f t="shared" ref="T26:T38" si="14">IF(R26="",S26,R26)</f>
        <v>0</v>
      </c>
    </row>
    <row r="27" spans="2:20">
      <c r="B27" s="325" t="s">
        <v>241</v>
      </c>
      <c r="C27" s="206" t="s">
        <v>80</v>
      </c>
      <c r="D27" s="317">
        <v>0.58868755460749189</v>
      </c>
      <c r="E27" s="317">
        <v>0.61917689918553509</v>
      </c>
      <c r="F27" s="317">
        <f t="shared" si="12"/>
        <v>0.58868755460749189</v>
      </c>
      <c r="G27" s="306"/>
      <c r="H27" s="306"/>
      <c r="I27" s="325" t="s">
        <v>241</v>
      </c>
      <c r="J27" s="206" t="s">
        <v>80</v>
      </c>
      <c r="K27" s="290">
        <v>0.41131244539250805</v>
      </c>
      <c r="L27" s="290">
        <v>0.38082310081446485</v>
      </c>
      <c r="M27" s="317">
        <f t="shared" si="13"/>
        <v>0.41131244539250805</v>
      </c>
      <c r="N27" s="306"/>
      <c r="O27" s="306" t="s">
        <v>91</v>
      </c>
      <c r="P27" s="325" t="s">
        <v>241</v>
      </c>
      <c r="Q27" s="206" t="s">
        <v>80</v>
      </c>
      <c r="R27" s="290">
        <v>0</v>
      </c>
      <c r="S27" s="290">
        <v>0</v>
      </c>
      <c r="T27" s="317">
        <f t="shared" si="14"/>
        <v>0</v>
      </c>
    </row>
    <row r="28" spans="2:20">
      <c r="B28" s="325" t="s">
        <v>541</v>
      </c>
      <c r="C28" s="206" t="s">
        <v>44</v>
      </c>
      <c r="D28" s="317">
        <v>0.5150087795211713</v>
      </c>
      <c r="E28" s="317">
        <v>0.50364555102897213</v>
      </c>
      <c r="F28" s="317">
        <f t="shared" si="12"/>
        <v>0.5150087795211713</v>
      </c>
      <c r="G28" s="306"/>
      <c r="H28" s="306"/>
      <c r="I28" s="325" t="s">
        <v>541</v>
      </c>
      <c r="J28" s="206" t="s">
        <v>44</v>
      </c>
      <c r="K28" s="290">
        <v>0.4849912204788287</v>
      </c>
      <c r="L28" s="290">
        <v>0.49635444897102793</v>
      </c>
      <c r="M28" s="317">
        <f t="shared" si="13"/>
        <v>0.4849912204788287</v>
      </c>
      <c r="N28" s="306"/>
      <c r="O28" s="306" t="s">
        <v>91</v>
      </c>
      <c r="P28" s="325" t="s">
        <v>541</v>
      </c>
      <c r="Q28" s="206" t="s">
        <v>44</v>
      </c>
      <c r="R28" s="290">
        <v>0</v>
      </c>
      <c r="S28" s="290">
        <v>0</v>
      </c>
      <c r="T28" s="317">
        <f t="shared" si="14"/>
        <v>0</v>
      </c>
    </row>
    <row r="29" spans="2:20">
      <c r="B29" s="325" t="s">
        <v>242</v>
      </c>
      <c r="C29" s="206" t="s">
        <v>47</v>
      </c>
      <c r="D29" s="317">
        <v>0.635479857802694</v>
      </c>
      <c r="E29" s="317">
        <v>0.62200914737863344</v>
      </c>
      <c r="F29" s="317">
        <f t="shared" si="12"/>
        <v>0.635479857802694</v>
      </c>
      <c r="G29" s="306"/>
      <c r="H29" s="306"/>
      <c r="I29" s="325" t="s">
        <v>242</v>
      </c>
      <c r="J29" s="206" t="s">
        <v>47</v>
      </c>
      <c r="K29" s="290">
        <v>0.36452014219730594</v>
      </c>
      <c r="L29" s="290">
        <v>0.37799085262136656</v>
      </c>
      <c r="M29" s="317">
        <f t="shared" si="13"/>
        <v>0.36452014219730594</v>
      </c>
      <c r="N29" s="306"/>
      <c r="O29" s="306" t="s">
        <v>91</v>
      </c>
      <c r="P29" s="325" t="s">
        <v>242</v>
      </c>
      <c r="Q29" s="206" t="s">
        <v>47</v>
      </c>
      <c r="R29" s="290">
        <v>0</v>
      </c>
      <c r="S29" s="290">
        <v>0</v>
      </c>
      <c r="T29" s="317">
        <f t="shared" si="14"/>
        <v>0</v>
      </c>
    </row>
    <row r="30" spans="2:20">
      <c r="B30" s="325" t="s">
        <v>243</v>
      </c>
      <c r="C30" s="206" t="s">
        <v>47</v>
      </c>
      <c r="D30" s="317" t="s">
        <v>91</v>
      </c>
      <c r="E30" s="317">
        <v>0.61943706910554075</v>
      </c>
      <c r="F30" s="317">
        <f t="shared" si="12"/>
        <v>0.61943706910554075</v>
      </c>
      <c r="G30" s="306"/>
      <c r="H30" s="306"/>
      <c r="I30" s="325" t="s">
        <v>243</v>
      </c>
      <c r="J30" s="206" t="s">
        <v>47</v>
      </c>
      <c r="K30" s="290" t="s">
        <v>91</v>
      </c>
      <c r="L30" s="290">
        <v>0.38056293089445931</v>
      </c>
      <c r="M30" s="317">
        <f t="shared" si="13"/>
        <v>0.38056293089445931</v>
      </c>
      <c r="N30" s="306"/>
      <c r="O30" s="306" t="s">
        <v>91</v>
      </c>
      <c r="P30" s="325" t="s">
        <v>243</v>
      </c>
      <c r="Q30" s="206" t="s">
        <v>47</v>
      </c>
      <c r="R30" s="290" t="s">
        <v>91</v>
      </c>
      <c r="S30" s="290">
        <v>0</v>
      </c>
      <c r="T30" s="317">
        <f t="shared" si="14"/>
        <v>0</v>
      </c>
    </row>
    <row r="31" spans="2:20">
      <c r="B31" s="325" t="s">
        <v>244</v>
      </c>
      <c r="C31" s="206" t="s">
        <v>47</v>
      </c>
      <c r="D31" s="317" t="s">
        <v>91</v>
      </c>
      <c r="E31" s="317">
        <v>0.61950456431035417</v>
      </c>
      <c r="F31" s="317">
        <f t="shared" si="12"/>
        <v>0.61950456431035417</v>
      </c>
      <c r="G31" s="306"/>
      <c r="H31" s="306"/>
      <c r="I31" s="325" t="s">
        <v>244</v>
      </c>
      <c r="J31" s="206" t="s">
        <v>47</v>
      </c>
      <c r="K31" s="290" t="s">
        <v>91</v>
      </c>
      <c r="L31" s="290">
        <v>0.38049543568964583</v>
      </c>
      <c r="M31" s="317">
        <f t="shared" si="13"/>
        <v>0.38049543568964583</v>
      </c>
      <c r="N31" s="306"/>
      <c r="O31" s="306" t="s">
        <v>91</v>
      </c>
      <c r="P31" s="325" t="s">
        <v>244</v>
      </c>
      <c r="Q31" s="206" t="s">
        <v>47</v>
      </c>
      <c r="R31" s="290" t="s">
        <v>91</v>
      </c>
      <c r="S31" s="290">
        <v>0</v>
      </c>
      <c r="T31" s="317">
        <f t="shared" si="14"/>
        <v>0</v>
      </c>
    </row>
    <row r="32" spans="2:20">
      <c r="B32" s="325" t="s">
        <v>542</v>
      </c>
      <c r="C32" s="206" t="s">
        <v>49</v>
      </c>
      <c r="D32" s="317" t="s">
        <v>91</v>
      </c>
      <c r="E32" s="317" t="s">
        <v>91</v>
      </c>
      <c r="F32" s="317" t="str">
        <f t="shared" si="12"/>
        <v/>
      </c>
      <c r="I32" s="325" t="s">
        <v>542</v>
      </c>
      <c r="J32" s="206" t="s">
        <v>49</v>
      </c>
      <c r="K32" s="290" t="s">
        <v>91</v>
      </c>
      <c r="L32" s="290" t="s">
        <v>91</v>
      </c>
      <c r="M32" s="317" t="str">
        <f t="shared" si="13"/>
        <v/>
      </c>
      <c r="O32" s="542" t="s">
        <v>91</v>
      </c>
      <c r="P32" s="325" t="s">
        <v>542</v>
      </c>
      <c r="Q32" s="206" t="s">
        <v>49</v>
      </c>
      <c r="R32" s="290" t="s">
        <v>91</v>
      </c>
      <c r="S32" s="290" t="s">
        <v>91</v>
      </c>
      <c r="T32" s="317" t="str">
        <f t="shared" si="14"/>
        <v/>
      </c>
    </row>
    <row r="33" spans="2:20">
      <c r="B33" s="325" t="s">
        <v>245</v>
      </c>
      <c r="C33" s="206" t="s">
        <v>49</v>
      </c>
      <c r="D33" s="317">
        <v>0.66576543884500583</v>
      </c>
      <c r="E33" s="317">
        <v>0.53546135834367403</v>
      </c>
      <c r="F33" s="317">
        <f t="shared" si="12"/>
        <v>0.66576543884500583</v>
      </c>
      <c r="I33" s="325" t="s">
        <v>245</v>
      </c>
      <c r="J33" s="206" t="s">
        <v>49</v>
      </c>
      <c r="K33" s="290">
        <v>0.33423456115499417</v>
      </c>
      <c r="L33" s="290">
        <v>0.46453864165632597</v>
      </c>
      <c r="M33" s="317">
        <f t="shared" si="13"/>
        <v>0.33423456115499417</v>
      </c>
      <c r="O33" s="542" t="s">
        <v>91</v>
      </c>
      <c r="P33" s="325" t="s">
        <v>245</v>
      </c>
      <c r="Q33" s="206" t="s">
        <v>49</v>
      </c>
      <c r="R33" s="290">
        <v>0</v>
      </c>
      <c r="S33" s="290">
        <v>0</v>
      </c>
      <c r="T33" s="317">
        <f t="shared" si="14"/>
        <v>0</v>
      </c>
    </row>
    <row r="34" spans="2:20">
      <c r="B34" s="325" t="s">
        <v>51</v>
      </c>
      <c r="C34" s="206" t="s">
        <v>52</v>
      </c>
      <c r="D34" s="317">
        <v>0.50034036468522936</v>
      </c>
      <c r="E34" s="317">
        <v>0.49382216341470714</v>
      </c>
      <c r="F34" s="317">
        <f t="shared" si="12"/>
        <v>0.50034036468522936</v>
      </c>
      <c r="I34" s="325" t="s">
        <v>51</v>
      </c>
      <c r="J34" s="206" t="s">
        <v>52</v>
      </c>
      <c r="K34" s="290">
        <v>0.4996596353147707</v>
      </c>
      <c r="L34" s="290">
        <v>0.50617783658529292</v>
      </c>
      <c r="M34" s="317">
        <f t="shared" si="13"/>
        <v>0.4996596353147707</v>
      </c>
      <c r="O34" s="542" t="s">
        <v>91</v>
      </c>
      <c r="P34" s="325" t="s">
        <v>51</v>
      </c>
      <c r="Q34" s="206" t="s">
        <v>52</v>
      </c>
      <c r="R34" s="290">
        <v>0</v>
      </c>
      <c r="S34" s="290">
        <v>0</v>
      </c>
      <c r="T34" s="317">
        <f t="shared" si="14"/>
        <v>0</v>
      </c>
    </row>
    <row r="35" spans="2:20" ht="13.15" customHeight="1">
      <c r="B35" s="325" t="s">
        <v>246</v>
      </c>
      <c r="C35" s="206" t="s">
        <v>55</v>
      </c>
      <c r="D35" s="317">
        <v>0.71484133297975783</v>
      </c>
      <c r="E35" s="317">
        <v>0.77779770444763274</v>
      </c>
      <c r="F35" s="317">
        <f t="shared" si="12"/>
        <v>0.71484133297975783</v>
      </c>
      <c r="G35" s="306"/>
      <c r="H35" s="306"/>
      <c r="I35" s="325" t="s">
        <v>246</v>
      </c>
      <c r="J35" s="206" t="s">
        <v>55</v>
      </c>
      <c r="K35" s="290">
        <v>0.28515866702024217</v>
      </c>
      <c r="L35" s="290">
        <v>0.22220229555236728</v>
      </c>
      <c r="M35" s="317">
        <f t="shared" si="13"/>
        <v>0.28515866702024217</v>
      </c>
      <c r="O35" s="542" t="s">
        <v>91</v>
      </c>
      <c r="P35" s="325" t="s">
        <v>246</v>
      </c>
      <c r="Q35" s="206" t="s">
        <v>55</v>
      </c>
      <c r="R35" s="290">
        <v>0</v>
      </c>
      <c r="S35" s="290">
        <v>0</v>
      </c>
      <c r="T35" s="317">
        <f t="shared" si="14"/>
        <v>0</v>
      </c>
    </row>
    <row r="36" spans="2:20" ht="13.15" customHeight="1">
      <c r="B36" s="325" t="s">
        <v>247</v>
      </c>
      <c r="C36" s="206" t="s">
        <v>55</v>
      </c>
      <c r="D36" s="317" t="s">
        <v>91</v>
      </c>
      <c r="E36" s="317">
        <v>0.45308485004756865</v>
      </c>
      <c r="F36" s="317">
        <f t="shared" si="12"/>
        <v>0.45308485004756865</v>
      </c>
      <c r="G36" s="306"/>
      <c r="H36" s="306"/>
      <c r="I36" s="325" t="s">
        <v>247</v>
      </c>
      <c r="J36" s="206" t="s">
        <v>55</v>
      </c>
      <c r="K36" s="290" t="s">
        <v>91</v>
      </c>
      <c r="L36" s="290">
        <v>0.54691514995243129</v>
      </c>
      <c r="M36" s="317">
        <f t="shared" si="13"/>
        <v>0.54691514995243129</v>
      </c>
      <c r="O36" s="542" t="s">
        <v>91</v>
      </c>
      <c r="P36" s="325" t="s">
        <v>247</v>
      </c>
      <c r="Q36" s="206" t="s">
        <v>55</v>
      </c>
      <c r="R36" s="290" t="s">
        <v>91</v>
      </c>
      <c r="S36" s="290">
        <v>0</v>
      </c>
      <c r="T36" s="317">
        <f t="shared" si="14"/>
        <v>0</v>
      </c>
    </row>
    <row r="37" spans="2:20" ht="13.15" customHeight="1">
      <c r="B37" s="325" t="s">
        <v>248</v>
      </c>
      <c r="C37" s="206" t="s">
        <v>55</v>
      </c>
      <c r="D37" s="317" t="s">
        <v>91</v>
      </c>
      <c r="E37" s="317">
        <v>1</v>
      </c>
      <c r="F37" s="317">
        <f t="shared" si="12"/>
        <v>1</v>
      </c>
      <c r="G37" s="306"/>
      <c r="H37" s="306"/>
      <c r="I37" s="325" t="s">
        <v>248</v>
      </c>
      <c r="J37" s="206" t="s">
        <v>55</v>
      </c>
      <c r="K37" s="290" t="s">
        <v>91</v>
      </c>
      <c r="L37" s="290">
        <v>0</v>
      </c>
      <c r="M37" s="317">
        <f t="shared" si="13"/>
        <v>0</v>
      </c>
      <c r="O37" s="542" t="s">
        <v>91</v>
      </c>
      <c r="P37" s="325" t="s">
        <v>248</v>
      </c>
      <c r="Q37" s="206" t="s">
        <v>55</v>
      </c>
      <c r="R37" s="290" t="s">
        <v>91</v>
      </c>
      <c r="S37" s="290">
        <v>0</v>
      </c>
      <c r="T37" s="317">
        <f t="shared" si="14"/>
        <v>0</v>
      </c>
    </row>
    <row r="38" spans="2:20" ht="13.15" customHeight="1">
      <c r="B38" s="325" t="s">
        <v>249</v>
      </c>
      <c r="C38" s="206" t="s">
        <v>55</v>
      </c>
      <c r="D38" s="317">
        <v>0.59048751866081839</v>
      </c>
      <c r="E38" s="317">
        <v>0.60320605877215827</v>
      </c>
      <c r="F38" s="317">
        <f t="shared" si="12"/>
        <v>0.59048751866081839</v>
      </c>
      <c r="G38" s="306"/>
      <c r="H38" s="306"/>
      <c r="I38" s="325" t="s">
        <v>249</v>
      </c>
      <c r="J38" s="206" t="s">
        <v>55</v>
      </c>
      <c r="K38" s="290">
        <v>0.40951248133918167</v>
      </c>
      <c r="L38" s="290">
        <v>0.39679394122784173</v>
      </c>
      <c r="M38" s="317">
        <f t="shared" si="13"/>
        <v>0.40951248133918167</v>
      </c>
      <c r="O38" s="542" t="s">
        <v>91</v>
      </c>
      <c r="P38" s="325" t="s">
        <v>249</v>
      </c>
      <c r="Q38" s="206" t="s">
        <v>55</v>
      </c>
      <c r="R38" s="290">
        <v>0</v>
      </c>
      <c r="S38" s="290">
        <v>0</v>
      </c>
      <c r="T38" s="317">
        <f t="shared" si="14"/>
        <v>0</v>
      </c>
    </row>
    <row r="39" spans="2:20" ht="13.15" customHeight="1"/>
    <row r="40" spans="2:20">
      <c r="B40" s="543" t="s">
        <v>21</v>
      </c>
      <c r="I40" s="543" t="s">
        <v>21</v>
      </c>
      <c r="P40" s="543" t="s">
        <v>21</v>
      </c>
    </row>
    <row r="41" spans="2:20" ht="25.15" customHeight="1">
      <c r="B41" s="782" t="s">
        <v>250</v>
      </c>
      <c r="C41" s="782"/>
      <c r="D41" s="782"/>
      <c r="E41" s="782"/>
      <c r="F41" s="782"/>
      <c r="G41" s="558"/>
      <c r="H41" s="558"/>
      <c r="I41" s="783" t="str">
        <f>B41</f>
        <v>[1] Ratios are weighted by actual common capital, preferred equity, and long-term debt of Operating Subsidiaries.</v>
      </c>
      <c r="J41" s="783"/>
      <c r="K41" s="783"/>
      <c r="L41" s="783"/>
      <c r="M41" s="783"/>
      <c r="N41" s="558"/>
      <c r="O41" s="558"/>
      <c r="P41" s="783" t="str">
        <f>I41</f>
        <v>[1] Ratios are weighted by actual common capital, preferred equity, and long-term debt of Operating Subsidiaries.</v>
      </c>
      <c r="Q41" s="783"/>
      <c r="R41" s="783"/>
      <c r="S41" s="783"/>
      <c r="T41" s="783"/>
    </row>
    <row r="42" spans="2:20" ht="29.45" customHeight="1">
      <c r="B42" s="783" t="s">
        <v>251</v>
      </c>
      <c r="C42" s="783"/>
      <c r="D42" s="783"/>
      <c r="E42" s="783"/>
      <c r="F42" s="783"/>
      <c r="G42" s="558"/>
      <c r="H42" s="558"/>
      <c r="I42" s="783" t="str">
        <f t="shared" ref="I42" si="15">B42</f>
        <v>[2] Natural Gas operating subsidiaries where data was unable to be obtained for 2018 and 2019 were removed from the analysis.</v>
      </c>
      <c r="J42" s="783"/>
      <c r="K42" s="783"/>
      <c r="L42" s="783"/>
      <c r="M42" s="783"/>
      <c r="N42" s="558"/>
      <c r="O42" s="558"/>
      <c r="P42" s="783" t="str">
        <f t="shared" ref="P42" si="16">I42</f>
        <v>[2] Natural Gas operating subsidiaries where data was unable to be obtained for 2018 and 2019 were removed from the analysis.</v>
      </c>
      <c r="Q42" s="783"/>
      <c r="R42" s="783"/>
      <c r="S42" s="783"/>
      <c r="T42" s="783"/>
    </row>
    <row r="43" spans="2:20">
      <c r="J43" s="110"/>
      <c r="K43" s="110"/>
    </row>
    <row r="44" spans="2:20">
      <c r="D44" s="110"/>
      <c r="E44" s="110"/>
      <c r="F44" s="110"/>
      <c r="J44" s="110"/>
      <c r="K44" s="110"/>
      <c r="L44" s="110"/>
      <c r="M44" s="110"/>
    </row>
    <row r="45" spans="2:20">
      <c r="D45" s="110"/>
      <c r="E45" s="110"/>
      <c r="F45" s="110"/>
      <c r="J45" s="110"/>
      <c r="K45" s="110"/>
      <c r="L45" s="110"/>
      <c r="M45" s="110"/>
    </row>
    <row r="46" spans="2:20">
      <c r="D46" s="110"/>
      <c r="E46" s="110"/>
      <c r="F46" s="110"/>
      <c r="J46" s="110"/>
      <c r="K46" s="110"/>
      <c r="L46" s="110"/>
      <c r="M46" s="110"/>
    </row>
    <row r="47" spans="2:20">
      <c r="D47" s="110"/>
      <c r="E47" s="110"/>
      <c r="F47" s="110"/>
      <c r="J47" s="110"/>
      <c r="K47" s="110"/>
      <c r="L47" s="110"/>
      <c r="M47" s="110"/>
    </row>
    <row r="48" spans="2:20">
      <c r="D48" s="110"/>
      <c r="E48" s="110"/>
      <c r="F48" s="110"/>
      <c r="K48" s="110"/>
      <c r="L48" s="110"/>
      <c r="M48" s="110"/>
    </row>
    <row r="49" spans="4:13">
      <c r="D49" s="110"/>
      <c r="E49" s="110"/>
      <c r="F49" s="110"/>
      <c r="K49" s="110"/>
      <c r="L49" s="110"/>
      <c r="M49" s="110"/>
    </row>
    <row r="50" spans="4:13">
      <c r="D50" s="110"/>
      <c r="E50" s="110"/>
      <c r="F50" s="110"/>
      <c r="K50" s="110"/>
      <c r="L50" s="110"/>
      <c r="M50" s="110"/>
    </row>
    <row r="51" spans="4:13">
      <c r="D51" s="110"/>
      <c r="E51" s="110"/>
      <c r="F51" s="110"/>
      <c r="K51" s="110"/>
      <c r="L51" s="110"/>
      <c r="M51" s="110"/>
    </row>
    <row r="52" spans="4:13">
      <c r="D52" s="110"/>
      <c r="E52" s="110"/>
      <c r="F52" s="110"/>
      <c r="K52" s="110"/>
      <c r="L52" s="110"/>
      <c r="M52" s="110"/>
    </row>
    <row r="53" spans="4:13">
      <c r="D53" s="110"/>
      <c r="E53" s="110"/>
      <c r="F53" s="110"/>
      <c r="K53" s="110"/>
      <c r="L53" s="110"/>
      <c r="M53" s="110"/>
    </row>
    <row r="54" spans="4:13">
      <c r="D54" s="110"/>
      <c r="E54" s="110"/>
      <c r="F54" s="110"/>
      <c r="K54" s="110"/>
      <c r="L54" s="110"/>
      <c r="M54" s="110"/>
    </row>
    <row r="55" spans="4:13">
      <c r="D55" s="110"/>
      <c r="E55" s="110"/>
      <c r="F55" s="110"/>
      <c r="K55" s="110"/>
      <c r="L55" s="110"/>
      <c r="M55" s="110"/>
    </row>
    <row r="56" spans="4:13">
      <c r="D56" s="110"/>
      <c r="E56" s="110"/>
      <c r="F56" s="110"/>
      <c r="K56" s="110"/>
      <c r="L56" s="110"/>
      <c r="M56" s="110"/>
    </row>
    <row r="57" spans="4:13">
      <c r="D57" s="110"/>
      <c r="E57" s="110"/>
      <c r="F57" s="110"/>
      <c r="K57" s="110"/>
      <c r="L57" s="110"/>
      <c r="M57" s="110"/>
    </row>
    <row r="58" spans="4:13">
      <c r="D58" s="110"/>
      <c r="E58" s="110"/>
      <c r="F58" s="110"/>
      <c r="K58" s="110"/>
      <c r="L58" s="110"/>
      <c r="M58" s="110"/>
    </row>
    <row r="59" spans="4:13">
      <c r="D59" s="110"/>
      <c r="E59" s="110"/>
      <c r="F59" s="110"/>
      <c r="K59" s="110"/>
      <c r="L59" s="110"/>
      <c r="M59" s="110"/>
    </row>
    <row r="60" spans="4:13">
      <c r="D60" s="110"/>
      <c r="E60" s="110"/>
      <c r="F60" s="110"/>
      <c r="K60" s="110"/>
      <c r="L60" s="110"/>
      <c r="M60" s="110"/>
    </row>
    <row r="61" spans="4:13">
      <c r="D61" s="110"/>
      <c r="E61" s="110"/>
      <c r="F61" s="110"/>
      <c r="K61" s="110"/>
      <c r="L61" s="110"/>
      <c r="M61" s="110"/>
    </row>
    <row r="62" spans="4:13">
      <c r="D62" s="110"/>
      <c r="E62" s="110"/>
      <c r="F62" s="110"/>
      <c r="K62" s="110"/>
      <c r="L62" s="110"/>
      <c r="M62" s="110"/>
    </row>
    <row r="63" spans="4:13">
      <c r="D63" s="110"/>
      <c r="E63" s="110"/>
      <c r="F63" s="110"/>
      <c r="K63" s="110"/>
      <c r="L63" s="110"/>
      <c r="M63" s="110"/>
    </row>
  </sheetData>
  <dataConsolidate/>
  <mergeCells count="15">
    <mergeCell ref="B41:F41"/>
    <mergeCell ref="I41:M41"/>
    <mergeCell ref="P41:T41"/>
    <mergeCell ref="B42:F42"/>
    <mergeCell ref="I42:M42"/>
    <mergeCell ref="P42:T42"/>
    <mergeCell ref="B24:F24"/>
    <mergeCell ref="I24:M24"/>
    <mergeCell ref="P24:T24"/>
    <mergeCell ref="B1:F1"/>
    <mergeCell ref="P1:T1"/>
    <mergeCell ref="B3:F3"/>
    <mergeCell ref="I3:M3"/>
    <mergeCell ref="P3:T3"/>
    <mergeCell ref="I1:M1"/>
  </mergeCells>
  <conditionalFormatting sqref="Q12">
    <cfRule type="expression" dxfId="41" priority="6">
      <formula>#REF!</formula>
    </cfRule>
  </conditionalFormatting>
  <conditionalFormatting sqref="J13:K13">
    <cfRule type="expression" dxfId="40" priority="8">
      <formula>#REF!</formula>
    </cfRule>
  </conditionalFormatting>
  <conditionalFormatting sqref="J12">
    <cfRule type="expression" dxfId="39" priority="12">
      <formula>#REF!</formula>
    </cfRule>
  </conditionalFormatting>
  <conditionalFormatting sqref="C5:C12">
    <cfRule type="expression" dxfId="38" priority="15">
      <formula>"(blank)"</formula>
    </cfRule>
  </conditionalFormatting>
  <conditionalFormatting sqref="C5:C12">
    <cfRule type="expression" dxfId="37" priority="16">
      <formula>#REF!</formula>
    </cfRule>
  </conditionalFormatting>
  <conditionalFormatting sqref="C13:D13">
    <cfRule type="expression" dxfId="36" priority="13">
      <formula>"(blank)"</formula>
    </cfRule>
  </conditionalFormatting>
  <conditionalFormatting sqref="C13:D13">
    <cfRule type="expression" dxfId="35" priority="14">
      <formula>#REF!</formula>
    </cfRule>
  </conditionalFormatting>
  <conditionalFormatting sqref="J12">
    <cfRule type="expression" dxfId="34" priority="17">
      <formula>"(blank)"</formula>
    </cfRule>
  </conditionalFormatting>
  <conditionalFormatting sqref="J5 I6:J11">
    <cfRule type="expression" dxfId="33" priority="10">
      <formula>"(blank)"</formula>
    </cfRule>
  </conditionalFormatting>
  <conditionalFormatting sqref="J5 I6:J11">
    <cfRule type="expression" dxfId="32" priority="18">
      <formula>#REF!</formula>
    </cfRule>
  </conditionalFormatting>
  <conditionalFormatting sqref="J13:K13">
    <cfRule type="expression" dxfId="31" priority="19">
      <formula>"(blank)"</formula>
    </cfRule>
  </conditionalFormatting>
  <conditionalFormatting sqref="Q12">
    <cfRule type="expression" dxfId="30" priority="20">
      <formula>"(blank)"</formula>
    </cfRule>
  </conditionalFormatting>
  <conditionalFormatting sqref="Q5 P6:Q11">
    <cfRule type="expression" dxfId="29" priority="4">
      <formula>"(blank)"</formula>
    </cfRule>
  </conditionalFormatting>
  <conditionalFormatting sqref="Q5 P6:Q11">
    <cfRule type="expression" dxfId="28" priority="21">
      <formula>#REF!</formula>
    </cfRule>
  </conditionalFormatting>
  <conditionalFormatting sqref="Q13:R13">
    <cfRule type="expression" dxfId="27" priority="2">
      <formula>"(blank)"</formula>
    </cfRule>
  </conditionalFormatting>
  <conditionalFormatting sqref="Q13:R13">
    <cfRule type="expression" dxfId="26" priority="22">
      <formula>#REF!</formula>
    </cfRule>
  </conditionalFormatting>
  <printOptions horizontalCentered="1"/>
  <pageMargins left="0.7" right="0.7" top="1.25" bottom="0.75" header="0.3" footer="0.3"/>
  <pageSetup scale="74" orientation="landscape" useFirstPageNumber="1" r:id="rId1"/>
  <headerFooter>
    <oddHeader>&amp;RPetitioner's Exhibit No.12
  Attachment AEB-2
Vectren South
Schedule 11 (Natural Gas Utility Proxy Group)
Page &amp;P of 9</oddHeader>
  </headerFooter>
  <colBreaks count="2" manualBreakCount="2">
    <brk id="8" max="41" man="1"/>
    <brk id="13" max="1048575" man="1"/>
  </col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00B0F0"/>
  </sheetPr>
  <dimension ref="B1:V87"/>
  <sheetViews>
    <sheetView view="pageLayout" topLeftCell="A55" zoomScaleNormal="100" workbookViewId="0">
      <selection activeCell="E27" sqref="E27"/>
    </sheetView>
  </sheetViews>
  <sheetFormatPr defaultColWidth="9.140625" defaultRowHeight="12.75"/>
  <cols>
    <col min="1" max="1" width="1.7109375" style="470" customWidth="1"/>
    <col min="2" max="2" width="29.7109375" style="496" customWidth="1"/>
    <col min="3" max="4" width="10.5703125" style="430" customWidth="1"/>
    <col min="5" max="5" width="12.28515625" style="430" customWidth="1"/>
    <col min="6" max="6" width="11" style="430" customWidth="1"/>
    <col min="7" max="7" width="2.28515625" style="496" customWidth="1"/>
    <col min="8" max="8" width="2" style="496" customWidth="1"/>
    <col min="9" max="9" width="32.85546875" style="496" customWidth="1"/>
    <col min="10" max="13" width="10.5703125" style="430" customWidth="1"/>
    <col min="14" max="15" width="1.7109375" style="496" customWidth="1"/>
    <col min="16" max="16" width="36.85546875" style="496" customWidth="1"/>
    <col min="17" max="20" width="10.5703125" style="430" customWidth="1"/>
    <col min="21" max="21" width="2.7109375" style="470" customWidth="1"/>
    <col min="22" max="16384" width="9.140625" style="470"/>
  </cols>
  <sheetData>
    <row r="1" spans="2:22">
      <c r="B1" s="781" t="s">
        <v>225</v>
      </c>
      <c r="C1" s="781"/>
      <c r="D1" s="781"/>
      <c r="E1" s="781"/>
      <c r="F1" s="781"/>
      <c r="G1" s="469"/>
      <c r="H1" s="469"/>
      <c r="I1" s="781" t="s">
        <v>225</v>
      </c>
      <c r="J1" s="781"/>
      <c r="K1" s="781"/>
      <c r="L1" s="781"/>
      <c r="M1" s="781"/>
      <c r="N1" s="469"/>
      <c r="O1" s="469"/>
      <c r="P1" s="781" t="s">
        <v>225</v>
      </c>
      <c r="Q1" s="781"/>
      <c r="R1" s="781"/>
      <c r="S1" s="781"/>
      <c r="T1" s="781"/>
    </row>
    <row r="2" spans="2:22">
      <c r="B2" s="430"/>
      <c r="G2" s="469"/>
      <c r="H2" s="469"/>
      <c r="I2" s="430"/>
      <c r="N2" s="469"/>
      <c r="O2" s="469"/>
      <c r="P2" s="430"/>
      <c r="V2" s="498"/>
    </row>
    <row r="3" spans="2:22">
      <c r="B3" s="780" t="s">
        <v>226</v>
      </c>
      <c r="C3" s="780"/>
      <c r="D3" s="780"/>
      <c r="E3" s="780"/>
      <c r="F3" s="780"/>
      <c r="G3" s="469"/>
      <c r="H3" s="469"/>
      <c r="I3" s="780" t="s">
        <v>227</v>
      </c>
      <c r="J3" s="780"/>
      <c r="K3" s="780"/>
      <c r="L3" s="780"/>
      <c r="M3" s="780"/>
      <c r="N3" s="469"/>
      <c r="O3" s="469"/>
      <c r="P3" s="780" t="s">
        <v>228</v>
      </c>
      <c r="Q3" s="780"/>
      <c r="R3" s="780"/>
      <c r="S3" s="780"/>
      <c r="T3" s="780"/>
    </row>
    <row r="4" spans="2:22">
      <c r="B4" s="471" t="s">
        <v>229</v>
      </c>
      <c r="C4" s="472" t="s">
        <v>31</v>
      </c>
      <c r="D4" s="472">
        <v>2019</v>
      </c>
      <c r="E4" s="473">
        <v>2018</v>
      </c>
      <c r="F4" s="474" t="s">
        <v>230</v>
      </c>
      <c r="G4" s="469"/>
      <c r="H4" s="469"/>
      <c r="I4" s="475" t="s">
        <v>229</v>
      </c>
      <c r="J4" s="474" t="s">
        <v>31</v>
      </c>
      <c r="K4" s="474">
        <v>2019</v>
      </c>
      <c r="L4" s="473">
        <f>E4</f>
        <v>2018</v>
      </c>
      <c r="M4" s="474" t="s">
        <v>230</v>
      </c>
      <c r="N4" s="469"/>
      <c r="O4" s="469"/>
      <c r="P4" s="475" t="s">
        <v>229</v>
      </c>
      <c r="Q4" s="474" t="s">
        <v>31</v>
      </c>
      <c r="R4" s="474">
        <v>2019</v>
      </c>
      <c r="S4" s="473">
        <f>L4</f>
        <v>2018</v>
      </c>
      <c r="T4" s="474" t="s">
        <v>230</v>
      </c>
    </row>
    <row r="5" spans="2:22" s="481" customFormat="1">
      <c r="B5" s="319" t="s">
        <v>38</v>
      </c>
      <c r="C5" s="320" t="s">
        <v>39</v>
      </c>
      <c r="D5" s="502">
        <v>0.5843170947282631</v>
      </c>
      <c r="E5" s="502">
        <v>0.6322029733019392</v>
      </c>
      <c r="F5" s="321">
        <f>IF(D5="",E5,D5)</f>
        <v>0.5843170947282631</v>
      </c>
      <c r="G5" s="503"/>
      <c r="H5" s="230"/>
      <c r="I5" s="504" t="s">
        <v>38</v>
      </c>
      <c r="J5" s="358" t="s">
        <v>39</v>
      </c>
      <c r="K5" s="502">
        <v>0.41568290527173696</v>
      </c>
      <c r="L5" s="502">
        <v>0.3677970266980608</v>
      </c>
      <c r="M5" s="321">
        <f>IF(K5="",L5,K5)</f>
        <v>0.41568290527173696</v>
      </c>
      <c r="N5" s="502"/>
      <c r="O5" s="503" t="s">
        <v>91</v>
      </c>
      <c r="P5" s="504" t="s">
        <v>38</v>
      </c>
      <c r="Q5" s="358" t="s">
        <v>39</v>
      </c>
      <c r="R5" s="505">
        <v>0</v>
      </c>
      <c r="S5" s="505">
        <v>0</v>
      </c>
      <c r="T5" s="321">
        <f>IF(R5="",S5,R5)</f>
        <v>0</v>
      </c>
    </row>
    <row r="6" spans="2:22" s="481" customFormat="1">
      <c r="B6" s="319" t="s">
        <v>43</v>
      </c>
      <c r="C6" s="320" t="s">
        <v>44</v>
      </c>
      <c r="D6" s="502">
        <v>0.5150087795211713</v>
      </c>
      <c r="E6" s="502">
        <v>0.50364555102897213</v>
      </c>
      <c r="F6" s="317">
        <f t="shared" ref="F6:F20" si="0">IF(D6="",E6,D6)</f>
        <v>0.5150087795211713</v>
      </c>
      <c r="G6" s="503"/>
      <c r="H6" s="230"/>
      <c r="I6" s="337" t="s">
        <v>43</v>
      </c>
      <c r="J6" s="338" t="s">
        <v>44</v>
      </c>
      <c r="K6" s="502">
        <v>0.4849912204788287</v>
      </c>
      <c r="L6" s="502">
        <v>0.49635444897102793</v>
      </c>
      <c r="M6" s="317">
        <f t="shared" ref="M6:M20" si="1">IF(K6="",L6,K6)</f>
        <v>0.4849912204788287</v>
      </c>
      <c r="N6" s="502"/>
      <c r="O6" s="503" t="s">
        <v>91</v>
      </c>
      <c r="P6" s="337" t="s">
        <v>43</v>
      </c>
      <c r="Q6" s="338" t="s">
        <v>44</v>
      </c>
      <c r="R6" s="502">
        <v>0</v>
      </c>
      <c r="S6" s="502">
        <v>0</v>
      </c>
      <c r="T6" s="317">
        <f t="shared" ref="T6:T20" si="2">IF(R6="",S6,R6)</f>
        <v>0</v>
      </c>
    </row>
    <row r="7" spans="2:22" s="481" customFormat="1">
      <c r="B7" s="319" t="s">
        <v>131</v>
      </c>
      <c r="C7" s="320" t="s">
        <v>47</v>
      </c>
      <c r="D7" s="502">
        <v>0.635479857802694</v>
      </c>
      <c r="E7" s="502">
        <v>0.62027199205218397</v>
      </c>
      <c r="F7" s="317">
        <f t="shared" si="0"/>
        <v>0.635479857802694</v>
      </c>
      <c r="G7" s="503"/>
      <c r="H7" s="230"/>
      <c r="I7" s="337" t="s">
        <v>131</v>
      </c>
      <c r="J7" s="338" t="s">
        <v>47</v>
      </c>
      <c r="K7" s="502">
        <v>0.36452014219730594</v>
      </c>
      <c r="L7" s="502">
        <v>0.37972800794781603</v>
      </c>
      <c r="M7" s="317">
        <f t="shared" si="1"/>
        <v>0.36452014219730594</v>
      </c>
      <c r="N7" s="502"/>
      <c r="O7" s="503" t="s">
        <v>91</v>
      </c>
      <c r="P7" s="337" t="s">
        <v>131</v>
      </c>
      <c r="Q7" s="338" t="s">
        <v>47</v>
      </c>
      <c r="R7" s="502">
        <v>0</v>
      </c>
      <c r="S7" s="502">
        <v>0</v>
      </c>
      <c r="T7" s="317">
        <f t="shared" si="2"/>
        <v>0</v>
      </c>
    </row>
    <row r="8" spans="2:22" s="481" customFormat="1">
      <c r="B8" s="319" t="s">
        <v>48</v>
      </c>
      <c r="C8" s="320" t="s">
        <v>49</v>
      </c>
      <c r="D8" s="502">
        <v>0.66576543884500583</v>
      </c>
      <c r="E8" s="502">
        <v>0.53546135834367403</v>
      </c>
      <c r="F8" s="317">
        <f t="shared" si="0"/>
        <v>0.66576543884500583</v>
      </c>
      <c r="G8" s="503"/>
      <c r="H8" s="230"/>
      <c r="I8" s="337" t="s">
        <v>48</v>
      </c>
      <c r="J8" s="338" t="s">
        <v>49</v>
      </c>
      <c r="K8" s="502">
        <v>0.33423456115499417</v>
      </c>
      <c r="L8" s="502">
        <v>0.46453864165632597</v>
      </c>
      <c r="M8" s="317">
        <f t="shared" si="1"/>
        <v>0.33423456115499417</v>
      </c>
      <c r="N8" s="502"/>
      <c r="O8" s="503" t="s">
        <v>91</v>
      </c>
      <c r="P8" s="337" t="s">
        <v>48</v>
      </c>
      <c r="Q8" s="338" t="s">
        <v>49</v>
      </c>
      <c r="R8" s="502">
        <v>0</v>
      </c>
      <c r="S8" s="502">
        <v>0</v>
      </c>
      <c r="T8" s="317">
        <f t="shared" si="2"/>
        <v>0</v>
      </c>
    </row>
    <row r="9" spans="2:22" s="481" customFormat="1">
      <c r="B9" s="319" t="s">
        <v>51</v>
      </c>
      <c r="C9" s="320" t="s">
        <v>52</v>
      </c>
      <c r="D9" s="502">
        <v>0.50034036468522936</v>
      </c>
      <c r="E9" s="502">
        <v>0.49382216341470714</v>
      </c>
      <c r="F9" s="317">
        <f t="shared" si="0"/>
        <v>0.50034036468522936</v>
      </c>
      <c r="G9" s="503"/>
      <c r="H9" s="230"/>
      <c r="I9" s="337" t="s">
        <v>51</v>
      </c>
      <c r="J9" s="338" t="s">
        <v>52</v>
      </c>
      <c r="K9" s="502">
        <v>0.4996596353147707</v>
      </c>
      <c r="L9" s="502">
        <v>0.50617783658529292</v>
      </c>
      <c r="M9" s="317">
        <f t="shared" si="1"/>
        <v>0.4996596353147707</v>
      </c>
      <c r="N9" s="502"/>
      <c r="O9" s="503" t="s">
        <v>91</v>
      </c>
      <c r="P9" s="337" t="s">
        <v>51</v>
      </c>
      <c r="Q9" s="338" t="s">
        <v>52</v>
      </c>
      <c r="R9" s="502">
        <v>0</v>
      </c>
      <c r="S9" s="502">
        <v>0</v>
      </c>
      <c r="T9" s="317">
        <f t="shared" si="2"/>
        <v>0</v>
      </c>
    </row>
    <row r="10" spans="2:22" s="481" customFormat="1">
      <c r="B10" s="319" t="s">
        <v>231</v>
      </c>
      <c r="C10" s="320" t="s">
        <v>55</v>
      </c>
      <c r="D10" s="502">
        <v>0.63186997294089653</v>
      </c>
      <c r="E10" s="502">
        <v>0.65797728820466461</v>
      </c>
      <c r="F10" s="317">
        <f t="shared" si="0"/>
        <v>0.63186997294089653</v>
      </c>
      <c r="G10" s="503"/>
      <c r="H10" s="230"/>
      <c r="I10" s="337" t="s">
        <v>231</v>
      </c>
      <c r="J10" s="338" t="s">
        <v>55</v>
      </c>
      <c r="K10" s="502">
        <v>0.36813002705910342</v>
      </c>
      <c r="L10" s="502">
        <v>0.34202271179533539</v>
      </c>
      <c r="M10" s="317">
        <f t="shared" si="1"/>
        <v>0.36813002705910342</v>
      </c>
      <c r="N10" s="502"/>
      <c r="O10" s="503" t="s">
        <v>91</v>
      </c>
      <c r="P10" s="337" t="s">
        <v>231</v>
      </c>
      <c r="Q10" s="338" t="s">
        <v>55</v>
      </c>
      <c r="R10" s="502">
        <v>0</v>
      </c>
      <c r="S10" s="502">
        <v>0</v>
      </c>
      <c r="T10" s="317">
        <f t="shared" si="2"/>
        <v>0</v>
      </c>
    </row>
    <row r="11" spans="2:22">
      <c r="B11" s="319" t="s">
        <v>463</v>
      </c>
      <c r="C11" s="320" t="s">
        <v>464</v>
      </c>
      <c r="D11" s="502">
        <v>0.51963489715528688</v>
      </c>
      <c r="E11" s="502">
        <v>0.52179850936939642</v>
      </c>
      <c r="F11" s="317">
        <f t="shared" si="0"/>
        <v>0.51963489715528688</v>
      </c>
      <c r="G11" s="503"/>
      <c r="H11" s="230"/>
      <c r="I11" s="337" t="s">
        <v>463</v>
      </c>
      <c r="J11" s="338" t="s">
        <v>464</v>
      </c>
      <c r="K11" s="502">
        <v>0.47149129694968217</v>
      </c>
      <c r="L11" s="502">
        <v>0.46874941709491591</v>
      </c>
      <c r="M11" s="317">
        <f t="shared" si="1"/>
        <v>0.47149129694968217</v>
      </c>
      <c r="N11" s="502"/>
      <c r="O11" s="503" t="s">
        <v>91</v>
      </c>
      <c r="P11" s="337" t="s">
        <v>463</v>
      </c>
      <c r="Q11" s="338" t="s">
        <v>464</v>
      </c>
      <c r="R11" s="502">
        <v>8.8738058950309385E-3</v>
      </c>
      <c r="S11" s="502">
        <v>9.4520735356876644E-3</v>
      </c>
      <c r="T11" s="317">
        <f t="shared" si="2"/>
        <v>8.8738058950309385E-3</v>
      </c>
    </row>
    <row r="12" spans="2:22">
      <c r="B12" s="319" t="s">
        <v>465</v>
      </c>
      <c r="C12" s="320" t="s">
        <v>466</v>
      </c>
      <c r="D12" s="502">
        <v>0.5082769370970649</v>
      </c>
      <c r="E12" s="502">
        <v>0.4988823664290728</v>
      </c>
      <c r="F12" s="317">
        <f t="shared" si="0"/>
        <v>0.5082769370970649</v>
      </c>
      <c r="G12" s="503"/>
      <c r="H12" s="230"/>
      <c r="I12" s="337" t="s">
        <v>465</v>
      </c>
      <c r="J12" s="338" t="s">
        <v>466</v>
      </c>
      <c r="K12" s="502">
        <v>0.49172306290293505</v>
      </c>
      <c r="L12" s="502">
        <v>0.5011176335709272</v>
      </c>
      <c r="M12" s="317">
        <f t="shared" si="1"/>
        <v>0.49172306290293505</v>
      </c>
      <c r="N12" s="502"/>
      <c r="O12" s="503" t="s">
        <v>91</v>
      </c>
      <c r="P12" s="337" t="s">
        <v>465</v>
      </c>
      <c r="Q12" s="338" t="s">
        <v>466</v>
      </c>
      <c r="R12" s="502">
        <v>0</v>
      </c>
      <c r="S12" s="502">
        <v>0</v>
      </c>
      <c r="T12" s="317">
        <f t="shared" si="2"/>
        <v>0</v>
      </c>
    </row>
    <row r="13" spans="2:22">
      <c r="B13" s="319" t="s">
        <v>467</v>
      </c>
      <c r="C13" s="320" t="s">
        <v>468</v>
      </c>
      <c r="D13" s="502">
        <v>0.51334406570075364</v>
      </c>
      <c r="E13" s="502">
        <v>0.50136540366584814</v>
      </c>
      <c r="F13" s="317">
        <f t="shared" si="0"/>
        <v>0.51334406570075364</v>
      </c>
      <c r="G13" s="503"/>
      <c r="H13" s="230"/>
      <c r="I13" s="337" t="s">
        <v>467</v>
      </c>
      <c r="J13" s="338" t="s">
        <v>468</v>
      </c>
      <c r="K13" s="502">
        <v>0.48416849150243146</v>
      </c>
      <c r="L13" s="502">
        <v>0.49591697110526761</v>
      </c>
      <c r="M13" s="317">
        <f t="shared" si="1"/>
        <v>0.48416849150243146</v>
      </c>
      <c r="N13" s="502"/>
      <c r="O13" s="503" t="s">
        <v>91</v>
      </c>
      <c r="P13" s="337" t="s">
        <v>467</v>
      </c>
      <c r="Q13" s="338" t="s">
        <v>468</v>
      </c>
      <c r="R13" s="502">
        <v>2.4874427968149533E-3</v>
      </c>
      <c r="S13" s="502">
        <v>2.7176252288842739E-3</v>
      </c>
      <c r="T13" s="317">
        <f t="shared" si="2"/>
        <v>2.4874427968149533E-3</v>
      </c>
    </row>
    <row r="14" spans="2:22">
      <c r="B14" s="319" t="s">
        <v>469</v>
      </c>
      <c r="C14" s="320" t="s">
        <v>470</v>
      </c>
      <c r="D14" s="502">
        <v>0.52738941540550666</v>
      </c>
      <c r="E14" s="502">
        <v>0.51619864761225009</v>
      </c>
      <c r="F14" s="317">
        <f t="shared" si="0"/>
        <v>0.52738941540550666</v>
      </c>
      <c r="G14" s="503"/>
      <c r="H14" s="230"/>
      <c r="I14" s="337" t="s">
        <v>469</v>
      </c>
      <c r="J14" s="338" t="s">
        <v>470</v>
      </c>
      <c r="K14" s="502">
        <v>0.47260763410427969</v>
      </c>
      <c r="L14" s="502">
        <v>0.48379890336825404</v>
      </c>
      <c r="M14" s="317">
        <f t="shared" si="1"/>
        <v>0.47260763410427969</v>
      </c>
      <c r="N14" s="502"/>
      <c r="O14" s="503" t="s">
        <v>91</v>
      </c>
      <c r="P14" s="337" t="s">
        <v>469</v>
      </c>
      <c r="Q14" s="338" t="s">
        <v>470</v>
      </c>
      <c r="R14" s="502">
        <v>2.9504902136222778E-6</v>
      </c>
      <c r="S14" s="502">
        <v>2.4490194958605201E-6</v>
      </c>
      <c r="T14" s="317">
        <f t="shared" si="2"/>
        <v>2.9504902136222778E-6</v>
      </c>
    </row>
    <row r="15" spans="2:22">
      <c r="B15" s="319" t="s">
        <v>471</v>
      </c>
      <c r="C15" s="320" t="s">
        <v>472</v>
      </c>
      <c r="D15" s="502">
        <v>0.50043553528649065</v>
      </c>
      <c r="E15" s="502">
        <v>0.51164099907416682</v>
      </c>
      <c r="F15" s="317">
        <f t="shared" si="0"/>
        <v>0.50043553528649065</v>
      </c>
      <c r="G15" s="503"/>
      <c r="H15" s="230"/>
      <c r="I15" s="337" t="s">
        <v>471</v>
      </c>
      <c r="J15" s="338" t="s">
        <v>472</v>
      </c>
      <c r="K15" s="502">
        <v>0.4995644647135094</v>
      </c>
      <c r="L15" s="502">
        <v>0.48835900092583323</v>
      </c>
      <c r="M15" s="317">
        <f t="shared" si="1"/>
        <v>0.4995644647135094</v>
      </c>
      <c r="N15" s="502"/>
      <c r="O15" s="503" t="s">
        <v>91</v>
      </c>
      <c r="P15" s="337" t="s">
        <v>471</v>
      </c>
      <c r="Q15" s="338" t="s">
        <v>472</v>
      </c>
      <c r="R15" s="502">
        <v>0</v>
      </c>
      <c r="S15" s="502">
        <v>0</v>
      </c>
      <c r="T15" s="317">
        <f t="shared" si="2"/>
        <v>0</v>
      </c>
    </row>
    <row r="16" spans="2:22">
      <c r="B16" s="319" t="s">
        <v>473</v>
      </c>
      <c r="C16" s="320" t="s">
        <v>474</v>
      </c>
      <c r="D16" s="502">
        <v>0.47589766449694615</v>
      </c>
      <c r="E16" s="502">
        <v>0.47877061427876338</v>
      </c>
      <c r="F16" s="317">
        <f t="shared" si="0"/>
        <v>0.47589766449694615</v>
      </c>
      <c r="G16" s="503"/>
      <c r="H16" s="230"/>
      <c r="I16" s="337" t="s">
        <v>473</v>
      </c>
      <c r="J16" s="338" t="s">
        <v>474</v>
      </c>
      <c r="K16" s="502">
        <v>0.52410233550305385</v>
      </c>
      <c r="L16" s="502">
        <v>0.52122938572123667</v>
      </c>
      <c r="M16" s="317">
        <f t="shared" si="1"/>
        <v>0.52410233550305385</v>
      </c>
      <c r="N16" s="502"/>
      <c r="O16" s="503" t="s">
        <v>91</v>
      </c>
      <c r="P16" s="337" t="s">
        <v>473</v>
      </c>
      <c r="Q16" s="338" t="s">
        <v>474</v>
      </c>
      <c r="R16" s="502">
        <v>0</v>
      </c>
      <c r="S16" s="502">
        <v>0</v>
      </c>
      <c r="T16" s="317">
        <f t="shared" si="2"/>
        <v>0</v>
      </c>
    </row>
    <row r="17" spans="2:20">
      <c r="B17" s="319" t="s">
        <v>475</v>
      </c>
      <c r="C17" s="320" t="s">
        <v>476</v>
      </c>
      <c r="D17" s="502">
        <v>0.58394460445032992</v>
      </c>
      <c r="E17" s="502">
        <v>0.57210383996265224</v>
      </c>
      <c r="F17" s="317">
        <f t="shared" si="0"/>
        <v>0.58394460445032992</v>
      </c>
      <c r="G17" s="503"/>
      <c r="H17" s="230"/>
      <c r="I17" s="337" t="s">
        <v>475</v>
      </c>
      <c r="J17" s="338" t="s">
        <v>476</v>
      </c>
      <c r="K17" s="502">
        <v>0.41605539554967003</v>
      </c>
      <c r="L17" s="502">
        <v>0.4272428480051414</v>
      </c>
      <c r="M17" s="317">
        <f t="shared" si="1"/>
        <v>0.41605539554967003</v>
      </c>
      <c r="N17" s="502"/>
      <c r="O17" s="503" t="s">
        <v>91</v>
      </c>
      <c r="P17" s="337" t="s">
        <v>475</v>
      </c>
      <c r="Q17" s="338" t="s">
        <v>476</v>
      </c>
      <c r="R17" s="502">
        <v>0</v>
      </c>
      <c r="S17" s="502">
        <v>6.5331203220633392E-4</v>
      </c>
      <c r="T17" s="317">
        <f t="shared" si="2"/>
        <v>0</v>
      </c>
    </row>
    <row r="18" spans="2:20">
      <c r="B18" s="319" t="s">
        <v>477</v>
      </c>
      <c r="C18" s="320" t="s">
        <v>478</v>
      </c>
      <c r="D18" s="502">
        <v>0.53575619258195883</v>
      </c>
      <c r="E18" s="502">
        <v>0.54123516244953063</v>
      </c>
      <c r="F18" s="317">
        <f t="shared" si="0"/>
        <v>0.53575619258195883</v>
      </c>
      <c r="G18" s="503"/>
      <c r="H18" s="230"/>
      <c r="I18" s="337" t="s">
        <v>477</v>
      </c>
      <c r="J18" s="338" t="s">
        <v>478</v>
      </c>
      <c r="K18" s="502">
        <v>0.45803330967872774</v>
      </c>
      <c r="L18" s="502">
        <v>0.45284175264399329</v>
      </c>
      <c r="M18" s="317">
        <f t="shared" si="1"/>
        <v>0.45803330967872774</v>
      </c>
      <c r="N18" s="502"/>
      <c r="O18" s="503" t="s">
        <v>91</v>
      </c>
      <c r="P18" s="337" t="s">
        <v>477</v>
      </c>
      <c r="Q18" s="338" t="s">
        <v>478</v>
      </c>
      <c r="R18" s="502">
        <v>6.2104977393134426E-3</v>
      </c>
      <c r="S18" s="502">
        <v>5.9230849064760716E-3</v>
      </c>
      <c r="T18" s="317">
        <f t="shared" si="2"/>
        <v>6.2104977393134426E-3</v>
      </c>
    </row>
    <row r="19" spans="2:20">
      <c r="B19" s="319" t="s">
        <v>479</v>
      </c>
      <c r="C19" s="320" t="s">
        <v>480</v>
      </c>
      <c r="D19" s="502">
        <v>0.55498628223979596</v>
      </c>
      <c r="E19" s="502">
        <v>0.56576941185075447</v>
      </c>
      <c r="F19" s="317">
        <f t="shared" si="0"/>
        <v>0.55498628223979596</v>
      </c>
      <c r="G19" s="503"/>
      <c r="H19" s="230"/>
      <c r="I19" s="337" t="s">
        <v>479</v>
      </c>
      <c r="J19" s="338" t="s">
        <v>480</v>
      </c>
      <c r="K19" s="502">
        <v>0.44205619449605404</v>
      </c>
      <c r="L19" s="502">
        <v>0.43207249327712693</v>
      </c>
      <c r="M19" s="317">
        <f t="shared" si="1"/>
        <v>0.44205619449605404</v>
      </c>
      <c r="N19" s="502"/>
      <c r="O19" s="503" t="s">
        <v>91</v>
      </c>
      <c r="P19" s="337" t="s">
        <v>479</v>
      </c>
      <c r="Q19" s="338" t="s">
        <v>480</v>
      </c>
      <c r="R19" s="502">
        <v>2.957523264149952E-3</v>
      </c>
      <c r="S19" s="502">
        <v>2.1580948721185269E-3</v>
      </c>
      <c r="T19" s="317">
        <f t="shared" si="2"/>
        <v>2.957523264149952E-3</v>
      </c>
    </row>
    <row r="20" spans="2:20">
      <c r="B20" s="319" t="s">
        <v>481</v>
      </c>
      <c r="C20" s="320" t="s">
        <v>482</v>
      </c>
      <c r="D20" s="502">
        <v>0.54289175321389949</v>
      </c>
      <c r="E20" s="502">
        <v>0.54476907486393122</v>
      </c>
      <c r="F20" s="317">
        <f t="shared" si="0"/>
        <v>0.54289175321389949</v>
      </c>
      <c r="G20" s="503"/>
      <c r="H20" s="230"/>
      <c r="I20" s="337" t="s">
        <v>481</v>
      </c>
      <c r="J20" s="338" t="s">
        <v>482</v>
      </c>
      <c r="K20" s="502">
        <v>0.45710824678610051</v>
      </c>
      <c r="L20" s="502">
        <v>0.45523092513606872</v>
      </c>
      <c r="M20" s="317">
        <f t="shared" si="1"/>
        <v>0.45710824678610051</v>
      </c>
      <c r="N20" s="502"/>
      <c r="O20" s="503" t="s">
        <v>91</v>
      </c>
      <c r="P20" s="337" t="s">
        <v>481</v>
      </c>
      <c r="Q20" s="338" t="s">
        <v>482</v>
      </c>
      <c r="R20" s="502">
        <v>0</v>
      </c>
      <c r="S20" s="502">
        <v>0</v>
      </c>
      <c r="T20" s="317">
        <f t="shared" si="2"/>
        <v>0</v>
      </c>
    </row>
    <row r="21" spans="2:20">
      <c r="B21" s="483"/>
      <c r="C21" s="477"/>
      <c r="D21" s="317"/>
      <c r="E21" s="317"/>
      <c r="F21" s="317"/>
      <c r="G21" s="469"/>
      <c r="H21" s="469"/>
      <c r="I21" s="479"/>
      <c r="J21" s="480"/>
      <c r="K21" s="317"/>
      <c r="L21" s="317"/>
      <c r="M21" s="482"/>
      <c r="N21" s="469"/>
      <c r="O21" s="469"/>
      <c r="P21" s="479"/>
      <c r="Q21" s="480"/>
      <c r="R21" s="317"/>
      <c r="S21" s="317"/>
      <c r="T21" s="482"/>
    </row>
    <row r="22" spans="2:20">
      <c r="B22" s="484" t="s">
        <v>499</v>
      </c>
      <c r="C22" s="477"/>
      <c r="D22" s="477"/>
      <c r="E22" s="322"/>
      <c r="F22" s="485"/>
      <c r="G22" s="469"/>
      <c r="H22" s="469"/>
      <c r="I22" s="484" t="s">
        <v>499</v>
      </c>
      <c r="J22" s="480"/>
      <c r="K22" s="480"/>
      <c r="L22" s="322"/>
      <c r="M22" s="485"/>
      <c r="N22" s="469"/>
      <c r="O22" s="469"/>
      <c r="P22" s="484" t="s">
        <v>499</v>
      </c>
      <c r="Q22" s="480"/>
      <c r="R22" s="480"/>
      <c r="S22" s="322"/>
      <c r="T22" s="485"/>
    </row>
    <row r="23" spans="2:20" s="478" customFormat="1">
      <c r="B23" s="486" t="s">
        <v>233</v>
      </c>
      <c r="C23" s="487"/>
      <c r="D23" s="488">
        <f>AVERAGE(D5:D20)</f>
        <v>0.54970867850945582</v>
      </c>
      <c r="E23" s="488">
        <f t="shared" ref="E23:F23" si="3">AVERAGE(E5:E20)</f>
        <v>0.54349470974390668</v>
      </c>
      <c r="F23" s="488">
        <f t="shared" si="3"/>
        <v>0.54970867850945582</v>
      </c>
      <c r="I23" s="486" t="s">
        <v>233</v>
      </c>
      <c r="J23" s="487"/>
      <c r="K23" s="488">
        <f>AVERAGE(K5:K20)</f>
        <v>0.44900805772894903</v>
      </c>
      <c r="L23" s="488">
        <f t="shared" ref="L23:M23" si="4">AVERAGE(L5:L20)</f>
        <v>0.45519862528141403</v>
      </c>
      <c r="M23" s="488">
        <f t="shared" si="4"/>
        <v>0.44900805772894903</v>
      </c>
      <c r="P23" s="486" t="s">
        <v>233</v>
      </c>
      <c r="Q23" s="487"/>
      <c r="R23" s="488">
        <f>AVERAGE(R5:R20)</f>
        <v>1.2832637615951819E-3</v>
      </c>
      <c r="S23" s="488">
        <f t="shared" ref="S23:T23" si="5">AVERAGE(S5:S20)</f>
        <v>1.3066649746792957E-3</v>
      </c>
      <c r="T23" s="488">
        <f t="shared" si="5"/>
        <v>1.2832637615951819E-3</v>
      </c>
    </row>
    <row r="24" spans="2:20" s="478" customFormat="1">
      <c r="B24" s="489" t="s">
        <v>234</v>
      </c>
      <c r="C24" s="490"/>
      <c r="D24" s="485">
        <f>MIN(D5:D20)</f>
        <v>0.47589766449694615</v>
      </c>
      <c r="E24" s="485">
        <f t="shared" ref="E24:F24" si="6">MIN(E5:E20)</f>
        <v>0.47877061427876338</v>
      </c>
      <c r="F24" s="485">
        <f t="shared" si="6"/>
        <v>0.47589766449694615</v>
      </c>
      <c r="I24" s="489" t="s">
        <v>234</v>
      </c>
      <c r="J24" s="490"/>
      <c r="K24" s="485">
        <f>MIN(K5:K20)</f>
        <v>0.33423456115499417</v>
      </c>
      <c r="L24" s="485">
        <f t="shared" ref="L24:M24" si="7">MIN(L5:L20)</f>
        <v>0.34202271179533539</v>
      </c>
      <c r="M24" s="485">
        <f t="shared" si="7"/>
        <v>0.33423456115499417</v>
      </c>
      <c r="P24" s="489" t="s">
        <v>234</v>
      </c>
      <c r="Q24" s="490"/>
      <c r="R24" s="485">
        <f>MIN(R5:R20)</f>
        <v>0</v>
      </c>
      <c r="S24" s="485">
        <f t="shared" ref="S24:T24" si="8">MIN(S5:S20)</f>
        <v>0</v>
      </c>
      <c r="T24" s="485">
        <f t="shared" si="8"/>
        <v>0</v>
      </c>
    </row>
    <row r="25" spans="2:20" s="478" customFormat="1" ht="13.5" thickBot="1">
      <c r="B25" s="491" t="s">
        <v>235</v>
      </c>
      <c r="C25" s="492"/>
      <c r="D25" s="493">
        <f>MAX(D5:D20)</f>
        <v>0.66576543884500583</v>
      </c>
      <c r="E25" s="493">
        <f t="shared" ref="E25:F25" si="9">MAX(E5:E20)</f>
        <v>0.65797728820466461</v>
      </c>
      <c r="F25" s="493">
        <f t="shared" si="9"/>
        <v>0.66576543884500583</v>
      </c>
      <c r="I25" s="491" t="s">
        <v>235</v>
      </c>
      <c r="J25" s="492"/>
      <c r="K25" s="493">
        <f>MAX(K5:K20)</f>
        <v>0.52410233550305385</v>
      </c>
      <c r="L25" s="493">
        <f t="shared" ref="L25:M25" si="10">MAX(L5:L20)</f>
        <v>0.52122938572123667</v>
      </c>
      <c r="M25" s="493">
        <f t="shared" si="10"/>
        <v>0.52410233550305385</v>
      </c>
      <c r="P25" s="491" t="s">
        <v>235</v>
      </c>
      <c r="Q25" s="492"/>
      <c r="R25" s="493">
        <f>MAX(R5:R20)</f>
        <v>8.8738058950309385E-3</v>
      </c>
      <c r="S25" s="493">
        <f t="shared" ref="S25:T25" si="11">MAX(S5:S20)</f>
        <v>9.4520735356876644E-3</v>
      </c>
      <c r="T25" s="493">
        <f t="shared" si="11"/>
        <v>8.8738058950309385E-3</v>
      </c>
    </row>
    <row r="26" spans="2:20">
      <c r="B26" s="494"/>
      <c r="C26" s="495"/>
      <c r="D26" s="495"/>
      <c r="E26" s="495"/>
      <c r="F26" s="490"/>
      <c r="G26" s="469"/>
      <c r="H26" s="469"/>
      <c r="I26" s="489"/>
      <c r="J26" s="490"/>
      <c r="K26" s="490"/>
      <c r="L26" s="490"/>
      <c r="M26" s="490"/>
      <c r="N26" s="469"/>
      <c r="O26" s="469"/>
      <c r="P26" s="489"/>
      <c r="Q26" s="490"/>
      <c r="R26" s="490"/>
      <c r="S26" s="490"/>
      <c r="T26" s="490"/>
    </row>
    <row r="27" spans="2:20">
      <c r="B27" s="489"/>
      <c r="C27" s="490"/>
      <c r="D27" s="490"/>
      <c r="E27" s="482"/>
      <c r="F27" s="482"/>
      <c r="G27" s="469"/>
      <c r="H27" s="469"/>
      <c r="I27" s="489"/>
      <c r="L27" s="482"/>
      <c r="M27" s="482"/>
      <c r="N27" s="469"/>
      <c r="O27" s="469"/>
      <c r="P27" s="489"/>
      <c r="S27" s="482"/>
      <c r="T27" s="482"/>
    </row>
    <row r="28" spans="2:20">
      <c r="B28" s="489"/>
      <c r="C28" s="490"/>
      <c r="D28" s="490"/>
      <c r="G28" s="469"/>
      <c r="H28" s="469"/>
      <c r="I28" s="469"/>
      <c r="N28" s="469"/>
      <c r="O28" s="469"/>
      <c r="P28" s="469"/>
    </row>
    <row r="29" spans="2:20">
      <c r="B29" s="780" t="s">
        <v>237</v>
      </c>
      <c r="C29" s="780"/>
      <c r="D29" s="780"/>
      <c r="E29" s="780"/>
      <c r="F29" s="780"/>
      <c r="G29" s="469"/>
      <c r="H29" s="469"/>
      <c r="I29" s="780" t="s">
        <v>238</v>
      </c>
      <c r="J29" s="780"/>
      <c r="K29" s="780"/>
      <c r="L29" s="780"/>
      <c r="M29" s="780"/>
      <c r="N29" s="469"/>
      <c r="O29" s="469"/>
      <c r="P29" s="780" t="s">
        <v>239</v>
      </c>
      <c r="Q29" s="780"/>
      <c r="R29" s="780"/>
      <c r="S29" s="780"/>
      <c r="T29" s="780"/>
    </row>
    <row r="30" spans="2:20">
      <c r="B30" s="475" t="s">
        <v>240</v>
      </c>
      <c r="C30" s="474" t="s">
        <v>31</v>
      </c>
      <c r="D30" s="474">
        <v>2019</v>
      </c>
      <c r="E30" s="473">
        <f>E4</f>
        <v>2018</v>
      </c>
      <c r="F30" s="474" t="s">
        <v>230</v>
      </c>
      <c r="G30" s="469"/>
      <c r="H30" s="469"/>
      <c r="I30" s="475" t="s">
        <v>240</v>
      </c>
      <c r="J30" s="474" t="s">
        <v>31</v>
      </c>
      <c r="K30" s="474">
        <v>2019</v>
      </c>
      <c r="L30" s="473">
        <f>L4</f>
        <v>2018</v>
      </c>
      <c r="M30" s="474" t="s">
        <v>230</v>
      </c>
      <c r="N30" s="469"/>
      <c r="O30" s="469"/>
      <c r="P30" s="475" t="s">
        <v>240</v>
      </c>
      <c r="Q30" s="474" t="s">
        <v>31</v>
      </c>
      <c r="R30" s="474">
        <v>2019</v>
      </c>
      <c r="S30" s="473">
        <f>S4</f>
        <v>2018</v>
      </c>
      <c r="T30" s="474" t="s">
        <v>230</v>
      </c>
    </row>
    <row r="31" spans="2:20">
      <c r="B31" s="500" t="s">
        <v>38</v>
      </c>
      <c r="C31" s="306" t="s">
        <v>39</v>
      </c>
      <c r="D31" s="501">
        <v>0.5843170947282631</v>
      </c>
      <c r="E31" s="501">
        <v>0.6322029733019392</v>
      </c>
      <c r="F31" s="317">
        <f>IF(D31="",E31,D31)</f>
        <v>0.5843170947282631</v>
      </c>
      <c r="G31" s="110"/>
      <c r="H31" s="230"/>
      <c r="I31" s="230" t="s">
        <v>38</v>
      </c>
      <c r="J31" s="306" t="s">
        <v>39</v>
      </c>
      <c r="K31" s="501">
        <v>0.41568290527173696</v>
      </c>
      <c r="L31" s="501">
        <v>0.3677970266980608</v>
      </c>
      <c r="M31" s="317">
        <f>IF(K31="",L31,K31)</f>
        <v>0.41568290527173696</v>
      </c>
      <c r="N31" s="501"/>
      <c r="O31" s="110" t="s">
        <v>91</v>
      </c>
      <c r="P31" s="230" t="s">
        <v>38</v>
      </c>
      <c r="Q31" s="306" t="s">
        <v>39</v>
      </c>
      <c r="R31" s="501">
        <v>0</v>
      </c>
      <c r="S31" s="501">
        <v>0</v>
      </c>
      <c r="T31" s="317">
        <f>IF(R31="",S31,R31)</f>
        <v>0</v>
      </c>
    </row>
    <row r="32" spans="2:20">
      <c r="B32" s="500" t="s">
        <v>541</v>
      </c>
      <c r="C32" s="306" t="s">
        <v>44</v>
      </c>
      <c r="D32" s="501">
        <v>0.5150087795211713</v>
      </c>
      <c r="E32" s="501">
        <v>0.50364555102897213</v>
      </c>
      <c r="F32" s="317">
        <f t="shared" ref="F32:F78" si="12">IF(D32="",E32,D32)</f>
        <v>0.5150087795211713</v>
      </c>
      <c r="G32" s="110"/>
      <c r="H32" s="230"/>
      <c r="I32" s="230" t="s">
        <v>541</v>
      </c>
      <c r="J32" s="306" t="s">
        <v>44</v>
      </c>
      <c r="K32" s="501">
        <v>0.4849912204788287</v>
      </c>
      <c r="L32" s="501">
        <v>0.49635444897102793</v>
      </c>
      <c r="M32" s="317">
        <f t="shared" ref="M32:M78" si="13">IF(K32="",L32,K32)</f>
        <v>0.4849912204788287</v>
      </c>
      <c r="N32" s="501"/>
      <c r="O32" s="110" t="s">
        <v>91</v>
      </c>
      <c r="P32" s="230" t="s">
        <v>541</v>
      </c>
      <c r="Q32" s="306" t="s">
        <v>44</v>
      </c>
      <c r="R32" s="501">
        <v>0</v>
      </c>
      <c r="S32" s="501">
        <v>0</v>
      </c>
      <c r="T32" s="317">
        <f t="shared" ref="T32:T78" si="14">IF(R32="",S32,R32)</f>
        <v>0</v>
      </c>
    </row>
    <row r="33" spans="2:20">
      <c r="B33" s="500" t="s">
        <v>242</v>
      </c>
      <c r="C33" s="206" t="s">
        <v>47</v>
      </c>
      <c r="D33" s="501">
        <v>0.635479857802694</v>
      </c>
      <c r="E33" s="501">
        <v>0.62200914737863344</v>
      </c>
      <c r="F33" s="317">
        <f t="shared" si="12"/>
        <v>0.635479857802694</v>
      </c>
      <c r="G33" s="110"/>
      <c r="H33" s="230"/>
      <c r="I33" s="230" t="s">
        <v>242</v>
      </c>
      <c r="J33" s="306" t="s">
        <v>47</v>
      </c>
      <c r="K33" s="501">
        <v>0.36452014219730594</v>
      </c>
      <c r="L33" s="501">
        <v>0.37799085262136656</v>
      </c>
      <c r="M33" s="317">
        <f t="shared" si="13"/>
        <v>0.36452014219730594</v>
      </c>
      <c r="N33" s="501"/>
      <c r="O33" s="110" t="s">
        <v>91</v>
      </c>
      <c r="P33" s="230" t="s">
        <v>242</v>
      </c>
      <c r="Q33" s="306" t="s">
        <v>47</v>
      </c>
      <c r="R33" s="501">
        <v>0</v>
      </c>
      <c r="S33" s="501">
        <v>0</v>
      </c>
      <c r="T33" s="317">
        <f t="shared" si="14"/>
        <v>0</v>
      </c>
    </row>
    <row r="34" spans="2:20">
      <c r="B34" s="500" t="s">
        <v>243</v>
      </c>
      <c r="C34" s="206" t="s">
        <v>47</v>
      </c>
      <c r="D34" s="501" t="s">
        <v>91</v>
      </c>
      <c r="E34" s="501">
        <v>0.61943706910554075</v>
      </c>
      <c r="F34" s="317">
        <f t="shared" si="12"/>
        <v>0.61943706910554075</v>
      </c>
      <c r="G34" s="110"/>
      <c r="H34" s="230"/>
      <c r="I34" s="230" t="s">
        <v>243</v>
      </c>
      <c r="J34" s="306" t="s">
        <v>47</v>
      </c>
      <c r="K34" s="501" t="s">
        <v>91</v>
      </c>
      <c r="L34" s="501">
        <v>0.38056293089445931</v>
      </c>
      <c r="M34" s="317">
        <f t="shared" si="13"/>
        <v>0.38056293089445931</v>
      </c>
      <c r="N34" s="501"/>
      <c r="O34" s="110" t="s">
        <v>91</v>
      </c>
      <c r="P34" s="230" t="s">
        <v>243</v>
      </c>
      <c r="Q34" s="306" t="s">
        <v>47</v>
      </c>
      <c r="R34" s="501" t="s">
        <v>91</v>
      </c>
      <c r="S34" s="501">
        <v>0</v>
      </c>
      <c r="T34" s="317">
        <f t="shared" si="14"/>
        <v>0</v>
      </c>
    </row>
    <row r="35" spans="2:20">
      <c r="B35" s="500" t="s">
        <v>244</v>
      </c>
      <c r="C35" s="206" t="s">
        <v>47</v>
      </c>
      <c r="D35" s="501" t="s">
        <v>91</v>
      </c>
      <c r="E35" s="501">
        <v>0.61950456431035417</v>
      </c>
      <c r="F35" s="317">
        <f t="shared" si="12"/>
        <v>0.61950456431035417</v>
      </c>
      <c r="G35" s="110"/>
      <c r="H35" s="230"/>
      <c r="I35" s="230" t="s">
        <v>244</v>
      </c>
      <c r="J35" s="306" t="s">
        <v>47</v>
      </c>
      <c r="K35" s="501" t="s">
        <v>91</v>
      </c>
      <c r="L35" s="501">
        <v>0.38049543568964583</v>
      </c>
      <c r="M35" s="317">
        <f t="shared" si="13"/>
        <v>0.38049543568964583</v>
      </c>
      <c r="N35" s="501"/>
      <c r="O35" s="110" t="s">
        <v>91</v>
      </c>
      <c r="P35" s="230" t="s">
        <v>244</v>
      </c>
      <c r="Q35" s="306" t="s">
        <v>47</v>
      </c>
      <c r="R35" s="501" t="s">
        <v>91</v>
      </c>
      <c r="S35" s="501">
        <v>0</v>
      </c>
      <c r="T35" s="317">
        <f t="shared" si="14"/>
        <v>0</v>
      </c>
    </row>
    <row r="36" spans="2:20">
      <c r="B36" s="500" t="s">
        <v>542</v>
      </c>
      <c r="C36" s="206" t="s">
        <v>49</v>
      </c>
      <c r="D36" s="501" t="s">
        <v>91</v>
      </c>
      <c r="E36" s="501" t="s">
        <v>91</v>
      </c>
      <c r="F36" s="317" t="str">
        <f t="shared" si="12"/>
        <v/>
      </c>
      <c r="G36" s="110"/>
      <c r="H36" s="230"/>
      <c r="I36" s="230" t="s">
        <v>542</v>
      </c>
      <c r="J36" s="306" t="s">
        <v>49</v>
      </c>
      <c r="K36" s="501" t="s">
        <v>91</v>
      </c>
      <c r="L36" s="501" t="s">
        <v>91</v>
      </c>
      <c r="M36" s="317" t="str">
        <f t="shared" si="13"/>
        <v/>
      </c>
      <c r="N36" s="501"/>
      <c r="O36" s="110" t="s">
        <v>91</v>
      </c>
      <c r="P36" s="230" t="s">
        <v>542</v>
      </c>
      <c r="Q36" s="306" t="s">
        <v>49</v>
      </c>
      <c r="R36" s="501" t="s">
        <v>91</v>
      </c>
      <c r="S36" s="501" t="s">
        <v>91</v>
      </c>
      <c r="T36" s="317" t="str">
        <f t="shared" si="14"/>
        <v/>
      </c>
    </row>
    <row r="37" spans="2:20">
      <c r="B37" s="499" t="s">
        <v>245</v>
      </c>
      <c r="C37" s="206" t="s">
        <v>49</v>
      </c>
      <c r="D37" s="501">
        <v>0.66576543884500583</v>
      </c>
      <c r="E37" s="501">
        <v>0.53546135834367403</v>
      </c>
      <c r="F37" s="317">
        <f t="shared" si="12"/>
        <v>0.66576543884500583</v>
      </c>
      <c r="G37" s="110"/>
      <c r="H37" s="230"/>
      <c r="I37" s="230" t="s">
        <v>245</v>
      </c>
      <c r="J37" s="306" t="s">
        <v>49</v>
      </c>
      <c r="K37" s="501">
        <v>0.33423456115499417</v>
      </c>
      <c r="L37" s="501">
        <v>0.46453864165632597</v>
      </c>
      <c r="M37" s="317">
        <f t="shared" si="13"/>
        <v>0.33423456115499417</v>
      </c>
      <c r="N37" s="501"/>
      <c r="O37" s="110" t="s">
        <v>91</v>
      </c>
      <c r="P37" s="230" t="s">
        <v>245</v>
      </c>
      <c r="Q37" s="306" t="s">
        <v>49</v>
      </c>
      <c r="R37" s="501">
        <v>0</v>
      </c>
      <c r="S37" s="501">
        <v>0</v>
      </c>
      <c r="T37" s="317">
        <f t="shared" si="14"/>
        <v>0</v>
      </c>
    </row>
    <row r="38" spans="2:20">
      <c r="B38" s="500" t="s">
        <v>51</v>
      </c>
      <c r="C38" s="206" t="s">
        <v>52</v>
      </c>
      <c r="D38" s="501">
        <v>0.50034036468522936</v>
      </c>
      <c r="E38" s="501">
        <v>0.49382216341470714</v>
      </c>
      <c r="F38" s="317">
        <f t="shared" si="12"/>
        <v>0.50034036468522936</v>
      </c>
      <c r="G38" s="110"/>
      <c r="H38" s="230"/>
      <c r="I38" s="230" t="s">
        <v>51</v>
      </c>
      <c r="J38" s="306" t="s">
        <v>52</v>
      </c>
      <c r="K38" s="501">
        <v>0.4996596353147707</v>
      </c>
      <c r="L38" s="501">
        <v>0.50617783658529292</v>
      </c>
      <c r="M38" s="317">
        <f t="shared" si="13"/>
        <v>0.4996596353147707</v>
      </c>
      <c r="N38" s="501"/>
      <c r="O38" s="110" t="s">
        <v>91</v>
      </c>
      <c r="P38" s="230" t="s">
        <v>51</v>
      </c>
      <c r="Q38" s="306" t="s">
        <v>52</v>
      </c>
      <c r="R38" s="501">
        <v>0</v>
      </c>
      <c r="S38" s="501">
        <v>0</v>
      </c>
      <c r="T38" s="317">
        <f t="shared" si="14"/>
        <v>0</v>
      </c>
    </row>
    <row r="39" spans="2:20" ht="13.15" customHeight="1">
      <c r="B39" s="500" t="s">
        <v>246</v>
      </c>
      <c r="C39" s="206" t="s">
        <v>55</v>
      </c>
      <c r="D39" s="501">
        <v>0.71484133297975783</v>
      </c>
      <c r="E39" s="501">
        <v>0.77779770444763274</v>
      </c>
      <c r="F39" s="317">
        <f t="shared" si="12"/>
        <v>0.71484133297975783</v>
      </c>
      <c r="G39" s="110"/>
      <c r="H39" s="230"/>
      <c r="I39" s="230" t="s">
        <v>246</v>
      </c>
      <c r="J39" s="306" t="s">
        <v>55</v>
      </c>
      <c r="K39" s="501">
        <v>0.28515866702024217</v>
      </c>
      <c r="L39" s="501">
        <v>0.22220229555236728</v>
      </c>
      <c r="M39" s="317">
        <f t="shared" si="13"/>
        <v>0.28515866702024217</v>
      </c>
      <c r="N39" s="501"/>
      <c r="O39" s="110" t="s">
        <v>91</v>
      </c>
      <c r="P39" s="230" t="s">
        <v>246</v>
      </c>
      <c r="Q39" s="306" t="s">
        <v>55</v>
      </c>
      <c r="R39" s="501">
        <v>0</v>
      </c>
      <c r="S39" s="501">
        <v>0</v>
      </c>
      <c r="T39" s="317">
        <f t="shared" si="14"/>
        <v>0</v>
      </c>
    </row>
    <row r="40" spans="2:20" ht="13.15" customHeight="1">
      <c r="B40" s="500" t="s">
        <v>247</v>
      </c>
      <c r="C40" s="206" t="s">
        <v>55</v>
      </c>
      <c r="D40" s="501" t="s">
        <v>91</v>
      </c>
      <c r="E40" s="501">
        <v>0.45308485004756865</v>
      </c>
      <c r="F40" s="317">
        <f t="shared" si="12"/>
        <v>0.45308485004756865</v>
      </c>
      <c r="G40" s="110"/>
      <c r="H40" s="230"/>
      <c r="I40" s="230" t="s">
        <v>247</v>
      </c>
      <c r="J40" s="306" t="s">
        <v>55</v>
      </c>
      <c r="K40" s="501" t="s">
        <v>91</v>
      </c>
      <c r="L40" s="501">
        <v>0.54691514995243129</v>
      </c>
      <c r="M40" s="317">
        <f t="shared" si="13"/>
        <v>0.54691514995243129</v>
      </c>
      <c r="N40" s="501"/>
      <c r="O40" s="110" t="s">
        <v>91</v>
      </c>
      <c r="P40" s="230" t="s">
        <v>247</v>
      </c>
      <c r="Q40" s="306" t="s">
        <v>55</v>
      </c>
      <c r="R40" s="501" t="s">
        <v>91</v>
      </c>
      <c r="S40" s="501">
        <v>0</v>
      </c>
      <c r="T40" s="317">
        <f t="shared" si="14"/>
        <v>0</v>
      </c>
    </row>
    <row r="41" spans="2:20" ht="13.15" customHeight="1">
      <c r="B41" s="500" t="s">
        <v>248</v>
      </c>
      <c r="C41" s="206" t="s">
        <v>55</v>
      </c>
      <c r="D41" s="501" t="s">
        <v>91</v>
      </c>
      <c r="E41" s="501">
        <v>1</v>
      </c>
      <c r="F41" s="317">
        <f t="shared" si="12"/>
        <v>1</v>
      </c>
      <c r="G41" s="110"/>
      <c r="H41" s="230"/>
      <c r="I41" s="230" t="s">
        <v>248</v>
      </c>
      <c r="J41" s="306" t="s">
        <v>55</v>
      </c>
      <c r="K41" s="501" t="s">
        <v>91</v>
      </c>
      <c r="L41" s="501">
        <v>0</v>
      </c>
      <c r="M41" s="317">
        <f t="shared" si="13"/>
        <v>0</v>
      </c>
      <c r="N41" s="501"/>
      <c r="O41" s="110" t="s">
        <v>91</v>
      </c>
      <c r="P41" s="230" t="s">
        <v>248</v>
      </c>
      <c r="Q41" s="306" t="s">
        <v>55</v>
      </c>
      <c r="R41" s="501" t="s">
        <v>91</v>
      </c>
      <c r="S41" s="501">
        <v>0</v>
      </c>
      <c r="T41" s="317">
        <f t="shared" si="14"/>
        <v>0</v>
      </c>
    </row>
    <row r="42" spans="2:20" ht="13.15" customHeight="1">
      <c r="B42" s="500" t="s">
        <v>249</v>
      </c>
      <c r="C42" s="206" t="s">
        <v>55</v>
      </c>
      <c r="D42" s="501">
        <v>0.59048751866081839</v>
      </c>
      <c r="E42" s="501">
        <v>0.60320605877215827</v>
      </c>
      <c r="F42" s="317">
        <f t="shared" si="12"/>
        <v>0.59048751866081839</v>
      </c>
      <c r="G42" s="110"/>
      <c r="H42" s="230"/>
      <c r="I42" s="230" t="s">
        <v>249</v>
      </c>
      <c r="J42" s="306" t="s">
        <v>55</v>
      </c>
      <c r="K42" s="501">
        <v>0.40951248133918167</v>
      </c>
      <c r="L42" s="501">
        <v>0.39679394122784173</v>
      </c>
      <c r="M42" s="317">
        <f t="shared" si="13"/>
        <v>0.40951248133918167</v>
      </c>
      <c r="N42" s="501"/>
      <c r="O42" s="110" t="s">
        <v>91</v>
      </c>
      <c r="P42" s="230" t="s">
        <v>249</v>
      </c>
      <c r="Q42" s="306" t="s">
        <v>55</v>
      </c>
      <c r="R42" s="501">
        <v>0</v>
      </c>
      <c r="S42" s="501">
        <v>0</v>
      </c>
      <c r="T42" s="317">
        <f t="shared" si="14"/>
        <v>0</v>
      </c>
    </row>
    <row r="43" spans="2:20" ht="13.15" customHeight="1">
      <c r="B43" s="506" t="s">
        <v>543</v>
      </c>
      <c r="C43" s="306" t="s">
        <v>464</v>
      </c>
      <c r="D43" s="501">
        <v>0.5257839168886661</v>
      </c>
      <c r="E43" s="501">
        <v>0.52400315611993764</v>
      </c>
      <c r="F43" s="317">
        <f t="shared" si="12"/>
        <v>0.5257839168886661</v>
      </c>
      <c r="G43" s="110"/>
      <c r="H43" s="230"/>
      <c r="I43" s="230" t="s">
        <v>543</v>
      </c>
      <c r="J43" s="306" t="s">
        <v>464</v>
      </c>
      <c r="K43" s="501">
        <v>0.46625317204407352</v>
      </c>
      <c r="L43" s="501">
        <v>0.4672959141969068</v>
      </c>
      <c r="M43" s="317">
        <f t="shared" si="13"/>
        <v>0.46625317204407352</v>
      </c>
      <c r="N43" s="501"/>
      <c r="O43" s="110" t="s">
        <v>91</v>
      </c>
      <c r="P43" s="230" t="s">
        <v>543</v>
      </c>
      <c r="Q43" s="306" t="s">
        <v>464</v>
      </c>
      <c r="R43" s="501">
        <v>7.9629110672603184E-3</v>
      </c>
      <c r="S43" s="501">
        <v>8.7009296831555439E-3</v>
      </c>
      <c r="T43" s="317">
        <f t="shared" si="14"/>
        <v>7.9629110672603184E-3</v>
      </c>
    </row>
    <row r="44" spans="2:20" ht="13.15" customHeight="1">
      <c r="B44" s="506" t="s">
        <v>544</v>
      </c>
      <c r="C44" s="306" t="s">
        <v>464</v>
      </c>
      <c r="D44" s="501">
        <v>0.51390528679838365</v>
      </c>
      <c r="E44" s="501">
        <v>0.51984187940485516</v>
      </c>
      <c r="F44" s="317">
        <f t="shared" si="12"/>
        <v>0.51390528679838365</v>
      </c>
      <c r="G44" s="110"/>
      <c r="H44" s="230"/>
      <c r="I44" s="230" t="s">
        <v>544</v>
      </c>
      <c r="J44" s="306" t="s">
        <v>464</v>
      </c>
      <c r="K44" s="501">
        <v>0.47637214235452108</v>
      </c>
      <c r="L44" s="501">
        <v>0.47003940485512918</v>
      </c>
      <c r="M44" s="317">
        <f t="shared" si="13"/>
        <v>0.47637214235452108</v>
      </c>
      <c r="N44" s="501"/>
      <c r="O44" s="110" t="s">
        <v>91</v>
      </c>
      <c r="P44" s="230" t="s">
        <v>544</v>
      </c>
      <c r="Q44" s="306" t="s">
        <v>464</v>
      </c>
      <c r="R44" s="501">
        <v>9.7225708470952375E-3</v>
      </c>
      <c r="S44" s="501">
        <v>1.0118715740015662E-2</v>
      </c>
      <c r="T44" s="317">
        <f t="shared" si="14"/>
        <v>9.7225708470952375E-3</v>
      </c>
    </row>
    <row r="45" spans="2:20" ht="13.15" customHeight="1">
      <c r="B45" s="500" t="s">
        <v>465</v>
      </c>
      <c r="C45" s="206" t="s">
        <v>466</v>
      </c>
      <c r="D45" s="501">
        <v>0.5082769370970649</v>
      </c>
      <c r="E45" s="501">
        <v>0.4988823664290728</v>
      </c>
      <c r="F45" s="317">
        <f t="shared" si="12"/>
        <v>0.5082769370970649</v>
      </c>
      <c r="G45" s="110"/>
      <c r="H45" s="230"/>
      <c r="I45" s="230" t="s">
        <v>465</v>
      </c>
      <c r="J45" s="306" t="s">
        <v>466</v>
      </c>
      <c r="K45" s="501">
        <v>0.49172306290293505</v>
      </c>
      <c r="L45" s="501">
        <v>0.5011176335709272</v>
      </c>
      <c r="M45" s="317">
        <f t="shared" si="13"/>
        <v>0.49172306290293505</v>
      </c>
      <c r="N45" s="501"/>
      <c r="O45" s="110" t="s">
        <v>91</v>
      </c>
      <c r="P45" s="230" t="s">
        <v>465</v>
      </c>
      <c r="Q45" s="306" t="s">
        <v>466</v>
      </c>
      <c r="R45" s="501">
        <v>0</v>
      </c>
      <c r="S45" s="501">
        <v>0</v>
      </c>
      <c r="T45" s="317">
        <f t="shared" si="14"/>
        <v>0</v>
      </c>
    </row>
    <row r="46" spans="2:20" ht="13.15" customHeight="1">
      <c r="B46" s="500" t="s">
        <v>545</v>
      </c>
      <c r="C46" s="206" t="s">
        <v>468</v>
      </c>
      <c r="D46" s="501">
        <v>0.51334406570075364</v>
      </c>
      <c r="E46" s="501">
        <v>0.50136540366584814</v>
      </c>
      <c r="F46" s="317">
        <f t="shared" si="12"/>
        <v>0.51334406570075364</v>
      </c>
      <c r="G46" s="110"/>
      <c r="H46" s="230"/>
      <c r="I46" s="230" t="s">
        <v>545</v>
      </c>
      <c r="J46" s="306" t="s">
        <v>468</v>
      </c>
      <c r="K46" s="501">
        <v>0.48416849150243146</v>
      </c>
      <c r="L46" s="501">
        <v>0.49591697110526761</v>
      </c>
      <c r="M46" s="317">
        <f t="shared" si="13"/>
        <v>0.48416849150243146</v>
      </c>
      <c r="N46" s="501"/>
      <c r="O46" s="110" t="s">
        <v>91</v>
      </c>
      <c r="P46" s="230" t="s">
        <v>545</v>
      </c>
      <c r="Q46" s="306" t="s">
        <v>468</v>
      </c>
      <c r="R46" s="501">
        <v>2.4874427968149533E-3</v>
      </c>
      <c r="S46" s="501">
        <v>2.7176252288842739E-3</v>
      </c>
      <c r="T46" s="317">
        <f t="shared" si="14"/>
        <v>2.4874427968149533E-3</v>
      </c>
    </row>
    <row r="47" spans="2:20" ht="13.15" customHeight="1">
      <c r="B47" s="506" t="s">
        <v>546</v>
      </c>
      <c r="C47" s="286" t="s">
        <v>470</v>
      </c>
      <c r="D47" s="501" t="s">
        <v>91</v>
      </c>
      <c r="E47" s="501">
        <v>0.53762147113455028</v>
      </c>
      <c r="F47" s="317">
        <f t="shared" si="12"/>
        <v>0.53762147113455028</v>
      </c>
      <c r="G47" s="110"/>
      <c r="H47" s="230"/>
      <c r="I47" s="230" t="s">
        <v>546</v>
      </c>
      <c r="J47" s="306" t="s">
        <v>470</v>
      </c>
      <c r="K47" s="501" t="s">
        <v>91</v>
      </c>
      <c r="L47" s="501">
        <v>0.46237852886544972</v>
      </c>
      <c r="M47" s="317">
        <f t="shared" si="13"/>
        <v>0.46237852886544972</v>
      </c>
      <c r="N47" s="501"/>
      <c r="O47" s="110" t="s">
        <v>91</v>
      </c>
      <c r="P47" s="230" t="s">
        <v>546</v>
      </c>
      <c r="Q47" s="306" t="s">
        <v>470</v>
      </c>
      <c r="R47" s="501" t="s">
        <v>91</v>
      </c>
      <c r="S47" s="501">
        <v>0</v>
      </c>
      <c r="T47" s="317">
        <f t="shared" si="14"/>
        <v>0</v>
      </c>
    </row>
    <row r="48" spans="2:20" ht="13.15" customHeight="1">
      <c r="B48" s="506" t="s">
        <v>547</v>
      </c>
      <c r="C48" s="286" t="s">
        <v>470</v>
      </c>
      <c r="D48" s="501" t="s">
        <v>91</v>
      </c>
      <c r="E48" s="501">
        <v>0.55148014755021657</v>
      </c>
      <c r="F48" s="317">
        <f t="shared" si="12"/>
        <v>0.55148014755021657</v>
      </c>
      <c r="G48" s="110"/>
      <c r="H48" s="230"/>
      <c r="I48" s="230" t="s">
        <v>547</v>
      </c>
      <c r="J48" s="306" t="s">
        <v>470</v>
      </c>
      <c r="K48" s="501" t="s">
        <v>91</v>
      </c>
      <c r="L48" s="501">
        <v>0.44851985244978337</v>
      </c>
      <c r="M48" s="317">
        <f t="shared" si="13"/>
        <v>0.44851985244978337</v>
      </c>
      <c r="N48" s="501"/>
      <c r="O48" s="110" t="s">
        <v>91</v>
      </c>
      <c r="P48" s="230" t="s">
        <v>547</v>
      </c>
      <c r="Q48" s="306" t="s">
        <v>470</v>
      </c>
      <c r="R48" s="501" t="s">
        <v>91</v>
      </c>
      <c r="S48" s="501">
        <v>0</v>
      </c>
      <c r="T48" s="317">
        <f t="shared" si="14"/>
        <v>0</v>
      </c>
    </row>
    <row r="49" spans="2:20" ht="13.15" customHeight="1">
      <c r="B49" s="506" t="s">
        <v>548</v>
      </c>
      <c r="C49" s="286" t="s">
        <v>470</v>
      </c>
      <c r="D49" s="501" t="s">
        <v>91</v>
      </c>
      <c r="E49" s="501">
        <v>0.57430094539246046</v>
      </c>
      <c r="F49" s="317">
        <f t="shared" si="12"/>
        <v>0.57430094539246046</v>
      </c>
      <c r="G49" s="110"/>
      <c r="H49" s="230"/>
      <c r="I49" s="230" t="s">
        <v>548</v>
      </c>
      <c r="J49" s="306" t="s">
        <v>470</v>
      </c>
      <c r="K49" s="501" t="s">
        <v>91</v>
      </c>
      <c r="L49" s="501">
        <v>0.42569905460753954</v>
      </c>
      <c r="M49" s="317">
        <f t="shared" si="13"/>
        <v>0.42569905460753954</v>
      </c>
      <c r="N49" s="501"/>
      <c r="O49" s="110" t="s">
        <v>91</v>
      </c>
      <c r="P49" s="230" t="s">
        <v>548</v>
      </c>
      <c r="Q49" s="306" t="s">
        <v>470</v>
      </c>
      <c r="R49" s="501" t="s">
        <v>91</v>
      </c>
      <c r="S49" s="501">
        <v>0</v>
      </c>
      <c r="T49" s="317">
        <f t="shared" si="14"/>
        <v>0</v>
      </c>
    </row>
    <row r="50" spans="2:20" ht="13.15" customHeight="1">
      <c r="B50" s="506" t="s">
        <v>549</v>
      </c>
      <c r="C50" s="286" t="s">
        <v>470</v>
      </c>
      <c r="D50" s="501">
        <v>0.5183274545405071</v>
      </c>
      <c r="E50" s="501">
        <v>0.4554560460980463</v>
      </c>
      <c r="F50" s="317">
        <f t="shared" si="12"/>
        <v>0.5183274545405071</v>
      </c>
      <c r="G50" s="110"/>
      <c r="H50" s="230"/>
      <c r="I50" s="230" t="s">
        <v>549</v>
      </c>
      <c r="J50" s="306" t="s">
        <v>470</v>
      </c>
      <c r="K50" s="501">
        <v>0.48165920679780883</v>
      </c>
      <c r="L50" s="501">
        <v>0.54453338328303125</v>
      </c>
      <c r="M50" s="317">
        <f t="shared" si="13"/>
        <v>0.48165920679780883</v>
      </c>
      <c r="N50" s="501"/>
      <c r="O50" s="110" t="s">
        <v>91</v>
      </c>
      <c r="P50" s="230" t="s">
        <v>549</v>
      </c>
      <c r="Q50" s="306" t="s">
        <v>470</v>
      </c>
      <c r="R50" s="501">
        <v>1.3338661684054057E-5</v>
      </c>
      <c r="S50" s="501">
        <v>1.057061892242265E-5</v>
      </c>
      <c r="T50" s="317">
        <f t="shared" si="14"/>
        <v>1.3338661684054057E-5</v>
      </c>
    </row>
    <row r="51" spans="2:20" ht="13.15" customHeight="1">
      <c r="B51" s="506" t="s">
        <v>550</v>
      </c>
      <c r="C51" s="286" t="s">
        <v>470</v>
      </c>
      <c r="D51" s="501" t="s">
        <v>91</v>
      </c>
      <c r="E51" s="501">
        <v>0.57068732299108083</v>
      </c>
      <c r="F51" s="317">
        <f t="shared" si="12"/>
        <v>0.57068732299108083</v>
      </c>
      <c r="G51" s="110"/>
      <c r="H51" s="230"/>
      <c r="I51" s="230" t="s">
        <v>550</v>
      </c>
      <c r="J51" s="306" t="s">
        <v>470</v>
      </c>
      <c r="K51" s="501" t="s">
        <v>91</v>
      </c>
      <c r="L51" s="501">
        <v>0.42931267700891912</v>
      </c>
      <c r="M51" s="317">
        <f t="shared" si="13"/>
        <v>0.42931267700891912</v>
      </c>
      <c r="N51" s="501"/>
      <c r="O51" s="110" t="s">
        <v>91</v>
      </c>
      <c r="P51" s="230" t="s">
        <v>550</v>
      </c>
      <c r="Q51" s="306" t="s">
        <v>470</v>
      </c>
      <c r="R51" s="501" t="s">
        <v>91</v>
      </c>
      <c r="S51" s="501">
        <v>0</v>
      </c>
      <c r="T51" s="317">
        <f t="shared" si="14"/>
        <v>0</v>
      </c>
    </row>
    <row r="52" spans="2:20" ht="13.15" customHeight="1">
      <c r="B52" s="506" t="s">
        <v>551</v>
      </c>
      <c r="C52" s="286" t="s">
        <v>470</v>
      </c>
      <c r="D52" s="501">
        <v>0.5299632299526108</v>
      </c>
      <c r="E52" s="501">
        <v>0.52617406468506578</v>
      </c>
      <c r="F52" s="317">
        <f t="shared" si="12"/>
        <v>0.5299632299526108</v>
      </c>
      <c r="G52" s="110"/>
      <c r="H52" s="230"/>
      <c r="I52" s="230" t="s">
        <v>551</v>
      </c>
      <c r="J52" s="306" t="s">
        <v>470</v>
      </c>
      <c r="K52" s="501">
        <v>0.4700367700473892</v>
      </c>
      <c r="L52" s="501">
        <v>0.47382593531493422</v>
      </c>
      <c r="M52" s="317">
        <f t="shared" si="13"/>
        <v>0.4700367700473892</v>
      </c>
      <c r="N52" s="501"/>
      <c r="O52" s="110" t="s">
        <v>91</v>
      </c>
      <c r="P52" s="230" t="s">
        <v>551</v>
      </c>
      <c r="Q52" s="306" t="s">
        <v>470</v>
      </c>
      <c r="R52" s="501">
        <v>0</v>
      </c>
      <c r="S52" s="501">
        <v>0</v>
      </c>
      <c r="T52" s="317">
        <f t="shared" si="14"/>
        <v>0</v>
      </c>
    </row>
    <row r="53" spans="2:20" ht="13.15" customHeight="1">
      <c r="B53" s="506" t="s">
        <v>552</v>
      </c>
      <c r="C53" s="286" t="s">
        <v>472</v>
      </c>
      <c r="D53" s="501" t="s">
        <v>91</v>
      </c>
      <c r="E53" s="501">
        <v>1</v>
      </c>
      <c r="F53" s="317">
        <f t="shared" si="12"/>
        <v>1</v>
      </c>
      <c r="G53" s="110"/>
      <c r="H53" s="230"/>
      <c r="I53" s="230" t="s">
        <v>552</v>
      </c>
      <c r="J53" s="306" t="s">
        <v>472</v>
      </c>
      <c r="K53" s="501" t="s">
        <v>91</v>
      </c>
      <c r="L53" s="501">
        <v>0</v>
      </c>
      <c r="M53" s="317">
        <f t="shared" si="13"/>
        <v>0</v>
      </c>
      <c r="N53" s="501"/>
      <c r="O53" s="110" t="s">
        <v>91</v>
      </c>
      <c r="P53" s="230" t="s">
        <v>552</v>
      </c>
      <c r="Q53" s="306" t="s">
        <v>472</v>
      </c>
      <c r="R53" s="501" t="s">
        <v>91</v>
      </c>
      <c r="S53" s="501">
        <v>0</v>
      </c>
      <c r="T53" s="317">
        <f t="shared" si="14"/>
        <v>0</v>
      </c>
    </row>
    <row r="54" spans="2:20" ht="13.15" customHeight="1">
      <c r="B54" s="506" t="s">
        <v>553</v>
      </c>
      <c r="C54" s="286" t="s">
        <v>472</v>
      </c>
      <c r="D54" s="501">
        <v>0.50043553528649065</v>
      </c>
      <c r="E54" s="501">
        <v>0.50960692407728059</v>
      </c>
      <c r="F54" s="317">
        <f t="shared" si="12"/>
        <v>0.50043553528649065</v>
      </c>
      <c r="G54" s="110"/>
      <c r="H54" s="230"/>
      <c r="I54" s="230" t="s">
        <v>553</v>
      </c>
      <c r="J54" s="306" t="s">
        <v>472</v>
      </c>
      <c r="K54" s="501">
        <v>0.4995644647135094</v>
      </c>
      <c r="L54" s="501">
        <v>0.49039307592271941</v>
      </c>
      <c r="M54" s="317">
        <f t="shared" si="13"/>
        <v>0.4995644647135094</v>
      </c>
      <c r="N54" s="501"/>
      <c r="O54" s="110"/>
      <c r="P54" s="230" t="s">
        <v>553</v>
      </c>
      <c r="Q54" s="306" t="s">
        <v>472</v>
      </c>
      <c r="R54" s="501">
        <v>0</v>
      </c>
      <c r="S54" s="501">
        <v>0</v>
      </c>
      <c r="T54" s="317">
        <f t="shared" si="14"/>
        <v>0</v>
      </c>
    </row>
    <row r="55" spans="2:20" ht="13.15" customHeight="1">
      <c r="B55" s="506" t="s">
        <v>554</v>
      </c>
      <c r="C55" s="286" t="s">
        <v>472</v>
      </c>
      <c r="D55" s="501" t="s">
        <v>91</v>
      </c>
      <c r="E55" s="501">
        <v>0.51842477038959656</v>
      </c>
      <c r="F55" s="317">
        <f t="shared" si="12"/>
        <v>0.51842477038959656</v>
      </c>
      <c r="G55" s="110"/>
      <c r="H55" s="230"/>
      <c r="I55" s="230" t="s">
        <v>554</v>
      </c>
      <c r="J55" s="306" t="s">
        <v>472</v>
      </c>
      <c r="K55" s="501" t="s">
        <v>91</v>
      </c>
      <c r="L55" s="501">
        <v>0.4815752296104035</v>
      </c>
      <c r="M55" s="317">
        <f t="shared" si="13"/>
        <v>0.4815752296104035</v>
      </c>
      <c r="N55" s="501"/>
      <c r="O55" s="110"/>
      <c r="P55" s="230" t="s">
        <v>554</v>
      </c>
      <c r="Q55" s="306" t="s">
        <v>472</v>
      </c>
      <c r="R55" s="501" t="s">
        <v>91</v>
      </c>
      <c r="S55" s="501">
        <v>0</v>
      </c>
      <c r="T55" s="317">
        <f t="shared" si="14"/>
        <v>0</v>
      </c>
    </row>
    <row r="56" spans="2:20" ht="13.15" customHeight="1">
      <c r="B56" s="506" t="s">
        <v>473</v>
      </c>
      <c r="C56" s="286" t="s">
        <v>474</v>
      </c>
      <c r="D56" s="501">
        <v>0.47589766449694615</v>
      </c>
      <c r="E56" s="501">
        <v>0.47877061427876338</v>
      </c>
      <c r="F56" s="317">
        <f t="shared" si="12"/>
        <v>0.47589766449694615</v>
      </c>
      <c r="G56" s="110"/>
      <c r="H56" s="230"/>
      <c r="I56" s="230" t="s">
        <v>473</v>
      </c>
      <c r="J56" s="306" t="s">
        <v>474</v>
      </c>
      <c r="K56" s="501">
        <v>0.52410233550305385</v>
      </c>
      <c r="L56" s="501">
        <v>0.52122938572123667</v>
      </c>
      <c r="M56" s="317">
        <f t="shared" si="13"/>
        <v>0.52410233550305385</v>
      </c>
      <c r="N56" s="501"/>
      <c r="O56" s="110"/>
      <c r="P56" s="230" t="s">
        <v>473</v>
      </c>
      <c r="Q56" s="306" t="s">
        <v>474</v>
      </c>
      <c r="R56" s="501">
        <v>0</v>
      </c>
      <c r="S56" s="501">
        <v>0</v>
      </c>
      <c r="T56" s="317">
        <f t="shared" si="14"/>
        <v>0</v>
      </c>
    </row>
    <row r="57" spans="2:20" ht="13.15" customHeight="1">
      <c r="B57" s="499" t="s">
        <v>534</v>
      </c>
      <c r="C57" s="206" t="s">
        <v>476</v>
      </c>
      <c r="D57" s="501">
        <v>0.58632070260875602</v>
      </c>
      <c r="E57" s="501">
        <v>0.59468171335644959</v>
      </c>
      <c r="F57" s="317">
        <f t="shared" si="12"/>
        <v>0.58632070260875602</v>
      </c>
      <c r="G57" s="110"/>
      <c r="H57" s="230"/>
      <c r="I57" s="230" t="s">
        <v>534</v>
      </c>
      <c r="J57" s="306" t="s">
        <v>476</v>
      </c>
      <c r="K57" s="501">
        <v>0.41367929739124398</v>
      </c>
      <c r="L57" s="501">
        <v>0.40531828664355035</v>
      </c>
      <c r="M57" s="317">
        <f t="shared" si="13"/>
        <v>0.41367929739124398</v>
      </c>
      <c r="N57" s="501"/>
      <c r="O57" s="110"/>
      <c r="P57" s="230" t="s">
        <v>534</v>
      </c>
      <c r="Q57" s="306" t="s">
        <v>476</v>
      </c>
      <c r="R57" s="501">
        <v>0</v>
      </c>
      <c r="S57" s="501">
        <v>0</v>
      </c>
      <c r="T57" s="317">
        <f t="shared" si="14"/>
        <v>0</v>
      </c>
    </row>
    <row r="58" spans="2:20" ht="13.15" customHeight="1">
      <c r="B58" s="500" t="s">
        <v>535</v>
      </c>
      <c r="C58" s="206" t="s">
        <v>476</v>
      </c>
      <c r="D58" s="501">
        <v>0.58058476052317298</v>
      </c>
      <c r="E58" s="501">
        <v>0.55792111031806269</v>
      </c>
      <c r="F58" s="317">
        <f t="shared" si="12"/>
        <v>0.58058476052317298</v>
      </c>
      <c r="G58" s="110"/>
      <c r="H58" s="230"/>
      <c r="I58" s="230" t="s">
        <v>535</v>
      </c>
      <c r="J58" s="306" t="s">
        <v>476</v>
      </c>
      <c r="K58" s="501">
        <v>0.41941523947682707</v>
      </c>
      <c r="L58" s="501">
        <v>0.44207888968193726</v>
      </c>
      <c r="M58" s="317">
        <f t="shared" si="13"/>
        <v>0.41941523947682707</v>
      </c>
      <c r="N58" s="501"/>
      <c r="O58" s="110"/>
      <c r="P58" s="230" t="s">
        <v>535</v>
      </c>
      <c r="Q58" s="306" t="s">
        <v>476</v>
      </c>
      <c r="R58" s="501">
        <v>0</v>
      </c>
      <c r="S58" s="501">
        <v>0</v>
      </c>
      <c r="T58" s="317">
        <f t="shared" si="14"/>
        <v>0</v>
      </c>
    </row>
    <row r="59" spans="2:20" ht="13.15" customHeight="1">
      <c r="B59" s="500" t="s">
        <v>536</v>
      </c>
      <c r="C59" s="206" t="s">
        <v>476</v>
      </c>
      <c r="D59" s="501" t="s">
        <v>91</v>
      </c>
      <c r="E59" s="501">
        <v>0.54946231441167537</v>
      </c>
      <c r="F59" s="317">
        <f t="shared" si="12"/>
        <v>0.54946231441167537</v>
      </c>
      <c r="G59" s="110"/>
      <c r="H59" s="230"/>
      <c r="I59" s="230" t="s">
        <v>536</v>
      </c>
      <c r="J59" s="306" t="s">
        <v>476</v>
      </c>
      <c r="K59" s="501" t="s">
        <v>91</v>
      </c>
      <c r="L59" s="501">
        <v>0.44774268284727398</v>
      </c>
      <c r="M59" s="317">
        <f t="shared" si="13"/>
        <v>0.44774268284727398</v>
      </c>
      <c r="N59" s="501"/>
      <c r="O59" s="110" t="s">
        <v>91</v>
      </c>
      <c r="P59" s="230" t="s">
        <v>536</v>
      </c>
      <c r="Q59" s="306" t="s">
        <v>476</v>
      </c>
      <c r="R59" s="501" t="s">
        <v>91</v>
      </c>
      <c r="S59" s="501">
        <v>2.7950027410506674E-3</v>
      </c>
      <c r="T59" s="317">
        <f t="shared" si="14"/>
        <v>2.7950027410506674E-3</v>
      </c>
    </row>
    <row r="60" spans="2:20" ht="13.15" customHeight="1">
      <c r="B60" s="506" t="s">
        <v>555</v>
      </c>
      <c r="C60" s="306" t="s">
        <v>478</v>
      </c>
      <c r="D60" s="501">
        <v>0.50232481192337219</v>
      </c>
      <c r="E60" s="501">
        <v>0.46876218869110337</v>
      </c>
      <c r="F60" s="317">
        <f t="shared" si="12"/>
        <v>0.50232481192337219</v>
      </c>
      <c r="G60" s="110"/>
      <c r="H60" s="230"/>
      <c r="I60" s="230" t="s">
        <v>555</v>
      </c>
      <c r="J60" s="306" t="s">
        <v>478</v>
      </c>
      <c r="K60" s="501">
        <v>0.48097368263277412</v>
      </c>
      <c r="L60" s="501">
        <v>0.51256969358665894</v>
      </c>
      <c r="M60" s="317">
        <f t="shared" si="13"/>
        <v>0.48097368263277412</v>
      </c>
      <c r="N60" s="501"/>
      <c r="O60" s="110" t="s">
        <v>91</v>
      </c>
      <c r="P60" s="230" t="s">
        <v>555</v>
      </c>
      <c r="Q60" s="306" t="s">
        <v>478</v>
      </c>
      <c r="R60" s="501">
        <v>1.6701505443853657E-2</v>
      </c>
      <c r="S60" s="501">
        <v>1.8668117722237643E-2</v>
      </c>
      <c r="T60" s="317">
        <f t="shared" si="14"/>
        <v>1.6701505443853657E-2</v>
      </c>
    </row>
    <row r="61" spans="2:20" ht="13.15" customHeight="1">
      <c r="B61" s="506" t="s">
        <v>556</v>
      </c>
      <c r="C61" s="306" t="s">
        <v>478</v>
      </c>
      <c r="D61" s="501" t="s">
        <v>91</v>
      </c>
      <c r="E61" s="501">
        <v>0.58768440595746074</v>
      </c>
      <c r="F61" s="317">
        <f t="shared" si="12"/>
        <v>0.58768440595746074</v>
      </c>
      <c r="G61" s="110"/>
      <c r="H61" s="230"/>
      <c r="I61" s="230" t="s">
        <v>556</v>
      </c>
      <c r="J61" s="306" t="s">
        <v>478</v>
      </c>
      <c r="K61" s="501" t="s">
        <v>91</v>
      </c>
      <c r="L61" s="501">
        <v>0.4123155940425392</v>
      </c>
      <c r="M61" s="317">
        <f t="shared" si="13"/>
        <v>0.4123155940425392</v>
      </c>
      <c r="N61" s="501"/>
      <c r="O61" s="110" t="s">
        <v>91</v>
      </c>
      <c r="P61" s="230" t="s">
        <v>556</v>
      </c>
      <c r="Q61" s="306" t="s">
        <v>478</v>
      </c>
      <c r="R61" s="501" t="s">
        <v>91</v>
      </c>
      <c r="S61" s="501">
        <v>0</v>
      </c>
      <c r="T61" s="317">
        <f t="shared" si="14"/>
        <v>0</v>
      </c>
    </row>
    <row r="62" spans="2:20" ht="13.15" customHeight="1">
      <c r="B62" s="506" t="s">
        <v>557</v>
      </c>
      <c r="C62" s="306" t="s">
        <v>478</v>
      </c>
      <c r="D62" s="501" t="s">
        <v>91</v>
      </c>
      <c r="E62" s="501">
        <v>0.52540249242169079</v>
      </c>
      <c r="F62" s="317">
        <f t="shared" si="12"/>
        <v>0.52540249242169079</v>
      </c>
      <c r="G62" s="110"/>
      <c r="H62" s="230"/>
      <c r="I62" s="230" t="s">
        <v>557</v>
      </c>
      <c r="J62" s="306" t="s">
        <v>478</v>
      </c>
      <c r="K62" s="501" t="s">
        <v>91</v>
      </c>
      <c r="L62" s="501">
        <v>0.47459750757830921</v>
      </c>
      <c r="M62" s="317">
        <f t="shared" si="13"/>
        <v>0.47459750757830921</v>
      </c>
      <c r="N62" s="501"/>
      <c r="O62" s="110" t="s">
        <v>91</v>
      </c>
      <c r="P62" s="230" t="s">
        <v>557</v>
      </c>
      <c r="Q62" s="306" t="s">
        <v>478</v>
      </c>
      <c r="R62" s="501" t="s">
        <v>91</v>
      </c>
      <c r="S62" s="501">
        <v>0</v>
      </c>
      <c r="T62" s="317">
        <f t="shared" si="14"/>
        <v>0</v>
      </c>
    </row>
    <row r="63" spans="2:20" ht="13.15" customHeight="1">
      <c r="B63" s="506" t="s">
        <v>558</v>
      </c>
      <c r="C63" s="306" t="s">
        <v>478</v>
      </c>
      <c r="D63" s="501">
        <v>0.56124897900641613</v>
      </c>
      <c r="E63" s="501">
        <v>0.59017598633864055</v>
      </c>
      <c r="F63" s="317">
        <f t="shared" si="12"/>
        <v>0.56124897900641613</v>
      </c>
      <c r="G63" s="110"/>
      <c r="H63" s="230"/>
      <c r="I63" s="230" t="s">
        <v>558</v>
      </c>
      <c r="J63" s="306" t="s">
        <v>478</v>
      </c>
      <c r="K63" s="501">
        <v>0.43875102099358393</v>
      </c>
      <c r="L63" s="501">
        <v>0.40982401366135945</v>
      </c>
      <c r="M63" s="317">
        <f t="shared" si="13"/>
        <v>0.43875102099358393</v>
      </c>
      <c r="N63" s="501"/>
      <c r="O63" s="110" t="s">
        <v>91</v>
      </c>
      <c r="P63" s="230" t="s">
        <v>558</v>
      </c>
      <c r="Q63" s="306" t="s">
        <v>478</v>
      </c>
      <c r="R63" s="501">
        <v>0</v>
      </c>
      <c r="S63" s="501">
        <v>0</v>
      </c>
      <c r="T63" s="317">
        <f t="shared" si="14"/>
        <v>0</v>
      </c>
    </row>
    <row r="64" spans="2:20" ht="13.15" customHeight="1">
      <c r="B64" s="506" t="s">
        <v>559</v>
      </c>
      <c r="C64" s="306" t="s">
        <v>478</v>
      </c>
      <c r="D64" s="501">
        <v>0.50843069663837248</v>
      </c>
      <c r="E64" s="501">
        <v>0.50345292804293196</v>
      </c>
      <c r="F64" s="317">
        <f t="shared" si="12"/>
        <v>0.50843069663837248</v>
      </c>
      <c r="G64" s="110"/>
      <c r="H64" s="230"/>
      <c r="I64" s="230" t="s">
        <v>559</v>
      </c>
      <c r="J64" s="306" t="s">
        <v>478</v>
      </c>
      <c r="K64" s="501">
        <v>0.49156930336162752</v>
      </c>
      <c r="L64" s="501">
        <v>0.49654707195706804</v>
      </c>
      <c r="M64" s="317">
        <f t="shared" si="13"/>
        <v>0.49156930336162752</v>
      </c>
      <c r="N64" s="501"/>
      <c r="O64" s="110" t="s">
        <v>91</v>
      </c>
      <c r="P64" s="230" t="s">
        <v>559</v>
      </c>
      <c r="Q64" s="306" t="s">
        <v>478</v>
      </c>
      <c r="R64" s="501">
        <v>0</v>
      </c>
      <c r="S64" s="501">
        <v>0</v>
      </c>
      <c r="T64" s="317">
        <f t="shared" si="14"/>
        <v>0</v>
      </c>
    </row>
    <row r="65" spans="2:20" ht="13.15" customHeight="1">
      <c r="B65" s="506" t="s">
        <v>560</v>
      </c>
      <c r="C65" s="306" t="s">
        <v>478</v>
      </c>
      <c r="D65" s="501" t="s">
        <v>91</v>
      </c>
      <c r="E65" s="501">
        <v>0.53189107776724975</v>
      </c>
      <c r="F65" s="317">
        <f t="shared" si="12"/>
        <v>0.53189107776724975</v>
      </c>
      <c r="G65" s="110"/>
      <c r="H65" s="230"/>
      <c r="I65" s="230" t="s">
        <v>560</v>
      </c>
      <c r="J65" s="306" t="s">
        <v>478</v>
      </c>
      <c r="K65" s="501" t="s">
        <v>91</v>
      </c>
      <c r="L65" s="501">
        <v>0.46810892223275019</v>
      </c>
      <c r="M65" s="317">
        <f t="shared" si="13"/>
        <v>0.46810892223275019</v>
      </c>
      <c r="N65" s="501"/>
      <c r="O65" s="110" t="s">
        <v>91</v>
      </c>
      <c r="P65" s="230" t="s">
        <v>560</v>
      </c>
      <c r="Q65" s="306" t="s">
        <v>478</v>
      </c>
      <c r="R65" s="501" t="s">
        <v>91</v>
      </c>
      <c r="S65" s="501">
        <v>0</v>
      </c>
      <c r="T65" s="317">
        <f t="shared" si="14"/>
        <v>0</v>
      </c>
    </row>
    <row r="66" spans="2:20" ht="13.15" customHeight="1">
      <c r="B66" s="506" t="s">
        <v>561</v>
      </c>
      <c r="C66" s="306" t="s">
        <v>478</v>
      </c>
      <c r="D66" s="501" t="s">
        <v>91</v>
      </c>
      <c r="E66" s="501">
        <v>0.52489089773984032</v>
      </c>
      <c r="F66" s="317">
        <f t="shared" si="12"/>
        <v>0.52489089773984032</v>
      </c>
      <c r="G66" s="110"/>
      <c r="H66" s="230"/>
      <c r="I66" s="230" t="s">
        <v>561</v>
      </c>
      <c r="J66" s="306" t="s">
        <v>478</v>
      </c>
      <c r="K66" s="501" t="s">
        <v>91</v>
      </c>
      <c r="L66" s="501">
        <v>0.47510910226015968</v>
      </c>
      <c r="M66" s="317">
        <f t="shared" si="13"/>
        <v>0.47510910226015968</v>
      </c>
      <c r="N66" s="501"/>
      <c r="O66" s="110" t="s">
        <v>91</v>
      </c>
      <c r="P66" s="230" t="s">
        <v>561</v>
      </c>
      <c r="Q66" s="306" t="s">
        <v>478</v>
      </c>
      <c r="R66" s="501" t="s">
        <v>91</v>
      </c>
      <c r="S66" s="501">
        <v>0</v>
      </c>
      <c r="T66" s="317">
        <f t="shared" si="14"/>
        <v>0</v>
      </c>
    </row>
    <row r="67" spans="2:20" ht="13.15" customHeight="1">
      <c r="B67" s="507" t="s">
        <v>562</v>
      </c>
      <c r="C67" s="306" t="s">
        <v>480</v>
      </c>
      <c r="D67" s="501" t="s">
        <v>91</v>
      </c>
      <c r="E67" s="501">
        <v>0.64443882569996169</v>
      </c>
      <c r="F67" s="317">
        <f t="shared" si="12"/>
        <v>0.64443882569996169</v>
      </c>
      <c r="G67" s="110"/>
      <c r="H67" s="230"/>
      <c r="I67" s="230" t="s">
        <v>562</v>
      </c>
      <c r="J67" s="306" t="s">
        <v>480</v>
      </c>
      <c r="K67" s="501" t="s">
        <v>91</v>
      </c>
      <c r="L67" s="501">
        <v>0.35556117430003831</v>
      </c>
      <c r="M67" s="317">
        <f t="shared" si="13"/>
        <v>0.35556117430003831</v>
      </c>
      <c r="N67" s="501"/>
      <c r="O67" s="110" t="s">
        <v>91</v>
      </c>
      <c r="P67" s="230" t="s">
        <v>562</v>
      </c>
      <c r="Q67" s="306" t="s">
        <v>480</v>
      </c>
      <c r="R67" s="501" t="s">
        <v>91</v>
      </c>
      <c r="S67" s="501">
        <v>0</v>
      </c>
      <c r="T67" s="317">
        <f t="shared" si="14"/>
        <v>0</v>
      </c>
    </row>
    <row r="68" spans="2:20" ht="13.15" customHeight="1">
      <c r="B68" s="507" t="s">
        <v>563</v>
      </c>
      <c r="C68" s="306" t="s">
        <v>480</v>
      </c>
      <c r="D68" s="501" t="s">
        <v>91</v>
      </c>
      <c r="E68" s="501" t="s">
        <v>91</v>
      </c>
      <c r="F68" s="317" t="str">
        <f t="shared" si="12"/>
        <v/>
      </c>
      <c r="G68" s="110"/>
      <c r="H68" s="230"/>
      <c r="I68" s="230" t="s">
        <v>563</v>
      </c>
      <c r="J68" s="306" t="s">
        <v>480</v>
      </c>
      <c r="K68" s="501" t="s">
        <v>91</v>
      </c>
      <c r="L68" s="501" t="s">
        <v>91</v>
      </c>
      <c r="M68" s="317" t="str">
        <f t="shared" si="13"/>
        <v/>
      </c>
      <c r="N68" s="501"/>
      <c r="O68" s="110" t="s">
        <v>91</v>
      </c>
      <c r="P68" s="230" t="s">
        <v>563</v>
      </c>
      <c r="Q68" s="306" t="s">
        <v>480</v>
      </c>
      <c r="R68" s="501" t="s">
        <v>91</v>
      </c>
      <c r="S68" s="501" t="s">
        <v>91</v>
      </c>
      <c r="T68" s="317" t="str">
        <f t="shared" si="14"/>
        <v/>
      </c>
    </row>
    <row r="69" spans="2:20" ht="13.15" customHeight="1">
      <c r="B69" s="507" t="s">
        <v>564</v>
      </c>
      <c r="C69" s="306" t="s">
        <v>480</v>
      </c>
      <c r="D69" s="501" t="s">
        <v>91</v>
      </c>
      <c r="E69" s="501">
        <v>0.51939006229724272</v>
      </c>
      <c r="F69" s="317">
        <f t="shared" si="12"/>
        <v>0.51939006229724272</v>
      </c>
      <c r="G69" s="110"/>
      <c r="H69" s="230"/>
      <c r="I69" s="230" t="s">
        <v>564</v>
      </c>
      <c r="J69" s="306" t="s">
        <v>480</v>
      </c>
      <c r="K69" s="501" t="s">
        <v>91</v>
      </c>
      <c r="L69" s="501">
        <v>0.48060993770275734</v>
      </c>
      <c r="M69" s="317">
        <f t="shared" si="13"/>
        <v>0.48060993770275734</v>
      </c>
      <c r="N69" s="501"/>
      <c r="O69" s="110" t="s">
        <v>91</v>
      </c>
      <c r="P69" s="230" t="s">
        <v>564</v>
      </c>
      <c r="Q69" s="306" t="s">
        <v>480</v>
      </c>
      <c r="R69" s="501" t="s">
        <v>91</v>
      </c>
      <c r="S69" s="501">
        <v>0</v>
      </c>
      <c r="T69" s="317">
        <f t="shared" si="14"/>
        <v>0</v>
      </c>
    </row>
    <row r="70" spans="2:20" ht="13.15" customHeight="1">
      <c r="B70" s="507" t="s">
        <v>565</v>
      </c>
      <c r="C70" s="306" t="s">
        <v>480</v>
      </c>
      <c r="D70" s="501" t="s">
        <v>91</v>
      </c>
      <c r="E70" s="501">
        <v>0.54978306702091262</v>
      </c>
      <c r="F70" s="317">
        <f t="shared" si="12"/>
        <v>0.54978306702091262</v>
      </c>
      <c r="G70" s="110"/>
      <c r="H70" s="230"/>
      <c r="I70" s="230" t="s">
        <v>565</v>
      </c>
      <c r="J70" s="306" t="s">
        <v>480</v>
      </c>
      <c r="K70" s="501" t="s">
        <v>91</v>
      </c>
      <c r="L70" s="501">
        <v>0.45021693297908733</v>
      </c>
      <c r="M70" s="317">
        <f t="shared" si="13"/>
        <v>0.45021693297908733</v>
      </c>
      <c r="N70" s="501"/>
      <c r="O70" s="110" t="s">
        <v>91</v>
      </c>
      <c r="P70" s="230" t="s">
        <v>565</v>
      </c>
      <c r="Q70" s="306" t="s">
        <v>480</v>
      </c>
      <c r="R70" s="501" t="s">
        <v>91</v>
      </c>
      <c r="S70" s="501">
        <v>0</v>
      </c>
      <c r="T70" s="317">
        <f t="shared" si="14"/>
        <v>0</v>
      </c>
    </row>
    <row r="71" spans="2:20" ht="13.15" customHeight="1">
      <c r="B71" s="507" t="s">
        <v>566</v>
      </c>
      <c r="C71" s="306" t="s">
        <v>480</v>
      </c>
      <c r="D71" s="501">
        <v>0.55452229476702908</v>
      </c>
      <c r="E71" s="501">
        <v>0.47012942971796756</v>
      </c>
      <c r="F71" s="317">
        <f t="shared" si="12"/>
        <v>0.55452229476702908</v>
      </c>
      <c r="G71" s="110"/>
      <c r="H71" s="230"/>
      <c r="I71" s="230" t="s">
        <v>566</v>
      </c>
      <c r="J71" s="306" t="s">
        <v>480</v>
      </c>
      <c r="K71" s="501">
        <v>0.44547770523297092</v>
      </c>
      <c r="L71" s="501">
        <v>0.52987057028203244</v>
      </c>
      <c r="M71" s="317">
        <f t="shared" si="13"/>
        <v>0.44547770523297092</v>
      </c>
      <c r="N71" s="501"/>
      <c r="O71" s="110" t="s">
        <v>91</v>
      </c>
      <c r="P71" s="230" t="s">
        <v>566</v>
      </c>
      <c r="Q71" s="306" t="s">
        <v>480</v>
      </c>
      <c r="R71" s="501">
        <v>0</v>
      </c>
      <c r="S71" s="501">
        <v>0</v>
      </c>
      <c r="T71" s="317">
        <f t="shared" si="14"/>
        <v>0</v>
      </c>
    </row>
    <row r="72" spans="2:20" ht="13.15" customHeight="1">
      <c r="B72" s="507" t="s">
        <v>567</v>
      </c>
      <c r="C72" s="306" t="s">
        <v>480</v>
      </c>
      <c r="D72" s="501">
        <v>0.56002611218994525</v>
      </c>
      <c r="E72" s="501">
        <v>0.55757700251653797</v>
      </c>
      <c r="F72" s="317">
        <f t="shared" si="12"/>
        <v>0.56002611218994525</v>
      </c>
      <c r="G72" s="110"/>
      <c r="H72" s="230"/>
      <c r="I72" s="230" t="s">
        <v>567</v>
      </c>
      <c r="J72" s="306" t="s">
        <v>480</v>
      </c>
      <c r="K72" s="501">
        <v>0.43518518518518517</v>
      </c>
      <c r="L72" s="501">
        <v>0.43751719849072168</v>
      </c>
      <c r="M72" s="317">
        <f t="shared" si="13"/>
        <v>0.43518518518518517</v>
      </c>
      <c r="N72" s="501"/>
      <c r="O72" s="110" t="s">
        <v>91</v>
      </c>
      <c r="P72" s="230" t="s">
        <v>567</v>
      </c>
      <c r="Q72" s="306" t="s">
        <v>480</v>
      </c>
      <c r="R72" s="501">
        <v>4.788702624869549E-3</v>
      </c>
      <c r="S72" s="501">
        <v>4.9057989927403841E-3</v>
      </c>
      <c r="T72" s="317">
        <f t="shared" si="14"/>
        <v>4.788702624869549E-3</v>
      </c>
    </row>
    <row r="73" spans="2:20" ht="13.15" customHeight="1">
      <c r="B73" s="507" t="s">
        <v>568</v>
      </c>
      <c r="C73" s="306" t="s">
        <v>480</v>
      </c>
      <c r="D73" s="501" t="s">
        <v>91</v>
      </c>
      <c r="E73" s="501">
        <v>0.63305073054869121</v>
      </c>
      <c r="F73" s="317">
        <f t="shared" si="12"/>
        <v>0.63305073054869121</v>
      </c>
      <c r="G73" s="110"/>
      <c r="H73" s="230"/>
      <c r="I73" s="230" t="s">
        <v>568</v>
      </c>
      <c r="J73" s="306" t="s">
        <v>480</v>
      </c>
      <c r="K73" s="501" t="s">
        <v>91</v>
      </c>
      <c r="L73" s="501">
        <v>0.36694926945130873</v>
      </c>
      <c r="M73" s="317">
        <f t="shared" si="13"/>
        <v>0.36694926945130873</v>
      </c>
      <c r="N73" s="501"/>
      <c r="O73" s="110" t="s">
        <v>91</v>
      </c>
      <c r="P73" s="230" t="s">
        <v>568</v>
      </c>
      <c r="Q73" s="306" t="s">
        <v>480</v>
      </c>
      <c r="R73" s="501" t="s">
        <v>91</v>
      </c>
      <c r="S73" s="501">
        <v>0</v>
      </c>
      <c r="T73" s="317">
        <f t="shared" si="14"/>
        <v>0</v>
      </c>
    </row>
    <row r="74" spans="2:20" ht="13.15" customHeight="1">
      <c r="B74" s="507" t="s">
        <v>569</v>
      </c>
      <c r="C74" s="306" t="s">
        <v>480</v>
      </c>
      <c r="D74" s="501">
        <v>0.54607596196200225</v>
      </c>
      <c r="E74" s="501">
        <v>0.57332224154979106</v>
      </c>
      <c r="F74" s="317">
        <f t="shared" si="12"/>
        <v>0.54607596196200225</v>
      </c>
      <c r="G74" s="110"/>
      <c r="H74" s="230"/>
      <c r="I74" s="230" t="s">
        <v>569</v>
      </c>
      <c r="J74" s="306" t="s">
        <v>480</v>
      </c>
      <c r="K74" s="501">
        <v>0.45392403803799775</v>
      </c>
      <c r="L74" s="501">
        <v>0.42667775845020894</v>
      </c>
      <c r="M74" s="317">
        <f t="shared" si="13"/>
        <v>0.45392403803799775</v>
      </c>
      <c r="N74" s="501"/>
      <c r="O74" s="110" t="s">
        <v>91</v>
      </c>
      <c r="P74" s="230" t="s">
        <v>569</v>
      </c>
      <c r="Q74" s="306" t="s">
        <v>480</v>
      </c>
      <c r="R74" s="501">
        <v>0</v>
      </c>
      <c r="S74" s="501">
        <v>0</v>
      </c>
      <c r="T74" s="317">
        <f t="shared" si="14"/>
        <v>0</v>
      </c>
    </row>
    <row r="75" spans="2:20" ht="13.15" customHeight="1">
      <c r="B75" s="500" t="s">
        <v>537</v>
      </c>
      <c r="C75" s="206" t="s">
        <v>482</v>
      </c>
      <c r="D75" s="501">
        <v>0.56319111438762448</v>
      </c>
      <c r="E75" s="501">
        <v>0.56313791830103632</v>
      </c>
      <c r="F75" s="317">
        <f t="shared" si="12"/>
        <v>0.56319111438762448</v>
      </c>
      <c r="G75" s="110"/>
      <c r="H75" s="230"/>
      <c r="I75" s="230" t="s">
        <v>537</v>
      </c>
      <c r="J75" s="306" t="s">
        <v>482</v>
      </c>
      <c r="K75" s="501">
        <v>0.43680888561237552</v>
      </c>
      <c r="L75" s="501">
        <v>0.43686208169896362</v>
      </c>
      <c r="M75" s="317">
        <f t="shared" si="13"/>
        <v>0.43680888561237552</v>
      </c>
      <c r="N75" s="501"/>
      <c r="O75" s="110" t="s">
        <v>91</v>
      </c>
      <c r="P75" s="230" t="s">
        <v>537</v>
      </c>
      <c r="Q75" s="306" t="s">
        <v>482</v>
      </c>
      <c r="R75" s="501">
        <v>0</v>
      </c>
      <c r="S75" s="501">
        <v>0</v>
      </c>
      <c r="T75" s="317">
        <f t="shared" si="14"/>
        <v>0</v>
      </c>
    </row>
    <row r="76" spans="2:20" ht="13.15" customHeight="1">
      <c r="B76" s="500" t="s">
        <v>538</v>
      </c>
      <c r="C76" s="206" t="s">
        <v>482</v>
      </c>
      <c r="D76" s="501">
        <v>0.52200674267764413</v>
      </c>
      <c r="E76" s="501">
        <v>0.52813521467804425</v>
      </c>
      <c r="F76" s="317">
        <f t="shared" si="12"/>
        <v>0.52200674267764413</v>
      </c>
      <c r="G76" s="110"/>
      <c r="H76" s="230"/>
      <c r="I76" s="230" t="s">
        <v>538</v>
      </c>
      <c r="J76" s="306" t="s">
        <v>482</v>
      </c>
      <c r="K76" s="501">
        <v>0.47799325732235581</v>
      </c>
      <c r="L76" s="501">
        <v>0.47186478532195569</v>
      </c>
      <c r="M76" s="317">
        <f t="shared" si="13"/>
        <v>0.47799325732235581</v>
      </c>
      <c r="N76" s="501"/>
      <c r="O76" s="110" t="s">
        <v>91</v>
      </c>
      <c r="P76" s="230" t="s">
        <v>538</v>
      </c>
      <c r="Q76" s="306" t="s">
        <v>482</v>
      </c>
      <c r="R76" s="501">
        <v>0</v>
      </c>
      <c r="S76" s="501">
        <v>0</v>
      </c>
      <c r="T76" s="317">
        <f t="shared" si="14"/>
        <v>0</v>
      </c>
    </row>
    <row r="77" spans="2:20" ht="13.15" customHeight="1">
      <c r="B77" s="500" t="s">
        <v>539</v>
      </c>
      <c r="C77" s="206" t="s">
        <v>482</v>
      </c>
      <c r="D77" s="501">
        <v>0.54227707685333548</v>
      </c>
      <c r="E77" s="501">
        <v>0.53604430446349494</v>
      </c>
      <c r="F77" s="317">
        <f t="shared" si="12"/>
        <v>0.54227707685333548</v>
      </c>
      <c r="G77" s="110"/>
      <c r="H77" s="230"/>
      <c r="I77" s="230" t="s">
        <v>539</v>
      </c>
      <c r="J77" s="306" t="s">
        <v>482</v>
      </c>
      <c r="K77" s="501">
        <v>0.45772292314666452</v>
      </c>
      <c r="L77" s="501">
        <v>0.46395569553650506</v>
      </c>
      <c r="M77" s="317">
        <f t="shared" si="13"/>
        <v>0.45772292314666452</v>
      </c>
      <c r="N77" s="501"/>
      <c r="O77" s="110" t="s">
        <v>91</v>
      </c>
      <c r="P77" s="230" t="s">
        <v>539</v>
      </c>
      <c r="Q77" s="306" t="s">
        <v>482</v>
      </c>
      <c r="R77" s="501">
        <v>0</v>
      </c>
      <c r="S77" s="501">
        <v>0</v>
      </c>
      <c r="T77" s="317">
        <f t="shared" si="14"/>
        <v>0</v>
      </c>
    </row>
    <row r="78" spans="2:20" ht="13.15" customHeight="1">
      <c r="B78" s="500" t="s">
        <v>540</v>
      </c>
      <c r="C78" s="206" t="s">
        <v>482</v>
      </c>
      <c r="D78" s="501">
        <v>0.54143827895921093</v>
      </c>
      <c r="E78" s="501">
        <v>0.54165704871895337</v>
      </c>
      <c r="F78" s="317">
        <f t="shared" si="12"/>
        <v>0.54143827895921093</v>
      </c>
      <c r="G78" s="110"/>
      <c r="H78" s="230"/>
      <c r="I78" s="230" t="s">
        <v>540</v>
      </c>
      <c r="J78" s="306" t="s">
        <v>482</v>
      </c>
      <c r="K78" s="501">
        <v>0.45856172104078907</v>
      </c>
      <c r="L78" s="501">
        <v>0.45834295128104657</v>
      </c>
      <c r="M78" s="317">
        <f t="shared" si="13"/>
        <v>0.45856172104078907</v>
      </c>
      <c r="N78" s="501"/>
      <c r="O78" s="110" t="s">
        <v>91</v>
      </c>
      <c r="P78" s="230" t="s">
        <v>540</v>
      </c>
      <c r="Q78" s="306" t="s">
        <v>482</v>
      </c>
      <c r="R78" s="501">
        <v>0</v>
      </c>
      <c r="S78" s="501">
        <v>0</v>
      </c>
      <c r="T78" s="317">
        <f t="shared" si="14"/>
        <v>0</v>
      </c>
    </row>
    <row r="79" spans="2:20" ht="13.15" customHeight="1">
      <c r="B79" s="476"/>
      <c r="C79" s="477"/>
      <c r="D79" s="317"/>
      <c r="E79" s="317"/>
      <c r="F79" s="482"/>
      <c r="G79" s="469"/>
      <c r="H79" s="469"/>
      <c r="I79" s="476"/>
      <c r="J79" s="477"/>
      <c r="K79" s="317"/>
      <c r="L79" s="317"/>
      <c r="M79" s="482"/>
      <c r="P79" s="476"/>
      <c r="Q79" s="477"/>
      <c r="R79" s="317"/>
      <c r="S79" s="317"/>
      <c r="T79" s="482"/>
    </row>
    <row r="80" spans="2:20">
      <c r="B80" s="497" t="s">
        <v>21</v>
      </c>
      <c r="I80" s="497" t="s">
        <v>21</v>
      </c>
      <c r="P80" s="497" t="s">
        <v>21</v>
      </c>
    </row>
    <row r="81" spans="2:20" ht="25.15" customHeight="1">
      <c r="B81" s="785" t="s">
        <v>250</v>
      </c>
      <c r="C81" s="785"/>
      <c r="D81" s="785"/>
      <c r="E81" s="785"/>
      <c r="F81" s="785"/>
      <c r="I81" s="784" t="str">
        <f>B81</f>
        <v>[1] Ratios are weighted by actual common capital, preferred equity, and long-term debt of Operating Subsidiaries.</v>
      </c>
      <c r="J81" s="784"/>
      <c r="K81" s="784"/>
      <c r="L81" s="784"/>
      <c r="M81" s="784"/>
      <c r="P81" s="784" t="str">
        <f>I81</f>
        <v>[1] Ratios are weighted by actual common capital, preferred equity, and long-term debt of Operating Subsidiaries.</v>
      </c>
      <c r="Q81" s="784"/>
      <c r="R81" s="784"/>
      <c r="S81" s="784"/>
      <c r="T81" s="784"/>
    </row>
    <row r="82" spans="2:20" ht="29.45" customHeight="1">
      <c r="B82" s="784" t="s">
        <v>251</v>
      </c>
      <c r="C82" s="784"/>
      <c r="D82" s="784"/>
      <c r="E82" s="784"/>
      <c r="F82" s="784"/>
      <c r="I82" s="784" t="str">
        <f t="shared" ref="I82" si="15">B82</f>
        <v>[2] Natural Gas operating subsidiaries where data was unable to be obtained for 2018 and 2019 were removed from the analysis.</v>
      </c>
      <c r="J82" s="784"/>
      <c r="K82" s="784"/>
      <c r="L82" s="784"/>
      <c r="M82" s="784"/>
      <c r="P82" s="784" t="str">
        <f t="shared" ref="P82" si="16">I82</f>
        <v>[2] Natural Gas operating subsidiaries where data was unable to be obtained for 2018 and 2019 were removed from the analysis.</v>
      </c>
      <c r="Q82" s="784"/>
      <c r="R82" s="784"/>
      <c r="S82" s="784"/>
      <c r="T82" s="784"/>
    </row>
    <row r="83" spans="2:20">
      <c r="J83" s="482"/>
      <c r="K83" s="482"/>
    </row>
    <row r="84" spans="2:20">
      <c r="J84" s="482"/>
      <c r="K84" s="482"/>
    </row>
    <row r="85" spans="2:20">
      <c r="J85" s="482"/>
      <c r="K85" s="482"/>
    </row>
    <row r="86" spans="2:20">
      <c r="J86" s="482"/>
      <c r="K86" s="482"/>
    </row>
    <row r="87" spans="2:20">
      <c r="J87" s="482"/>
      <c r="K87" s="482"/>
    </row>
  </sheetData>
  <dataConsolidate/>
  <mergeCells count="15">
    <mergeCell ref="B1:F1"/>
    <mergeCell ref="I1:M1"/>
    <mergeCell ref="P1:T1"/>
    <mergeCell ref="B3:F3"/>
    <mergeCell ref="I3:M3"/>
    <mergeCell ref="P3:T3"/>
    <mergeCell ref="B82:F82"/>
    <mergeCell ref="I82:M82"/>
    <mergeCell ref="P82:T82"/>
    <mergeCell ref="B29:F29"/>
    <mergeCell ref="I29:M29"/>
    <mergeCell ref="P29:T29"/>
    <mergeCell ref="B81:F81"/>
    <mergeCell ref="I81:M81"/>
    <mergeCell ref="P81:T81"/>
  </mergeCells>
  <conditionalFormatting sqref="Q21">
    <cfRule type="expression" dxfId="25" priority="71">
      <formula>#REF!</formula>
    </cfRule>
  </conditionalFormatting>
  <conditionalFormatting sqref="J22:K22">
    <cfRule type="expression" dxfId="24" priority="72">
      <formula>#REF!</formula>
    </cfRule>
  </conditionalFormatting>
  <conditionalFormatting sqref="J21">
    <cfRule type="expression" dxfId="23" priority="74">
      <formula>#REF!</formula>
    </cfRule>
  </conditionalFormatting>
  <conditionalFormatting sqref="C21">
    <cfRule type="expression" dxfId="22" priority="77">
      <formula>"(blank)"</formula>
    </cfRule>
  </conditionalFormatting>
  <conditionalFormatting sqref="C21">
    <cfRule type="expression" dxfId="21" priority="78">
      <formula>#REF!</formula>
    </cfRule>
  </conditionalFormatting>
  <conditionalFormatting sqref="C22:D22">
    <cfRule type="expression" dxfId="20" priority="75">
      <formula>"(blank)"</formula>
    </cfRule>
  </conditionalFormatting>
  <conditionalFormatting sqref="C22:D22">
    <cfRule type="expression" dxfId="19" priority="76">
      <formula>#REF!</formula>
    </cfRule>
  </conditionalFormatting>
  <conditionalFormatting sqref="J21">
    <cfRule type="expression" dxfId="18" priority="79">
      <formula>"(blank)"</formula>
    </cfRule>
  </conditionalFormatting>
  <conditionalFormatting sqref="J22:K22">
    <cfRule type="expression" dxfId="17" priority="81">
      <formula>"(blank)"</formula>
    </cfRule>
  </conditionalFormatting>
  <conditionalFormatting sqref="Q21">
    <cfRule type="expression" dxfId="16" priority="82">
      <formula>"(blank)"</formula>
    </cfRule>
  </conditionalFormatting>
  <conditionalFormatting sqref="Q22:R22">
    <cfRule type="expression" dxfId="15" priority="69">
      <formula>"(blank)"</formula>
    </cfRule>
  </conditionalFormatting>
  <conditionalFormatting sqref="Q22:R22">
    <cfRule type="expression" dxfId="14" priority="84">
      <formula>#REF!</formula>
    </cfRule>
  </conditionalFormatting>
  <conditionalFormatting sqref="J79">
    <cfRule type="expression" dxfId="13" priority="57">
      <formula>"(blank)"</formula>
    </cfRule>
  </conditionalFormatting>
  <conditionalFormatting sqref="J79">
    <cfRule type="expression" dxfId="12" priority="58">
      <formula>#REF!</formula>
    </cfRule>
  </conditionalFormatting>
  <conditionalFormatting sqref="Q79">
    <cfRule type="expression" dxfId="11" priority="55">
      <formula>"(blank)"</formula>
    </cfRule>
  </conditionalFormatting>
  <conditionalFormatting sqref="Q79">
    <cfRule type="expression" dxfId="10" priority="56">
      <formula>#REF!</formula>
    </cfRule>
  </conditionalFormatting>
  <conditionalFormatting sqref="C79">
    <cfRule type="expression" dxfId="9" priority="59">
      <formula>"(blank)"</formula>
    </cfRule>
  </conditionalFormatting>
  <conditionalFormatting sqref="C79">
    <cfRule type="expression" dxfId="8" priority="60">
      <formula>#REF!</formula>
    </cfRule>
  </conditionalFormatting>
  <conditionalFormatting sqref="I5:J20 P5:Q20">
    <cfRule type="expression" dxfId="7" priority="7">
      <formula>"(blank)"</formula>
    </cfRule>
  </conditionalFormatting>
  <conditionalFormatting sqref="I5:J20 P5:Q20">
    <cfRule type="expression" dxfId="6" priority="8">
      <formula>#REF!</formula>
    </cfRule>
  </conditionalFormatting>
  <conditionalFormatting sqref="C5">
    <cfRule type="expression" dxfId="5" priority="5">
      <formula>"(blank)"</formula>
    </cfRule>
  </conditionalFormatting>
  <conditionalFormatting sqref="C5">
    <cfRule type="expression" dxfId="4" priority="6">
      <formula>#REF!</formula>
    </cfRule>
  </conditionalFormatting>
  <conditionalFormatting sqref="C6:C10">
    <cfRule type="expression" dxfId="3" priority="3">
      <formula>"(blank)"</formula>
    </cfRule>
  </conditionalFormatting>
  <conditionalFormatting sqref="C6:C10">
    <cfRule type="expression" dxfId="2" priority="4">
      <formula>#REF!</formula>
    </cfRule>
  </conditionalFormatting>
  <conditionalFormatting sqref="C11:C20">
    <cfRule type="expression" dxfId="1" priority="1">
      <formula>"(blank)"</formula>
    </cfRule>
  </conditionalFormatting>
  <conditionalFormatting sqref="C11:C20">
    <cfRule type="expression" dxfId="0" priority="2">
      <formula>#REF!</formula>
    </cfRule>
  </conditionalFormatting>
  <printOptions horizontalCentered="1"/>
  <pageMargins left="0.7" right="0.7" top="1.25" bottom="0.75" header="0.3" footer="0.3"/>
  <pageSetup scale="74" firstPageNumber="4" orientation="landscape" useFirstPageNumber="1" r:id="rId1"/>
  <headerFooter>
    <oddHeader>&amp;RPetitioner's Exhibit No.12
 Attachment AEB-2
Vectren South
Schedule 11 (Alternative Proxy Group)
Page &amp;P of 9</oddHeader>
  </headerFooter>
  <colBreaks count="2" manualBreakCount="2">
    <brk id="7" max="40" man="1"/>
    <brk id="13"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7F62C1BAB7D1B4998D0BFFEC59B8AD2" ma:contentTypeVersion="25" ma:contentTypeDescription="Create a new document." ma:contentTypeScope="" ma:versionID="a29347074beb70bca29eaea2ad55900a">
  <xsd:schema xmlns:xsd="http://www.w3.org/2001/XMLSchema" xmlns:xs="http://www.w3.org/2001/XMLSchema" xmlns:p="http://schemas.microsoft.com/office/2006/metadata/properties" xmlns:ns1="http://schemas.microsoft.com/sharepoint/v3" xmlns:ns2="621b3311-adc9-44a7-af0e-36067350c19c" xmlns:ns3="99180bc4-2f7d-45e7-9e22-353907fb92c6" xmlns:ns4="f5536f26-5d7e-4d2b-a510-6667eeb1ad7c" xmlns:ns5="ddb5066c-6899-482b-9ea0-5145f9da9989" targetNamespace="http://schemas.microsoft.com/office/2006/metadata/properties" ma:root="true" ma:fieldsID="dd44e1d3607186ede97e4754c9758a79" ns1:_="" ns2:_="" ns3:_="" ns4:_="" ns5:_="">
    <xsd:import namespace="http://schemas.microsoft.com/sharepoint/v3"/>
    <xsd:import namespace="621b3311-adc9-44a7-af0e-36067350c19c"/>
    <xsd:import namespace="99180bc4-2f7d-45e7-9e22-353907fb92c6"/>
    <xsd:import namespace="f5536f26-5d7e-4d2b-a510-6667eeb1ad7c"/>
    <xsd:import namespace="ddb5066c-6899-482b-9ea0-5145f9da9989"/>
    <xsd:element name="properties">
      <xsd:complexType>
        <xsd:sequence>
          <xsd:element name="documentManagement">
            <xsd:complexType>
              <xsd:all>
                <xsd:element ref="ns2:ObjectId" minOccurs="0"/>
                <xsd:element ref="ns2:ItemId" minOccurs="0"/>
                <xsd:element ref="ns2:ItemNumber" minOccurs="0"/>
                <xsd:element ref="ns2:ItemDate" minOccurs="0"/>
                <xsd:element ref="ns2:Filename" minOccurs="0"/>
                <xsd:element ref="ns3:SharedWithUsers" minOccurs="0"/>
                <xsd:element ref="ns3:SharedWithDetails" minOccurs="0"/>
                <xsd:element ref="ns4:MediaServiceMetadata" minOccurs="0"/>
                <xsd:element ref="ns4:MediaServiceFastMetadata" minOccurs="0"/>
                <xsd:element ref="ns4:MediaServiceDateTaken" minOccurs="0"/>
                <xsd:element ref="ns4:MediaServiceAutoTags" minOccurs="0"/>
                <xsd:element ref="ns4:MediaServiceOCR" minOccurs="0"/>
                <xsd:element ref="ns1:_ip_UnifiedCompliancePolicyProperties" minOccurs="0"/>
                <xsd:element ref="ns1:_ip_UnifiedCompliancePolicyUIAction" minOccurs="0"/>
                <xsd:element ref="ns4:MediaServiceGenerationTime" minOccurs="0"/>
                <xsd:element ref="ns4:MediaServiceEventHashCode" minOccurs="0"/>
                <xsd:element ref="ns4:lcf76f155ced4ddcb4097134ff3c332f" minOccurs="0"/>
                <xsd:element ref="ns5:TaxCatchAll"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1b3311-adc9-44a7-af0e-36067350c19c" elementFormDefault="qualified">
    <xsd:import namespace="http://schemas.microsoft.com/office/2006/documentManagement/types"/>
    <xsd:import namespace="http://schemas.microsoft.com/office/infopath/2007/PartnerControls"/>
    <xsd:element name="ObjectId" ma:index="2" nillable="true" ma:displayName="ObjectId" ma:internalName="ObjectId">
      <xsd:simpleType>
        <xsd:restriction base="dms:Text">
          <xsd:maxLength value="255"/>
        </xsd:restriction>
      </xsd:simpleType>
    </xsd:element>
    <xsd:element name="ItemId" ma:index="3" nillable="true" ma:displayName="ItemId" ma:indexed="true" ma:internalName="ItemId">
      <xsd:simpleType>
        <xsd:restriction base="dms:Text">
          <xsd:maxLength value="255"/>
        </xsd:restriction>
      </xsd:simpleType>
    </xsd:element>
    <xsd:element name="ItemNumber" ma:index="4" nillable="true" ma:displayName="ItemNumber" ma:indexed="true" ma:internalName="ItemNumber">
      <xsd:simpleType>
        <xsd:restriction base="dms:Text">
          <xsd:maxLength value="255"/>
        </xsd:restriction>
      </xsd:simpleType>
    </xsd:element>
    <xsd:element name="ItemDate" ma:index="5" nillable="true" ma:displayName="ItemDate" ma:format="DateOnly" ma:indexed="true" ma:internalName="ItemDate">
      <xsd:simpleType>
        <xsd:restriction base="dms:DateTime"/>
      </xsd:simpleType>
    </xsd:element>
    <xsd:element name="Filename" ma:index="6" nillable="true" ma:displayName="Filename" ma:internalName="Filenam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9180bc4-2f7d-45e7-9e22-353907fb92c6" elementFormDefault="qualified">
    <xsd:import namespace="http://schemas.microsoft.com/office/2006/documentManagement/types"/>
    <xsd:import namespace="http://schemas.microsoft.com/office/infopath/2007/PartnerControls"/>
    <xsd:element name="SharedWithUsers" ma:index="1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5536f26-5d7e-4d2b-a510-6667eeb1ad7c" elementFormDefault="qualified">
    <xsd:import namespace="http://schemas.microsoft.com/office/2006/documentManagement/types"/>
    <xsd:import namespace="http://schemas.microsoft.com/office/infopath/2007/PartnerControls"/>
    <xsd:element name="MediaServiceMetadata" ma:index="17" nillable="true" ma:displayName="MediaServiceMetadata" ma:description="" ma:hidden="true" ma:internalName="MediaServiceMetadata" ma:readOnly="true">
      <xsd:simpleType>
        <xsd:restriction base="dms:Note"/>
      </xsd:simpleType>
    </xsd:element>
    <xsd:element name="MediaServiceFastMetadata" ma:index="18" nillable="true" ma:displayName="MediaServiceFastMetadata" ma:description="" ma:hidden="true" ma:internalName="MediaServiceFastMetadata" ma:readOnly="true">
      <xsd:simpleType>
        <xsd:restriction base="dms:Note"/>
      </xsd:simpleType>
    </xsd:element>
    <xsd:element name="MediaServiceDateTaken" ma:index="19" nillable="true" ma:displayName="MediaServiceDateTaken" ma:hidden="true" ma:internalName="MediaServiceDateTaken" ma:readOnly="true">
      <xsd:simpleType>
        <xsd:restriction base="dms:Text"/>
      </xsd:simpleType>
    </xsd:element>
    <xsd:element name="MediaServiceAutoTags" ma:index="20" nillable="true" ma:displayName="MediaServiceAutoTags" ma:internalName="MediaServiceAutoTags" ma:readOnly="true">
      <xsd:simpleType>
        <xsd:restriction base="dms:Text"/>
      </xsd:simpleType>
    </xsd:element>
    <xsd:element name="MediaServiceOCR" ma:index="21" nillable="true" ma:displayName="MediaServiceOCR" ma:internalName="MediaServiceOCR" ma:readOnly="true">
      <xsd:simpleType>
        <xsd:restriction base="dms:Note">
          <xsd:maxLength value="255"/>
        </xsd:restriction>
      </xsd:simpleType>
    </xsd:element>
    <xsd:element name="MediaServiceGenerationTime" ma:index="24" nillable="true" ma:displayName="MediaServiceGenerationTime" ma:hidden="true" ma:internalName="MediaServiceGenerationTime" ma:readOnly="true">
      <xsd:simpleType>
        <xsd:restriction base="dms:Text"/>
      </xsd:simpleType>
    </xsd:element>
    <xsd:element name="MediaServiceEventHashCode" ma:index="25" nillable="true" ma:displayName="MediaServiceEventHashCode" ma:hidden="true" ma:internalName="MediaServiceEventHashCode" ma:readOnly="true">
      <xsd:simpleType>
        <xsd:restriction base="dms:Text"/>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8" nillable="true" ma:displayName="Taxonomy Catch All Column" ma:hidden="true" ma:list="{a6e7e882-9704-4d77-9765-cf8fe4d68a88}" ma:internalName="TaxCatchAll" ma:showField="CatchAllData" ma:web="fe36f78b-f2f5-469e-9861-ee46cd4ffe6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0"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99180bc4-2f7d-45e7-9e22-353907fb92c6">
      <UserInfo>
        <DisplayName>Limited Access System Group</DisplayName>
        <AccountId>16</AccountId>
        <AccountType/>
      </UserInfo>
      <UserInfo>
        <DisplayName>Peter Hoegler</DisplayName>
        <AccountId>28</AccountId>
        <AccountType/>
      </UserInfo>
      <UserInfo>
        <DisplayName>SharingLinks.9c392eb8-a5da-477b-90a5-360cfbadcd28.Flexible.bd07334b-f0dd-4c73-8d1c-81e9e5ca085e</DisplayName>
        <AccountId>45</AccountId>
        <AccountType/>
      </UserInfo>
      <UserInfo>
        <DisplayName>Lisa Quilici</DisplayName>
        <AccountId>38</AccountId>
        <AccountType/>
      </UserInfo>
      <UserInfo>
        <DisplayName>Briana Adams</DisplayName>
        <AccountId>20</AccountId>
        <AccountType/>
      </UserInfo>
      <UserInfo>
        <DisplayName>Ann Bulkley</DisplayName>
        <AccountId>12</AccountId>
        <AccountType/>
      </UserInfo>
      <UserInfo>
        <DisplayName>Chris Wall</DisplayName>
        <AccountId>14</AccountId>
        <AccountType/>
      </UserInfo>
    </SharedWithUsers>
    <_ip_UnifiedCompliancePolicyUIAction xmlns="http://schemas.microsoft.com/sharepoint/v3" xsi:nil="true"/>
    <_ip_UnifiedCompliancePolicyProperties xmlns="http://schemas.microsoft.com/sharepoint/v3" xsi:nil="true"/>
    <ItemNumber xmlns="621b3311-adc9-44a7-af0e-36067350c19c" xsi:nil="true"/>
    <ItemId xmlns="621b3311-adc9-44a7-af0e-36067350c19c" xsi:nil="true"/>
    <ItemDate xmlns="621b3311-adc9-44a7-af0e-36067350c19c" xsi:nil="true"/>
    <Filename xmlns="621b3311-adc9-44a7-af0e-36067350c19c" xsi:nil="true"/>
    <ObjectId xmlns="621b3311-adc9-44a7-af0e-36067350c19c" xsi:nil="true"/>
    <TaxCatchAll xmlns="ddb5066c-6899-482b-9ea0-5145f9da9989" xsi:nil="true"/>
    <lcf76f155ced4ddcb4097134ff3c332f xmlns="f5536f26-5d7e-4d2b-a510-6667eeb1ad7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913D1B3-2499-4850-8097-F1663C420EBE}"/>
</file>

<file path=customXml/itemProps2.xml><?xml version="1.0" encoding="utf-8"?>
<ds:datastoreItem xmlns:ds="http://schemas.openxmlformats.org/officeDocument/2006/customXml" ds:itemID="{244F0DD6-E73D-4A9E-9450-01C4F647B222}">
  <ds:schemaRefs>
    <ds:schemaRef ds:uri="http://schemas.microsoft.com/sharepoint/v3/contenttype/forms"/>
  </ds:schemaRefs>
</ds:datastoreItem>
</file>

<file path=customXml/itemProps3.xml><?xml version="1.0" encoding="utf-8"?>
<ds:datastoreItem xmlns:ds="http://schemas.openxmlformats.org/officeDocument/2006/customXml" ds:itemID="{A055AAF1-3795-47A5-92AC-FE221F51A703}">
  <ds:schemaRefs>
    <ds:schemaRef ds:uri="http://purl.org/dc/dcmitype/"/>
    <ds:schemaRef ds:uri="http://www.w3.org/XML/1998/namespace"/>
    <ds:schemaRef ds:uri="http://purl.org/dc/elements/1.1/"/>
    <ds:schemaRef ds:uri="99180bc4-2f7d-45e7-9e22-353907fb92c6"/>
    <ds:schemaRef ds:uri="http://schemas.openxmlformats.org/package/2006/metadata/core-properties"/>
    <ds:schemaRef ds:uri="http://schemas.microsoft.com/office/2006/documentManagement/types"/>
    <ds:schemaRef ds:uri="http://purl.org/dc/terms/"/>
    <ds:schemaRef ds:uri="http://schemas.microsoft.com/office/infopath/2007/PartnerControls"/>
    <ds:schemaRef ds:uri="7558938a-8a22-4524-afb0-58b165029303"/>
    <ds:schemaRef ds:uri="http://schemas.microsoft.com/sharepoint/v3"/>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22</vt:i4>
      </vt:variant>
    </vt:vector>
  </HeadingPairs>
  <TitlesOfParts>
    <vt:vector size="45" baseType="lpstr">
      <vt:lpstr>Cover Page</vt:lpstr>
      <vt:lpstr>Schedule-1 Summary Gas Proxy</vt:lpstr>
      <vt:lpstr>Schedule-1 Summary Alt Proxy</vt:lpstr>
      <vt:lpstr>Schedule-2 Gas Proxy Selection</vt:lpstr>
      <vt:lpstr>Schedule-2 Alt Proxy Selection</vt:lpstr>
      <vt:lpstr>Schedule-3 Constant DCF 1 Gas P</vt:lpstr>
      <vt:lpstr>Schedule-3 Constant DCF 1 Alt P</vt:lpstr>
      <vt:lpstr>Schedule-3 Constant DCF 2</vt:lpstr>
      <vt:lpstr>Schedule-4 CAPM Gas Proxy 1</vt:lpstr>
      <vt:lpstr>Schedule-4 CAPM Alt Proxy 1</vt:lpstr>
      <vt:lpstr>Schedule-4 CAPM 2</vt:lpstr>
      <vt:lpstr>Schedule-4 CAPM 3</vt:lpstr>
      <vt:lpstr>Schedule-5 Risk Premium Gas P</vt:lpstr>
      <vt:lpstr>Schedule-6 Exp Earnings Gas P</vt:lpstr>
      <vt:lpstr>Schedule-6 Exp Earnings Alt P</vt:lpstr>
      <vt:lpstr>Schedule-7 Size Premium Gas P</vt:lpstr>
      <vt:lpstr>Schedule-8 Flotation Cost Gas P</vt:lpstr>
      <vt:lpstr>Schedule-9 CapEx Gas Proxy 1</vt:lpstr>
      <vt:lpstr>Schedule-9 CapEx Gas Proxy 2</vt:lpstr>
      <vt:lpstr>Schedule-10 Reg Risk Gas Proxy</vt:lpstr>
      <vt:lpstr>Schedule-10 Reg Risk Alt Proxy</vt:lpstr>
      <vt:lpstr>Schedule-11 Cap Structure Gas P</vt:lpstr>
      <vt:lpstr>Schedule-11 Cap Structure Alt P</vt:lpstr>
      <vt:lpstr>'Schedule-10 Reg Risk Alt Proxy'!Print_Area</vt:lpstr>
      <vt:lpstr>'Schedule-10 Reg Risk Gas Proxy'!Print_Area</vt:lpstr>
      <vt:lpstr>'Schedule-11 Cap Structure Alt P'!Print_Area</vt:lpstr>
      <vt:lpstr>'Schedule-11 Cap Structure Gas P'!Print_Area</vt:lpstr>
      <vt:lpstr>'Schedule-2 Alt Proxy Selection'!Print_Area</vt:lpstr>
      <vt:lpstr>'Schedule-2 Gas Proxy Selection'!Print_Area</vt:lpstr>
      <vt:lpstr>'Schedule-3 Constant DCF 1 Alt P'!Print_Area</vt:lpstr>
      <vt:lpstr>'Schedule-3 Constant DCF 1 Gas P'!Print_Area</vt:lpstr>
      <vt:lpstr>'Schedule-4 CAPM 2'!Print_Area</vt:lpstr>
      <vt:lpstr>'Schedule-4 CAPM Alt Proxy 1'!Print_Area</vt:lpstr>
      <vt:lpstr>'Schedule-4 CAPM Gas Proxy 1'!Print_Area</vt:lpstr>
      <vt:lpstr>'Schedule-5 Risk Premium Gas P'!Print_Area</vt:lpstr>
      <vt:lpstr>'Schedule-6 Exp Earnings Alt P'!Print_Area</vt:lpstr>
      <vt:lpstr>'Schedule-6 Exp Earnings Gas P'!Print_Area</vt:lpstr>
      <vt:lpstr>'Schedule-7 Size Premium Gas P'!Print_Area</vt:lpstr>
      <vt:lpstr>'Schedule-8 Flotation Cost Gas P'!Print_Area</vt:lpstr>
      <vt:lpstr>'Schedule-9 CapEx Gas Proxy 1'!Print_Area</vt:lpstr>
      <vt:lpstr>'Schedule-9 CapEx Gas Proxy 2'!Print_Area</vt:lpstr>
      <vt:lpstr>'Schedule-10 Reg Risk Alt Proxy'!Print_Titles</vt:lpstr>
      <vt:lpstr>'Schedule-10 Reg Risk Gas Proxy'!Print_Titles</vt:lpstr>
      <vt:lpstr>'Schedule-5 Risk Premium Gas P'!Print_Titles</vt:lpstr>
      <vt:lpstr>'Schedule-9 CapEx Gas Proxy 1'!Print_Titles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nstandish</dc:creator>
  <cp:keywords/>
  <dc:description/>
  <cp:lastModifiedBy>Horn, Taylor</cp:lastModifiedBy>
  <cp:revision/>
  <cp:lastPrinted>2020-12-23T21:28:56Z</cp:lastPrinted>
  <dcterms:created xsi:type="dcterms:W3CDTF">2012-10-05T12:50:21Z</dcterms:created>
  <dcterms:modified xsi:type="dcterms:W3CDTF">2020-12-28T14:53:42Z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{2DFBD68E-B919-4C30-ACDA-48FDE1F982CF}</vt:lpwstr>
  </property>
  <property fmtid="{D5CDD505-2E9C-101B-9397-08002B2CF9AE}" pid="3" name="ContentTypeId">
    <vt:lpwstr>0x01010017F62C1BAB7D1B4998D0BFFEC59B8AD2</vt:lpwstr>
  </property>
</Properties>
</file>