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S:\Image1\FILINGS\"/>
    </mc:Choice>
  </mc:AlternateContent>
  <xr:revisionPtr revIDLastSave="0" documentId="8_{DAB710F0-EAD0-435F-97D7-806E07A98F2E}" xr6:coauthVersionLast="46" xr6:coauthVersionMax="46" xr10:uidLastSave="{00000000-0000-0000-0000-000000000000}"/>
  <bookViews>
    <workbookView xWindow="-120" yWindow="-120" windowWidth="19440" windowHeight="10440" tabRatio="862" xr2:uid="{00000000-000D-0000-FFFF-FFFF00000000}"/>
  </bookViews>
  <sheets>
    <sheet name="Cover Page" sheetId="242" r:id="rId1"/>
    <sheet name="INFO" sheetId="1" r:id="rId2"/>
    <sheet name="Fly 1" sheetId="185" r:id="rId3"/>
    <sheet name="Proj Costs (2)" sheetId="231" r:id="rId4"/>
    <sheet name="2022-2026 Projects" sheetId="192" r:id="rId5"/>
    <sheet name="OM 25 YR Alt II" sheetId="232" r:id="rId6"/>
    <sheet name="SRF 30 YR Pooled Alt II" sheetId="233" r:id="rId7"/>
    <sheet name="Prop Comb" sheetId="184" r:id="rId8"/>
    <sheet name="PF II (Forward)" sheetId="241" r:id="rId9"/>
    <sheet name="PF II Adj" sheetId="227" r:id="rId10"/>
    <sheet name="Norm" sheetId="12" r:id="rId11"/>
    <sheet name="Norm Adj" sheetId="13" r:id="rId12"/>
    <sheet name="PF Rev Req II " sheetId="68" r:id="rId13"/>
    <sheet name="PF Exp Rev Req II " sheetId="69" r:id="rId14"/>
    <sheet name="Rates I " sheetId="24" r:id="rId15"/>
    <sheet name="Rates II" sheetId="25" r:id="rId16"/>
    <sheet name="Rates III" sheetId="134" r:id="rId17"/>
    <sheet name="Fly 2" sheetId="164" r:id="rId18"/>
    <sheet name="SNP" sheetId="168" r:id="rId19"/>
    <sheet name="CNP" sheetId="169" r:id="rId20"/>
    <sheet name="SCF" sheetId="170" r:id="rId21"/>
    <sheet name="Min Bal" sheetId="226" r:id="rId22"/>
    <sheet name="Det Oper Exp" sheetId="53" r:id="rId23"/>
    <sheet name="2016A" sheetId="189" r:id="rId24"/>
    <sheet name="2016B" sheetId="190" r:id="rId25"/>
    <sheet name="2018A-1 (SRF)" sheetId="218" r:id="rId26"/>
    <sheet name="2018A-2 (SRF)" sheetId="219" r:id="rId27"/>
    <sheet name="2019 (OM)" sheetId="220" r:id="rId28"/>
    <sheet name="2020 (OM)" sheetId="217" r:id="rId29"/>
    <sheet name="2021 (Level)" sheetId="222" r:id="rId30"/>
    <sheet name="Combined" sheetId="8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</externalReferences>
  <definedNames>
    <definedName name="\a" localSheetId="29">#REF!</definedName>
    <definedName name="\a" localSheetId="4">#REF!</definedName>
    <definedName name="\a" localSheetId="21">#REF!</definedName>
    <definedName name="\a" localSheetId="9">#REF!</definedName>
    <definedName name="\a">#REF!</definedName>
    <definedName name="\CO_RATES" localSheetId="29">#REF!</definedName>
    <definedName name="\CO_RATES" localSheetId="4">#REF!</definedName>
    <definedName name="\CO_RATES" localSheetId="21">#REF!</definedName>
    <definedName name="\CO_RATES" localSheetId="9">#REF!</definedName>
    <definedName name="\CO_RATES">#REF!</definedName>
    <definedName name="\DANBASTN" localSheetId="29">#REF!</definedName>
    <definedName name="\DANBASTN" localSheetId="4">#REF!</definedName>
    <definedName name="\DANBASTN" localSheetId="21">#REF!</definedName>
    <definedName name="\DANBASTN" localSheetId="9">#REF!</definedName>
    <definedName name="\DANBASTN">#REF!</definedName>
    <definedName name="\L" localSheetId="29">#REF!</definedName>
    <definedName name="\L" localSheetId="4">#REF!</definedName>
    <definedName name="\L" localSheetId="21">#REF!</definedName>
    <definedName name="\L" localSheetId="9">#REF!</definedName>
    <definedName name="\L">#REF!</definedName>
    <definedName name="\P" localSheetId="25">'[1]Gen Info'!$C$15:$C$15</definedName>
    <definedName name="\P" localSheetId="26">'[1]Gen Info'!$C$15:$C$15</definedName>
    <definedName name="\P" localSheetId="27">'[1]Gen Info'!$C$15:$C$15</definedName>
    <definedName name="\P" localSheetId="28">'[1]Gen Info'!$C$15:$C$15</definedName>
    <definedName name="\P" localSheetId="29">'[1]Gen Info'!$C$15:$C$15</definedName>
    <definedName name="\P" localSheetId="21">'[1]Gen Info'!$C$15:$C$15</definedName>
    <definedName name="\P" localSheetId="9">'[1]Gen Info'!$C$15:$C$15</definedName>
    <definedName name="\P">'[1]Gen Info'!$C$15:$C$15</definedName>
    <definedName name="\R" localSheetId="29">#REF!</definedName>
    <definedName name="\R" localSheetId="4">#REF!</definedName>
    <definedName name="\R" localSheetId="21">#REF!</definedName>
    <definedName name="\R" localSheetId="9">#REF!</definedName>
    <definedName name="\R">#REF!</definedName>
    <definedName name="\RATES" localSheetId="29">#REF!</definedName>
    <definedName name="\RATES" localSheetId="4">#REF!</definedName>
    <definedName name="\RATES" localSheetId="21">#REF!</definedName>
    <definedName name="\RATES" localSheetId="9">#REF!</definedName>
    <definedName name="\RATES">#REF!</definedName>
    <definedName name="\RATES_ST" localSheetId="29">#REF!</definedName>
    <definedName name="\RATES_ST" localSheetId="4">#REF!</definedName>
    <definedName name="\RATES_ST" localSheetId="21">#REF!</definedName>
    <definedName name="\RATES_ST" localSheetId="9">#REF!</definedName>
    <definedName name="\RATES_ST">#REF!</definedName>
    <definedName name="\RATES1" localSheetId="29">#REF!</definedName>
    <definedName name="\RATES1" localSheetId="4">#REF!</definedName>
    <definedName name="\RATES1" localSheetId="21">#REF!</definedName>
    <definedName name="\RATES1" localSheetId="9">#REF!</definedName>
    <definedName name="\RATES1">#REF!</definedName>
    <definedName name="\RATES1A" localSheetId="29">#REF!</definedName>
    <definedName name="\RATES1A" localSheetId="4">#REF!</definedName>
    <definedName name="\RATES1A" localSheetId="21">#REF!</definedName>
    <definedName name="\RATES1A" localSheetId="9">#REF!</definedName>
    <definedName name="\RATES1A">#REF!</definedName>
    <definedName name="\ST_RATES" localSheetId="29">#REF!</definedName>
    <definedName name="\ST_RATES" localSheetId="4">#REF!</definedName>
    <definedName name="\ST_RATES" localSheetId="21">#REF!</definedName>
    <definedName name="\ST_RATES" localSheetId="9">#REF!</definedName>
    <definedName name="\ST_RATES">#REF!</definedName>
    <definedName name="\STATE" localSheetId="29">#REF!</definedName>
    <definedName name="\STATE" localSheetId="4">#REF!</definedName>
    <definedName name="\STATE" localSheetId="21">#REF!</definedName>
    <definedName name="\STATE" localSheetId="9">#REF!</definedName>
    <definedName name="\STATE">#REF!</definedName>
    <definedName name="\STATE2" localSheetId="29">#REF!</definedName>
    <definedName name="\STATE2" localSheetId="4">#REF!</definedName>
    <definedName name="\STATE2" localSheetId="21">#REF!</definedName>
    <definedName name="\STATE2" localSheetId="9">#REF!</definedName>
    <definedName name="\STATE2">#REF!</definedName>
    <definedName name="\STATE3" localSheetId="29">#REF!</definedName>
    <definedName name="\STATE3" localSheetId="4">#REF!</definedName>
    <definedName name="\STATE3" localSheetId="21">#REF!</definedName>
    <definedName name="\STATE3" localSheetId="9">#REF!</definedName>
    <definedName name="\STATE3">#REF!</definedName>
    <definedName name="________C" localSheetId="29">#REF!</definedName>
    <definedName name="________C" localSheetId="4">#REF!</definedName>
    <definedName name="________C" localSheetId="21">#REF!</definedName>
    <definedName name="________C" localSheetId="9">#REF!</definedName>
    <definedName name="________C">#REF!</definedName>
    <definedName name="_______C" localSheetId="29">#REF!</definedName>
    <definedName name="_______C" localSheetId="4">#REF!</definedName>
    <definedName name="_______C" localSheetId="21">#REF!</definedName>
    <definedName name="_______C" localSheetId="9">#REF!</definedName>
    <definedName name="_______C">#REF!</definedName>
    <definedName name="______C" localSheetId="29">#REF!</definedName>
    <definedName name="______C" localSheetId="4">#REF!</definedName>
    <definedName name="______C" localSheetId="21">#REF!</definedName>
    <definedName name="______C" localSheetId="9">#REF!</definedName>
    <definedName name="______C">#REF!</definedName>
    <definedName name="_____1_1989_BONDS">'[2]1989 Bonds'!$A$1:$N$46</definedName>
    <definedName name="_____C" localSheetId="29">#REF!</definedName>
    <definedName name="_____C" localSheetId="4">#REF!</definedName>
    <definedName name="_____C" localSheetId="21">#REF!</definedName>
    <definedName name="_____C" localSheetId="9">#REF!</definedName>
    <definedName name="_____C">#REF!</definedName>
    <definedName name="____1_1989_BONDS" localSheetId="21">'[3]1989 Bonds'!$A$1:$N$46</definedName>
    <definedName name="____1_1989_BONDS" localSheetId="9">'[3]1989 Bonds'!$A$1:$N$46</definedName>
    <definedName name="____1_1989_BONDS">'[3]1989 Bonds'!$A$1:$N$46</definedName>
    <definedName name="____10PSG_LOAN">'[2]PSG Loan'!$A$1:$L$40</definedName>
    <definedName name="____11REV_REQ">'[2]Rev Req I'!$A$1:$L$128</definedName>
    <definedName name="____2CAP_IMPR">'[2]Cap Impr'!$A$1:$J$47</definedName>
    <definedName name="____3COMP_BILLINGS">'[2]Comp Billings'!$A$1:$I$53</definedName>
    <definedName name="____4DEPR_EXP">'[2]Add Plant'!$A$1:$H$60</definedName>
    <definedName name="____7NORM_REV">'[2]Norm Rev'!$A$1:$M$110</definedName>
    <definedName name="____8PF_COE">'[2]PF COE'!$A$1:$M$604</definedName>
    <definedName name="____9PRES_PROP_RT">'[2]Pres Prop Rt'!$A$1:$M$71</definedName>
    <definedName name="____C" localSheetId="29">#REF!</definedName>
    <definedName name="____C" localSheetId="4">#REF!</definedName>
    <definedName name="____C" localSheetId="21">#REF!</definedName>
    <definedName name="____C" localSheetId="9">#REF!</definedName>
    <definedName name="____C">#REF!</definedName>
    <definedName name="____GF08" localSheetId="25" hidden="1">#REF!</definedName>
    <definedName name="____GF08" localSheetId="26" hidden="1">#REF!</definedName>
    <definedName name="____GF08" localSheetId="27" hidden="1">#REF!</definedName>
    <definedName name="____GF08" localSheetId="28" hidden="1">#REF!</definedName>
    <definedName name="____GF08" localSheetId="29" hidden="1">#REF!</definedName>
    <definedName name="____GF08" localSheetId="4" hidden="1">#REF!</definedName>
    <definedName name="____GF08" localSheetId="21" hidden="1">#REF!</definedName>
    <definedName name="____GF08" localSheetId="9" hidden="1">#REF!</definedName>
    <definedName name="____GF08" hidden="1">#REF!</definedName>
    <definedName name="___1_1989_BONDS">'[2]1989 Bonds'!$A$1:$N$46</definedName>
    <definedName name="___10PSG_LOAN">'[2]PSG Loan'!$A$1:$L$40</definedName>
    <definedName name="___11REV_REQ">'[2]Rev Req I'!$A$1:$L$128</definedName>
    <definedName name="___1993" localSheetId="29">#REF!</definedName>
    <definedName name="___1993" localSheetId="4">#REF!</definedName>
    <definedName name="___1993" localSheetId="21">#REF!</definedName>
    <definedName name="___1993" localSheetId="9">#REF!</definedName>
    <definedName name="___1993">#REF!</definedName>
    <definedName name="___2CAP_IMPR">'[2]Cap Impr'!$A$1:$J$47</definedName>
    <definedName name="___3COMP_BILLINGS">'[2]Comp Billings'!$A$1:$I$53</definedName>
    <definedName name="___4DEPR_EXP">'[2]Add Plant'!$A$1:$H$60</definedName>
    <definedName name="___5MIN_BAL" localSheetId="29">#REF!</definedName>
    <definedName name="___5MIN_BAL" localSheetId="4">#REF!</definedName>
    <definedName name="___5MIN_BAL" localSheetId="21">#REF!</definedName>
    <definedName name="___5MIN_BAL" localSheetId="9">#REF!</definedName>
    <definedName name="___5MIN_BAL">#REF!</definedName>
    <definedName name="___6MIN_BAL_EXP" localSheetId="29">#REF!</definedName>
    <definedName name="___6MIN_BAL_EXP" localSheetId="4">#REF!</definedName>
    <definedName name="___6MIN_BAL_EXP" localSheetId="21">#REF!</definedName>
    <definedName name="___6MIN_BAL_EXP" localSheetId="9">#REF!</definedName>
    <definedName name="___6MIN_BAL_EXP">#REF!</definedName>
    <definedName name="___7NORM_REV">'[2]Norm Rev'!$A$1:$M$110</definedName>
    <definedName name="___8PF_COE">'[2]PF COE'!$A$1:$M$604</definedName>
    <definedName name="___9PRES_PROP_RT">'[2]Pres Prop Rt'!$A$1:$M$71</definedName>
    <definedName name="___C" localSheetId="29">#REF!</definedName>
    <definedName name="___C" localSheetId="4">#REF!</definedName>
    <definedName name="___C" localSheetId="21">#REF!</definedName>
    <definedName name="___C" localSheetId="9">#REF!</definedName>
    <definedName name="___C">#REF!</definedName>
    <definedName name="___GF08" localSheetId="25" hidden="1">#REF!</definedName>
    <definedName name="___GF08" localSheetId="26" hidden="1">#REF!</definedName>
    <definedName name="___GF08" localSheetId="27" hidden="1">#REF!</definedName>
    <definedName name="___GF08" localSheetId="28" hidden="1">#REF!</definedName>
    <definedName name="___GF08" localSheetId="29" hidden="1">#REF!</definedName>
    <definedName name="___GF08" localSheetId="4" hidden="1">#REF!</definedName>
    <definedName name="___GF08" localSheetId="21" hidden="1">#REF!</definedName>
    <definedName name="___GF08" localSheetId="9" hidden="1">#REF!</definedName>
    <definedName name="___GF08" hidden="1">#REF!</definedName>
    <definedName name="__1_1989_BONDS">'[2]1989 Bonds'!$A$1:$N$46</definedName>
    <definedName name="__10PSG_LOAN">'[2]PSG Loan'!$A$1:$L$40</definedName>
    <definedName name="__11CAP_IMPR">'[2]Cap Impr'!$A$1:$J$47</definedName>
    <definedName name="__11REV_REQ">'[2]Rev Req I'!$A$1:$L$128</definedName>
    <definedName name="__13COMP_BILLINGS">'[2]Comp Billings'!$A$1:$I$53</definedName>
    <definedName name="__16NORM_REV">'[2]Norm Rev'!$A$1:$M$110</definedName>
    <definedName name="__17PF_COE">'[2]PF COE'!$A$1:$M$604</definedName>
    <definedName name="__18PRES_PROP_RT">'[2]Pres Prop Rt'!$A$1:$M$71</definedName>
    <definedName name="__1993" localSheetId="29">#REF!</definedName>
    <definedName name="__1993" localSheetId="4">#REF!</definedName>
    <definedName name="__1993" localSheetId="21">#REF!</definedName>
    <definedName name="__1993" localSheetId="9">#REF!</definedName>
    <definedName name="__1993">#REF!</definedName>
    <definedName name="__19DEPR_EXP">'[2]Add Plant'!$A$1:$H$60</definedName>
    <definedName name="__20PSG_LOAN">'[2]PSG Loan'!$A$1:$L$40</definedName>
    <definedName name="__24REV_REQ">'[2]Rev Req I'!$A$1:$L$128</definedName>
    <definedName name="__2CAP_IMPR">'[2]Cap Impr'!$A$1:$J$47</definedName>
    <definedName name="__31PF_COE">'[2]PF COE'!$A$1:$M$604</definedName>
    <definedName name="__32PRES_PROP_RT">'[2]Pres Prop Rt'!$A$1:$M$71</definedName>
    <definedName name="__35PSG_LOAN">'[2]PSG Loan'!$A$1:$L$40</definedName>
    <definedName name="__3COMP_BILLINGS">'[2]Comp Billings'!$A$1:$I$53</definedName>
    <definedName name="__40REV_REQ">'[2]Rev Req I'!$A$1:$L$128</definedName>
    <definedName name="__4CAP_IMPR">'[2]Cap Impr'!$A$1:$J$47</definedName>
    <definedName name="__4DEPR_EXP">'[2]Add Plant'!$A$1:$H$60</definedName>
    <definedName name="__5MIN_BAL" localSheetId="29">#REF!</definedName>
    <definedName name="__5MIN_BAL" localSheetId="4">#REF!</definedName>
    <definedName name="__5MIN_BAL" localSheetId="21">#REF!</definedName>
    <definedName name="__5MIN_BAL" localSheetId="9">#REF!</definedName>
    <definedName name="__5MIN_BAL">#REF!</definedName>
    <definedName name="__6COMP_BILLINGS">'[2]Comp Billings'!$A$1:$I$53</definedName>
    <definedName name="__6MIN_BAL_EXP" localSheetId="29">#REF!</definedName>
    <definedName name="__6MIN_BAL_EXP" localSheetId="4">#REF!</definedName>
    <definedName name="__6MIN_BAL_EXP" localSheetId="21">#REF!</definedName>
    <definedName name="__6MIN_BAL_EXP" localSheetId="9">#REF!</definedName>
    <definedName name="__6MIN_BAL_EXP">#REF!</definedName>
    <definedName name="__7NORM_REV">'[2]Norm Rev'!$A$1:$M$110</definedName>
    <definedName name="__8PF_COE">'[2]PF COE'!$A$1:$M$604</definedName>
    <definedName name="__9DEPR_EXP">'[2]Add Plant'!$A$1:$H$60</definedName>
    <definedName name="__9PRES_PROP_RT">'[2]Pres Prop Rt'!$A$1:$M$71</definedName>
    <definedName name="__bud21" localSheetId="29">#REF!</definedName>
    <definedName name="__bud21" localSheetId="4">#REF!</definedName>
    <definedName name="__bud21" localSheetId="21">#REF!</definedName>
    <definedName name="__bud21" localSheetId="9">#REF!</definedName>
    <definedName name="__bud21">#REF!</definedName>
    <definedName name="__C" localSheetId="29">#REF!</definedName>
    <definedName name="__C" localSheetId="4">#REF!</definedName>
    <definedName name="__C" localSheetId="21">#REF!</definedName>
    <definedName name="__C" localSheetId="9">#REF!</definedName>
    <definedName name="__C">#REF!</definedName>
    <definedName name="__FDS_HYPERLINK_TOGGLE_STATE__">"ON"</definedName>
    <definedName name="__IntlFixup">TRUE</definedName>
    <definedName name="_1_1989_BONDS" localSheetId="29">#REF!</definedName>
    <definedName name="_1_1989_BONDS" localSheetId="4">#REF!</definedName>
    <definedName name="_1_1989_BONDS" localSheetId="21">#REF!</definedName>
    <definedName name="_1_1989_BONDS" localSheetId="9">#REF!</definedName>
    <definedName name="_1_1989_BONDS">#REF!</definedName>
    <definedName name="_10_3_MOS_01" localSheetId="29">#REF!</definedName>
    <definedName name="_10_3_MOS_01" localSheetId="4">#REF!</definedName>
    <definedName name="_10_3_MOS_01" localSheetId="21">#REF!</definedName>
    <definedName name="_10_3_MOS_01" localSheetId="9">#REF!</definedName>
    <definedName name="_10_3_MOS_01">#REF!</definedName>
    <definedName name="_100PROM_NOTE" localSheetId="21">[3]RevReq!$X$56:$AE$79</definedName>
    <definedName name="_100PROM_NOTE" localSheetId="9">[3]RevReq!$X$56:$AE$79</definedName>
    <definedName name="_100PROM_NOTE">[3]RevReq!$X$56:$AE$79</definedName>
    <definedName name="_101FIN_INFO">'[4]Fin Info'!$A$1:$H$38</definedName>
    <definedName name="_104BUDG_EXP_I" localSheetId="29">#REF!</definedName>
    <definedName name="_104BUDG_EXP_I" localSheetId="4">#REF!</definedName>
    <definedName name="_104BUDG_EXP_I" localSheetId="21">#REF!</definedName>
    <definedName name="_104BUDG_EXP_I" localSheetId="9">#REF!</definedName>
    <definedName name="_104BUDG_EXP_I">#REF!</definedName>
    <definedName name="_104PF_COE" localSheetId="29">#REF!</definedName>
    <definedName name="_104PF_COE" localSheetId="4">#REF!</definedName>
    <definedName name="_104PF_COE" localSheetId="21">#REF!</definedName>
    <definedName name="_104PF_COE" localSheetId="9">#REF!</definedName>
    <definedName name="_104PF_COE">#REF!</definedName>
    <definedName name="_107PSG_LOAN" localSheetId="29">#REF!</definedName>
    <definedName name="_107PSG_LOAN" localSheetId="4">#REF!</definedName>
    <definedName name="_107PSG_LOAN" localSheetId="21">#REF!</definedName>
    <definedName name="_107PSG_LOAN" localSheetId="9">#REF!</definedName>
    <definedName name="_107PSG_LOAN">#REF!</definedName>
    <definedName name="_108RATE_BREAKDOWN" localSheetId="29">#REF!</definedName>
    <definedName name="_108RATE_BREAKDOWN" localSheetId="4">#REF!</definedName>
    <definedName name="_108RATE_BREAKDOWN" localSheetId="21">#REF!</definedName>
    <definedName name="_108RATE_BREAKDOWN" localSheetId="9">#REF!</definedName>
    <definedName name="_108RATE_BREAKDOWN">#REF!</definedName>
    <definedName name="_109RATE_COMP" localSheetId="21">'[5]Rate Comp'!$C$1:$M$39</definedName>
    <definedName name="_109RATE_COMP" localSheetId="9">'[5]Rate Comp'!$C$1:$M$39</definedName>
    <definedName name="_109RATE_COMP">'[5]Rate Comp'!$C$1:$M$39</definedName>
    <definedName name="_10ADD_PLANT" localSheetId="29">#REF!</definedName>
    <definedName name="_10ADD_PLANT" localSheetId="4">#REF!</definedName>
    <definedName name="_10ADD_PLANT" localSheetId="21">#REF!</definedName>
    <definedName name="_10ADD_PLANT" localSheetId="9">#REF!</definedName>
    <definedName name="_10ADD_PLANT">#REF!</definedName>
    <definedName name="_10ALLOC_EXP" localSheetId="29">#REF!</definedName>
    <definedName name="_10ALLOC_EXP" localSheetId="4">#REF!</definedName>
    <definedName name="_10ALLOC_EXP" localSheetId="21">#REF!</definedName>
    <definedName name="_10ALLOC_EXP" localSheetId="9">#REF!</definedName>
    <definedName name="_10ALLOC_EXP">#REF!</definedName>
    <definedName name="_10AMOR_1994" localSheetId="29">#REF!</definedName>
    <definedName name="_10AMOR_1994" localSheetId="4">#REF!</definedName>
    <definedName name="_10AMOR_1994" localSheetId="21">#REF!</definedName>
    <definedName name="_10AMOR_1994" localSheetId="9">#REF!</definedName>
    <definedName name="_10AMOR_1994">#REF!</definedName>
    <definedName name="_10AMOR_1998" localSheetId="29">#REF!</definedName>
    <definedName name="_10AMOR_1998" localSheetId="4">#REF!</definedName>
    <definedName name="_10AMOR_1998" localSheetId="21">#REF!</definedName>
    <definedName name="_10AMOR_1998" localSheetId="9">#REF!</definedName>
    <definedName name="_10AMOR_1998">#REF!</definedName>
    <definedName name="_10BILLS_PU" localSheetId="29">#REF!</definedName>
    <definedName name="_10BILLS_PU" localSheetId="4">#REF!</definedName>
    <definedName name="_10BILLS_PU" localSheetId="21">#REF!</definedName>
    <definedName name="_10BILLS_PU" localSheetId="9">#REF!</definedName>
    <definedName name="_10BILLS_PU">#REF!</definedName>
    <definedName name="_10DEPR_EXP">'[2]Add Plant'!$A$1:$H$60</definedName>
    <definedName name="_10DET_OP_EXP" localSheetId="29">#REF!</definedName>
    <definedName name="_10DET_OP_EXP" localSheetId="4">#REF!</definedName>
    <definedName name="_10DET_OP_EXP" localSheetId="21">#REF!</definedName>
    <definedName name="_10DET_OP_EXP" localSheetId="9">#REF!</definedName>
    <definedName name="_10DET_OP_EXP">#REF!</definedName>
    <definedName name="_10EXHIBIT_B" localSheetId="29">#REF!</definedName>
    <definedName name="_10EXHIBIT_B" localSheetId="4">#REF!</definedName>
    <definedName name="_10EXHIBIT_B" localSheetId="21">#REF!</definedName>
    <definedName name="_10EXHIBIT_B" localSheetId="9">#REF!</definedName>
    <definedName name="_10EXHIBIT_B">#REF!</definedName>
    <definedName name="_10MIN_BAL_EXP" localSheetId="29">#REF!</definedName>
    <definedName name="_10MIN_BAL_EXP" localSheetId="4">#REF!</definedName>
    <definedName name="_10MIN_BAL_EXP" localSheetId="21">#REF!</definedName>
    <definedName name="_10MIN_BAL_EXP" localSheetId="9">#REF!</definedName>
    <definedName name="_10MIN_BAL_EXP">#REF!</definedName>
    <definedName name="_10NORM_REV">'[6]Norm Rev'!$A$1:$M$110</definedName>
    <definedName name="_10PRES_PROP_RT">'[6]Pres Prop Rt'!$A$1:$M$71</definedName>
    <definedName name="_10PSG_LOAN" localSheetId="29">#REF!</definedName>
    <definedName name="_10PSG_LOAN" localSheetId="4">#REF!</definedName>
    <definedName name="_10PSG_LOAN" localSheetId="21">#REF!</definedName>
    <definedName name="_10PSG_LOAN" localSheetId="9">#REF!</definedName>
    <definedName name="_10PSG_LOAN">#REF!</definedName>
    <definedName name="_110BUDG_EXP_II" localSheetId="29">#REF!</definedName>
    <definedName name="_110BUDG_EXP_II" localSheetId="4">#REF!</definedName>
    <definedName name="_110BUDG_EXP_II" localSheetId="21">#REF!</definedName>
    <definedName name="_110BUDG_EXP_II" localSheetId="9">#REF!</definedName>
    <definedName name="_110BUDG_EXP_II">#REF!</definedName>
    <definedName name="_110PRES_PROP_RT" localSheetId="29">#REF!</definedName>
    <definedName name="_110PRES_PROP_RT" localSheetId="4">#REF!</definedName>
    <definedName name="_110PRES_PROP_RT" localSheetId="21">#REF!</definedName>
    <definedName name="_110PRES_PROP_RT" localSheetId="9">#REF!</definedName>
    <definedName name="_110PRES_PROP_RT">#REF!</definedName>
    <definedName name="_110RATES_PU" localSheetId="29">#REF!</definedName>
    <definedName name="_110RATES_PU" localSheetId="4">#REF!</definedName>
    <definedName name="_110RATES_PU" localSheetId="21">#REF!</definedName>
    <definedName name="_110RATES_PU" localSheetId="9">#REF!</definedName>
    <definedName name="_110RATES_PU">#REF!</definedName>
    <definedName name="_111RATES_WL" localSheetId="29">#REF!</definedName>
    <definedName name="_111RATES_WL" localSheetId="4">#REF!</definedName>
    <definedName name="_111RATES_WL" localSheetId="21">#REF!</definedName>
    <definedName name="_111RATES_WL" localSheetId="9">#REF!</definedName>
    <definedName name="_111RATES_WL">#REF!</definedName>
    <definedName name="_112REC_AND_DIS" localSheetId="21">[5]Disb!$A$1:$I$46</definedName>
    <definedName name="_112REC_AND_DIS" localSheetId="9">[5]Disb!$A$1:$I$46</definedName>
    <definedName name="_112REC_AND_DIS">[5]Disb!$A$1:$I$46</definedName>
    <definedName name="_113PRO_CF" localSheetId="29">#REF!</definedName>
    <definedName name="_113PRO_CF" localSheetId="4">#REF!</definedName>
    <definedName name="_113PRO_CF" localSheetId="21">#REF!</definedName>
    <definedName name="_113PRO_CF" localSheetId="9">#REF!</definedName>
    <definedName name="_113PRO_CF">#REF!</definedName>
    <definedName name="_113REC_AND_DISB" localSheetId="21">'[3]Rec and Disb'!$A$1:$K$96</definedName>
    <definedName name="_113REC_AND_DISB" localSheetId="9">'[3]Rec and Disb'!$A$1:$K$96</definedName>
    <definedName name="_113REC_AND_DISB">'[3]Rec and Disb'!$A$1:$K$96</definedName>
    <definedName name="_114PRO_OP_EXP" localSheetId="29">#REF!</definedName>
    <definedName name="_114PRO_OP_EXP" localSheetId="4">#REF!</definedName>
    <definedName name="_114PRO_OP_EXP" localSheetId="21">#REF!</definedName>
    <definedName name="_114PRO_OP_EXP" localSheetId="9">#REF!</definedName>
    <definedName name="_114PRO_OP_EXP">#REF!</definedName>
    <definedName name="_114REC_DIS" localSheetId="29">#REF!</definedName>
    <definedName name="_114REC_DIS" localSheetId="4">#REF!</definedName>
    <definedName name="_114REC_DIS" localSheetId="21">#REF!</definedName>
    <definedName name="_114REC_DIS" localSheetId="9">#REF!</definedName>
    <definedName name="_114REC_DIS">#REF!</definedName>
    <definedName name="_115PROJECTED_DISB." localSheetId="21">'[7]Projected Disb.'!$A$1:$I$41</definedName>
    <definedName name="_115PROJECTED_DISB." localSheetId="9">'[7]Projected Disb.'!$A$1:$I$41</definedName>
    <definedName name="_115PROJECTED_DISB.">'[7]Projected Disb.'!$A$1:$I$41</definedName>
    <definedName name="_115REV_AVAIL" localSheetId="29">#REF!</definedName>
    <definedName name="_115REV_AVAIL" localSheetId="4">#REF!</definedName>
    <definedName name="_115REV_AVAIL" localSheetId="21">#REF!</definedName>
    <definedName name="_115REV_AVAIL" localSheetId="9">#REF!</definedName>
    <definedName name="_115REV_AVAIL">#REF!</definedName>
    <definedName name="_116BUDGET_BILLING" localSheetId="29">#REF!</definedName>
    <definedName name="_116BUDGET_BILLING" localSheetId="4">#REF!</definedName>
    <definedName name="_116BUDGET_BILLING" localSheetId="21">#REF!</definedName>
    <definedName name="_116BUDGET_BILLING" localSheetId="9">#REF!</definedName>
    <definedName name="_116BUDGET_BILLING">#REF!</definedName>
    <definedName name="_116PROM_NOTE" localSheetId="21">[7]RevReq!$X$56:$AE$79</definedName>
    <definedName name="_116PROM_NOTE" localSheetId="9">[7]RevReq!$X$56:$AE$79</definedName>
    <definedName name="_116PROM_NOTE">[7]RevReq!$X$56:$AE$79</definedName>
    <definedName name="_11ALLOC_EXP" localSheetId="29">#REF!</definedName>
    <definedName name="_11ALLOC_EXP" localSheetId="4">#REF!</definedName>
    <definedName name="_11ALLOC_EXP" localSheetId="21">#REF!</definedName>
    <definedName name="_11ALLOC_EXP" localSheetId="9">#REF!</definedName>
    <definedName name="_11ALLOC_EXP">#REF!</definedName>
    <definedName name="_11ALLOC_WL_PU" localSheetId="29">#REF!</definedName>
    <definedName name="_11ALLOC_WL_PU" localSheetId="4">#REF!</definedName>
    <definedName name="_11ALLOC_WL_PU" localSheetId="21">#REF!</definedName>
    <definedName name="_11ALLOC_WL_PU" localSheetId="9">#REF!</definedName>
    <definedName name="_11ALLOC_WL_PU">#REF!</definedName>
    <definedName name="_11AMOR_1998" localSheetId="29">#REF!</definedName>
    <definedName name="_11AMOR_1998" localSheetId="4">#REF!</definedName>
    <definedName name="_11AMOR_1998" localSheetId="21">#REF!</definedName>
    <definedName name="_11AMOR_1998" localSheetId="9">#REF!</definedName>
    <definedName name="_11AMOR_1998">#REF!</definedName>
    <definedName name="_11BILLS_PU" localSheetId="29">#REF!</definedName>
    <definedName name="_11BILLS_PU" localSheetId="4">#REF!</definedName>
    <definedName name="_11BILLS_PU" localSheetId="21">#REF!</definedName>
    <definedName name="_11BILLS_PU" localSheetId="9">#REF!</definedName>
    <definedName name="_11BILLS_PU">#REF!</definedName>
    <definedName name="_11BUDGET_BILLING" localSheetId="29">#REF!</definedName>
    <definedName name="_11BUDGET_BILLING" localSheetId="4">#REF!</definedName>
    <definedName name="_11BUDGET_BILLING" localSheetId="21">#REF!</definedName>
    <definedName name="_11BUDGET_BILLING" localSheetId="9">#REF!</definedName>
    <definedName name="_11BUDGET_BILLING">#REF!</definedName>
    <definedName name="_11EXHIBIT_B_1" localSheetId="29">#REF!</definedName>
    <definedName name="_11EXHIBIT_B_1" localSheetId="4">#REF!</definedName>
    <definedName name="_11EXHIBIT_B_1" localSheetId="21">#REF!</definedName>
    <definedName name="_11EXHIBIT_B_1" localSheetId="9">#REF!</definedName>
    <definedName name="_11EXHIBIT_B_1">#REF!</definedName>
    <definedName name="_11LARGE_EMPLOYERS" localSheetId="29">#REF!</definedName>
    <definedName name="_11LARGE_EMPLOYERS" localSheetId="4">#REF!</definedName>
    <definedName name="_11LARGE_EMPLOYERS" localSheetId="21">#REF!</definedName>
    <definedName name="_11LARGE_EMPLOYERS" localSheetId="9">#REF!</definedName>
    <definedName name="_11LARGE_EMPLOYERS">#REF!</definedName>
    <definedName name="_11MIN_BAL">'[8]Min Bal'!$A$1:$M$53</definedName>
    <definedName name="_11NORM_REV" localSheetId="21">'[3]Norm Rev'!$A$1:$M$110</definedName>
    <definedName name="_11NORM_REV" localSheetId="9">'[3]Norm Rev'!$A$1:$M$110</definedName>
    <definedName name="_11NORM_REV">'[3]Norm Rev'!$A$1:$M$110</definedName>
    <definedName name="_11PF_COE">'[6]PF COE'!$A$1:$M$604</definedName>
    <definedName name="_11PROJECTED_DISB.">'[9]Projected Disb.'!$A$1:$I$41</definedName>
    <definedName name="_11RATE_BREAKDOWN" localSheetId="29">#REF!</definedName>
    <definedName name="_11RATE_BREAKDOWN" localSheetId="4">#REF!</definedName>
    <definedName name="_11RATE_BREAKDOWN" localSheetId="21">#REF!</definedName>
    <definedName name="_11RATE_BREAKDOWN" localSheetId="9">#REF!</definedName>
    <definedName name="_11RATE_BREAKDOWN">#REF!</definedName>
    <definedName name="_11REV_REQ" localSheetId="29">#REF!</definedName>
    <definedName name="_11REV_REQ" localSheetId="4">#REF!</definedName>
    <definedName name="_11REV_REQ" localSheetId="21">#REF!</definedName>
    <definedName name="_11REV_REQ" localSheetId="9">#REF!</definedName>
    <definedName name="_11REV_REQ">#REF!</definedName>
    <definedName name="_12_1993_BONDS" localSheetId="29">#REF!</definedName>
    <definedName name="_12_1993_BONDS" localSheetId="4">#REF!</definedName>
    <definedName name="_12_1993_BONDS" localSheetId="21">#REF!</definedName>
    <definedName name="_12_1993_BONDS" localSheetId="9">#REF!</definedName>
    <definedName name="_12_1993_BONDS">#REF!</definedName>
    <definedName name="_122BUDGET_COMB" localSheetId="29">#REF!</definedName>
    <definedName name="_122BUDGET_COMB" localSheetId="4">#REF!</definedName>
    <definedName name="_122BUDGET_COMB" localSheetId="21">#REF!</definedName>
    <definedName name="_122BUDGET_COMB" localSheetId="9">#REF!</definedName>
    <definedName name="_122BUDGET_COMB">#REF!</definedName>
    <definedName name="_122PSG_LOAN" localSheetId="29">#REF!</definedName>
    <definedName name="_122PSG_LOAN" localSheetId="4">#REF!</definedName>
    <definedName name="_122PSG_LOAN" localSheetId="21">#REF!</definedName>
    <definedName name="_122PSG_LOAN" localSheetId="9">#REF!</definedName>
    <definedName name="_122PSG_LOAN">#REF!</definedName>
    <definedName name="_122REV_REQ" localSheetId="29">#REF!</definedName>
    <definedName name="_122REV_REQ" localSheetId="4">#REF!</definedName>
    <definedName name="_122REV_REQ" localSheetId="21">#REF!</definedName>
    <definedName name="_122REV_REQ" localSheetId="9">#REF!</definedName>
    <definedName name="_122REV_REQ">#REF!</definedName>
    <definedName name="_123RATE_BREAKDOWN" localSheetId="29">#REF!</definedName>
    <definedName name="_123RATE_BREAKDOWN" localSheetId="4">#REF!</definedName>
    <definedName name="_123RATE_BREAKDOWN" localSheetId="21">#REF!</definedName>
    <definedName name="_123RATE_BREAKDOWN" localSheetId="9">#REF!</definedName>
    <definedName name="_123RATE_BREAKDOWN">#REF!</definedName>
    <definedName name="_123TAX_RATE" localSheetId="29">#REF!</definedName>
    <definedName name="_123TAX_RATE" localSheetId="4">#REF!</definedName>
    <definedName name="_123TAX_RATE" localSheetId="21">#REF!</definedName>
    <definedName name="_123TAX_RATE" localSheetId="9">#REF!</definedName>
    <definedName name="_123TAX_RATE">#REF!</definedName>
    <definedName name="_124RATE_COMP" localSheetId="21">'[5]Rate Comp'!$C$1:$M$39</definedName>
    <definedName name="_124RATE_COMP" localSheetId="9">'[5]Rate Comp'!$C$1:$M$39</definedName>
    <definedName name="_124RATE_COMP">'[5]Rate Comp'!$C$1:$M$39</definedName>
    <definedName name="_124TIF_9TH_ST" localSheetId="29">#REF!</definedName>
    <definedName name="_124TIF_9TH_ST" localSheetId="4">#REF!</definedName>
    <definedName name="_124TIF_9TH_ST" localSheetId="21">#REF!</definedName>
    <definedName name="_124TIF_9TH_ST" localSheetId="9">#REF!</definedName>
    <definedName name="_124TIF_9TH_ST">#REF!</definedName>
    <definedName name="_125NORM_REV">'[2]Norm Rev'!$A$1:$M$110</definedName>
    <definedName name="_125RATES_PU" localSheetId="29">#REF!</definedName>
    <definedName name="_125RATES_PU" localSheetId="4">#REF!</definedName>
    <definedName name="_125RATES_PU" localSheetId="21">#REF!</definedName>
    <definedName name="_125RATES_PU" localSheetId="9">#REF!</definedName>
    <definedName name="_125RATES_PU">#REF!</definedName>
    <definedName name="_125TIF_BRADY" localSheetId="29">#REF!</definedName>
    <definedName name="_125TIF_BRADY" localSheetId="4">#REF!</definedName>
    <definedName name="_125TIF_BRADY" localSheetId="21">#REF!</definedName>
    <definedName name="_125TIF_BRADY" localSheetId="9">#REF!</definedName>
    <definedName name="_125TIF_BRADY">#REF!</definedName>
    <definedName name="_126PF_COE">'[2]PF COE'!$A$1:$M$604</definedName>
    <definedName name="_126RATES_WL" localSheetId="29">#REF!</definedName>
    <definedName name="_126RATES_WL" localSheetId="4">#REF!</definedName>
    <definedName name="_126RATES_WL" localSheetId="21">#REF!</definedName>
    <definedName name="_126RATES_WL" localSheetId="9">#REF!</definedName>
    <definedName name="_126RATES_WL">#REF!</definedName>
    <definedName name="_126TIF_HISTORY" localSheetId="29">#REF!</definedName>
    <definedName name="_126TIF_HISTORY" localSheetId="4">#REF!</definedName>
    <definedName name="_126TIF_HISTORY" localSheetId="21">#REF!</definedName>
    <definedName name="_126TIF_HISTORY" localSheetId="9">#REF!</definedName>
    <definedName name="_126TIF_HISTORY">#REF!</definedName>
    <definedName name="_127PRES_PROP_RT">'[2]Pres Prop Rt'!$A$1:$M$71</definedName>
    <definedName name="_127REC_AND_DIS" localSheetId="21">[5]Disb!$A$1:$I$46</definedName>
    <definedName name="_127REC_AND_DIS" localSheetId="9">[5]Disb!$A$1:$I$46</definedName>
    <definedName name="_127REC_AND_DIS">[5]Disb!$A$1:$I$46</definedName>
    <definedName name="_127TIF_TREECE" localSheetId="29">#REF!</definedName>
    <definedName name="_127TIF_TREECE" localSheetId="4">#REF!</definedName>
    <definedName name="_127TIF_TREECE" localSheetId="21">#REF!</definedName>
    <definedName name="_127TIF_TREECE" localSheetId="9">#REF!</definedName>
    <definedName name="_127TIF_TREECE">#REF!</definedName>
    <definedName name="_128BUDGET_WWTP" localSheetId="29">#REF!</definedName>
    <definedName name="_128BUDGET_WWTP" localSheetId="4">#REF!</definedName>
    <definedName name="_128BUDGET_WWTP" localSheetId="21">#REF!</definedName>
    <definedName name="_128BUDGET_WWTP" localSheetId="9">#REF!</definedName>
    <definedName name="_128BUDGET_WWTP">#REF!</definedName>
    <definedName name="_128REC_AND_DISB" localSheetId="21">'[7]Rec and Disb'!$A$1:$K$96</definedName>
    <definedName name="_128REC_AND_DISB" localSheetId="9">'[7]Rec and Disb'!$A$1:$K$96</definedName>
    <definedName name="_128REC_AND_DISB">'[7]Rec and Disb'!$A$1:$K$96</definedName>
    <definedName name="_128TY_WTB" localSheetId="29">#REF!</definedName>
    <definedName name="_128TY_WTB" localSheetId="4">#REF!</definedName>
    <definedName name="_128TY_WTB" localSheetId="21">#REF!</definedName>
    <definedName name="_128TY_WTB" localSheetId="9">#REF!</definedName>
    <definedName name="_128TY_WTB">#REF!</definedName>
    <definedName name="_129REC_DIS" localSheetId="29">#REF!</definedName>
    <definedName name="_129REC_DIS" localSheetId="4">#REF!</definedName>
    <definedName name="_129REC_DIS" localSheetId="21">#REF!</definedName>
    <definedName name="_129REC_DIS" localSheetId="9">#REF!</definedName>
    <definedName name="_129REC_DIS">#REF!</definedName>
    <definedName name="_129USER_CONNECT" localSheetId="29">#REF!</definedName>
    <definedName name="_129USER_CONNECT" localSheetId="4">#REF!</definedName>
    <definedName name="_129USER_CONNECT" localSheetId="21">#REF!</definedName>
    <definedName name="_129USER_CONNECT" localSheetId="9">#REF!</definedName>
    <definedName name="_129USER_CONNECT">#REF!</definedName>
    <definedName name="_12ALLOC_EXP" localSheetId="29">#REF!</definedName>
    <definedName name="_12ALLOC_EXP" localSheetId="4">#REF!</definedName>
    <definedName name="_12ALLOC_EXP" localSheetId="21">#REF!</definedName>
    <definedName name="_12ALLOC_EXP" localSheetId="9">#REF!</definedName>
    <definedName name="_12ALLOC_EXP">#REF!</definedName>
    <definedName name="_12ALLOC_WL_PU" localSheetId="29">#REF!</definedName>
    <definedName name="_12ALLOC_WL_PU" localSheetId="4">#REF!</definedName>
    <definedName name="_12ALLOC_WL_PU" localSheetId="21">#REF!</definedName>
    <definedName name="_12ALLOC_WL_PU" localSheetId="9">#REF!</definedName>
    <definedName name="_12ALLOC_WL_PU">#REF!</definedName>
    <definedName name="_12AMOR_1994" localSheetId="29">#REF!</definedName>
    <definedName name="_12AMOR_1994" localSheetId="4">#REF!</definedName>
    <definedName name="_12AMOR_1994" localSheetId="21">#REF!</definedName>
    <definedName name="_12AMOR_1994" localSheetId="9">#REF!</definedName>
    <definedName name="_12AMOR_1994">#REF!</definedName>
    <definedName name="_12BILLS_PU" localSheetId="29">#REF!</definedName>
    <definedName name="_12BILLS_PU" localSheetId="4">#REF!</definedName>
    <definedName name="_12BILLS_PU" localSheetId="21">#REF!</definedName>
    <definedName name="_12BILLS_PU" localSheetId="9">#REF!</definedName>
    <definedName name="_12BILLS_PU">#REF!</definedName>
    <definedName name="_12BUDG_DET" localSheetId="29">#REF!</definedName>
    <definedName name="_12BUDG_DET" localSheetId="4">#REF!</definedName>
    <definedName name="_12BUDG_DET" localSheetId="21">#REF!</definedName>
    <definedName name="_12BUDG_DET" localSheetId="9">#REF!</definedName>
    <definedName name="_12BUDG_DET">#REF!</definedName>
    <definedName name="_12BUDGET_BILLING" localSheetId="29">#REF!</definedName>
    <definedName name="_12BUDGET_BILLING" localSheetId="4">#REF!</definedName>
    <definedName name="_12BUDGET_BILLING" localSheetId="21">#REF!</definedName>
    <definedName name="_12BUDGET_BILLING" localSheetId="9">#REF!</definedName>
    <definedName name="_12BUDGET_BILLING">#REF!</definedName>
    <definedName name="_12BUDGET_COMB" localSheetId="29">#REF!</definedName>
    <definedName name="_12BUDGET_COMB" localSheetId="4">#REF!</definedName>
    <definedName name="_12BUDGET_COMB" localSheetId="21">#REF!</definedName>
    <definedName name="_12BUDGET_COMB" localSheetId="9">#REF!</definedName>
    <definedName name="_12BUDGET_COMB">#REF!</definedName>
    <definedName name="_12COMP_BILLINGS" localSheetId="21">'[3]Comp Billings'!$A$1:$I$53</definedName>
    <definedName name="_12COMP_BILLINGS" localSheetId="9">'[3]Comp Billings'!$A$1:$I$53</definedName>
    <definedName name="_12COMP_BILLINGS">'[3]Comp Billings'!$A$1:$I$53</definedName>
    <definedName name="_12EXHIBIT_B_2" localSheetId="29">#REF!</definedName>
    <definedName name="_12EXHIBIT_B_2" localSheetId="4">#REF!</definedName>
    <definedName name="_12EXHIBIT_B_2" localSheetId="21">#REF!</definedName>
    <definedName name="_12EXHIBIT_B_2" localSheetId="9">#REF!</definedName>
    <definedName name="_12EXHIBIT_B_2">#REF!</definedName>
    <definedName name="_12LU_WKSHT" localSheetId="29">#REF!</definedName>
    <definedName name="_12LU_WKSHT" localSheetId="4">#REF!</definedName>
    <definedName name="_12LU_WKSHT" localSheetId="21">#REF!</definedName>
    <definedName name="_12LU_WKSHT" localSheetId="9">#REF!</definedName>
    <definedName name="_12LU_WKSHT">#REF!</definedName>
    <definedName name="_12NORM_REV">'[10]Norm Rev'!$A$1:$M$110</definedName>
    <definedName name="_12PF_COE" localSheetId="21">'[3]PF COE'!$A$1:$M$604</definedName>
    <definedName name="_12PF_COE" localSheetId="9">'[3]PF COE'!$A$1:$M$604</definedName>
    <definedName name="_12PF_COE">'[3]PF COE'!$A$1:$M$604</definedName>
    <definedName name="_12PRES_PROP_RT">'[6]Pres Prop Rt'!$A$1:$M$71</definedName>
    <definedName name="_12PROM_NOTE">[9]RevReq!$X$56:$AE$80</definedName>
    <definedName name="_12RATES_PU" localSheetId="29">#REF!</definedName>
    <definedName name="_12RATES_PU" localSheetId="4">#REF!</definedName>
    <definedName name="_12RATES_PU" localSheetId="21">#REF!</definedName>
    <definedName name="_12RATES_PU" localSheetId="9">#REF!</definedName>
    <definedName name="_12RATES_PU">#REF!</definedName>
    <definedName name="_13_1996_BONDS" localSheetId="29">#REF!</definedName>
    <definedName name="_13_1996_BONDS" localSheetId="4">#REF!</definedName>
    <definedName name="_13_1996_BONDS" localSheetId="21">#REF!</definedName>
    <definedName name="_13_1996_BONDS" localSheetId="9">#REF!</definedName>
    <definedName name="_13_1996_BONDS">#REF!</definedName>
    <definedName name="_130REV_AVAIL" localSheetId="29">#REF!</definedName>
    <definedName name="_130REV_AVAIL" localSheetId="4">#REF!</definedName>
    <definedName name="_130REV_AVAIL" localSheetId="21">#REF!</definedName>
    <definedName name="_130REV_AVAIL" localSheetId="9">#REF!</definedName>
    <definedName name="_130REV_AVAIL">#REF!</definedName>
    <definedName name="_134CALC_NORM_REV" localSheetId="29">#REF!</definedName>
    <definedName name="_134CALC_NORM_REV" localSheetId="4">#REF!</definedName>
    <definedName name="_134CALC_NORM_REV" localSheetId="21">#REF!</definedName>
    <definedName name="_134CALC_NORM_REV" localSheetId="9">#REF!</definedName>
    <definedName name="_134CALC_NORM_REV">#REF!</definedName>
    <definedName name="_134PROJECTED_DISB.">'[4]Projected Disb.'!$A$1:$I$41</definedName>
    <definedName name="_136PROM_NOTE">[4]RevReq!$X$56:$AE$79</definedName>
    <definedName name="_136REV_REQ" localSheetId="21">'[1]Rev Req I'!$A$1:$M$127</definedName>
    <definedName name="_136REV_REQ" localSheetId="9">'[1]Rev Req I'!$A$1:$M$127</definedName>
    <definedName name="_136REV_REQ">'[1]Rev Req I'!$A$1:$M$127</definedName>
    <definedName name="_137PSG_LOAN">'[2]PSG Loan'!$A$1:$L$40</definedName>
    <definedName name="_137SEL_OTHER_NFI" localSheetId="29">#REF!</definedName>
    <definedName name="_137SEL_OTHER_NFI" localSheetId="4">#REF!</definedName>
    <definedName name="_137SEL_OTHER_NFI" localSheetId="21">#REF!</definedName>
    <definedName name="_137SEL_OTHER_NFI" localSheetId="9">#REF!</definedName>
    <definedName name="_137SEL_OTHER_NFI">#REF!</definedName>
    <definedName name="_138SEWER_LAND" localSheetId="29">#REF!</definedName>
    <definedName name="_138SEWER_LAND" localSheetId="4">#REF!</definedName>
    <definedName name="_138SEWER_LAND" localSheetId="21">#REF!</definedName>
    <definedName name="_138SEWER_LAND" localSheetId="9">#REF!</definedName>
    <definedName name="_138SEWER_LAND">#REF!</definedName>
    <definedName name="_139SRF_DISB" localSheetId="29">#REF!</definedName>
    <definedName name="_139SRF_DISB" localSheetId="4">#REF!</definedName>
    <definedName name="_139SRF_DISB" localSheetId="21">#REF!</definedName>
    <definedName name="_139SRF_DISB" localSheetId="9">#REF!</definedName>
    <definedName name="_139SRF_DISB">#REF!</definedName>
    <definedName name="_13AMOR_1994" localSheetId="29">#REF!</definedName>
    <definedName name="_13AMOR_1994" localSheetId="4">#REF!</definedName>
    <definedName name="_13AMOR_1994" localSheetId="21">#REF!</definedName>
    <definedName name="_13AMOR_1994" localSheetId="9">#REF!</definedName>
    <definedName name="_13AMOR_1994">#REF!</definedName>
    <definedName name="_13AMOR_1998" localSheetId="29">#REF!</definedName>
    <definedName name="_13AMOR_1998" localSheetId="4">#REF!</definedName>
    <definedName name="_13AMOR_1998" localSheetId="21">#REF!</definedName>
    <definedName name="_13AMOR_1998" localSheetId="9">#REF!</definedName>
    <definedName name="_13AMOR_1998">#REF!</definedName>
    <definedName name="_13BUDG_DET" localSheetId="29">#REF!</definedName>
    <definedName name="_13BUDG_DET" localSheetId="4">#REF!</definedName>
    <definedName name="_13BUDG_DET" localSheetId="21">#REF!</definedName>
    <definedName name="_13BUDG_DET" localSheetId="9">#REF!</definedName>
    <definedName name="_13BUDG_DET">#REF!</definedName>
    <definedName name="_13BUDGET_COMB" localSheetId="29">#REF!</definedName>
    <definedName name="_13BUDGET_COMB" localSheetId="4">#REF!</definedName>
    <definedName name="_13BUDGET_COMB" localSheetId="21">#REF!</definedName>
    <definedName name="_13BUDGET_COMB" localSheetId="9">#REF!</definedName>
    <definedName name="_13BUDGET_COMB">#REF!</definedName>
    <definedName name="_13BUDGET_WWTP" localSheetId="29">#REF!</definedName>
    <definedName name="_13BUDGET_WWTP" localSheetId="4">#REF!</definedName>
    <definedName name="_13BUDGET_WWTP" localSheetId="21">#REF!</definedName>
    <definedName name="_13BUDGET_WWTP" localSheetId="9">#REF!</definedName>
    <definedName name="_13BUDGET_WWTP">#REF!</definedName>
    <definedName name="_13CALC_NORM_REV" localSheetId="29">#REF!</definedName>
    <definedName name="_13CALC_NORM_REV" localSheetId="4">#REF!</definedName>
    <definedName name="_13CALC_NORM_REV" localSheetId="21">#REF!</definedName>
    <definedName name="_13CALC_NORM_REV" localSheetId="9">#REF!</definedName>
    <definedName name="_13CALC_NORM_REV">#REF!</definedName>
    <definedName name="_13EXHIBIT_B_3" localSheetId="29">#REF!</definedName>
    <definedName name="_13EXHIBIT_B_3" localSheetId="4">#REF!</definedName>
    <definedName name="_13EXHIBIT_B_3" localSheetId="21">#REF!</definedName>
    <definedName name="_13EXHIBIT_B_3" localSheetId="9">#REF!</definedName>
    <definedName name="_13EXHIBIT_B_3">#REF!</definedName>
    <definedName name="_13MIN_BAL" localSheetId="29">#REF!</definedName>
    <definedName name="_13MIN_BAL" localSheetId="4">#REF!</definedName>
    <definedName name="_13MIN_BAL" localSheetId="21">#REF!</definedName>
    <definedName name="_13MIN_BAL" localSheetId="9">#REF!</definedName>
    <definedName name="_13MIN_BAL">#REF!</definedName>
    <definedName name="_13PRES_PROP_RT" localSheetId="21">'[3]Pres Prop Rt'!$A$1:$M$71</definedName>
    <definedName name="_13PRES_PROP_RT" localSheetId="9">'[3]Pres Prop Rt'!$A$1:$M$71</definedName>
    <definedName name="_13PRES_PROP_RT">'[3]Pres Prop Rt'!$A$1:$M$71</definedName>
    <definedName name="_13PROJECTED_DISB.">'[9]Projected Disb.'!$A$1:$I$41</definedName>
    <definedName name="_13PSG_LOAN">'[6]PSG Loan'!$A$1:$L$40</definedName>
    <definedName name="_13RATES_WL" localSheetId="29">#REF!</definedName>
    <definedName name="_13RATES_WL" localSheetId="4">#REF!</definedName>
    <definedName name="_13RATES_WL" localSheetId="21">#REF!</definedName>
    <definedName name="_13RATES_WL" localSheetId="9">#REF!</definedName>
    <definedName name="_13RATES_WL">#REF!</definedName>
    <definedName name="_14_1993_BONDS" localSheetId="29">#REF!</definedName>
    <definedName name="_14_1993_BONDS" localSheetId="4">#REF!</definedName>
    <definedName name="_14_1993_BONDS" localSheetId="21">#REF!</definedName>
    <definedName name="_14_1993_BONDS" localSheetId="9">#REF!</definedName>
    <definedName name="_14_1993_BONDS">#REF!</definedName>
    <definedName name="_14_1997_BONDS" localSheetId="29">#REF!</definedName>
    <definedName name="_14_1997_BONDS" localSheetId="4">#REF!</definedName>
    <definedName name="_14_1997_BONDS" localSheetId="21">#REF!</definedName>
    <definedName name="_14_1997_BONDS" localSheetId="9">#REF!</definedName>
    <definedName name="_14_1997_BONDS">#REF!</definedName>
    <definedName name="_140SUM_OM" localSheetId="29">#REF!</definedName>
    <definedName name="_140SUM_OM" localSheetId="4">#REF!</definedName>
    <definedName name="_140SUM_OM" localSheetId="21">#REF!</definedName>
    <definedName name="_140SUM_OM" localSheetId="9">#REF!</definedName>
    <definedName name="_140SUM_OM">#REF!</definedName>
    <definedName name="_141RATE_COMP">'[11]Rate Comp'!$C$1:$M$39</definedName>
    <definedName name="_141TY_WTB" localSheetId="29">#REF!</definedName>
    <definedName name="_141TY_WTB" localSheetId="4">#REF!</definedName>
    <definedName name="_141TY_WTB" localSheetId="21">#REF!</definedName>
    <definedName name="_141TY_WTB" localSheetId="9">#REF!</definedName>
    <definedName name="_141TY_WTB">#REF!</definedName>
    <definedName name="_142USER_CONNECT" localSheetId="29">#REF!</definedName>
    <definedName name="_142USER_CONNECT" localSheetId="4">#REF!</definedName>
    <definedName name="_142USER_CONNECT" localSheetId="21">#REF!</definedName>
    <definedName name="_142USER_CONNECT" localSheetId="9">#REF!</definedName>
    <definedName name="_142USER_CONNECT">#REF!</definedName>
    <definedName name="_146CAP_IMPR" localSheetId="29">#REF!</definedName>
    <definedName name="_146CAP_IMPR" localSheetId="4">#REF!</definedName>
    <definedName name="_146CAP_IMPR" localSheetId="21">#REF!</definedName>
    <definedName name="_146CAP_IMPR" localSheetId="9">#REF!</definedName>
    <definedName name="_146CAP_IMPR">#REF!</definedName>
    <definedName name="_147REC_AND_DIS">[11]Disb!$A$1:$I$46</definedName>
    <definedName name="_149REC_AND_DISB">'[4]Rec and Disb'!$A$1:$K$96</definedName>
    <definedName name="_14ALLOC_WL_PU" localSheetId="29">#REF!</definedName>
    <definedName name="_14ALLOC_WL_PU" localSheetId="4">#REF!</definedName>
    <definedName name="_14ALLOC_WL_PU" localSheetId="21">#REF!</definedName>
    <definedName name="_14ALLOC_WL_PU" localSheetId="9">#REF!</definedName>
    <definedName name="_14ALLOC_WL_PU">#REF!</definedName>
    <definedName name="_14AMOR_1998" localSheetId="29">#REF!</definedName>
    <definedName name="_14AMOR_1998" localSheetId="4">#REF!</definedName>
    <definedName name="_14AMOR_1998" localSheetId="21">#REF!</definedName>
    <definedName name="_14AMOR_1998" localSheetId="9">#REF!</definedName>
    <definedName name="_14AMOR_1998">#REF!</definedName>
    <definedName name="_14BILLS_PU" localSheetId="29">#REF!</definedName>
    <definedName name="_14BILLS_PU" localSheetId="4">#REF!</definedName>
    <definedName name="_14BILLS_PU" localSheetId="21">#REF!</definedName>
    <definedName name="_14BILLS_PU" localSheetId="9">#REF!</definedName>
    <definedName name="_14BILLS_PU">#REF!</definedName>
    <definedName name="_14BUDGET_WWTP" localSheetId="29">#REF!</definedName>
    <definedName name="_14BUDGET_WWTP" localSheetId="4">#REF!</definedName>
    <definedName name="_14BUDGET_WWTP" localSheetId="21">#REF!</definedName>
    <definedName name="_14BUDGET_WWTP" localSheetId="9">#REF!</definedName>
    <definedName name="_14BUDGET_WWTP">#REF!</definedName>
    <definedName name="_14CALC_NORM_REV" localSheetId="29">#REF!</definedName>
    <definedName name="_14CALC_NORM_REV" localSheetId="4">#REF!</definedName>
    <definedName name="_14CALC_NORM_REV" localSheetId="21">#REF!</definedName>
    <definedName name="_14CALC_NORM_REV" localSheetId="9">#REF!</definedName>
    <definedName name="_14CALC_NORM_REV">#REF!</definedName>
    <definedName name="_14CAP_IMPR" localSheetId="29">#REF!</definedName>
    <definedName name="_14CAP_IMPR" localSheetId="4">#REF!</definedName>
    <definedName name="_14CAP_IMPR" localSheetId="21">#REF!</definedName>
    <definedName name="_14CAP_IMPR" localSheetId="9">#REF!</definedName>
    <definedName name="_14CAP_IMPR">#REF!</definedName>
    <definedName name="_14EXHIBIT_B_4" localSheetId="29">#REF!</definedName>
    <definedName name="_14EXHIBIT_B_4" localSheetId="4">#REF!</definedName>
    <definedName name="_14EXHIBIT_B_4" localSheetId="21">#REF!</definedName>
    <definedName name="_14EXHIBIT_B_4" localSheetId="9">#REF!</definedName>
    <definedName name="_14EXHIBIT_B_4">#REF!</definedName>
    <definedName name="_14MIN_BAL_EXP" localSheetId="29">#REF!</definedName>
    <definedName name="_14MIN_BAL_EXP" localSheetId="4">#REF!</definedName>
    <definedName name="_14MIN_BAL_EXP" localSheetId="21">#REF!</definedName>
    <definedName name="_14MIN_BAL_EXP" localSheetId="9">#REF!</definedName>
    <definedName name="_14MIN_BAL_EXP">#REF!</definedName>
    <definedName name="_14PRES_PROP_RT">'[10]Pres Prop Rt'!$A$1:$M$71</definedName>
    <definedName name="_14PRO_CF" localSheetId="29">#REF!</definedName>
    <definedName name="_14PRO_CF" localSheetId="4">#REF!</definedName>
    <definedName name="_14PRO_CF" localSheetId="21">#REF!</definedName>
    <definedName name="_14PRO_CF" localSheetId="9">#REF!</definedName>
    <definedName name="_14PRO_CF">#REF!</definedName>
    <definedName name="_14PROM_NOTE">[9]RevReq!$X$56:$AE$80</definedName>
    <definedName name="_14REC_AND_DISB">'[9]Rec and Disb'!$A$1:$K$98</definedName>
    <definedName name="_15_1999_BONDS" localSheetId="29">#REF!</definedName>
    <definedName name="_15_1999_BONDS" localSheetId="4">#REF!</definedName>
    <definedName name="_15_1999_BONDS" localSheetId="21">#REF!</definedName>
    <definedName name="_15_1999_BONDS" localSheetId="9">#REF!</definedName>
    <definedName name="_15_1999_BONDS">#REF!</definedName>
    <definedName name="_156REV_REQ">'[2]Rev Req I'!$A$1:$L$128</definedName>
    <definedName name="_15AMOR_1994" localSheetId="29">#REF!</definedName>
    <definedName name="_15AMOR_1994" localSheetId="4">#REF!</definedName>
    <definedName name="_15AMOR_1994" localSheetId="21">#REF!</definedName>
    <definedName name="_15AMOR_1994" localSheetId="9">#REF!</definedName>
    <definedName name="_15AMOR_1994">#REF!</definedName>
    <definedName name="_15BILLS_PU" localSheetId="29">#REF!</definedName>
    <definedName name="_15BILLS_PU" localSheetId="4">#REF!</definedName>
    <definedName name="_15BILLS_PU" localSheetId="21">#REF!</definedName>
    <definedName name="_15BILLS_PU" localSheetId="9">#REF!</definedName>
    <definedName name="_15BILLS_PU">#REF!</definedName>
    <definedName name="_15BUDG_ADJ" localSheetId="29">#REF!</definedName>
    <definedName name="_15BUDG_ADJ" localSheetId="4">#REF!</definedName>
    <definedName name="_15BUDG_ADJ" localSheetId="21">#REF!</definedName>
    <definedName name="_15BUDG_ADJ" localSheetId="9">#REF!</definedName>
    <definedName name="_15BUDG_ADJ">#REF!</definedName>
    <definedName name="_15CALC_NORM_REV" localSheetId="29">#REF!</definedName>
    <definedName name="_15CALC_NORM_REV" localSheetId="4">#REF!</definedName>
    <definedName name="_15CALC_NORM_REV" localSheetId="21">#REF!</definedName>
    <definedName name="_15CALC_NORM_REV" localSheetId="9">#REF!</definedName>
    <definedName name="_15CALC_NORM_REV">#REF!</definedName>
    <definedName name="_15CAP_IMPR">'[2]Cap Impr'!$A$1:$J$47</definedName>
    <definedName name="_15CASH_FLOW" localSheetId="29">#REF!</definedName>
    <definedName name="_15CASH_FLOW" localSheetId="4">#REF!</definedName>
    <definedName name="_15CASH_FLOW" localSheetId="21">#REF!</definedName>
    <definedName name="_15CASH_FLOW" localSheetId="9">#REF!</definedName>
    <definedName name="_15CASH_FLOW">#REF!</definedName>
    <definedName name="_15DEPR_EXP" localSheetId="21">'[3]Add Plant'!$A$1:$H$60</definedName>
    <definedName name="_15DEPR_EXP" localSheetId="9">'[3]Add Plant'!$A$1:$H$60</definedName>
    <definedName name="_15DEPR_EXP">'[3]Add Plant'!$A$1:$H$60</definedName>
    <definedName name="_15EXHIBIT_C" localSheetId="29">#REF!</definedName>
    <definedName name="_15EXHIBIT_C" localSheetId="4">#REF!</definedName>
    <definedName name="_15EXHIBIT_C" localSheetId="21">#REF!</definedName>
    <definedName name="_15EXHIBIT_C" localSheetId="9">#REF!</definedName>
    <definedName name="_15EXHIBIT_C">#REF!</definedName>
    <definedName name="_15EXHIBIT_G" localSheetId="29">#REF!</definedName>
    <definedName name="_15EXHIBIT_G" localSheetId="21">#REF!</definedName>
    <definedName name="_15EXHIBIT_G" localSheetId="9">#REF!</definedName>
    <definedName name="_15EXHIBIT_G">#REF!</definedName>
    <definedName name="_15MISC_ECON_INFO" localSheetId="29">#REF!</definedName>
    <definedName name="_15MISC_ECON_INFO" localSheetId="4">#REF!</definedName>
    <definedName name="_15MISC_ECON_INFO" localSheetId="21">#REF!</definedName>
    <definedName name="_15MISC_ECON_INFO" localSheetId="9">#REF!</definedName>
    <definedName name="_15MISC_ECON_INFO">#REF!</definedName>
    <definedName name="_15NORM_REV">'[12]Norm Rev'!$A$1:$M$110</definedName>
    <definedName name="_15PSG_LOAN">'[2]PSG Loan'!$A$1:$L$40</definedName>
    <definedName name="_15REV_REQ">'[6]Rev Req I'!$A$1:$L$128</definedName>
    <definedName name="_16_2001_LEVEL" localSheetId="29">#REF!</definedName>
    <definedName name="_16_2001_LEVEL" localSheetId="4">#REF!</definedName>
    <definedName name="_16_2001_LEVEL" localSheetId="21">#REF!</definedName>
    <definedName name="_16_2001_LEVEL" localSheetId="9">#REF!</definedName>
    <definedName name="_16_2001_LEVEL">#REF!</definedName>
    <definedName name="_16AMOR_1998" localSheetId="29">#REF!</definedName>
    <definedName name="_16AMOR_1998" localSheetId="4">#REF!</definedName>
    <definedName name="_16AMOR_1998" localSheetId="21">#REF!</definedName>
    <definedName name="_16AMOR_1998" localSheetId="9">#REF!</definedName>
    <definedName name="_16AMOR_1998">#REF!</definedName>
    <definedName name="_16BUDG_EXP" localSheetId="29">#REF!</definedName>
    <definedName name="_16BUDG_EXP" localSheetId="4">#REF!</definedName>
    <definedName name="_16BUDG_EXP" localSheetId="21">#REF!</definedName>
    <definedName name="_16BUDG_EXP" localSheetId="9">#REF!</definedName>
    <definedName name="_16BUDG_EXP">#REF!</definedName>
    <definedName name="_16BUDGET_BILLING" localSheetId="29">#REF!</definedName>
    <definedName name="_16BUDGET_BILLING" localSheetId="4">#REF!</definedName>
    <definedName name="_16BUDGET_BILLING" localSheetId="21">#REF!</definedName>
    <definedName name="_16BUDGET_BILLING" localSheetId="9">#REF!</definedName>
    <definedName name="_16BUDGET_BILLING">#REF!</definedName>
    <definedName name="_16CAP_IMPR" localSheetId="29">#REF!</definedName>
    <definedName name="_16CAP_IMPR" localSheetId="4">#REF!</definedName>
    <definedName name="_16CAP_IMPR" localSheetId="21">#REF!</definedName>
    <definedName name="_16CAP_IMPR" localSheetId="9">#REF!</definedName>
    <definedName name="_16CAP_IMPR">#REF!</definedName>
    <definedName name="_16CASH_FLOW" localSheetId="29">#REF!</definedName>
    <definedName name="_16CASH_FLOW" localSheetId="4">#REF!</definedName>
    <definedName name="_16CASH_FLOW" localSheetId="21">#REF!</definedName>
    <definedName name="_16CASH_FLOW" localSheetId="9">#REF!</definedName>
    <definedName name="_16CASH_FLOW">#REF!</definedName>
    <definedName name="_16COMP_BILLINGS" localSheetId="29">#REF!</definedName>
    <definedName name="_16COMP_BILLINGS" localSheetId="4">#REF!</definedName>
    <definedName name="_16COMP_BILLINGS" localSheetId="21">#REF!</definedName>
    <definedName name="_16COMP_BILLINGS" localSheetId="9">#REF!</definedName>
    <definedName name="_16COMP_BILLINGS">#REF!</definedName>
    <definedName name="_16DET_OP_EXP" localSheetId="29">#REF!</definedName>
    <definedName name="_16DET_OP_EXP" localSheetId="4">#REF!</definedName>
    <definedName name="_16DET_OP_EXP" localSheetId="21">#REF!</definedName>
    <definedName name="_16DET_OP_EXP" localSheetId="9">#REF!</definedName>
    <definedName name="_16DET_OP_EXP">#REF!</definedName>
    <definedName name="_16EXHIBIT_D" localSheetId="29">#REF!</definedName>
    <definedName name="_16EXHIBIT_D" localSheetId="4">#REF!</definedName>
    <definedName name="_16EXHIBIT_D" localSheetId="21">#REF!</definedName>
    <definedName name="_16EXHIBIT_D" localSheetId="9">#REF!</definedName>
    <definedName name="_16EXHIBIT_D">#REF!</definedName>
    <definedName name="_16NORM_REV">'[2]Norm Rev'!$A$1:$M$110</definedName>
    <definedName name="_16PF_COE">'[12]PF COE'!$A$1:$M$604</definedName>
    <definedName name="_16PROJECTED_DISB.">'[4]Projected Disb.'!$A$1:$I$41</definedName>
    <definedName name="_16RATE_BREAKDOWN" localSheetId="29">#REF!</definedName>
    <definedName name="_16RATE_BREAKDOWN" localSheetId="4">#REF!</definedName>
    <definedName name="_16RATE_BREAKDOWN" localSheetId="21">#REF!</definedName>
    <definedName name="_16RATE_BREAKDOWN" localSheetId="9">#REF!</definedName>
    <definedName name="_16RATE_BREAKDOWN">#REF!</definedName>
    <definedName name="_17_3_MOS_00" localSheetId="29">#REF!</definedName>
    <definedName name="_17_3_MOS_00" localSheetId="4">#REF!</definedName>
    <definedName name="_17_3_MOS_00" localSheetId="21">#REF!</definedName>
    <definedName name="_17_3_MOS_00" localSheetId="9">#REF!</definedName>
    <definedName name="_17_3_MOS_00">#REF!</definedName>
    <definedName name="_170CASH_FLOW" localSheetId="29">#REF!</definedName>
    <definedName name="_170CASH_FLOW" localSheetId="4">#REF!</definedName>
    <definedName name="_170CASH_FLOW" localSheetId="21">#REF!</definedName>
    <definedName name="_170CASH_FLOW" localSheetId="9">#REF!</definedName>
    <definedName name="_170CASH_FLOW">#REF!</definedName>
    <definedName name="_176CITY_TAX" localSheetId="29">#REF!</definedName>
    <definedName name="_176CITY_TAX" localSheetId="4">#REF!</definedName>
    <definedName name="_176CITY_TAX" localSheetId="21">#REF!</definedName>
    <definedName name="_176CITY_TAX" localSheetId="9">#REF!</definedName>
    <definedName name="_176CITY_TAX">#REF!</definedName>
    <definedName name="_17BILLS_PU" localSheetId="29">#REF!</definedName>
    <definedName name="_17BILLS_PU" localSheetId="4">#REF!</definedName>
    <definedName name="_17BILLS_PU" localSheetId="21">#REF!</definedName>
    <definedName name="_17BILLS_PU" localSheetId="9">#REF!</definedName>
    <definedName name="_17BILLS_PU">#REF!</definedName>
    <definedName name="_17BUDG_EXP_BY_EXP" localSheetId="29">#REF!</definedName>
    <definedName name="_17BUDG_EXP_BY_EXP" localSheetId="4">#REF!</definedName>
    <definedName name="_17BUDG_EXP_BY_EXP" localSheetId="21">#REF!</definedName>
    <definedName name="_17BUDG_EXP_BY_EXP" localSheetId="9">#REF!</definedName>
    <definedName name="_17BUDG_EXP_BY_EXP">#REF!</definedName>
    <definedName name="_17BUDGET_COMB" localSheetId="29">#REF!</definedName>
    <definedName name="_17BUDGET_COMB" localSheetId="4">#REF!</definedName>
    <definedName name="_17BUDGET_COMB" localSheetId="21">#REF!</definedName>
    <definedName name="_17BUDGET_COMB" localSheetId="9">#REF!</definedName>
    <definedName name="_17BUDGET_COMB">#REF!</definedName>
    <definedName name="_17CASH_FLOW" localSheetId="29">#REF!</definedName>
    <definedName name="_17CASH_FLOW" localSheetId="4">#REF!</definedName>
    <definedName name="_17CASH_FLOW" localSheetId="21">#REF!</definedName>
    <definedName name="_17CASH_FLOW" localSheetId="9">#REF!</definedName>
    <definedName name="_17CASH_FLOW">#REF!</definedName>
    <definedName name="_17COMB_BUDGET" localSheetId="29">#REF!</definedName>
    <definedName name="_17COMB_BUDGET" localSheetId="4">#REF!</definedName>
    <definedName name="_17COMB_BUDGET" localSheetId="21">#REF!</definedName>
    <definedName name="_17COMB_BUDGET" localSheetId="9">#REF!</definedName>
    <definedName name="_17COMB_BUDGET">#REF!</definedName>
    <definedName name="_17COMP_NR_TO_BUD" localSheetId="29">#REF!</definedName>
    <definedName name="_17COMP_NR_TO_BUD" localSheetId="4">#REF!</definedName>
    <definedName name="_17COMP_NR_TO_BUD" localSheetId="21">#REF!</definedName>
    <definedName name="_17COMP_NR_TO_BUD" localSheetId="9">#REF!</definedName>
    <definedName name="_17COMP_NR_TO_BUD">#REF!</definedName>
    <definedName name="_17EXHIBIT_F" localSheetId="29">#REF!</definedName>
    <definedName name="_17EXHIBIT_F" localSheetId="4">#REF!</definedName>
    <definedName name="_17EXHIBIT_F" localSheetId="21">#REF!</definedName>
    <definedName name="_17EXHIBIT_F" localSheetId="9">#REF!</definedName>
    <definedName name="_17EXHIBIT_F">#REF!</definedName>
    <definedName name="_17MIN_BAL" localSheetId="29">#REF!</definedName>
    <definedName name="_17MIN_BAL" localSheetId="4">#REF!</definedName>
    <definedName name="_17MIN_BAL" localSheetId="21">#REF!</definedName>
    <definedName name="_17MIN_BAL" localSheetId="9">#REF!</definedName>
    <definedName name="_17MIN_BAL">#REF!</definedName>
    <definedName name="_17NORM_REV">'[2]Norm Rev'!$A$1:$M$110</definedName>
    <definedName name="_17PF_COE">'[2]PF COE'!$A$1:$M$604</definedName>
    <definedName name="_17PRES_PROP_RT">'[12]Pres Prop Rt'!$A$1:$M$71</definedName>
    <definedName name="_17PROM_NOTE">[4]RevReq!$X$56:$AE$79</definedName>
    <definedName name="_17PSG_LOAN" localSheetId="21">'[3]PSG Loan'!$A$1:$L$40</definedName>
    <definedName name="_17PSG_LOAN" localSheetId="9">'[3]PSG Loan'!$A$1:$L$40</definedName>
    <definedName name="_17PSG_LOAN">'[3]PSG Loan'!$A$1:$L$40</definedName>
    <definedName name="_17RATES_PU" localSheetId="29">#REF!</definedName>
    <definedName name="_17RATES_PU" localSheetId="4">#REF!</definedName>
    <definedName name="_17RATES_PU" localSheetId="21">#REF!</definedName>
    <definedName name="_17RATES_PU" localSheetId="9">#REF!</definedName>
    <definedName name="_17RATES_PU">#REF!</definedName>
    <definedName name="_18_3_MOS_01" localSheetId="29">#REF!</definedName>
    <definedName name="_18_3_MOS_01" localSheetId="4">#REF!</definedName>
    <definedName name="_18_3_MOS_01" localSheetId="21">#REF!</definedName>
    <definedName name="_18_3_MOS_01" localSheetId="9">#REF!</definedName>
    <definedName name="_18_3_MOS_01">#REF!</definedName>
    <definedName name="_182COMB_BUDGET" localSheetId="29">#REF!</definedName>
    <definedName name="_182COMB_BUDGET" localSheetId="4">#REF!</definedName>
    <definedName name="_182COMB_BUDGET" localSheetId="21">#REF!</definedName>
    <definedName name="_182COMB_BUDGET" localSheetId="9">#REF!</definedName>
    <definedName name="_182COMB_BUDGET">#REF!</definedName>
    <definedName name="_18BUDG_ADJ" localSheetId="29">#REF!</definedName>
    <definedName name="_18BUDG_ADJ" localSheetId="4">#REF!</definedName>
    <definedName name="_18BUDG_ADJ" localSheetId="21">#REF!</definedName>
    <definedName name="_18BUDG_ADJ" localSheetId="9">#REF!</definedName>
    <definedName name="_18BUDG_ADJ">#REF!</definedName>
    <definedName name="_18BUDG_EXP_I" localSheetId="29">#REF!</definedName>
    <definedName name="_18BUDG_EXP_I" localSheetId="4">#REF!</definedName>
    <definedName name="_18BUDG_EXP_I" localSheetId="21">#REF!</definedName>
    <definedName name="_18BUDG_EXP_I" localSheetId="9">#REF!</definedName>
    <definedName name="_18BUDG_EXP_I">#REF!</definedName>
    <definedName name="_18BUDGET_WWTP" localSheetId="29">#REF!</definedName>
    <definedName name="_18BUDGET_WWTP" localSheetId="4">#REF!</definedName>
    <definedName name="_18BUDGET_WWTP" localSheetId="21">#REF!</definedName>
    <definedName name="_18BUDGET_WWTP" localSheetId="9">#REF!</definedName>
    <definedName name="_18BUDGET_WWTP">#REF!</definedName>
    <definedName name="_18CAP_IMPR">'[2]Cap Impr'!$A$1:$J$47</definedName>
    <definedName name="_18COMP_BILLINGS">'[2]Comp Billings'!$A$1:$I$53</definedName>
    <definedName name="_18CUST_ANALYSIS" localSheetId="29">#REF!</definedName>
    <definedName name="_18CUST_ANALYSIS" localSheetId="4">#REF!</definedName>
    <definedName name="_18CUST_ANALYSIS" localSheetId="21">#REF!</definedName>
    <definedName name="_18CUST_ANALYSIS" localSheetId="9">#REF!</definedName>
    <definedName name="_18CUST_ANALYSIS">#REF!</definedName>
    <definedName name="_18EXHIBIT_G" localSheetId="29">#REF!</definedName>
    <definedName name="_18EXHIBIT_G" localSheetId="4">#REF!</definedName>
    <definedName name="_18EXHIBIT_G" localSheetId="21">#REF!</definedName>
    <definedName name="_18EXHIBIT_G" localSheetId="9">#REF!</definedName>
    <definedName name="_18EXHIBIT_G">#REF!</definedName>
    <definedName name="_18MIN_BAL_EXP" localSheetId="29">#REF!</definedName>
    <definedName name="_18MIN_BAL_EXP" localSheetId="4">#REF!</definedName>
    <definedName name="_18MIN_BAL_EXP" localSheetId="21">#REF!</definedName>
    <definedName name="_18MIN_BAL_EXP" localSheetId="9">#REF!</definedName>
    <definedName name="_18MIN_BAL_EXP">#REF!</definedName>
    <definedName name="_18PF_COE">'[2]PF COE'!$A$1:$M$604</definedName>
    <definedName name="_18PRES_PROP_RT">'[2]Pres Prop Rt'!$A$1:$M$71</definedName>
    <definedName name="_18PSG_LOAN">'[10]PSG Loan'!$A$1:$L$40</definedName>
    <definedName name="_18RATE_BREAKDOWN" localSheetId="29">#REF!</definedName>
    <definedName name="_18RATE_BREAKDOWN" localSheetId="4">#REF!</definedName>
    <definedName name="_18RATE_BREAKDOWN" localSheetId="21">#REF!</definedName>
    <definedName name="_18RATE_BREAKDOWN" localSheetId="9">#REF!</definedName>
    <definedName name="_18RATE_BREAKDOWN">#REF!</definedName>
    <definedName name="_18RATES_WL" localSheetId="29">#REF!</definedName>
    <definedName name="_18RATES_WL" localSheetId="4">#REF!</definedName>
    <definedName name="_18RATES_WL" localSheetId="21">#REF!</definedName>
    <definedName name="_18RATES_WL" localSheetId="9">#REF!</definedName>
    <definedName name="_18RATES_WL">#REF!</definedName>
    <definedName name="_194COMP_BILLINGS" localSheetId="29">#REF!</definedName>
    <definedName name="_194COMP_BILLINGS" localSheetId="4">#REF!</definedName>
    <definedName name="_194COMP_BILLINGS" localSheetId="21">#REF!</definedName>
    <definedName name="_194COMP_BILLINGS" localSheetId="9">#REF!</definedName>
    <definedName name="_194COMP_BILLINGS">#REF!</definedName>
    <definedName name="_1993" localSheetId="29">#REF!</definedName>
    <definedName name="_1993" localSheetId="4">#REF!</definedName>
    <definedName name="_1993" localSheetId="21">#REF!</definedName>
    <definedName name="_1993" localSheetId="9">#REF!</definedName>
    <definedName name="_1993">#REF!</definedName>
    <definedName name="_19ADD_PLANT" localSheetId="29">#REF!</definedName>
    <definedName name="_19ADD_PLANT" localSheetId="4">#REF!</definedName>
    <definedName name="_19ADD_PLANT" localSheetId="21">#REF!</definedName>
    <definedName name="_19ADD_PLANT" localSheetId="9">#REF!</definedName>
    <definedName name="_19ADD_PLANT">#REF!</definedName>
    <definedName name="_19BUDG_EXP" localSheetId="29">#REF!</definedName>
    <definedName name="_19BUDG_EXP" localSheetId="4">#REF!</definedName>
    <definedName name="_19BUDG_EXP" localSheetId="21">#REF!</definedName>
    <definedName name="_19BUDG_EXP" localSheetId="9">#REF!</definedName>
    <definedName name="_19BUDG_EXP">#REF!</definedName>
    <definedName name="_19BUDG_EXP_II" localSheetId="29">#REF!</definedName>
    <definedName name="_19BUDG_EXP_II" localSheetId="4">#REF!</definedName>
    <definedName name="_19BUDG_EXP_II" localSheetId="21">#REF!</definedName>
    <definedName name="_19BUDG_EXP_II" localSheetId="9">#REF!</definedName>
    <definedName name="_19BUDG_EXP_II">#REF!</definedName>
    <definedName name="_19CALC_NORM_REV" localSheetId="29">#REF!</definedName>
    <definedName name="_19CALC_NORM_REV" localSheetId="4">#REF!</definedName>
    <definedName name="_19CALC_NORM_REV" localSheetId="21">#REF!</definedName>
    <definedName name="_19CALC_NORM_REV" localSheetId="9">#REF!</definedName>
    <definedName name="_19CALC_NORM_REV">#REF!</definedName>
    <definedName name="_19CASH_FLOW" localSheetId="29">#REF!</definedName>
    <definedName name="_19CASH_FLOW" localSheetId="4">#REF!</definedName>
    <definedName name="_19CASH_FLOW" localSheetId="21">#REF!</definedName>
    <definedName name="_19CASH_FLOW" localSheetId="9">#REF!</definedName>
    <definedName name="_19CASH_FLOW">#REF!</definedName>
    <definedName name="_19COMP_BILLINGS" localSheetId="29">#REF!</definedName>
    <definedName name="_19COMP_BILLINGS" localSheetId="4">#REF!</definedName>
    <definedName name="_19COMP_BILLINGS" localSheetId="21">#REF!</definedName>
    <definedName name="_19COMP_BILLINGS" localSheetId="9">#REF!</definedName>
    <definedName name="_19COMP_BILLINGS">#REF!</definedName>
    <definedName name="_19COMP_NR_TO_BUD" localSheetId="29">#REF!</definedName>
    <definedName name="_19COMP_NR_TO_BUD" localSheetId="4">#REF!</definedName>
    <definedName name="_19COMP_NR_TO_BUD" localSheetId="21">#REF!</definedName>
    <definedName name="_19COMP_NR_TO_BUD" localSheetId="9">#REF!</definedName>
    <definedName name="_19COMP_NR_TO_BUD">#REF!</definedName>
    <definedName name="_19CUST_BY_MONTH" localSheetId="29">#REF!</definedName>
    <definedName name="_19CUST_BY_MONTH" localSheetId="4">#REF!</definedName>
    <definedName name="_19CUST_BY_MONTH" localSheetId="21">#REF!</definedName>
    <definedName name="_19CUST_BY_MONTH" localSheetId="9">#REF!</definedName>
    <definedName name="_19CUST_BY_MONTH">#REF!</definedName>
    <definedName name="_19MIN_BAL" localSheetId="29">#REF!</definedName>
    <definedName name="_19MIN_BAL" localSheetId="4">#REF!</definedName>
    <definedName name="_19MIN_BAL" localSheetId="21">#REF!</definedName>
    <definedName name="_19MIN_BAL" localSheetId="9">#REF!</definedName>
    <definedName name="_19MIN_BAL">#REF!</definedName>
    <definedName name="_19NORM_REV">'[2]Norm Rev'!$A$1:$M$110</definedName>
    <definedName name="_19PRES_PROP_RT">'[2]Pres Prop Rt'!$A$1:$M$71</definedName>
    <definedName name="_19PRO_CF" localSheetId="29">#REF!</definedName>
    <definedName name="_19PRO_CF" localSheetId="4">#REF!</definedName>
    <definedName name="_19PRO_CF" localSheetId="21">#REF!</definedName>
    <definedName name="_19PRO_CF" localSheetId="9">#REF!</definedName>
    <definedName name="_19PRO_CF">#REF!</definedName>
    <definedName name="_19RATES_PU" localSheetId="29">#REF!</definedName>
    <definedName name="_19RATES_PU" localSheetId="4">#REF!</definedName>
    <definedName name="_19RATES_PU" localSheetId="21">#REF!</definedName>
    <definedName name="_19RATES_PU" localSheetId="9">#REF!</definedName>
    <definedName name="_19RATES_PU">#REF!</definedName>
    <definedName name="_19REC_AND_DISB">'[9]Rec and Disb'!$A$1:$K$98</definedName>
    <definedName name="_19REV_REQ">'[2]Rev Req I'!$A$1:$L$128</definedName>
    <definedName name="_1ALLOC_EXP" localSheetId="29">#REF!</definedName>
    <definedName name="_1ALLOC_EXP" localSheetId="4">#REF!</definedName>
    <definedName name="_1ALLOC_EXP" localSheetId="21">#REF!</definedName>
    <definedName name="_1ALLOC_EXP" localSheetId="9">#REF!</definedName>
    <definedName name="_1ALLOC_EXP">#REF!</definedName>
    <definedName name="_1CASH_FLOW" localSheetId="29">#REF!</definedName>
    <definedName name="_1CASH_FLOW" localSheetId="4">#REF!</definedName>
    <definedName name="_1CASH_FLOW" localSheetId="21">#REF!</definedName>
    <definedName name="_1CASH_FLOW" localSheetId="9">#REF!</definedName>
    <definedName name="_1CASH_FLOW">#REF!</definedName>
    <definedName name="_2_1989_BONDS">'[2]1989 Bonds'!$A$1:$N$46</definedName>
    <definedName name="_2_1993" localSheetId="29">#REF!</definedName>
    <definedName name="_2_1993" localSheetId="4">#REF!</definedName>
    <definedName name="_2_1993" localSheetId="21">#REF!</definedName>
    <definedName name="_2_1993" localSheetId="9">#REF!</definedName>
    <definedName name="_2_1993">#REF!</definedName>
    <definedName name="_2_1993_BONDS" localSheetId="29">#REF!</definedName>
    <definedName name="_2_1993_BONDS" localSheetId="4">#REF!</definedName>
    <definedName name="_2_1993_BONDS" localSheetId="21">#REF!</definedName>
    <definedName name="_2_1993_BONDS" localSheetId="9">#REF!</definedName>
    <definedName name="_2_1993_BONDS">#REF!</definedName>
    <definedName name="_20_1996_BONDS" localSheetId="29">#REF!</definedName>
    <definedName name="_20_1996_BONDS" localSheetId="4">#REF!</definedName>
    <definedName name="_20_1996_BONDS" localSheetId="21">#REF!</definedName>
    <definedName name="_20_1996_BONDS" localSheetId="9">#REF!</definedName>
    <definedName name="_20_1996_BONDS">#REF!</definedName>
    <definedName name="_200COMP_NR_TO_BUD" localSheetId="29">#REF!</definedName>
    <definedName name="_200COMP_NR_TO_BUD" localSheetId="4">#REF!</definedName>
    <definedName name="_200COMP_NR_TO_BUD" localSheetId="21">#REF!</definedName>
    <definedName name="_200COMP_NR_TO_BUD" localSheetId="9">#REF!</definedName>
    <definedName name="_200COMP_NR_TO_BUD">#REF!</definedName>
    <definedName name="_206COVER_SHEET" localSheetId="29">#REF!</definedName>
    <definedName name="_206COVER_SHEET" localSheetId="4">#REF!</definedName>
    <definedName name="_206COVER_SHEET" localSheetId="21">#REF!</definedName>
    <definedName name="_206COVER_SHEET" localSheetId="9">#REF!</definedName>
    <definedName name="_206COVER_SHEET">#REF!</definedName>
    <definedName name="_20ALLOC_EXP" localSheetId="29">#REF!</definedName>
    <definedName name="_20ALLOC_EXP" localSheetId="4">#REF!</definedName>
    <definedName name="_20ALLOC_EXP" localSheetId="21">#REF!</definedName>
    <definedName name="_20ALLOC_EXP" localSheetId="9">#REF!</definedName>
    <definedName name="_20ALLOC_EXP">#REF!</definedName>
    <definedName name="_20BUDG_EXP_BY_EXP" localSheetId="29">#REF!</definedName>
    <definedName name="_20BUDG_EXP_BY_EXP" localSheetId="4">#REF!</definedName>
    <definedName name="_20BUDG_EXP_BY_EXP" localSheetId="21">#REF!</definedName>
    <definedName name="_20BUDG_EXP_BY_EXP" localSheetId="9">#REF!</definedName>
    <definedName name="_20BUDG_EXP_BY_EXP">#REF!</definedName>
    <definedName name="_20BUDGET_BILLING" localSheetId="29">#REF!</definedName>
    <definedName name="_20BUDGET_BILLING" localSheetId="4">#REF!</definedName>
    <definedName name="_20BUDGET_BILLING" localSheetId="21">#REF!</definedName>
    <definedName name="_20BUDGET_BILLING" localSheetId="9">#REF!</definedName>
    <definedName name="_20BUDGET_BILLING">#REF!</definedName>
    <definedName name="_20CITY_TAX" localSheetId="29">#REF!</definedName>
    <definedName name="_20CITY_TAX" localSheetId="4">#REF!</definedName>
    <definedName name="_20CITY_TAX" localSheetId="21">#REF!</definedName>
    <definedName name="_20CITY_TAX" localSheetId="9">#REF!</definedName>
    <definedName name="_20CITY_TAX">#REF!</definedName>
    <definedName name="_20COMP_NR_TO_BUD" localSheetId="29">#REF!</definedName>
    <definedName name="_20COMP_NR_TO_BUD" localSheetId="4">#REF!</definedName>
    <definedName name="_20COMP_NR_TO_BUD" localSheetId="21">#REF!</definedName>
    <definedName name="_20COMP_NR_TO_BUD" localSheetId="9">#REF!</definedName>
    <definedName name="_20COMP_NR_TO_BUD">#REF!</definedName>
    <definedName name="_20CY_2000" localSheetId="29">#REF!</definedName>
    <definedName name="_20CY_2000" localSheetId="4">#REF!</definedName>
    <definedName name="_20CY_2000" localSheetId="21">#REF!</definedName>
    <definedName name="_20CY_2000" localSheetId="9">#REF!</definedName>
    <definedName name="_20CY_2000">#REF!</definedName>
    <definedName name="_20MIN_BAL_EXP" localSheetId="29">#REF!</definedName>
    <definedName name="_20MIN_BAL_EXP" localSheetId="4">#REF!</definedName>
    <definedName name="_20MIN_BAL_EXP" localSheetId="21">#REF!</definedName>
    <definedName name="_20MIN_BAL_EXP" localSheetId="9">#REF!</definedName>
    <definedName name="_20MIN_BAL_EXP">#REF!</definedName>
    <definedName name="_20PF_COE">'[2]PF COE'!$A$1:$M$604</definedName>
    <definedName name="_20PSG_LOAN">'[2]PSG Loan'!$A$1:$L$40</definedName>
    <definedName name="_20RATES_WL" localSheetId="29">#REF!</definedName>
    <definedName name="_20RATES_WL" localSheetId="4">#REF!</definedName>
    <definedName name="_20RATES_WL" localSheetId="21">#REF!</definedName>
    <definedName name="_20RATES_WL" localSheetId="9">#REF!</definedName>
    <definedName name="_20RATES_WL">#REF!</definedName>
    <definedName name="_20REV_REQ">'[6]Rev Req I'!$A$1:$L$128</definedName>
    <definedName name="_212CY_2000" localSheetId="29">#REF!</definedName>
    <definedName name="_212CY_2000" localSheetId="4">#REF!</definedName>
    <definedName name="_212CY_2000" localSheetId="21">#REF!</definedName>
    <definedName name="_212CY_2000" localSheetId="9">#REF!</definedName>
    <definedName name="_212CY_2000">#REF!</definedName>
    <definedName name="_218DEBT_CAP" localSheetId="29">#REF!</definedName>
    <definedName name="_218DEBT_CAP" localSheetId="4">#REF!</definedName>
    <definedName name="_218DEBT_CAP" localSheetId="21">#REF!</definedName>
    <definedName name="_218DEBT_CAP" localSheetId="9">#REF!</definedName>
    <definedName name="_218DEBT_CAP">#REF!</definedName>
    <definedName name="_21ALLOC_WL_PU" localSheetId="29">#REF!</definedName>
    <definedName name="_21ALLOC_WL_PU" localSheetId="4">#REF!</definedName>
    <definedName name="_21ALLOC_WL_PU" localSheetId="21">#REF!</definedName>
    <definedName name="_21ALLOC_WL_PU" localSheetId="9">#REF!</definedName>
    <definedName name="_21ALLOC_WL_PU">#REF!</definedName>
    <definedName name="_21BUDG_EXP_I" localSheetId="29">#REF!</definedName>
    <definedName name="_21BUDG_EXP_I" localSheetId="4">#REF!</definedName>
    <definedName name="_21BUDG_EXP_I" localSheetId="21">#REF!</definedName>
    <definedName name="_21BUDG_EXP_I" localSheetId="9">#REF!</definedName>
    <definedName name="_21BUDG_EXP_I">#REF!</definedName>
    <definedName name="_21BUDGET_COMB" localSheetId="29">#REF!</definedName>
    <definedName name="_21BUDGET_COMB" localSheetId="4">#REF!</definedName>
    <definedName name="_21BUDGET_COMB" localSheetId="21">#REF!</definedName>
    <definedName name="_21BUDGET_COMB" localSheetId="9">#REF!</definedName>
    <definedName name="_21BUDGET_COMB">#REF!</definedName>
    <definedName name="_21COMB_BUDGET" localSheetId="29">#REF!</definedName>
    <definedName name="_21COMB_BUDGET" localSheetId="4">#REF!</definedName>
    <definedName name="_21COMB_BUDGET" localSheetId="21">#REF!</definedName>
    <definedName name="_21COMB_BUDGET" localSheetId="9">#REF!</definedName>
    <definedName name="_21COMB_BUDGET">#REF!</definedName>
    <definedName name="_21CUST_ANALYSIS" localSheetId="29">#REF!</definedName>
    <definedName name="_21CUST_ANALYSIS" localSheetId="4">#REF!</definedName>
    <definedName name="_21CUST_ANALYSIS" localSheetId="21">#REF!</definedName>
    <definedName name="_21CUST_ANALYSIS" localSheetId="9">#REF!</definedName>
    <definedName name="_21CUST_ANALYSIS">#REF!</definedName>
    <definedName name="_21DEBT_CAP" localSheetId="29">#REF!</definedName>
    <definedName name="_21DEBT_CAP" localSheetId="4">#REF!</definedName>
    <definedName name="_21DEBT_CAP" localSheetId="21">#REF!</definedName>
    <definedName name="_21DEBT_CAP" localSheetId="9">#REF!</definedName>
    <definedName name="_21DEBT_CAP">#REF!</definedName>
    <definedName name="_21DEBT_NOTES" localSheetId="29">#REF!</definedName>
    <definedName name="_21DEBT_NOTES" localSheetId="4">#REF!</definedName>
    <definedName name="_21DEBT_NOTES" localSheetId="21">#REF!</definedName>
    <definedName name="_21DEBT_NOTES" localSheetId="9">#REF!</definedName>
    <definedName name="_21DEBT_NOTES">#REF!</definedName>
    <definedName name="_21NORM_REV" localSheetId="21">'[3]Norm Rev'!$A$1:$M$110</definedName>
    <definedName name="_21NORM_REV" localSheetId="9">'[3]Norm Rev'!$A$1:$M$110</definedName>
    <definedName name="_21NORM_REV">'[3]Norm Rev'!$A$1:$M$110</definedName>
    <definedName name="_21PRES_PROP_RT">'[2]Pres Prop Rt'!$A$1:$M$71</definedName>
    <definedName name="_21PSG_LOAN">'[2]PSG Loan'!$A$1:$L$40</definedName>
    <definedName name="_21RATE_BREAKDOWN" localSheetId="29">#REF!</definedName>
    <definedName name="_21RATE_BREAKDOWN" localSheetId="4">#REF!</definedName>
    <definedName name="_21RATE_BREAKDOWN" localSheetId="21">#REF!</definedName>
    <definedName name="_21RATE_BREAKDOWN" localSheetId="9">#REF!</definedName>
    <definedName name="_21RATE_BREAKDOWN">#REF!</definedName>
    <definedName name="_21REV_REQ" localSheetId="21">'[3]Rev Req I'!$A$1:$L$128</definedName>
    <definedName name="_21REV_REQ" localSheetId="9">'[3]Rev Req I'!$A$1:$L$128</definedName>
    <definedName name="_21REV_REQ">'[3]Rev Req I'!$A$1:$L$128</definedName>
    <definedName name="_22AMOR_1994" localSheetId="29">#REF!</definedName>
    <definedName name="_22AMOR_1994" localSheetId="4">#REF!</definedName>
    <definedName name="_22AMOR_1994" localSheetId="21">#REF!</definedName>
    <definedName name="_22AMOR_1994" localSheetId="9">#REF!</definedName>
    <definedName name="_22AMOR_1994">#REF!</definedName>
    <definedName name="_22BUDG_EXP_II" localSheetId="29">#REF!</definedName>
    <definedName name="_22BUDG_EXP_II" localSheetId="4">#REF!</definedName>
    <definedName name="_22BUDG_EXP_II" localSheetId="21">#REF!</definedName>
    <definedName name="_22BUDG_EXP_II" localSheetId="9">#REF!</definedName>
    <definedName name="_22BUDG_EXP_II">#REF!</definedName>
    <definedName name="_22BUDGET_WWTP" localSheetId="29">#REF!</definedName>
    <definedName name="_22BUDGET_WWTP" localSheetId="4">#REF!</definedName>
    <definedName name="_22BUDGET_WWTP" localSheetId="21">#REF!</definedName>
    <definedName name="_22BUDGET_WWTP" localSheetId="9">#REF!</definedName>
    <definedName name="_22BUDGET_WWTP">#REF!</definedName>
    <definedName name="_22CUST_BY_MONTH" localSheetId="29">#REF!</definedName>
    <definedName name="_22CUST_BY_MONTH" localSheetId="4">#REF!</definedName>
    <definedName name="_22CUST_BY_MONTH" localSheetId="21">#REF!</definedName>
    <definedName name="_22CUST_BY_MONTH" localSheetId="9">#REF!</definedName>
    <definedName name="_22CUST_BY_MONTH">#REF!</definedName>
    <definedName name="_22DEBT_NOTES" localSheetId="29">#REF!</definedName>
    <definedName name="_22DEBT_NOTES" localSheetId="4">#REF!</definedName>
    <definedName name="_22DEBT_NOTES" localSheetId="21">#REF!</definedName>
    <definedName name="_22DEBT_NOTES" localSheetId="9">#REF!</definedName>
    <definedName name="_22DEBT_NOTES">#REF!</definedName>
    <definedName name="_22DEBT_RATIOS" localSheetId="29">#REF!</definedName>
    <definedName name="_22DEBT_RATIOS" localSheetId="4">#REF!</definedName>
    <definedName name="_22DEBT_RATIOS" localSheetId="21">#REF!</definedName>
    <definedName name="_22DEBT_RATIOS" localSheetId="9">#REF!</definedName>
    <definedName name="_22DEBT_RATIOS">#REF!</definedName>
    <definedName name="_22PF_COE">'[2]PF COE'!$A$1:$M$604</definedName>
    <definedName name="_22RATES_PU" localSheetId="29">#REF!</definedName>
    <definedName name="_22RATES_PU" localSheetId="4">#REF!</definedName>
    <definedName name="_22RATES_PU" localSheetId="21">#REF!</definedName>
    <definedName name="_22RATES_PU" localSheetId="9">#REF!</definedName>
    <definedName name="_22RATES_PU">#REF!</definedName>
    <definedName name="_22REV_REQ">'[8]Rev Req I'!$A$1:$M$127</definedName>
    <definedName name="_23AMOR_1998" localSheetId="29">#REF!</definedName>
    <definedName name="_23AMOR_1998" localSheetId="4">#REF!</definedName>
    <definedName name="_23AMOR_1998" localSheetId="21">#REF!</definedName>
    <definedName name="_23AMOR_1998" localSheetId="9">#REF!</definedName>
    <definedName name="_23AMOR_1998">#REF!</definedName>
    <definedName name="_23BUDGET_BILLING" localSheetId="29">#REF!</definedName>
    <definedName name="_23BUDGET_BILLING" localSheetId="4">#REF!</definedName>
    <definedName name="_23BUDGET_BILLING" localSheetId="21">#REF!</definedName>
    <definedName name="_23BUDGET_BILLING" localSheetId="9">#REF!</definedName>
    <definedName name="_23BUDGET_BILLING">#REF!</definedName>
    <definedName name="_23CALC_NORM_REV" localSheetId="29">#REF!</definedName>
    <definedName name="_23CALC_NORM_REV" localSheetId="4">#REF!</definedName>
    <definedName name="_23CALC_NORM_REV" localSheetId="21">#REF!</definedName>
    <definedName name="_23CALC_NORM_REV" localSheetId="9">#REF!</definedName>
    <definedName name="_23CALC_NORM_REV">#REF!</definedName>
    <definedName name="_23CY_2000" localSheetId="29">#REF!</definedName>
    <definedName name="_23CY_2000" localSheetId="4">#REF!</definedName>
    <definedName name="_23CY_2000" localSheetId="21">#REF!</definedName>
    <definedName name="_23CY_2000" localSheetId="9">#REF!</definedName>
    <definedName name="_23CY_2000">#REF!</definedName>
    <definedName name="_23DEBT_RATIOS" localSheetId="29">#REF!</definedName>
    <definedName name="_23DEBT_RATIOS" localSheetId="4">#REF!</definedName>
    <definedName name="_23DEBT_RATIOS" localSheetId="21">#REF!</definedName>
    <definedName name="_23DEBT_RATIOS" localSheetId="9">#REF!</definedName>
    <definedName name="_23DEBT_RATIOS">#REF!</definedName>
    <definedName name="_23DEPR_EXP" localSheetId="21">'[1]Add Plant'!$A$1:$H$59</definedName>
    <definedName name="_23DEPR_EXP" localSheetId="9">'[1]Add Plant'!$A$1:$H$59</definedName>
    <definedName name="_23DEPR_EXP">'[1]Add Plant'!$A$1:$H$59</definedName>
    <definedName name="_23PRES_PROP_RT">'[2]Pres Prop Rt'!$A$1:$M$71</definedName>
    <definedName name="_23PSG_LOAN">'[2]PSG Loan'!$A$1:$L$40</definedName>
    <definedName name="_23RATES_WL" localSheetId="29">#REF!</definedName>
    <definedName name="_23RATES_WL" localSheetId="4">#REF!</definedName>
    <definedName name="_23RATES_WL" localSheetId="21">#REF!</definedName>
    <definedName name="_23RATES_WL" localSheetId="9">#REF!</definedName>
    <definedName name="_23RATES_WL">#REF!</definedName>
    <definedName name="_241DEBT_NOTES" localSheetId="29">#REF!</definedName>
    <definedName name="_241DEBT_NOTES" localSheetId="4">#REF!</definedName>
    <definedName name="_241DEBT_NOTES" localSheetId="21">#REF!</definedName>
    <definedName name="_241DEBT_NOTES" localSheetId="9">#REF!</definedName>
    <definedName name="_241DEBT_NOTES">#REF!</definedName>
    <definedName name="_24BILLS_PU" localSheetId="29">#REF!</definedName>
    <definedName name="_24BILLS_PU" localSheetId="4">#REF!</definedName>
    <definedName name="_24BILLS_PU" localSheetId="21">#REF!</definedName>
    <definedName name="_24BILLS_PU" localSheetId="9">#REF!</definedName>
    <definedName name="_24BILLS_PU">#REF!</definedName>
    <definedName name="_24BUDGET_COMB" localSheetId="29">#REF!</definedName>
    <definedName name="_24BUDGET_COMB" localSheetId="4">#REF!</definedName>
    <definedName name="_24BUDGET_COMB" localSheetId="21">#REF!</definedName>
    <definedName name="_24BUDGET_COMB" localSheetId="9">#REF!</definedName>
    <definedName name="_24BUDGET_COMB">#REF!</definedName>
    <definedName name="_24CAP_IMPR" localSheetId="21">'[3]Cap Impr'!$A$1:$J$47</definedName>
    <definedName name="_24CAP_IMPR" localSheetId="9">'[3]Cap Impr'!$A$1:$J$47</definedName>
    <definedName name="_24CAP_IMPR">'[3]Cap Impr'!$A$1:$J$47</definedName>
    <definedName name="_24COMP_BILLINGS">'[2]Comp Billings'!$A$1:$I$53</definedName>
    <definedName name="_24DEBT_NOTES" localSheetId="29">#REF!</definedName>
    <definedName name="_24DEBT_NOTES" localSheetId="4">#REF!</definedName>
    <definedName name="_24DEBT_NOTES" localSheetId="21">#REF!</definedName>
    <definedName name="_24DEBT_NOTES" localSheetId="9">#REF!</definedName>
    <definedName name="_24DEBT_NOTES">#REF!</definedName>
    <definedName name="_24DEPR_EXP">'[2]Add Plant'!$A$1:$H$60</definedName>
    <definedName name="_24DET_INC" localSheetId="29">#REF!</definedName>
    <definedName name="_24DET_INC" localSheetId="4">#REF!</definedName>
    <definedName name="_24DET_INC" localSheetId="21">#REF!</definedName>
    <definedName name="_24DET_INC" localSheetId="9">#REF!</definedName>
    <definedName name="_24DET_INC">#REF!</definedName>
    <definedName name="_24PF_COE" localSheetId="21">'[3]PF COE'!$A$1:$M$604</definedName>
    <definedName name="_24PF_COE" localSheetId="9">'[3]PF COE'!$A$1:$M$604</definedName>
    <definedName name="_24PF_COE">'[3]PF COE'!$A$1:$M$604</definedName>
    <definedName name="_24PRO_CF" localSheetId="29">#REF!</definedName>
    <definedName name="_24PRO_CF" localSheetId="4">#REF!</definedName>
    <definedName name="_24PRO_CF" localSheetId="21">#REF!</definedName>
    <definedName name="_24PRO_CF" localSheetId="9">#REF!</definedName>
    <definedName name="_24PRO_CF">#REF!</definedName>
    <definedName name="_24REV_REQ">'[2]Rev Req I'!$A$1:$L$128</definedName>
    <definedName name="_25BUDG_ADJ" localSheetId="29">#REF!</definedName>
    <definedName name="_25BUDG_ADJ" localSheetId="4">#REF!</definedName>
    <definedName name="_25BUDG_ADJ" localSheetId="21">#REF!</definedName>
    <definedName name="_25BUDG_ADJ" localSheetId="9">#REF!</definedName>
    <definedName name="_25BUDG_ADJ">#REF!</definedName>
    <definedName name="_25BUDGET_WWTP" localSheetId="29">#REF!</definedName>
    <definedName name="_25BUDGET_WWTP" localSheetId="4">#REF!</definedName>
    <definedName name="_25BUDGET_WWTP" localSheetId="21">#REF!</definedName>
    <definedName name="_25BUDGET_WWTP" localSheetId="9">#REF!</definedName>
    <definedName name="_25BUDGET_WWTP">#REF!</definedName>
    <definedName name="_25CASH_FLOW" localSheetId="29">#REF!</definedName>
    <definedName name="_25CASH_FLOW" localSheetId="4">#REF!</definedName>
    <definedName name="_25CASH_FLOW" localSheetId="21">#REF!</definedName>
    <definedName name="_25CASH_FLOW" localSheetId="9">#REF!</definedName>
    <definedName name="_25CASH_FLOW">#REF!</definedName>
    <definedName name="_25COMP_NR_TO_BUD" localSheetId="29">#REF!</definedName>
    <definedName name="_25COMP_NR_TO_BUD" localSheetId="4">#REF!</definedName>
    <definedName name="_25COMP_NR_TO_BUD" localSheetId="21">#REF!</definedName>
    <definedName name="_25COMP_NR_TO_BUD" localSheetId="9">#REF!</definedName>
    <definedName name="_25COMP_NR_TO_BUD">#REF!</definedName>
    <definedName name="_25DEBT_RATIOS" localSheetId="29">#REF!</definedName>
    <definedName name="_25DEBT_RATIOS" localSheetId="4">#REF!</definedName>
    <definedName name="_25DEBT_RATIOS" localSheetId="21">#REF!</definedName>
    <definedName name="_25DEBT_RATIOS" localSheetId="9">#REF!</definedName>
    <definedName name="_25DEBT_RATIOS">#REF!</definedName>
    <definedName name="_25DET_INC" localSheetId="29">#REF!</definedName>
    <definedName name="_25DET_INC" localSheetId="4">#REF!</definedName>
    <definedName name="_25DET_INC" localSheetId="21">#REF!</definedName>
    <definedName name="_25DET_INC" localSheetId="9">#REF!</definedName>
    <definedName name="_25DET_INC">#REF!</definedName>
    <definedName name="_25DET_OP_EXP" localSheetId="29">#REF!</definedName>
    <definedName name="_25DET_OP_EXP" localSheetId="4">#REF!</definedName>
    <definedName name="_25DET_OP_EXP" localSheetId="21">#REF!</definedName>
    <definedName name="_25DET_OP_EXP" localSheetId="9">#REF!</definedName>
    <definedName name="_25DET_OP_EXP">#REF!</definedName>
    <definedName name="_25PSG_LOAN">'[2]PSG Loan'!$A$1:$L$40</definedName>
    <definedName name="_25REV_REQ">'[2]Rev Req I'!$A$1:$L$128</definedName>
    <definedName name="_26_1997_BONDS" localSheetId="29">#REF!</definedName>
    <definedName name="_26_1997_BONDS" localSheetId="4">#REF!</definedName>
    <definedName name="_26_1997_BONDS" localSheetId="21">#REF!</definedName>
    <definedName name="_26_1997_BONDS" localSheetId="9">#REF!</definedName>
    <definedName name="_26_1997_BONDS">#REF!</definedName>
    <definedName name="_264DEBT_RATIOS" localSheetId="29">#REF!</definedName>
    <definedName name="_264DEBT_RATIOS" localSheetId="4">#REF!</definedName>
    <definedName name="_264DEBT_RATIOS" localSheetId="21">#REF!</definedName>
    <definedName name="_264DEBT_RATIOS" localSheetId="9">#REF!</definedName>
    <definedName name="_264DEBT_RATIOS">#REF!</definedName>
    <definedName name="_26BUDG_DET" localSheetId="29">#REF!</definedName>
    <definedName name="_26BUDG_DET" localSheetId="4">#REF!</definedName>
    <definedName name="_26BUDG_DET" localSheetId="21">#REF!</definedName>
    <definedName name="_26BUDG_DET" localSheetId="9">#REF!</definedName>
    <definedName name="_26BUDG_DET">#REF!</definedName>
    <definedName name="_26CALC_NORM_REV" localSheetId="29">#REF!</definedName>
    <definedName name="_26CALC_NORM_REV" localSheetId="4">#REF!</definedName>
    <definedName name="_26CALC_NORM_REV" localSheetId="21">#REF!</definedName>
    <definedName name="_26CALC_NORM_REV" localSheetId="9">#REF!</definedName>
    <definedName name="_26CALC_NORM_REV">#REF!</definedName>
    <definedName name="_26CAP_IMPR" localSheetId="29">#REF!</definedName>
    <definedName name="_26CAP_IMPR" localSheetId="4">#REF!</definedName>
    <definedName name="_26CAP_IMPR" localSheetId="21">#REF!</definedName>
    <definedName name="_26CAP_IMPR" localSheetId="9">#REF!</definedName>
    <definedName name="_26CAP_IMPR">#REF!</definedName>
    <definedName name="_26COMB_BUDGET" localSheetId="29">#REF!</definedName>
    <definedName name="_26COMB_BUDGET" localSheetId="4">#REF!</definedName>
    <definedName name="_26COMB_BUDGET" localSheetId="21">#REF!</definedName>
    <definedName name="_26COMB_BUDGET" localSheetId="9">#REF!</definedName>
    <definedName name="_26COMB_BUDGET">#REF!</definedName>
    <definedName name="_26DET_OP_EXP" localSheetId="29">#REF!</definedName>
    <definedName name="_26DET_OP_EXP" localSheetId="4">#REF!</definedName>
    <definedName name="_26DET_OP_EXP" localSheetId="21">#REF!</definedName>
    <definedName name="_26DET_OP_EXP" localSheetId="9">#REF!</definedName>
    <definedName name="_26DET_OP_EXP">#REF!</definedName>
    <definedName name="_26GF_DETAIL" localSheetId="29">#REF!</definedName>
    <definedName name="_26GF_DETAIL" localSheetId="4">#REF!</definedName>
    <definedName name="_26GF_DETAIL" localSheetId="21">#REF!</definedName>
    <definedName name="_26GF_DETAIL" localSheetId="9">#REF!</definedName>
    <definedName name="_26GF_DETAIL">#REF!</definedName>
    <definedName name="_26RATE_BREAKDOWN" localSheetId="29">#REF!</definedName>
    <definedName name="_26RATE_BREAKDOWN" localSheetId="4">#REF!</definedName>
    <definedName name="_26RATE_BREAKDOWN" localSheetId="21">#REF!</definedName>
    <definedName name="_26RATE_BREAKDOWN" localSheetId="9">#REF!</definedName>
    <definedName name="_26RATE_BREAKDOWN">#REF!</definedName>
    <definedName name="_276DEPR_EXP" localSheetId="29">#REF!</definedName>
    <definedName name="_276DEPR_EXP" localSheetId="4">#REF!</definedName>
    <definedName name="_276DEPR_EXP" localSheetId="21">#REF!</definedName>
    <definedName name="_276DEPR_EXP" localSheetId="9">#REF!</definedName>
    <definedName name="_276DEPR_EXP">#REF!</definedName>
    <definedName name="_27BUDG_EXP" localSheetId="29">#REF!</definedName>
    <definedName name="_27BUDG_EXP" localSheetId="4">#REF!</definedName>
    <definedName name="_27BUDG_EXP" localSheetId="21">#REF!</definedName>
    <definedName name="_27BUDG_EXP" localSheetId="9">#REF!</definedName>
    <definedName name="_27BUDG_EXP">#REF!</definedName>
    <definedName name="_27CASH_FLOW" localSheetId="29">#REF!</definedName>
    <definedName name="_27CASH_FLOW" localSheetId="4">#REF!</definedName>
    <definedName name="_27CASH_FLOW" localSheetId="21">#REF!</definedName>
    <definedName name="_27CASH_FLOW" localSheetId="9">#REF!</definedName>
    <definedName name="_27CASH_FLOW">#REF!</definedName>
    <definedName name="_27COMP_BILLINGS" localSheetId="21">'[3]Comp Billings'!$A$1:$I$53</definedName>
    <definedName name="_27COMP_BILLINGS" localSheetId="9">'[3]Comp Billings'!$A$1:$I$53</definedName>
    <definedName name="_27COMP_BILLINGS">'[3]Comp Billings'!$A$1:$I$53</definedName>
    <definedName name="_27COVER_SHEET" localSheetId="29">#REF!</definedName>
    <definedName name="_27COVER_SHEET" localSheetId="4">#REF!</definedName>
    <definedName name="_27COVER_SHEET" localSheetId="21">#REF!</definedName>
    <definedName name="_27COVER_SHEET" localSheetId="9">#REF!</definedName>
    <definedName name="_27COVER_SHEET">#REF!</definedName>
    <definedName name="_27DEPR_EXP" localSheetId="21">'[1]Add Plant'!$A$1:$H$59</definedName>
    <definedName name="_27DEPR_EXP" localSheetId="9">'[1]Add Plant'!$A$1:$H$59</definedName>
    <definedName name="_27DEPR_EXP">'[1]Add Plant'!$A$1:$H$59</definedName>
    <definedName name="_27EXHIBIT_A" localSheetId="29">#REF!</definedName>
    <definedName name="_27EXHIBIT_A" localSheetId="4">#REF!</definedName>
    <definedName name="_27EXHIBIT_A" localSheetId="21">#REF!</definedName>
    <definedName name="_27EXHIBIT_A" localSheetId="9">#REF!</definedName>
    <definedName name="_27EXHIBIT_A">#REF!</definedName>
    <definedName name="_27FIN_INFO">'[4]Fin Info'!$A$1:$H$38</definedName>
    <definedName name="_27LARGE_EMPLOYERS" localSheetId="29">#REF!</definedName>
    <definedName name="_27LARGE_EMPLOYERS" localSheetId="4">#REF!</definedName>
    <definedName name="_27LARGE_EMPLOYERS" localSheetId="21">#REF!</definedName>
    <definedName name="_27LARGE_EMPLOYERS" localSheetId="9">#REF!</definedName>
    <definedName name="_27LARGE_EMPLOYERS">#REF!</definedName>
    <definedName name="_27PRES_PROP_RT" localSheetId="21">'[3]Pres Prop Rt'!$A$1:$M$71</definedName>
    <definedName name="_27PRES_PROP_RT" localSheetId="9">'[3]Pres Prop Rt'!$A$1:$M$71</definedName>
    <definedName name="_27PRES_PROP_RT">'[3]Pres Prop Rt'!$A$1:$M$71</definedName>
    <definedName name="_27RATES_PU" localSheetId="29">#REF!</definedName>
    <definedName name="_27RATES_PU" localSheetId="4">#REF!</definedName>
    <definedName name="_27RATES_PU" localSheetId="21">#REF!</definedName>
    <definedName name="_27RATES_PU" localSheetId="9">#REF!</definedName>
    <definedName name="_27RATES_PU">#REF!</definedName>
    <definedName name="_27REV_REQ">'[2]Rev Req I'!$A$1:$L$128</definedName>
    <definedName name="_282DET_INC" localSheetId="29">#REF!</definedName>
    <definedName name="_282DET_INC" localSheetId="4">#REF!</definedName>
    <definedName name="_282DET_INC" localSheetId="21">#REF!</definedName>
    <definedName name="_282DET_INC" localSheetId="9">#REF!</definedName>
    <definedName name="_282DET_INC">#REF!</definedName>
    <definedName name="_28BUDG_EXP_BY_EXP" localSheetId="29">#REF!</definedName>
    <definedName name="_28BUDG_EXP_BY_EXP" localSheetId="4">#REF!</definedName>
    <definedName name="_28BUDG_EXP_BY_EXP" localSheetId="21">#REF!</definedName>
    <definedName name="_28BUDG_EXP_BY_EXP" localSheetId="9">#REF!</definedName>
    <definedName name="_28BUDG_EXP_BY_EXP">#REF!</definedName>
    <definedName name="_28CAP_IMPR" localSheetId="29">#REF!</definedName>
    <definedName name="_28CAP_IMPR" localSheetId="4">#REF!</definedName>
    <definedName name="_28CAP_IMPR" localSheetId="21">#REF!</definedName>
    <definedName name="_28CAP_IMPR" localSheetId="9">#REF!</definedName>
    <definedName name="_28CAP_IMPR">#REF!</definedName>
    <definedName name="_28CITY_TAX" localSheetId="29">#REF!</definedName>
    <definedName name="_28CITY_TAX" localSheetId="4">#REF!</definedName>
    <definedName name="_28CITY_TAX" localSheetId="21">#REF!</definedName>
    <definedName name="_28CITY_TAX" localSheetId="9">#REF!</definedName>
    <definedName name="_28CITY_TAX">#REF!</definedName>
    <definedName name="_28COMP_NR_TO_BUD" localSheetId="29">#REF!</definedName>
    <definedName name="_28COMP_NR_TO_BUD" localSheetId="4">#REF!</definedName>
    <definedName name="_28COMP_NR_TO_BUD" localSheetId="21">#REF!</definedName>
    <definedName name="_28COMP_NR_TO_BUD" localSheetId="9">#REF!</definedName>
    <definedName name="_28COMP_NR_TO_BUD">#REF!</definedName>
    <definedName name="_28CY_2000" localSheetId="29">#REF!</definedName>
    <definedName name="_28CY_2000" localSheetId="4">#REF!</definedName>
    <definedName name="_28CY_2000" localSheetId="21">#REF!</definedName>
    <definedName name="_28CY_2000" localSheetId="9">#REF!</definedName>
    <definedName name="_28CY_2000">#REF!</definedName>
    <definedName name="_28DET_INC" localSheetId="29">#REF!</definedName>
    <definedName name="_28DET_INC" localSheetId="4">#REF!</definedName>
    <definedName name="_28DET_INC" localSheetId="21">#REF!</definedName>
    <definedName name="_28DET_INC" localSheetId="9">#REF!</definedName>
    <definedName name="_28DET_INC">#REF!</definedName>
    <definedName name="_28EXHIBIT_B" localSheetId="29">#REF!</definedName>
    <definedName name="_28EXHIBIT_B" localSheetId="4">#REF!</definedName>
    <definedName name="_28EXHIBIT_B" localSheetId="21">#REF!</definedName>
    <definedName name="_28EXHIBIT_B" localSheetId="9">#REF!</definedName>
    <definedName name="_28EXHIBIT_B">#REF!</definedName>
    <definedName name="_28LEVEL_COMBO" localSheetId="29">#REF!</definedName>
    <definedName name="_28LEVEL_COMBO" localSheetId="4">#REF!</definedName>
    <definedName name="_28LEVEL_COMBO" localSheetId="21">#REF!</definedName>
    <definedName name="_28LEVEL_COMBO" localSheetId="9">#REF!</definedName>
    <definedName name="_28LEVEL_COMBO">#REF!</definedName>
    <definedName name="_28NORM_REV">'[2]Norm Rev'!$A$1:$M$110</definedName>
    <definedName name="_28PRO_CF" localSheetId="29">#REF!</definedName>
    <definedName name="_28PRO_CF" localSheetId="4">#REF!</definedName>
    <definedName name="_28PRO_CF" localSheetId="21">#REF!</definedName>
    <definedName name="_28PRO_CF" localSheetId="9">#REF!</definedName>
    <definedName name="_28PRO_CF">#REF!</definedName>
    <definedName name="_28RATES_WL" localSheetId="29">#REF!</definedName>
    <definedName name="_28RATES_WL" localSheetId="4">#REF!</definedName>
    <definedName name="_28RATES_WL" localSheetId="21">#REF!</definedName>
    <definedName name="_28RATES_WL" localSheetId="9">#REF!</definedName>
    <definedName name="_28RATES_WL">#REF!</definedName>
    <definedName name="_29BUDG_EXP_I" localSheetId="29">#REF!</definedName>
    <definedName name="_29BUDG_EXP_I" localSheetId="4">#REF!</definedName>
    <definedName name="_29BUDG_EXP_I" localSheetId="21">#REF!</definedName>
    <definedName name="_29BUDG_EXP_I" localSheetId="9">#REF!</definedName>
    <definedName name="_29BUDG_EXP_I">#REF!</definedName>
    <definedName name="_29CASH_FLOW" localSheetId="29">#REF!</definedName>
    <definedName name="_29CASH_FLOW" localSheetId="4">#REF!</definedName>
    <definedName name="_29CASH_FLOW" localSheetId="21">#REF!</definedName>
    <definedName name="_29CASH_FLOW" localSheetId="9">#REF!</definedName>
    <definedName name="_29CASH_FLOW">#REF!</definedName>
    <definedName name="_29COMB_BUDGET" localSheetId="29">#REF!</definedName>
    <definedName name="_29COMB_BUDGET" localSheetId="4">#REF!</definedName>
    <definedName name="_29COMB_BUDGET" localSheetId="21">#REF!</definedName>
    <definedName name="_29COMB_BUDGET" localSheetId="9">#REF!</definedName>
    <definedName name="_29COMB_BUDGET">#REF!</definedName>
    <definedName name="_29CY_2000" localSheetId="29">#REF!</definedName>
    <definedName name="_29CY_2000" localSheetId="4">#REF!</definedName>
    <definedName name="_29CY_2000" localSheetId="21">#REF!</definedName>
    <definedName name="_29CY_2000" localSheetId="9">#REF!</definedName>
    <definedName name="_29CY_2000">#REF!</definedName>
    <definedName name="_29DEBT_CAP" localSheetId="29">#REF!</definedName>
    <definedName name="_29DEBT_CAP" localSheetId="4">#REF!</definedName>
    <definedName name="_29DEBT_CAP" localSheetId="21">#REF!</definedName>
    <definedName name="_29DEBT_CAP" localSheetId="9">#REF!</definedName>
    <definedName name="_29DEBT_CAP">#REF!</definedName>
    <definedName name="_29DET_OP_EXP" localSheetId="29">#REF!</definedName>
    <definedName name="_29DET_OP_EXP" localSheetId="4">#REF!</definedName>
    <definedName name="_29DET_OP_EXP" localSheetId="21">#REF!</definedName>
    <definedName name="_29DET_OP_EXP" localSheetId="9">#REF!</definedName>
    <definedName name="_29DET_OP_EXP">#REF!</definedName>
    <definedName name="_29EXHIBIT_B_1" localSheetId="29">#REF!</definedName>
    <definedName name="_29EXHIBIT_B_1" localSheetId="4">#REF!</definedName>
    <definedName name="_29EXHIBIT_B_1" localSheetId="21">#REF!</definedName>
    <definedName name="_29EXHIBIT_B_1" localSheetId="9">#REF!</definedName>
    <definedName name="_29EXHIBIT_B_1">#REF!</definedName>
    <definedName name="_29PF_COE">'[2]PF COE'!$A$1:$M$604</definedName>
    <definedName name="_29REV_REQ">'[2]Rev Req I'!$A$1:$L$128</definedName>
    <definedName name="_2ALLOC_EXP" localSheetId="29">#REF!</definedName>
    <definedName name="_2ALLOC_EXP" localSheetId="4">#REF!</definedName>
    <definedName name="_2ALLOC_EXP" localSheetId="21">#REF!</definedName>
    <definedName name="_2ALLOC_EXP" localSheetId="9">#REF!</definedName>
    <definedName name="_2ALLOC_EXP">#REF!</definedName>
    <definedName name="_2ALLOC_WL_PU" localSheetId="29">#REF!</definedName>
    <definedName name="_2ALLOC_WL_PU" localSheetId="4">#REF!</definedName>
    <definedName name="_2ALLOC_WL_PU" localSheetId="21">#REF!</definedName>
    <definedName name="_2ALLOC_WL_PU" localSheetId="9">#REF!</definedName>
    <definedName name="_2ALLOC_WL_PU">#REF!</definedName>
    <definedName name="_2CAP_IMPR" localSheetId="29">#REF!</definedName>
    <definedName name="_2CAP_IMPR" localSheetId="4">#REF!</definedName>
    <definedName name="_2CAP_IMPR" localSheetId="21">#REF!</definedName>
    <definedName name="_2CAP_IMPR" localSheetId="9">#REF!</definedName>
    <definedName name="_2CAP_IMPR">#REF!</definedName>
    <definedName name="_2DET_OP_EXP" localSheetId="29">#REF!</definedName>
    <definedName name="_2DET_OP_EXP" localSheetId="4">#REF!</definedName>
    <definedName name="_2DET_OP_EXP" localSheetId="21">#REF!</definedName>
    <definedName name="_2DET_OP_EXP" localSheetId="9">#REF!</definedName>
    <definedName name="_2DET_OP_EXP">#REF!</definedName>
    <definedName name="_3_1989_BONDS" localSheetId="21">'[3]1989 Bonds'!$A$1:$N$46</definedName>
    <definedName name="_3_1989_BONDS" localSheetId="9">'[3]1989 Bonds'!$A$1:$N$46</definedName>
    <definedName name="_3_1989_BONDS">'[3]1989 Bonds'!$A$1:$N$46</definedName>
    <definedName name="_3_1993" localSheetId="29">#REF!</definedName>
    <definedName name="_3_1993" localSheetId="4">#REF!</definedName>
    <definedName name="_3_1993" localSheetId="21">#REF!</definedName>
    <definedName name="_3_1993" localSheetId="9">#REF!</definedName>
    <definedName name="_3_1993">#REF!</definedName>
    <definedName name="_3_1993_BONDS" localSheetId="29">#REF!</definedName>
    <definedName name="_3_1993_BONDS" localSheetId="4">#REF!</definedName>
    <definedName name="_3_1993_BONDS" localSheetId="21">#REF!</definedName>
    <definedName name="_3_1993_BONDS" localSheetId="9">#REF!</definedName>
    <definedName name="_3_1993_BONDS">#REF!</definedName>
    <definedName name="_3_1999_BONDS" localSheetId="29">#REF!</definedName>
    <definedName name="_3_1999_BONDS" localSheetId="4">#REF!</definedName>
    <definedName name="_3_1999_BONDS" localSheetId="21">#REF!</definedName>
    <definedName name="_3_1999_BONDS" localSheetId="9">#REF!</definedName>
    <definedName name="_3_1999_BONDS">#REF!</definedName>
    <definedName name="_3_2001_LEVEL" localSheetId="29">#REF!</definedName>
    <definedName name="_3_2001_LEVEL" localSheetId="4">#REF!</definedName>
    <definedName name="_3_2001_LEVEL" localSheetId="21">#REF!</definedName>
    <definedName name="_3_2001_LEVEL" localSheetId="9">#REF!</definedName>
    <definedName name="_3_2001_LEVEL">#REF!</definedName>
    <definedName name="_306DET_OP_EXP" localSheetId="29">#REF!</definedName>
    <definedName name="_306DET_OP_EXP" localSheetId="4">#REF!</definedName>
    <definedName name="_306DET_OP_EXP" localSheetId="21">#REF!</definedName>
    <definedName name="_306DET_OP_EXP" localSheetId="9">#REF!</definedName>
    <definedName name="_306DET_OP_EXP">#REF!</definedName>
    <definedName name="_307FIN_INFO" localSheetId="21">'[7]Fin Info'!$A$1:$H$38</definedName>
    <definedName name="_307FIN_INFO" localSheetId="9">'[7]Fin Info'!$A$1:$H$38</definedName>
    <definedName name="_307FIN_INFO">'[7]Fin Info'!$A$1:$H$38</definedName>
    <definedName name="_30BUDG_EXP_II" localSheetId="29">#REF!</definedName>
    <definedName name="_30BUDG_EXP_II" localSheetId="4">#REF!</definedName>
    <definedName name="_30BUDG_EXP_II" localSheetId="21">#REF!</definedName>
    <definedName name="_30BUDG_EXP_II" localSheetId="9">#REF!</definedName>
    <definedName name="_30BUDG_EXP_II">#REF!</definedName>
    <definedName name="_30CITY_TAX" localSheetId="29">#REF!</definedName>
    <definedName name="_30CITY_TAX" localSheetId="4">#REF!</definedName>
    <definedName name="_30CITY_TAX" localSheetId="21">#REF!</definedName>
    <definedName name="_30CITY_TAX" localSheetId="9">#REF!</definedName>
    <definedName name="_30CITY_TAX">#REF!</definedName>
    <definedName name="_30DEBT_CAP" localSheetId="29">#REF!</definedName>
    <definedName name="_30DEBT_CAP" localSheetId="4">#REF!</definedName>
    <definedName name="_30DEBT_CAP" localSheetId="21">#REF!</definedName>
    <definedName name="_30DEBT_CAP" localSheetId="9">#REF!</definedName>
    <definedName name="_30DEBT_CAP">#REF!</definedName>
    <definedName name="_30EXHIBIT_B_2" localSheetId="29">#REF!</definedName>
    <definedName name="_30EXHIBIT_B_2" localSheetId="4">#REF!</definedName>
    <definedName name="_30EXHIBIT_B_2" localSheetId="21">#REF!</definedName>
    <definedName name="_30EXHIBIT_B_2" localSheetId="9">#REF!</definedName>
    <definedName name="_30EXHIBIT_B_2">#REF!</definedName>
    <definedName name="_30GF_DETAIL" localSheetId="29">#REF!</definedName>
    <definedName name="_30GF_DETAIL" localSheetId="4">#REF!</definedName>
    <definedName name="_30GF_DETAIL" localSheetId="21">#REF!</definedName>
    <definedName name="_30GF_DETAIL" localSheetId="9">#REF!</definedName>
    <definedName name="_30GF_DETAIL">#REF!</definedName>
    <definedName name="_30PRES_PROP_RT">'[2]Pres Prop Rt'!$A$1:$M$71</definedName>
    <definedName name="_30SEWER_LAND" localSheetId="29">#REF!</definedName>
    <definedName name="_30SEWER_LAND" localSheetId="4">#REF!</definedName>
    <definedName name="_30SEWER_LAND" localSheetId="21">#REF!</definedName>
    <definedName name="_30SEWER_LAND" localSheetId="9">#REF!</definedName>
    <definedName name="_30SEWER_LAND">#REF!</definedName>
    <definedName name="_313FUND_BAL" localSheetId="29">#REF!</definedName>
    <definedName name="_313FUND_BAL" localSheetId="4">#REF!</definedName>
    <definedName name="_313FUND_BAL" localSheetId="21">#REF!</definedName>
    <definedName name="_313FUND_BAL" localSheetId="9">#REF!</definedName>
    <definedName name="_313FUND_BAL">#REF!</definedName>
    <definedName name="_31BUDGET_BILLING" localSheetId="29">#REF!</definedName>
    <definedName name="_31BUDGET_BILLING" localSheetId="4">#REF!</definedName>
    <definedName name="_31BUDGET_BILLING" localSheetId="21">#REF!</definedName>
    <definedName name="_31BUDGET_BILLING" localSheetId="9">#REF!</definedName>
    <definedName name="_31BUDGET_BILLING">#REF!</definedName>
    <definedName name="_31COMB_BUDGET" localSheetId="29">#REF!</definedName>
    <definedName name="_31COMB_BUDGET" localSheetId="4">#REF!</definedName>
    <definedName name="_31COMB_BUDGET" localSheetId="21">#REF!</definedName>
    <definedName name="_31COMB_BUDGET" localSheetId="9">#REF!</definedName>
    <definedName name="_31COMB_BUDGET">#REF!</definedName>
    <definedName name="_31DEBT_NOTES" localSheetId="29">#REF!</definedName>
    <definedName name="_31DEBT_NOTES" localSheetId="4">#REF!</definedName>
    <definedName name="_31DEBT_NOTES" localSheetId="21">#REF!</definedName>
    <definedName name="_31DEBT_NOTES" localSheetId="9">#REF!</definedName>
    <definedName name="_31DEBT_NOTES">#REF!</definedName>
    <definedName name="_31EXHIBIT_B_3" localSheetId="29">#REF!</definedName>
    <definedName name="_31EXHIBIT_B_3" localSheetId="4">#REF!</definedName>
    <definedName name="_31EXHIBIT_B_3" localSheetId="21">#REF!</definedName>
    <definedName name="_31EXHIBIT_B_3" localSheetId="9">#REF!</definedName>
    <definedName name="_31EXHIBIT_B_3">#REF!</definedName>
    <definedName name="_31LARGE_EMPLOYERS" localSheetId="29">#REF!</definedName>
    <definedName name="_31LARGE_EMPLOYERS" localSheetId="4">#REF!</definedName>
    <definedName name="_31LARGE_EMPLOYERS" localSheetId="21">#REF!</definedName>
    <definedName name="_31LARGE_EMPLOYERS" localSheetId="9">#REF!</definedName>
    <definedName name="_31LARGE_EMPLOYERS">#REF!</definedName>
    <definedName name="_31MIN_BAL" localSheetId="21">'[1]Min Bal'!$A$1:$M$53</definedName>
    <definedName name="_31MIN_BAL" localSheetId="9">'[1]Min Bal'!$A$1:$M$53</definedName>
    <definedName name="_31MIN_BAL">'[1]Min Bal'!$A$1:$M$53</definedName>
    <definedName name="_31PSG_LOAN" localSheetId="21">'[3]PSG Loan'!$A$1:$L$40</definedName>
    <definedName name="_31PSG_LOAN" localSheetId="9">'[3]PSG Loan'!$A$1:$L$40</definedName>
    <definedName name="_31PSG_LOAN">'[3]PSG Loan'!$A$1:$L$40</definedName>
    <definedName name="_32_2001_LEVEL" localSheetId="29">#REF!</definedName>
    <definedName name="_32_2001_LEVEL" localSheetId="4">#REF!</definedName>
    <definedName name="_32_2001_LEVEL" localSheetId="21">#REF!</definedName>
    <definedName name="_32_2001_LEVEL" localSheetId="9">#REF!</definedName>
    <definedName name="_32_2001_LEVEL">#REF!</definedName>
    <definedName name="_321GF_DETAIL" localSheetId="29">#REF!</definedName>
    <definedName name="_321GF_DETAIL" localSheetId="4">#REF!</definedName>
    <definedName name="_321GF_DETAIL" localSheetId="21">#REF!</definedName>
    <definedName name="_321GF_DETAIL" localSheetId="9">#REF!</definedName>
    <definedName name="_321GF_DETAIL">#REF!</definedName>
    <definedName name="_32BUDGET_COMB" localSheetId="29">#REF!</definedName>
    <definedName name="_32BUDGET_COMB" localSheetId="4">#REF!</definedName>
    <definedName name="_32BUDGET_COMB" localSheetId="21">#REF!</definedName>
    <definedName name="_32BUDGET_COMB" localSheetId="9">#REF!</definedName>
    <definedName name="_32BUDGET_COMB">#REF!</definedName>
    <definedName name="_32DEBT_RATIOS" localSheetId="29">#REF!</definedName>
    <definedName name="_32DEBT_RATIOS" localSheetId="4">#REF!</definedName>
    <definedName name="_32DEBT_RATIOS" localSheetId="21">#REF!</definedName>
    <definedName name="_32DEBT_RATIOS" localSheetId="9">#REF!</definedName>
    <definedName name="_32DEBT_RATIOS">#REF!</definedName>
    <definedName name="_32EXHIBIT_B_4" localSheetId="29">#REF!</definedName>
    <definedName name="_32EXHIBIT_B_4" localSheetId="4">#REF!</definedName>
    <definedName name="_32EXHIBIT_B_4" localSheetId="21">#REF!</definedName>
    <definedName name="_32EXHIBIT_B_4" localSheetId="9">#REF!</definedName>
    <definedName name="_32EXHIBIT_B_4">#REF!</definedName>
    <definedName name="_32LEVEL_COMBO" localSheetId="29">#REF!</definedName>
    <definedName name="_32LEVEL_COMBO" localSheetId="4">#REF!</definedName>
    <definedName name="_32LEVEL_COMBO" localSheetId="21">#REF!</definedName>
    <definedName name="_32LEVEL_COMBO" localSheetId="9">#REF!</definedName>
    <definedName name="_32LEVEL_COMBO">#REF!</definedName>
    <definedName name="_32MIN_BAL_EXP" localSheetId="29">#REF!</definedName>
    <definedName name="_32MIN_BAL_EXP" localSheetId="4">#REF!</definedName>
    <definedName name="_32MIN_BAL_EXP" localSheetId="21">#REF!</definedName>
    <definedName name="_32MIN_BAL_EXP" localSheetId="9">#REF!</definedName>
    <definedName name="_32MIN_BAL_EXP">#REF!</definedName>
    <definedName name="_32RATE_BREAKDOWN" localSheetId="29">#REF!</definedName>
    <definedName name="_32RATE_BREAKDOWN" localSheetId="4">#REF!</definedName>
    <definedName name="_32RATE_BREAKDOWN" localSheetId="21">#REF!</definedName>
    <definedName name="_32RATE_BREAKDOWN" localSheetId="9">#REF!</definedName>
    <definedName name="_32RATE_BREAKDOWN">#REF!</definedName>
    <definedName name="_32RATE_COMP" localSheetId="21">'[5]Rate Comp'!$C$1:$M$39</definedName>
    <definedName name="_32RATE_COMP" localSheetId="9">'[5]Rate Comp'!$C$1:$M$39</definedName>
    <definedName name="_32RATE_COMP">'[5]Rate Comp'!$C$1:$M$39</definedName>
    <definedName name="_33BUDGET_WWTP" localSheetId="29">#REF!</definedName>
    <definedName name="_33BUDGET_WWTP" localSheetId="4">#REF!</definedName>
    <definedName name="_33BUDGET_WWTP" localSheetId="21">#REF!</definedName>
    <definedName name="_33BUDGET_WWTP" localSheetId="9">#REF!</definedName>
    <definedName name="_33BUDGET_WWTP">#REF!</definedName>
    <definedName name="_33COMP_BILLINGS" localSheetId="29">#REF!</definedName>
    <definedName name="_33COMP_BILLINGS" localSheetId="4">#REF!</definedName>
    <definedName name="_33COMP_BILLINGS" localSheetId="21">#REF!</definedName>
    <definedName name="_33COMP_BILLINGS" localSheetId="9">#REF!</definedName>
    <definedName name="_33COMP_BILLINGS">#REF!</definedName>
    <definedName name="_33DEBT_RATIOS" localSheetId="29">#REF!</definedName>
    <definedName name="_33DEBT_RATIOS" localSheetId="4">#REF!</definedName>
    <definedName name="_33DEBT_RATIOS" localSheetId="21">#REF!</definedName>
    <definedName name="_33DEBT_RATIOS" localSheetId="9">#REF!</definedName>
    <definedName name="_33DEBT_RATIOS">#REF!</definedName>
    <definedName name="_33DEPR_EXP" localSheetId="21">'[3]Add Plant'!$A$1:$H$60</definedName>
    <definedName name="_33DEPR_EXP" localSheetId="9">'[3]Add Plant'!$A$1:$H$60</definedName>
    <definedName name="_33DEPR_EXP">'[3]Add Plant'!$A$1:$H$60</definedName>
    <definedName name="_33EXHIBIT_C" localSheetId="29">#REF!</definedName>
    <definedName name="_33EXHIBIT_C" localSheetId="4">#REF!</definedName>
    <definedName name="_33EXHIBIT_C" localSheetId="21">#REF!</definedName>
    <definedName name="_33EXHIBIT_C" localSheetId="9">#REF!</definedName>
    <definedName name="_33EXHIBIT_C">#REF!</definedName>
    <definedName name="_33MISC_ECON_INFO" localSheetId="29">#REF!</definedName>
    <definedName name="_33MISC_ECON_INFO" localSheetId="4">#REF!</definedName>
    <definedName name="_33MISC_ECON_INFO" localSheetId="21">#REF!</definedName>
    <definedName name="_33MISC_ECON_INFO" localSheetId="9">#REF!</definedName>
    <definedName name="_33MISC_ECON_INFO">#REF!</definedName>
    <definedName name="_33PSG_LOAN">'[2]PSG Loan'!$A$1:$L$40</definedName>
    <definedName name="_33RATES_PU" localSheetId="29">#REF!</definedName>
    <definedName name="_33RATES_PU" localSheetId="4">#REF!</definedName>
    <definedName name="_33RATES_PU" localSheetId="21">#REF!</definedName>
    <definedName name="_33RATES_PU" localSheetId="9">#REF!</definedName>
    <definedName name="_33RATES_PU">#REF!</definedName>
    <definedName name="_344LARGE_EMPLOYERS" localSheetId="29">#REF!</definedName>
    <definedName name="_344LARGE_EMPLOYERS" localSheetId="4">#REF!</definedName>
    <definedName name="_344LARGE_EMPLOYERS" localSheetId="21">#REF!</definedName>
    <definedName name="_344LARGE_EMPLOYERS" localSheetId="9">#REF!</definedName>
    <definedName name="_344LARGE_EMPLOYERS">#REF!</definedName>
    <definedName name="_34CALC_NORM_REV" localSheetId="29">#REF!</definedName>
    <definedName name="_34CALC_NORM_REV" localSheetId="4">#REF!</definedName>
    <definedName name="_34CALC_NORM_REV" localSheetId="21">#REF!</definedName>
    <definedName name="_34CALC_NORM_REV" localSheetId="9">#REF!</definedName>
    <definedName name="_34CALC_NORM_REV">#REF!</definedName>
    <definedName name="_34COMP_NR_TO_BUD" localSheetId="29">#REF!</definedName>
    <definedName name="_34COMP_NR_TO_BUD" localSheetId="4">#REF!</definedName>
    <definedName name="_34COMP_NR_TO_BUD" localSheetId="21">#REF!</definedName>
    <definedName name="_34COMP_NR_TO_BUD" localSheetId="9">#REF!</definedName>
    <definedName name="_34COMP_NR_TO_BUD">#REF!</definedName>
    <definedName name="_34DET_INC" localSheetId="29">#REF!</definedName>
    <definedName name="_34DET_INC" localSheetId="4">#REF!</definedName>
    <definedName name="_34DET_INC" localSheetId="21">#REF!</definedName>
    <definedName name="_34DET_INC" localSheetId="9">#REF!</definedName>
    <definedName name="_34DET_INC">#REF!</definedName>
    <definedName name="_34EXHIBIT_D" localSheetId="29">#REF!</definedName>
    <definedName name="_34EXHIBIT_D" localSheetId="4">#REF!</definedName>
    <definedName name="_34EXHIBIT_D" localSheetId="21">#REF!</definedName>
    <definedName name="_34EXHIBIT_D" localSheetId="9">#REF!</definedName>
    <definedName name="_34EXHIBIT_D">#REF!</definedName>
    <definedName name="_34NORM_REV">'[13]Norm Rev'!$A$1:$M$110</definedName>
    <definedName name="_34RATES_WL" localSheetId="29">#REF!</definedName>
    <definedName name="_34RATES_WL" localSheetId="4">#REF!</definedName>
    <definedName name="_34RATES_WL" localSheetId="21">#REF!</definedName>
    <definedName name="_34RATES_WL" localSheetId="9">#REF!</definedName>
    <definedName name="_34RATES_WL">#REF!</definedName>
    <definedName name="_350LARGE_TAXPAYER" localSheetId="29">#REF!</definedName>
    <definedName name="_350LARGE_TAXPAYER" localSheetId="4">#REF!</definedName>
    <definedName name="_350LARGE_TAXPAYER" localSheetId="21">#REF!</definedName>
    <definedName name="_350LARGE_TAXPAYER" localSheetId="9">#REF!</definedName>
    <definedName name="_350LARGE_TAXPAYER">#REF!</definedName>
    <definedName name="_356LEVEL_COMBO" localSheetId="29">#REF!</definedName>
    <definedName name="_356LEVEL_COMBO" localSheetId="4">#REF!</definedName>
    <definedName name="_356LEVEL_COMBO" localSheetId="21">#REF!</definedName>
    <definedName name="_356LEVEL_COMBO" localSheetId="9">#REF!</definedName>
    <definedName name="_356LEVEL_COMBO">#REF!</definedName>
    <definedName name="_35COVER_SHEET" localSheetId="29">#REF!</definedName>
    <definedName name="_35COVER_SHEET" localSheetId="4">#REF!</definedName>
    <definedName name="_35COVER_SHEET" localSheetId="21">#REF!</definedName>
    <definedName name="_35COVER_SHEET" localSheetId="9">#REF!</definedName>
    <definedName name="_35COVER_SHEET">#REF!</definedName>
    <definedName name="_35DET_OP_EXP" localSheetId="29">#REF!</definedName>
    <definedName name="_35DET_OP_EXP" localSheetId="4">#REF!</definedName>
    <definedName name="_35DET_OP_EXP" localSheetId="21">#REF!</definedName>
    <definedName name="_35DET_OP_EXP" localSheetId="9">#REF!</definedName>
    <definedName name="_35DET_OP_EXP">#REF!</definedName>
    <definedName name="_35EXHIBIT_F" localSheetId="29">#REF!</definedName>
    <definedName name="_35EXHIBIT_F" localSheetId="4">#REF!</definedName>
    <definedName name="_35EXHIBIT_F" localSheetId="21">#REF!</definedName>
    <definedName name="_35EXHIBIT_F" localSheetId="9">#REF!</definedName>
    <definedName name="_35EXHIBIT_F">#REF!</definedName>
    <definedName name="_35PF_COE">'[13]PF COE'!$A$1:$M$604</definedName>
    <definedName name="_35REC_AND_DIS" localSheetId="21">[5]Disb!$A$1:$I$46</definedName>
    <definedName name="_35REC_AND_DIS" localSheetId="9">[5]Disb!$A$1:$I$46</definedName>
    <definedName name="_35REC_AND_DIS">[5]Disb!$A$1:$I$46</definedName>
    <definedName name="_362LU_WKSHT" localSheetId="29">#REF!</definedName>
    <definedName name="_362LU_WKSHT" localSheetId="4">#REF!</definedName>
    <definedName name="_362LU_WKSHT" localSheetId="21">#REF!</definedName>
    <definedName name="_362LU_WKSHT" localSheetId="9">#REF!</definedName>
    <definedName name="_362LU_WKSHT">#REF!</definedName>
    <definedName name="_36COMP_BILLINGS" localSheetId="29">#REF!</definedName>
    <definedName name="_36COMP_BILLINGS" localSheetId="4">#REF!</definedName>
    <definedName name="_36COMP_BILLINGS" localSheetId="21">#REF!</definedName>
    <definedName name="_36COMP_BILLINGS" localSheetId="9">#REF!</definedName>
    <definedName name="_36COMP_BILLINGS">#REF!</definedName>
    <definedName name="_36CY_2000" localSheetId="29">#REF!</definedName>
    <definedName name="_36CY_2000" localSheetId="4">#REF!</definedName>
    <definedName name="_36CY_2000" localSheetId="21">#REF!</definedName>
    <definedName name="_36CY_2000" localSheetId="9">#REF!</definedName>
    <definedName name="_36CY_2000">#REF!</definedName>
    <definedName name="_36DEPR_EXP">'[2]Add Plant'!$A$1:$H$60</definedName>
    <definedName name="_36EXHIBIT_G" localSheetId="29">#REF!</definedName>
    <definedName name="_36EXHIBIT_G" localSheetId="4">#REF!</definedName>
    <definedName name="_36EXHIBIT_G" localSheetId="21">#REF!</definedName>
    <definedName name="_36EXHIBIT_G" localSheetId="9">#REF!</definedName>
    <definedName name="_36EXHIBIT_G">#REF!</definedName>
    <definedName name="_36FIN_INFO" localSheetId="21">'[7]Fin Info'!$A$1:$H$38</definedName>
    <definedName name="_36FIN_INFO" localSheetId="9">'[7]Fin Info'!$A$1:$H$38</definedName>
    <definedName name="_36FIN_INFO">'[7]Fin Info'!$A$1:$H$38</definedName>
    <definedName name="_36NORM_REV" localSheetId="29">#REF!</definedName>
    <definedName name="_36NORM_REV" localSheetId="4">#REF!</definedName>
    <definedName name="_36NORM_REV" localSheetId="21">#REF!</definedName>
    <definedName name="_36NORM_REV" localSheetId="9">#REF!</definedName>
    <definedName name="_36NORM_REV">#REF!</definedName>
    <definedName name="_36PRES_PROP_RT">'[13]Pres Prop Rt'!$A$1:$M$71</definedName>
    <definedName name="_37COMP_NR_TO_BUD" localSheetId="29">#REF!</definedName>
    <definedName name="_37COMP_NR_TO_BUD" localSheetId="4">#REF!</definedName>
    <definedName name="_37COMP_NR_TO_BUD" localSheetId="21">#REF!</definedName>
    <definedName name="_37COMP_NR_TO_BUD" localSheetId="9">#REF!</definedName>
    <definedName name="_37COMP_NR_TO_BUD">#REF!</definedName>
    <definedName name="_37DEBT_CAP" localSheetId="29">#REF!</definedName>
    <definedName name="_37DEBT_CAP" localSheetId="4">#REF!</definedName>
    <definedName name="_37DEBT_CAP" localSheetId="21">#REF!</definedName>
    <definedName name="_37DEBT_CAP" localSheetId="9">#REF!</definedName>
    <definedName name="_37DEBT_CAP">#REF!</definedName>
    <definedName name="_37DET_INC" localSheetId="29">#REF!</definedName>
    <definedName name="_37DET_INC" localSheetId="4">#REF!</definedName>
    <definedName name="_37DET_INC" localSheetId="21">#REF!</definedName>
    <definedName name="_37DET_INC" localSheetId="9">#REF!</definedName>
    <definedName name="_37DET_INC">#REF!</definedName>
    <definedName name="_37GF_DETAIL" localSheetId="29">#REF!</definedName>
    <definedName name="_37GF_DETAIL" localSheetId="4">#REF!</definedName>
    <definedName name="_37GF_DETAIL" localSheetId="21">#REF!</definedName>
    <definedName name="_37GF_DETAIL" localSheetId="9">#REF!</definedName>
    <definedName name="_37GF_DETAIL">#REF!</definedName>
    <definedName name="_37PF_COE" localSheetId="29">#REF!</definedName>
    <definedName name="_37PF_COE" localSheetId="4">#REF!</definedName>
    <definedName name="_37PF_COE" localSheetId="21">#REF!</definedName>
    <definedName name="_37PF_COE" localSheetId="9">#REF!</definedName>
    <definedName name="_37PF_COE">#REF!</definedName>
    <definedName name="_37RATE_COMP" localSheetId="21">'[5]Rate Comp'!$C$1:$M$39</definedName>
    <definedName name="_37RATE_COMP" localSheetId="9">'[5]Rate Comp'!$C$1:$M$39</definedName>
    <definedName name="_37RATE_COMP">'[5]Rate Comp'!$C$1:$M$39</definedName>
    <definedName name="_37REV_REQ" localSheetId="21">'[3]Rev Req I'!$A$1:$L$128</definedName>
    <definedName name="_37REV_REQ" localSheetId="9">'[3]Rev Req I'!$A$1:$L$128</definedName>
    <definedName name="_37REV_REQ">'[3]Rev Req I'!$A$1:$L$128</definedName>
    <definedName name="_38_3_MOS_00" localSheetId="29">#REF!</definedName>
    <definedName name="_38_3_MOS_00" localSheetId="4">#REF!</definedName>
    <definedName name="_38_3_MOS_00" localSheetId="21">#REF!</definedName>
    <definedName name="_38_3_MOS_00" localSheetId="9">#REF!</definedName>
    <definedName name="_38_3_MOS_00">#REF!</definedName>
    <definedName name="_384MIN_BAL" localSheetId="29">#REF!</definedName>
    <definedName name="_384MIN_BAL" localSheetId="4">#REF!</definedName>
    <definedName name="_384MIN_BAL" localSheetId="21">#REF!</definedName>
    <definedName name="_384MIN_BAL" localSheetId="9">#REF!</definedName>
    <definedName name="_384MIN_BAL">#REF!</definedName>
    <definedName name="_38COVER_SHEET" localSheetId="29">#REF!</definedName>
    <definedName name="_38COVER_SHEET" localSheetId="4">#REF!</definedName>
    <definedName name="_38COVER_SHEET" localSheetId="21">#REF!</definedName>
    <definedName name="_38COVER_SHEET" localSheetId="9">#REF!</definedName>
    <definedName name="_38COVER_SHEET">#REF!</definedName>
    <definedName name="_38DEBT_NOTES" localSheetId="29">#REF!</definedName>
    <definedName name="_38DEBT_NOTES" localSheetId="4">#REF!</definedName>
    <definedName name="_38DEBT_NOTES" localSheetId="21">#REF!</definedName>
    <definedName name="_38DEBT_NOTES" localSheetId="9">#REF!</definedName>
    <definedName name="_38DEBT_NOTES">#REF!</definedName>
    <definedName name="_38DET_OP_EXP" localSheetId="29">#REF!</definedName>
    <definedName name="_38DET_OP_EXP" localSheetId="4">#REF!</definedName>
    <definedName name="_38DET_OP_EXP" localSheetId="21">#REF!</definedName>
    <definedName name="_38DET_OP_EXP" localSheetId="9">#REF!</definedName>
    <definedName name="_38DET_OP_EXP">#REF!</definedName>
    <definedName name="_38LARGE_EMPLOYERS" localSheetId="29">#REF!</definedName>
    <definedName name="_38LARGE_EMPLOYERS" localSheetId="4">#REF!</definedName>
    <definedName name="_38LARGE_EMPLOYERS" localSheetId="21">#REF!</definedName>
    <definedName name="_38LARGE_EMPLOYERS" localSheetId="9">#REF!</definedName>
    <definedName name="_38LARGE_EMPLOYERS">#REF!</definedName>
    <definedName name="_38MIN_BAL" localSheetId="21">'[1]Min Bal'!$A$1:$M$53</definedName>
    <definedName name="_38MIN_BAL" localSheetId="9">'[1]Min Bal'!$A$1:$M$53</definedName>
    <definedName name="_38MIN_BAL">'[1]Min Bal'!$A$1:$M$53</definedName>
    <definedName name="_38PRES_PROP_RT" localSheetId="29">#REF!</definedName>
    <definedName name="_38PRES_PROP_RT" localSheetId="4">#REF!</definedName>
    <definedName name="_38PRES_PROP_RT" localSheetId="21">#REF!</definedName>
    <definedName name="_38PRES_PROP_RT" localSheetId="9">#REF!</definedName>
    <definedName name="_38PRES_PROP_RT">#REF!</definedName>
    <definedName name="_396MIN_BAL_EXP" localSheetId="29">#REF!</definedName>
    <definedName name="_396MIN_BAL_EXP" localSheetId="4">#REF!</definedName>
    <definedName name="_396MIN_BAL_EXP" localSheetId="21">#REF!</definedName>
    <definedName name="_396MIN_BAL_EXP" localSheetId="9">#REF!</definedName>
    <definedName name="_396MIN_BAL_EXP">#REF!</definedName>
    <definedName name="_39CY_2000" localSheetId="29">#REF!</definedName>
    <definedName name="_39CY_2000" localSheetId="4">#REF!</definedName>
    <definedName name="_39CY_2000" localSheetId="21">#REF!</definedName>
    <definedName name="_39CY_2000" localSheetId="9">#REF!</definedName>
    <definedName name="_39CY_2000">#REF!</definedName>
    <definedName name="_39DEBT_RATIOS" localSheetId="29">#REF!</definedName>
    <definedName name="_39DEBT_RATIOS" localSheetId="4">#REF!</definedName>
    <definedName name="_39DEBT_RATIOS" localSheetId="21">#REF!</definedName>
    <definedName name="_39DEBT_RATIOS" localSheetId="9">#REF!</definedName>
    <definedName name="_39DEBT_RATIOS">#REF!</definedName>
    <definedName name="_39FUND_BAL" localSheetId="29">#REF!</definedName>
    <definedName name="_39FUND_BAL" localSheetId="4">#REF!</definedName>
    <definedName name="_39FUND_BAL" localSheetId="21">#REF!</definedName>
    <definedName name="_39FUND_BAL" localSheetId="9">#REF!</definedName>
    <definedName name="_39FUND_BAL">#REF!</definedName>
    <definedName name="_39LEVEL_COMBO" localSheetId="29">#REF!</definedName>
    <definedName name="_39LEVEL_COMBO" localSheetId="4">#REF!</definedName>
    <definedName name="_39LEVEL_COMBO" localSheetId="21">#REF!</definedName>
    <definedName name="_39LEVEL_COMBO" localSheetId="9">#REF!</definedName>
    <definedName name="_39LEVEL_COMBO">#REF!</definedName>
    <definedName name="_39PROJECTED_DISB.">'[4]Projected Disb.'!$A$1:$I$41</definedName>
    <definedName name="_3ALLOC_WL_PU" localSheetId="29">#REF!</definedName>
    <definedName name="_3ALLOC_WL_PU" localSheetId="4">#REF!</definedName>
    <definedName name="_3ALLOC_WL_PU" localSheetId="21">#REF!</definedName>
    <definedName name="_3ALLOC_WL_PU" localSheetId="9">#REF!</definedName>
    <definedName name="_3ALLOC_WL_PU">#REF!</definedName>
    <definedName name="_3CASH_FLOW" localSheetId="29">#REF!</definedName>
    <definedName name="_3CASH_FLOW" localSheetId="4">#REF!</definedName>
    <definedName name="_3CASH_FLOW" localSheetId="21">#REF!</definedName>
    <definedName name="_3CASH_FLOW" localSheetId="9">#REF!</definedName>
    <definedName name="_3CASH_FLOW">#REF!</definedName>
    <definedName name="_3COMP_BILLINGS" localSheetId="29">#REF!</definedName>
    <definedName name="_3COMP_BILLINGS" localSheetId="4">#REF!</definedName>
    <definedName name="_3COMP_BILLINGS" localSheetId="21">#REF!</definedName>
    <definedName name="_3COMP_BILLINGS" localSheetId="9">#REF!</definedName>
    <definedName name="_3COMP_BILLINGS">#REF!</definedName>
    <definedName name="_3RATE_BREAKDOWN" localSheetId="29">#REF!</definedName>
    <definedName name="_3RATE_BREAKDOWN" localSheetId="4">#REF!</definedName>
    <definedName name="_3RATE_BREAKDOWN" localSheetId="21">#REF!</definedName>
    <definedName name="_3RATE_BREAKDOWN" localSheetId="9">#REF!</definedName>
    <definedName name="_3RATE_BREAKDOWN">#REF!</definedName>
    <definedName name="_4_1993_BONDS" localSheetId="29">#REF!</definedName>
    <definedName name="_4_1993_BONDS" localSheetId="4">#REF!</definedName>
    <definedName name="_4_1993_BONDS" localSheetId="21">#REF!</definedName>
    <definedName name="_4_1993_BONDS" localSheetId="9">#REF!</definedName>
    <definedName name="_4_1993_BONDS">#REF!</definedName>
    <definedName name="_4_1996_BONDS" localSheetId="29">#REF!</definedName>
    <definedName name="_4_1996_BONDS" localSheetId="4">#REF!</definedName>
    <definedName name="_4_1996_BONDS" localSheetId="21">#REF!</definedName>
    <definedName name="_4_1996_BONDS" localSheetId="9">#REF!</definedName>
    <definedName name="_4_1996_BONDS">#REF!</definedName>
    <definedName name="_4_1999_BONDS" localSheetId="29">#REF!</definedName>
    <definedName name="_4_1999_BONDS" localSheetId="4">#REF!</definedName>
    <definedName name="_4_1999_BONDS" localSheetId="21">#REF!</definedName>
    <definedName name="_4_1999_BONDS" localSheetId="9">#REF!</definedName>
    <definedName name="_4_1999_BONDS">#REF!</definedName>
    <definedName name="_4_2001_LEVEL" localSheetId="29">#REF!</definedName>
    <definedName name="_4_2001_LEVEL" localSheetId="4">#REF!</definedName>
    <definedName name="_4_2001_LEVEL" localSheetId="21">#REF!</definedName>
    <definedName name="_4_2001_LEVEL" localSheetId="9">#REF!</definedName>
    <definedName name="_4_2001_LEVEL">#REF!</definedName>
    <definedName name="_4_3_MOS_00" localSheetId="29">#REF!</definedName>
    <definedName name="_4_3_MOS_00" localSheetId="4">#REF!</definedName>
    <definedName name="_4_3_MOS_00" localSheetId="21">#REF!</definedName>
    <definedName name="_4_3_MOS_00" localSheetId="9">#REF!</definedName>
    <definedName name="_4_3_MOS_00">#REF!</definedName>
    <definedName name="_40CAP_IMPR" localSheetId="29">#REF!</definedName>
    <definedName name="_40CAP_IMPR" localSheetId="4">#REF!</definedName>
    <definedName name="_40CAP_IMPR" localSheetId="21">#REF!</definedName>
    <definedName name="_40CAP_IMPR" localSheetId="9">#REF!</definedName>
    <definedName name="_40CAP_IMPR">#REF!</definedName>
    <definedName name="_40DEBT_CAP" localSheetId="29">#REF!</definedName>
    <definedName name="_40DEBT_CAP" localSheetId="4">#REF!</definedName>
    <definedName name="_40DEBT_CAP" localSheetId="21">#REF!</definedName>
    <definedName name="_40DEBT_CAP" localSheetId="9">#REF!</definedName>
    <definedName name="_40DEBT_CAP">#REF!</definedName>
    <definedName name="_40GF_DETAIL" localSheetId="29">#REF!</definedName>
    <definedName name="_40GF_DETAIL" localSheetId="4">#REF!</definedName>
    <definedName name="_40GF_DETAIL" localSheetId="21">#REF!</definedName>
    <definedName name="_40GF_DETAIL" localSheetId="9">#REF!</definedName>
    <definedName name="_40GF_DETAIL">#REF!</definedName>
    <definedName name="_40LU_WKSHT" localSheetId="29">#REF!</definedName>
    <definedName name="_40LU_WKSHT" localSheetId="4">#REF!</definedName>
    <definedName name="_40LU_WKSHT" localSheetId="21">#REF!</definedName>
    <definedName name="_40LU_WKSHT" localSheetId="9">#REF!</definedName>
    <definedName name="_40LU_WKSHT">#REF!</definedName>
    <definedName name="_40MIN_BAL" localSheetId="29">#REF!</definedName>
    <definedName name="_40MIN_BAL" localSheetId="4">#REF!</definedName>
    <definedName name="_40MIN_BAL" localSheetId="21">#REF!</definedName>
    <definedName name="_40MIN_BAL" localSheetId="9">#REF!</definedName>
    <definedName name="_40MIN_BAL">#REF!</definedName>
    <definedName name="_40MIN_BAL_EXP" localSheetId="29">#REF!</definedName>
    <definedName name="_40MIN_BAL_EXP" localSheetId="4">#REF!</definedName>
    <definedName name="_40MIN_BAL_EXP" localSheetId="21">#REF!</definedName>
    <definedName name="_40MIN_BAL_EXP" localSheetId="9">#REF!</definedName>
    <definedName name="_40MIN_BAL_EXP">#REF!</definedName>
    <definedName name="_40PROM_NOTE">[4]RevReq!$X$56:$AE$79</definedName>
    <definedName name="_40REC_AND_DIS" localSheetId="21">[5]Disb!$A$1:$I$46</definedName>
    <definedName name="_40REC_AND_DIS" localSheetId="9">[5]Disb!$A$1:$I$46</definedName>
    <definedName name="_40REC_AND_DIS">[5]Disb!$A$1:$I$46</definedName>
    <definedName name="_40REV_REQ">'[2]Rev Req I'!$A$1:$L$128</definedName>
    <definedName name="_419MISC_ECON_INFO" localSheetId="29">#REF!</definedName>
    <definedName name="_419MISC_ECON_INFO" localSheetId="4">#REF!</definedName>
    <definedName name="_419MISC_ECON_INFO" localSheetId="21">#REF!</definedName>
    <definedName name="_419MISC_ECON_INFO" localSheetId="9">#REF!</definedName>
    <definedName name="_419MISC_ECON_INFO">#REF!</definedName>
    <definedName name="_41DEBT_NOTES" localSheetId="29">#REF!</definedName>
    <definedName name="_41DEBT_NOTES" localSheetId="4">#REF!</definedName>
    <definedName name="_41DEBT_NOTES" localSheetId="21">#REF!</definedName>
    <definedName name="_41DEBT_NOTES" localSheetId="9">#REF!</definedName>
    <definedName name="_41DEBT_NOTES">#REF!</definedName>
    <definedName name="_41DEPR_EXP" localSheetId="29">#REF!</definedName>
    <definedName name="_41DEPR_EXP" localSheetId="4">#REF!</definedName>
    <definedName name="_41DEPR_EXP" localSheetId="21">#REF!</definedName>
    <definedName name="_41DEPR_EXP" localSheetId="9">#REF!</definedName>
    <definedName name="_41DEPR_EXP">#REF!</definedName>
    <definedName name="_41MIN_BAL" localSheetId="29">#REF!</definedName>
    <definedName name="_41MIN_BAL" localSheetId="4">#REF!</definedName>
    <definedName name="_41MIN_BAL" localSheetId="21">#REF!</definedName>
    <definedName name="_41MIN_BAL" localSheetId="9">#REF!</definedName>
    <definedName name="_41MIN_BAL">#REF!</definedName>
    <definedName name="_41MIN_BAL_EXP" localSheetId="29">#REF!</definedName>
    <definedName name="_41MIN_BAL_EXP" localSheetId="4">#REF!</definedName>
    <definedName name="_41MIN_BAL_EXP" localSheetId="21">#REF!</definedName>
    <definedName name="_41MIN_BAL_EXP" localSheetId="9">#REF!</definedName>
    <definedName name="_41MIN_BAL_EXP">#REF!</definedName>
    <definedName name="_41MISC_ECON_INFO" localSheetId="29">#REF!</definedName>
    <definedName name="_41MISC_ECON_INFO" localSheetId="4">#REF!</definedName>
    <definedName name="_41MISC_ECON_INFO" localSheetId="21">#REF!</definedName>
    <definedName name="_41MISC_ECON_INFO" localSheetId="9">#REF!</definedName>
    <definedName name="_41MISC_ECON_INFO">#REF!</definedName>
    <definedName name="_41PRO_CF" localSheetId="29">#REF!</definedName>
    <definedName name="_41PRO_CF" localSheetId="4">#REF!</definedName>
    <definedName name="_41PRO_CF" localSheetId="21">#REF!</definedName>
    <definedName name="_41PRO_CF" localSheetId="9">#REF!</definedName>
    <definedName name="_41PRO_CF">#REF!</definedName>
    <definedName name="_41PSG_LOAN">'[13]PSG Loan'!$A$1:$L$40</definedName>
    <definedName name="_42DEBT_RATIOS" localSheetId="29">#REF!</definedName>
    <definedName name="_42DEBT_RATIOS" localSheetId="4">#REF!</definedName>
    <definedName name="_42DEBT_RATIOS" localSheetId="21">#REF!</definedName>
    <definedName name="_42DEBT_RATIOS" localSheetId="9">#REF!</definedName>
    <definedName name="_42DEBT_RATIOS">#REF!</definedName>
    <definedName name="_42DET_INC" localSheetId="29">#REF!</definedName>
    <definedName name="_42DET_INC" localSheetId="4">#REF!</definedName>
    <definedName name="_42DET_INC" localSheetId="21">#REF!</definedName>
    <definedName name="_42DET_INC" localSheetId="9">#REF!</definedName>
    <definedName name="_42DET_INC">#REF!</definedName>
    <definedName name="_42LARGE_EMPLOYERS" localSheetId="29">#REF!</definedName>
    <definedName name="_42LARGE_EMPLOYERS" localSheetId="4">#REF!</definedName>
    <definedName name="_42LARGE_EMPLOYERS" localSheetId="21">#REF!</definedName>
    <definedName name="_42LARGE_EMPLOYERS" localSheetId="9">#REF!</definedName>
    <definedName name="_42LARGE_EMPLOYERS">#REF!</definedName>
    <definedName name="_42MIN_BAL_EXP" localSheetId="29">#REF!</definedName>
    <definedName name="_42MIN_BAL_EXP" localSheetId="4">#REF!</definedName>
    <definedName name="_42MIN_BAL_EXP" localSheetId="21">#REF!</definedName>
    <definedName name="_42MIN_BAL_EXP" localSheetId="9">#REF!</definedName>
    <definedName name="_42MIN_BAL_EXP">#REF!</definedName>
    <definedName name="_42MISC_ECON_INFO" localSheetId="29">#REF!</definedName>
    <definedName name="_42MISC_ECON_INFO" localSheetId="4">#REF!</definedName>
    <definedName name="_42MISC_ECON_INFO" localSheetId="21">#REF!</definedName>
    <definedName name="_42MISC_ECON_INFO" localSheetId="9">#REF!</definedName>
    <definedName name="_42MISC_ECON_INFO">#REF!</definedName>
    <definedName name="_42PRO_OP_EXP" localSheetId="29">#REF!</definedName>
    <definedName name="_42PRO_OP_EXP" localSheetId="4">#REF!</definedName>
    <definedName name="_42PRO_OP_EXP" localSheetId="21">#REF!</definedName>
    <definedName name="_42PRO_OP_EXP" localSheetId="9">#REF!</definedName>
    <definedName name="_42PRO_OP_EXP">#REF!</definedName>
    <definedName name="_43DET_OP_EXP" localSheetId="29">#REF!</definedName>
    <definedName name="_43DET_OP_EXP" localSheetId="4">#REF!</definedName>
    <definedName name="_43DET_OP_EXP" localSheetId="21">#REF!</definedName>
    <definedName name="_43DET_OP_EXP" localSheetId="9">#REF!</definedName>
    <definedName name="_43DET_OP_EXP">#REF!</definedName>
    <definedName name="_43LARGE_TAXPAYER" localSheetId="29">#REF!</definedName>
    <definedName name="_43LARGE_TAXPAYER" localSheetId="4">#REF!</definedName>
    <definedName name="_43LARGE_TAXPAYER" localSheetId="21">#REF!</definedName>
    <definedName name="_43LARGE_TAXPAYER" localSheetId="9">#REF!</definedName>
    <definedName name="_43LARGE_TAXPAYER">#REF!</definedName>
    <definedName name="_43MISC_ECON_INFO" localSheetId="29">#REF!</definedName>
    <definedName name="_43MISC_ECON_INFO" localSheetId="4">#REF!</definedName>
    <definedName name="_43MISC_ECON_INFO" localSheetId="21">#REF!</definedName>
    <definedName name="_43MISC_ECON_INFO" localSheetId="9">#REF!</definedName>
    <definedName name="_43MISC_ECON_INFO">#REF!</definedName>
    <definedName name="_43NORM_REV" localSheetId="29">#REF!</definedName>
    <definedName name="_43NORM_REV" localSheetId="4">#REF!</definedName>
    <definedName name="_43NORM_REV" localSheetId="21">#REF!</definedName>
    <definedName name="_43NORM_REV" localSheetId="9">#REF!</definedName>
    <definedName name="_43NORM_REV">#REF!</definedName>
    <definedName name="_43PSG_LOAN" localSheetId="29">#REF!</definedName>
    <definedName name="_43PSG_LOAN" localSheetId="4">#REF!</definedName>
    <definedName name="_43PSG_LOAN" localSheetId="21">#REF!</definedName>
    <definedName name="_43PSG_LOAN" localSheetId="9">#REF!</definedName>
    <definedName name="_43PSG_LOAN">#REF!</definedName>
    <definedName name="_43RATE_COMP">'[14]Rate Comp'!$C$1:$M$39</definedName>
    <definedName name="_44_3_MOS_01" localSheetId="29">#REF!</definedName>
    <definedName name="_44_3_MOS_01" localSheetId="4">#REF!</definedName>
    <definedName name="_44_3_MOS_01" localSheetId="21">#REF!</definedName>
    <definedName name="_44_3_MOS_01" localSheetId="9">#REF!</definedName>
    <definedName name="_44_3_MOS_01">#REF!</definedName>
    <definedName name="_441NORM_REV" localSheetId="29">#REF!</definedName>
    <definedName name="_441NORM_REV" localSheetId="4">#REF!</definedName>
    <definedName name="_441NORM_REV" localSheetId="21">#REF!</definedName>
    <definedName name="_441NORM_REV" localSheetId="9">#REF!</definedName>
    <definedName name="_441NORM_REV">#REF!</definedName>
    <definedName name="_44FIN_INFO" localSheetId="21">'[7]Fin Info'!$A$1:$H$38</definedName>
    <definedName name="_44FIN_INFO" localSheetId="9">'[7]Fin Info'!$A$1:$H$38</definedName>
    <definedName name="_44FIN_INFO">'[7]Fin Info'!$A$1:$H$38</definedName>
    <definedName name="_44NORM_REV">'[2]Norm Rev'!$A$1:$M$110</definedName>
    <definedName name="_44PF_COE" localSheetId="21">'[3]PF COE'!$A$1:$M$604</definedName>
    <definedName name="_44PF_COE" localSheetId="9">'[3]PF COE'!$A$1:$M$604</definedName>
    <definedName name="_44PF_COE">'[3]PF COE'!$A$1:$M$604</definedName>
    <definedName name="_44RATE_BREAKDOWN" localSheetId="29">#REF!</definedName>
    <definedName name="_44RATE_BREAKDOWN" localSheetId="4">#REF!</definedName>
    <definedName name="_44RATE_BREAKDOWN" localSheetId="21">#REF!</definedName>
    <definedName name="_44RATE_BREAKDOWN" localSheetId="9">#REF!</definedName>
    <definedName name="_44RATE_BREAKDOWN">#REF!</definedName>
    <definedName name="_453PF_COE" localSheetId="29">#REF!</definedName>
    <definedName name="_453PF_COE" localSheetId="4">#REF!</definedName>
    <definedName name="_453PF_COE" localSheetId="21">#REF!</definedName>
    <definedName name="_453PF_COE" localSheetId="9">#REF!</definedName>
    <definedName name="_453PF_COE">#REF!</definedName>
    <definedName name="_45CASH_FLOW" localSheetId="29">#REF!</definedName>
    <definedName name="_45CASH_FLOW" localSheetId="4">#REF!</definedName>
    <definedName name="_45CASH_FLOW" localSheetId="21">#REF!</definedName>
    <definedName name="_45CASH_FLOW" localSheetId="9">#REF!</definedName>
    <definedName name="_45CASH_FLOW">#REF!</definedName>
    <definedName name="_45FUND_BAL" localSheetId="29">#REF!</definedName>
    <definedName name="_45FUND_BAL" localSheetId="4">#REF!</definedName>
    <definedName name="_45FUND_BAL" localSheetId="21">#REF!</definedName>
    <definedName name="_45FUND_BAL" localSheetId="9">#REF!</definedName>
    <definedName name="_45FUND_BAL">#REF!</definedName>
    <definedName name="_45LEVEL_COMBO" localSheetId="29">#REF!</definedName>
    <definedName name="_45LEVEL_COMBO" localSheetId="4">#REF!</definedName>
    <definedName name="_45LEVEL_COMBO" localSheetId="21">#REF!</definedName>
    <definedName name="_45LEVEL_COMBO" localSheetId="9">#REF!</definedName>
    <definedName name="_45LEVEL_COMBO">#REF!</definedName>
    <definedName name="_45PF_COE">'[2]PF COE'!$A$1:$M$604</definedName>
    <definedName name="_45PRES_PROP_RT" localSheetId="21">'[3]Pres Prop Rt'!$A$1:$M$71</definedName>
    <definedName name="_45PRES_PROP_RT" localSheetId="9">'[3]Pres Prop Rt'!$A$1:$M$71</definedName>
    <definedName name="_45PRES_PROP_RT">'[3]Pres Prop Rt'!$A$1:$M$71</definedName>
    <definedName name="_45RATES_PU" localSheetId="29">#REF!</definedName>
    <definedName name="_45RATES_PU" localSheetId="4">#REF!</definedName>
    <definedName name="_45RATES_PU" localSheetId="21">#REF!</definedName>
    <definedName name="_45RATES_PU" localSheetId="9">#REF!</definedName>
    <definedName name="_45RATES_PU">#REF!</definedName>
    <definedName name="_465PRES_PROP_RT" localSheetId="29">#REF!</definedName>
    <definedName name="_465PRES_PROP_RT" localSheetId="4">#REF!</definedName>
    <definedName name="_465PRES_PROP_RT" localSheetId="21">#REF!</definedName>
    <definedName name="_465PRES_PROP_RT" localSheetId="9">#REF!</definedName>
    <definedName name="_465PRES_PROP_RT">#REF!</definedName>
    <definedName name="_46COMB_BUDGET" localSheetId="29">#REF!</definedName>
    <definedName name="_46COMB_BUDGET" localSheetId="4">#REF!</definedName>
    <definedName name="_46COMB_BUDGET" localSheetId="21">#REF!</definedName>
    <definedName name="_46COMB_BUDGET" localSheetId="9">#REF!</definedName>
    <definedName name="_46COMB_BUDGET">#REF!</definedName>
    <definedName name="_46GF_DETAIL" localSheetId="29">#REF!</definedName>
    <definedName name="_46GF_DETAIL" localSheetId="4">#REF!</definedName>
    <definedName name="_46GF_DETAIL" localSheetId="21">#REF!</definedName>
    <definedName name="_46GF_DETAIL" localSheetId="9">#REF!</definedName>
    <definedName name="_46GF_DETAIL">#REF!</definedName>
    <definedName name="_46PRES_PROP_RT">'[2]Pres Prop Rt'!$A$1:$M$71</definedName>
    <definedName name="_46PRO_CF" localSheetId="29">#REF!</definedName>
    <definedName name="_46PRO_CF" localSheetId="4">#REF!</definedName>
    <definedName name="_46PRO_CF" localSheetId="21">#REF!</definedName>
    <definedName name="_46PRO_CF" localSheetId="9">#REF!</definedName>
    <definedName name="_46PRO_CF">#REF!</definedName>
    <definedName name="_46RATES_WL" localSheetId="29">#REF!</definedName>
    <definedName name="_46RATES_WL" localSheetId="4">#REF!</definedName>
    <definedName name="_46RATES_WL" localSheetId="21">#REF!</definedName>
    <definedName name="_46RATES_WL" localSheetId="9">#REF!</definedName>
    <definedName name="_46RATES_WL">#REF!</definedName>
    <definedName name="_46REC_AND_DIS">[14]Disb!$A$1:$I$46</definedName>
    <definedName name="_471PRO_CF" localSheetId="29">#REF!</definedName>
    <definedName name="_471PRO_CF" localSheetId="4">#REF!</definedName>
    <definedName name="_471PRO_CF" localSheetId="21">#REF!</definedName>
    <definedName name="_471PRO_CF" localSheetId="9">#REF!</definedName>
    <definedName name="_471PRO_CF">#REF!</definedName>
    <definedName name="_477PRO_OP_EXP" localSheetId="29">#REF!</definedName>
    <definedName name="_477PRO_OP_EXP" localSheetId="4">#REF!</definedName>
    <definedName name="_477PRO_OP_EXP" localSheetId="21">#REF!</definedName>
    <definedName name="_477PRO_OP_EXP" localSheetId="9">#REF!</definedName>
    <definedName name="_477PRO_OP_EXP">#REF!</definedName>
    <definedName name="_478PROJECTED_DISB." localSheetId="21">'[7]Projected Disb.'!$A$1:$I$41</definedName>
    <definedName name="_478PROJECTED_DISB." localSheetId="9">'[7]Projected Disb.'!$A$1:$I$41</definedName>
    <definedName name="_478PROJECTED_DISB.">'[7]Projected Disb.'!$A$1:$I$41</definedName>
    <definedName name="_479PROM_NOTE" localSheetId="21">[7]RevReq!$X$56:$AE$79</definedName>
    <definedName name="_479PROM_NOTE" localSheetId="9">[7]RevReq!$X$56:$AE$79</definedName>
    <definedName name="_479PROM_NOTE">[7]RevReq!$X$56:$AE$79</definedName>
    <definedName name="_47LARGE_EMPLOYERS" localSheetId="29">#REF!</definedName>
    <definedName name="_47LARGE_EMPLOYERS" localSheetId="4">#REF!</definedName>
    <definedName name="_47LARGE_EMPLOYERS" localSheetId="21">#REF!</definedName>
    <definedName name="_47LARGE_EMPLOYERS" localSheetId="9">#REF!</definedName>
    <definedName name="_47LARGE_EMPLOYERS">#REF!</definedName>
    <definedName name="_47LU_WKSHT" localSheetId="29">#REF!</definedName>
    <definedName name="_47LU_WKSHT" localSheetId="4">#REF!</definedName>
    <definedName name="_47LU_WKSHT" localSheetId="21">#REF!</definedName>
    <definedName name="_47LU_WKSHT" localSheetId="9">#REF!</definedName>
    <definedName name="_47LU_WKSHT">#REF!</definedName>
    <definedName name="_47NORM_REV" localSheetId="29">#REF!</definedName>
    <definedName name="_47NORM_REV" localSheetId="4">#REF!</definedName>
    <definedName name="_47NORM_REV" localSheetId="21">#REF!</definedName>
    <definedName name="_47NORM_REV" localSheetId="9">#REF!</definedName>
    <definedName name="_47NORM_REV">#REF!</definedName>
    <definedName name="_47PRO_CF" localSheetId="29">#REF!</definedName>
    <definedName name="_47PRO_CF" localSheetId="4">#REF!</definedName>
    <definedName name="_47PRO_CF" localSheetId="21">#REF!</definedName>
    <definedName name="_47PRO_CF" localSheetId="9">#REF!</definedName>
    <definedName name="_47PRO_CF">#REF!</definedName>
    <definedName name="_47PRO_OP_EXP" localSheetId="29">#REF!</definedName>
    <definedName name="_47PRO_OP_EXP" localSheetId="4">#REF!</definedName>
    <definedName name="_47PRO_OP_EXP" localSheetId="21">#REF!</definedName>
    <definedName name="_47PRO_OP_EXP" localSheetId="9">#REF!</definedName>
    <definedName name="_47PRO_OP_EXP">#REF!</definedName>
    <definedName name="_47REC_AND_DISB">'[4]Rec and Disb'!$A$1:$K$96</definedName>
    <definedName name="_47REC_DIS" localSheetId="29">#REF!</definedName>
    <definedName name="_47REC_DIS" localSheetId="4">#REF!</definedName>
    <definedName name="_47REC_DIS" localSheetId="21">#REF!</definedName>
    <definedName name="_47REC_DIS" localSheetId="9">#REF!</definedName>
    <definedName name="_47REC_DIS">#REF!</definedName>
    <definedName name="_48LARGE_TAXPAYER" localSheetId="29">#REF!</definedName>
    <definedName name="_48LARGE_TAXPAYER" localSheetId="4">#REF!</definedName>
    <definedName name="_48LARGE_TAXPAYER" localSheetId="21">#REF!</definedName>
    <definedName name="_48LARGE_TAXPAYER" localSheetId="9">#REF!</definedName>
    <definedName name="_48LARGE_TAXPAYER">#REF!</definedName>
    <definedName name="_48PRO_OP_EXP" localSheetId="29">#REF!</definedName>
    <definedName name="_48PRO_OP_EXP" localSheetId="4">#REF!</definedName>
    <definedName name="_48PRO_OP_EXP" localSheetId="21">#REF!</definedName>
    <definedName name="_48PRO_OP_EXP" localSheetId="9">#REF!</definedName>
    <definedName name="_48PRO_OP_EXP">#REF!</definedName>
    <definedName name="_48PROJECTED_DISB." localSheetId="21">'[7]Projected Disb.'!$A$1:$I$41</definedName>
    <definedName name="_48PROJECTED_DISB." localSheetId="9">'[7]Projected Disb.'!$A$1:$I$41</definedName>
    <definedName name="_48PROJECTED_DISB.">'[7]Projected Disb.'!$A$1:$I$41</definedName>
    <definedName name="_48REV_REQ" localSheetId="21">'[1]Rev Req I'!$A$1:$M$127</definedName>
    <definedName name="_48REV_REQ" localSheetId="9">'[1]Rev Req I'!$A$1:$M$127</definedName>
    <definedName name="_48REV_REQ">'[1]Rev Req I'!$A$1:$M$127</definedName>
    <definedName name="_491PSG_LOAN" localSheetId="29">#REF!</definedName>
    <definedName name="_491PSG_LOAN" localSheetId="4">#REF!</definedName>
    <definedName name="_491PSG_LOAN" localSheetId="21">#REF!</definedName>
    <definedName name="_491PSG_LOAN" localSheetId="9">#REF!</definedName>
    <definedName name="_491PSG_LOAN">#REF!</definedName>
    <definedName name="_497RATE_BREAKDOWN" localSheetId="29">#REF!</definedName>
    <definedName name="_497RATE_BREAKDOWN" localSheetId="4">#REF!</definedName>
    <definedName name="_497RATE_BREAKDOWN" localSheetId="21">#REF!</definedName>
    <definedName name="_497RATE_BREAKDOWN" localSheetId="9">#REF!</definedName>
    <definedName name="_497RATE_BREAKDOWN">#REF!</definedName>
    <definedName name="_49DEPR_EXP" localSheetId="29">#REF!</definedName>
    <definedName name="_49DEPR_EXP" localSheetId="4">#REF!</definedName>
    <definedName name="_49DEPR_EXP" localSheetId="21">#REF!</definedName>
    <definedName name="_49DEPR_EXP" localSheetId="9">#REF!</definedName>
    <definedName name="_49DEPR_EXP">#REF!</definedName>
    <definedName name="_49LEVEL_COMBO" localSheetId="29">#REF!</definedName>
    <definedName name="_49LEVEL_COMBO" localSheetId="4">#REF!</definedName>
    <definedName name="_49LEVEL_COMBO" localSheetId="21">#REF!</definedName>
    <definedName name="_49LEVEL_COMBO" localSheetId="9">#REF!</definedName>
    <definedName name="_49LEVEL_COMBO">#REF!</definedName>
    <definedName name="_49PF_COE" localSheetId="29">#REF!</definedName>
    <definedName name="_49PF_COE" localSheetId="4">#REF!</definedName>
    <definedName name="_49PF_COE" localSheetId="21">#REF!</definedName>
    <definedName name="_49PF_COE" localSheetId="9">#REF!</definedName>
    <definedName name="_49PF_COE">#REF!</definedName>
    <definedName name="_49PROM_NOTE" localSheetId="21">[7]RevReq!$X$56:$AE$79</definedName>
    <definedName name="_49PROM_NOTE" localSheetId="9">[7]RevReq!$X$56:$AE$79</definedName>
    <definedName name="_49PROM_NOTE">[7]RevReq!$X$56:$AE$79</definedName>
    <definedName name="_49PSG_LOAN">'[2]PSG Loan'!$A$1:$L$40</definedName>
    <definedName name="_49SEL_OTHER_NFI" localSheetId="29">#REF!</definedName>
    <definedName name="_49SEL_OTHER_NFI" localSheetId="4">#REF!</definedName>
    <definedName name="_49SEL_OTHER_NFI" localSheetId="21">#REF!</definedName>
    <definedName name="_49SEL_OTHER_NFI" localSheetId="9">#REF!</definedName>
    <definedName name="_49SEL_OTHER_NFI">#REF!</definedName>
    <definedName name="_4ALLOC_EXP" localSheetId="29">#REF!</definedName>
    <definedName name="_4ALLOC_EXP" localSheetId="4">#REF!</definedName>
    <definedName name="_4ALLOC_EXP" localSheetId="21">#REF!</definedName>
    <definedName name="_4ALLOC_EXP" localSheetId="9">#REF!</definedName>
    <definedName name="_4ALLOC_EXP">#REF!</definedName>
    <definedName name="_4CAP_IMPR" localSheetId="21">'[3]Cap Impr'!$A$1:$J$47</definedName>
    <definedName name="_4CAP_IMPR" localSheetId="9">'[3]Cap Impr'!$A$1:$J$47</definedName>
    <definedName name="_4CAP_IMPR">'[3]Cap Impr'!$A$1:$J$47</definedName>
    <definedName name="_4DEPR_EXP" localSheetId="29">#REF!</definedName>
    <definedName name="_4DEPR_EXP" localSheetId="4">#REF!</definedName>
    <definedName name="_4DEPR_EXP" localSheetId="21">#REF!</definedName>
    <definedName name="_4DEPR_EXP" localSheetId="9">#REF!</definedName>
    <definedName name="_4DEPR_EXP">#REF!</definedName>
    <definedName name="_4DET_OP_EXP" localSheetId="29">#REF!</definedName>
    <definedName name="_4DET_OP_EXP" localSheetId="4">#REF!</definedName>
    <definedName name="_4DET_OP_EXP" localSheetId="21">#REF!</definedName>
    <definedName name="_4DET_OP_EXP" localSheetId="9">#REF!</definedName>
    <definedName name="_4DET_OP_EXP">#REF!</definedName>
    <definedName name="_4EXHIBIT_B_1" localSheetId="29">#REF!</definedName>
    <definedName name="_4EXHIBIT_B_1" localSheetId="21">#REF!</definedName>
    <definedName name="_4EXHIBIT_B_1" localSheetId="9">#REF!</definedName>
    <definedName name="_4EXHIBIT_B_1">#REF!</definedName>
    <definedName name="_4RATES_PU" localSheetId="29">#REF!</definedName>
    <definedName name="_4RATES_PU" localSheetId="4">#REF!</definedName>
    <definedName name="_4RATES_PU" localSheetId="21">#REF!</definedName>
    <definedName name="_4RATES_PU" localSheetId="9">#REF!</definedName>
    <definedName name="_4RATES_PU">#REF!</definedName>
    <definedName name="_5_1996_BONDS" localSheetId="29">#REF!</definedName>
    <definedName name="_5_1996_BONDS" localSheetId="4">#REF!</definedName>
    <definedName name="_5_1996_BONDS" localSheetId="21">#REF!</definedName>
    <definedName name="_5_1996_BONDS" localSheetId="9">#REF!</definedName>
    <definedName name="_5_1996_BONDS">#REF!</definedName>
    <definedName name="_5_1997_BONDS" localSheetId="29">#REF!</definedName>
    <definedName name="_5_1997_BONDS" localSheetId="4">#REF!</definedName>
    <definedName name="_5_1997_BONDS" localSheetId="21">#REF!</definedName>
    <definedName name="_5_1997_BONDS" localSheetId="9">#REF!</definedName>
    <definedName name="_5_1997_BONDS">#REF!</definedName>
    <definedName name="_5_2001_LEVEL" localSheetId="29">#REF!</definedName>
    <definedName name="_5_2001_LEVEL" localSheetId="4">#REF!</definedName>
    <definedName name="_5_2001_LEVEL" localSheetId="21">#REF!</definedName>
    <definedName name="_5_2001_LEVEL" localSheetId="9">#REF!</definedName>
    <definedName name="_5_2001_LEVEL">#REF!</definedName>
    <definedName name="_5_3_MOS_00" localSheetId="29">#REF!</definedName>
    <definedName name="_5_3_MOS_00" localSheetId="4">#REF!</definedName>
    <definedName name="_5_3_MOS_00" localSheetId="21">#REF!</definedName>
    <definedName name="_5_3_MOS_00" localSheetId="9">#REF!</definedName>
    <definedName name="_5_3_MOS_00">#REF!</definedName>
    <definedName name="_5_3_MOS_01" localSheetId="29">#REF!</definedName>
    <definedName name="_5_3_MOS_01" localSheetId="4">#REF!</definedName>
    <definedName name="_5_3_MOS_01" localSheetId="21">#REF!</definedName>
    <definedName name="_5_3_MOS_01" localSheetId="9">#REF!</definedName>
    <definedName name="_5_3_MOS_01">#REF!</definedName>
    <definedName name="_50ADD_PLANT" localSheetId="29">#REF!</definedName>
    <definedName name="_50ADD_PLANT" localSheetId="4">#REF!</definedName>
    <definedName name="_50ADD_PLANT" localSheetId="21">#REF!</definedName>
    <definedName name="_50ADD_PLANT" localSheetId="9">#REF!</definedName>
    <definedName name="_50ADD_PLANT">#REF!</definedName>
    <definedName name="_50DET_INC" localSheetId="29">#REF!</definedName>
    <definedName name="_50DET_INC" localSheetId="4">#REF!</definedName>
    <definedName name="_50DET_INC" localSheetId="21">#REF!</definedName>
    <definedName name="_50DET_INC" localSheetId="9">#REF!</definedName>
    <definedName name="_50DET_INC">#REF!</definedName>
    <definedName name="_50LU_WKSHT" localSheetId="29">#REF!</definedName>
    <definedName name="_50LU_WKSHT" localSheetId="4">#REF!</definedName>
    <definedName name="_50LU_WKSHT" localSheetId="21">#REF!</definedName>
    <definedName name="_50LU_WKSHT" localSheetId="9">#REF!</definedName>
    <definedName name="_50LU_WKSHT">#REF!</definedName>
    <definedName name="_50MIN_BAL" localSheetId="29">#REF!</definedName>
    <definedName name="_50MIN_BAL" localSheetId="4">#REF!</definedName>
    <definedName name="_50MIN_BAL" localSheetId="21">#REF!</definedName>
    <definedName name="_50MIN_BAL" localSheetId="9">#REF!</definedName>
    <definedName name="_50MIN_BAL">#REF!</definedName>
    <definedName name="_50PSG_LOAN" localSheetId="21">'[3]PSG Loan'!$A$1:$L$40</definedName>
    <definedName name="_50PSG_LOAN" localSheetId="9">'[3]PSG Loan'!$A$1:$L$40</definedName>
    <definedName name="_50PSG_LOAN">'[3]PSG Loan'!$A$1:$L$40</definedName>
    <definedName name="_50RATE_BREAKDOWN" localSheetId="29">#REF!</definedName>
    <definedName name="_50RATE_BREAKDOWN" localSheetId="4">#REF!</definedName>
    <definedName name="_50RATE_BREAKDOWN" localSheetId="21">#REF!</definedName>
    <definedName name="_50RATE_BREAKDOWN" localSheetId="9">#REF!</definedName>
    <definedName name="_50RATE_BREAKDOWN">#REF!</definedName>
    <definedName name="_50REV_REQ">'[13]Rev Req I'!$A$1:$L$128</definedName>
    <definedName name="_50SRF_DISB" localSheetId="29">#REF!</definedName>
    <definedName name="_50SRF_DISB" localSheetId="4">#REF!</definedName>
    <definedName name="_50SRF_DISB" localSheetId="21">#REF!</definedName>
    <definedName name="_50SRF_DISB" localSheetId="9">#REF!</definedName>
    <definedName name="_50SRF_DISB">#REF!</definedName>
    <definedName name="_513RATE_COMP" localSheetId="21">'[5]Rate Comp'!$C$1:$M$39</definedName>
    <definedName name="_513RATE_COMP" localSheetId="9">'[5]Rate Comp'!$C$1:$M$39</definedName>
    <definedName name="_513RATE_COMP">'[5]Rate Comp'!$C$1:$M$39</definedName>
    <definedName name="_519RATES_PU" localSheetId="29">#REF!</definedName>
    <definedName name="_519RATES_PU" localSheetId="4">#REF!</definedName>
    <definedName name="_519RATES_PU" localSheetId="21">#REF!</definedName>
    <definedName name="_519RATES_PU" localSheetId="9">#REF!</definedName>
    <definedName name="_519RATES_PU">#REF!</definedName>
    <definedName name="_51DET_OP_EXP" localSheetId="29">#REF!</definedName>
    <definedName name="_51DET_OP_EXP" localSheetId="4">#REF!</definedName>
    <definedName name="_51DET_OP_EXP" localSheetId="21">#REF!</definedName>
    <definedName name="_51DET_OP_EXP" localSheetId="9">#REF!</definedName>
    <definedName name="_51DET_OP_EXP">#REF!</definedName>
    <definedName name="_51PRES_PROP_RT" localSheetId="29">#REF!</definedName>
    <definedName name="_51PRES_PROP_RT" localSheetId="4">#REF!</definedName>
    <definedName name="_51PRES_PROP_RT" localSheetId="21">#REF!</definedName>
    <definedName name="_51PRES_PROP_RT" localSheetId="9">#REF!</definedName>
    <definedName name="_51PRES_PROP_RT">#REF!</definedName>
    <definedName name="_51RATE_BREAKDOWN" localSheetId="29">#REF!</definedName>
    <definedName name="_51RATE_BREAKDOWN" localSheetId="4">#REF!</definedName>
    <definedName name="_51RATE_BREAKDOWN" localSheetId="21">#REF!</definedName>
    <definedName name="_51RATE_BREAKDOWN" localSheetId="9">#REF!</definedName>
    <definedName name="_51RATE_BREAKDOWN">#REF!</definedName>
    <definedName name="_51RATE_COMP" localSheetId="21">'[5]Rate Comp'!$C$1:$M$39</definedName>
    <definedName name="_51RATE_COMP" localSheetId="9">'[5]Rate Comp'!$C$1:$M$39</definedName>
    <definedName name="_51RATE_COMP">'[5]Rate Comp'!$C$1:$M$39</definedName>
    <definedName name="_51TY_WTB" localSheetId="29">#REF!</definedName>
    <definedName name="_51TY_WTB" localSheetId="4">#REF!</definedName>
    <definedName name="_51TY_WTB" localSheetId="21">#REF!</definedName>
    <definedName name="_51TY_WTB" localSheetId="9">#REF!</definedName>
    <definedName name="_51TY_WTB">#REF!</definedName>
    <definedName name="_525RATES_WL" localSheetId="29">#REF!</definedName>
    <definedName name="_525RATES_WL" localSheetId="4">#REF!</definedName>
    <definedName name="_525RATES_WL" localSheetId="21">#REF!</definedName>
    <definedName name="_525RATES_WL" localSheetId="9">#REF!</definedName>
    <definedName name="_525RATES_WL">#REF!</definedName>
    <definedName name="_52COMP_BILLINGS" localSheetId="29">#REF!</definedName>
    <definedName name="_52COMP_BILLINGS" localSheetId="4">#REF!</definedName>
    <definedName name="_52COMP_BILLINGS" localSheetId="21">#REF!</definedName>
    <definedName name="_52COMP_BILLINGS" localSheetId="9">#REF!</definedName>
    <definedName name="_52COMP_BILLINGS">#REF!</definedName>
    <definedName name="_52FIN_INFO" localSheetId="21">'[3]Fin Info'!$A$1:$H$38</definedName>
    <definedName name="_52FIN_INFO" localSheetId="9">'[3]Fin Info'!$A$1:$H$38</definedName>
    <definedName name="_52FIN_INFO">'[3]Fin Info'!$A$1:$H$38</definedName>
    <definedName name="_52MIN_BAL" localSheetId="29">#REF!</definedName>
    <definedName name="_52MIN_BAL" localSheetId="4">#REF!</definedName>
    <definedName name="_52MIN_BAL" localSheetId="21">#REF!</definedName>
    <definedName name="_52MIN_BAL" localSheetId="9">#REF!</definedName>
    <definedName name="_52MIN_BAL">#REF!</definedName>
    <definedName name="_52RATE_COMP" localSheetId="21">'[5]Rate Comp'!$C$1:$M$39</definedName>
    <definedName name="_52RATE_COMP" localSheetId="9">'[5]Rate Comp'!$C$1:$M$39</definedName>
    <definedName name="_52RATE_COMP">'[5]Rate Comp'!$C$1:$M$39</definedName>
    <definedName name="_52RATES_PU" localSheetId="29">#REF!</definedName>
    <definedName name="_52RATES_PU" localSheetId="4">#REF!</definedName>
    <definedName name="_52RATES_PU" localSheetId="21">#REF!</definedName>
    <definedName name="_52RATES_PU" localSheetId="9">#REF!</definedName>
    <definedName name="_52RATES_PU">#REF!</definedName>
    <definedName name="_52USER_CONNECT" localSheetId="29">#REF!</definedName>
    <definedName name="_52USER_CONNECT" localSheetId="4">#REF!</definedName>
    <definedName name="_52USER_CONNECT" localSheetId="21">#REF!</definedName>
    <definedName name="_52USER_CONNECT" localSheetId="9">#REF!</definedName>
    <definedName name="_52USER_CONNECT">#REF!</definedName>
    <definedName name="_53COMP_NR_TO_BUD" localSheetId="29">#REF!</definedName>
    <definedName name="_53COMP_NR_TO_BUD" localSheetId="4">#REF!</definedName>
    <definedName name="_53COMP_NR_TO_BUD" localSheetId="21">#REF!</definedName>
    <definedName name="_53COMP_NR_TO_BUD" localSheetId="9">#REF!</definedName>
    <definedName name="_53COMP_NR_TO_BUD">#REF!</definedName>
    <definedName name="_53FUND_BAL" localSheetId="29">#REF!</definedName>
    <definedName name="_53FUND_BAL" localSheetId="4">#REF!</definedName>
    <definedName name="_53FUND_BAL" localSheetId="21">#REF!</definedName>
    <definedName name="_53FUND_BAL" localSheetId="9">#REF!</definedName>
    <definedName name="_53FUND_BAL">#REF!</definedName>
    <definedName name="_53MIN_BAL_EXP" localSheetId="29">#REF!</definedName>
    <definedName name="_53MIN_BAL_EXP" localSheetId="4">#REF!</definedName>
    <definedName name="_53MIN_BAL_EXP" localSheetId="21">#REF!</definedName>
    <definedName name="_53MIN_BAL_EXP" localSheetId="9">#REF!</definedName>
    <definedName name="_53MIN_BAL_EXP">#REF!</definedName>
    <definedName name="_53RATES_PU" localSheetId="29">#REF!</definedName>
    <definedName name="_53RATES_PU" localSheetId="4">#REF!</definedName>
    <definedName name="_53RATES_PU" localSheetId="21">#REF!</definedName>
    <definedName name="_53RATES_PU" localSheetId="9">#REF!</definedName>
    <definedName name="_53RATES_PU">#REF!</definedName>
    <definedName name="_53RATES_WL" localSheetId="29">#REF!</definedName>
    <definedName name="_53RATES_WL" localSheetId="4">#REF!</definedName>
    <definedName name="_53RATES_WL" localSheetId="21">#REF!</definedName>
    <definedName name="_53RATES_WL" localSheetId="9">#REF!</definedName>
    <definedName name="_53RATES_WL">#REF!</definedName>
    <definedName name="_541REC_AND_DIS" localSheetId="21">[5]Disb!$A$1:$I$46</definedName>
    <definedName name="_541REC_AND_DIS" localSheetId="9">[5]Disb!$A$1:$I$46</definedName>
    <definedName name="_541REC_AND_DIS">[5]Disb!$A$1:$I$46</definedName>
    <definedName name="_542REC_AND_DISB" localSheetId="21">'[7]Rec and Disb'!$A$1:$K$96</definedName>
    <definedName name="_542REC_AND_DISB" localSheetId="9">'[7]Rec and Disb'!$A$1:$K$96</definedName>
    <definedName name="_542REC_AND_DISB">'[7]Rec and Disb'!$A$1:$K$96</definedName>
    <definedName name="_54CUST_ANALYSIS" localSheetId="29">#REF!</definedName>
    <definedName name="_54CUST_ANALYSIS" localSheetId="4">#REF!</definedName>
    <definedName name="_54CUST_ANALYSIS" localSheetId="21">#REF!</definedName>
    <definedName name="_54CUST_ANALYSIS" localSheetId="9">#REF!</definedName>
    <definedName name="_54CUST_ANALYSIS">#REF!</definedName>
    <definedName name="_54GF_DETAIL" localSheetId="29">#REF!</definedName>
    <definedName name="_54GF_DETAIL" localSheetId="4">#REF!</definedName>
    <definedName name="_54GF_DETAIL" localSheetId="21">#REF!</definedName>
    <definedName name="_54GF_DETAIL" localSheetId="9">#REF!</definedName>
    <definedName name="_54GF_DETAIL">#REF!</definedName>
    <definedName name="_54MIN_BAL_EXP" localSheetId="29">#REF!</definedName>
    <definedName name="_54MIN_BAL_EXP" localSheetId="4">#REF!</definedName>
    <definedName name="_54MIN_BAL_EXP" localSheetId="21">#REF!</definedName>
    <definedName name="_54MIN_BAL_EXP" localSheetId="9">#REF!</definedName>
    <definedName name="_54MIN_BAL_EXP">#REF!</definedName>
    <definedName name="_54RATES_WL" localSheetId="29">#REF!</definedName>
    <definedName name="_54RATES_WL" localSheetId="4">#REF!</definedName>
    <definedName name="_54RATES_WL" localSheetId="21">#REF!</definedName>
    <definedName name="_54RATES_WL" localSheetId="9">#REF!</definedName>
    <definedName name="_54RATES_WL">#REF!</definedName>
    <definedName name="_54REC_AND_DIS" localSheetId="21">[5]Disb!$A$1:$I$46</definedName>
    <definedName name="_54REC_AND_DIS" localSheetId="9">[5]Disb!$A$1:$I$46</definedName>
    <definedName name="_54REC_AND_DIS">[5]Disb!$A$1:$I$46</definedName>
    <definedName name="_550REC_DIS" localSheetId="29">#REF!</definedName>
    <definedName name="_550REC_DIS" localSheetId="4">#REF!</definedName>
    <definedName name="_550REC_DIS" localSheetId="21">#REF!</definedName>
    <definedName name="_550REC_DIS" localSheetId="9">#REF!</definedName>
    <definedName name="_550REC_DIS">#REF!</definedName>
    <definedName name="_556REV_AVAIL" localSheetId="29">#REF!</definedName>
    <definedName name="_556REV_AVAIL" localSheetId="4">#REF!</definedName>
    <definedName name="_556REV_AVAIL" localSheetId="21">#REF!</definedName>
    <definedName name="_556REV_AVAIL" localSheetId="9">#REF!</definedName>
    <definedName name="_556REV_AVAIL">#REF!</definedName>
    <definedName name="_55CUST_BY_MONTH" localSheetId="29">#REF!</definedName>
    <definedName name="_55CUST_BY_MONTH" localSheetId="4">#REF!</definedName>
    <definedName name="_55CUST_BY_MONTH" localSheetId="21">#REF!</definedName>
    <definedName name="_55CUST_BY_MONTH" localSheetId="9">#REF!</definedName>
    <definedName name="_55CUST_BY_MONTH">#REF!</definedName>
    <definedName name="_55LARGE_EMPLOYERS" localSheetId="29">#REF!</definedName>
    <definedName name="_55LARGE_EMPLOYERS" localSheetId="4">#REF!</definedName>
    <definedName name="_55LARGE_EMPLOYERS" localSheetId="21">#REF!</definedName>
    <definedName name="_55LARGE_EMPLOYERS" localSheetId="9">#REF!</definedName>
    <definedName name="_55LARGE_EMPLOYERS">#REF!</definedName>
    <definedName name="_55MISC_ECON_INFO" localSheetId="29">#REF!</definedName>
    <definedName name="_55MISC_ECON_INFO" localSheetId="4">#REF!</definedName>
    <definedName name="_55MISC_ECON_INFO" localSheetId="21">#REF!</definedName>
    <definedName name="_55MISC_ECON_INFO" localSheetId="9">#REF!</definedName>
    <definedName name="_55MISC_ECON_INFO">#REF!</definedName>
    <definedName name="_55REC_AND_DIS" localSheetId="21">[5]Disb!$A$1:$I$46</definedName>
    <definedName name="_55REC_AND_DIS" localSheetId="9">[5]Disb!$A$1:$I$46</definedName>
    <definedName name="_55REC_AND_DIS">[5]Disb!$A$1:$I$46</definedName>
    <definedName name="_55REC_DIS" localSheetId="29">#REF!</definedName>
    <definedName name="_55REC_DIS" localSheetId="4">#REF!</definedName>
    <definedName name="_55REC_DIS" localSheetId="21">#REF!</definedName>
    <definedName name="_55REC_DIS" localSheetId="9">#REF!</definedName>
    <definedName name="_55REC_DIS">#REF!</definedName>
    <definedName name="_56ALLOC_EXP" localSheetId="29">#REF!</definedName>
    <definedName name="_56ALLOC_EXP" localSheetId="4">#REF!</definedName>
    <definedName name="_56ALLOC_EXP" localSheetId="21">#REF!</definedName>
    <definedName name="_56ALLOC_EXP" localSheetId="9">#REF!</definedName>
    <definedName name="_56ALLOC_EXP">#REF!</definedName>
    <definedName name="_56CY_2000" localSheetId="29">#REF!</definedName>
    <definedName name="_56CY_2000" localSheetId="4">#REF!</definedName>
    <definedName name="_56CY_2000" localSheetId="21">#REF!</definedName>
    <definedName name="_56CY_2000" localSheetId="9">#REF!</definedName>
    <definedName name="_56CY_2000">#REF!</definedName>
    <definedName name="_56LARGE_TAXPAYER" localSheetId="29">#REF!</definedName>
    <definedName name="_56LARGE_TAXPAYER" localSheetId="4">#REF!</definedName>
    <definedName name="_56LARGE_TAXPAYER" localSheetId="21">#REF!</definedName>
    <definedName name="_56LARGE_TAXPAYER" localSheetId="9">#REF!</definedName>
    <definedName name="_56LARGE_TAXPAYER">#REF!</definedName>
    <definedName name="_56PRO_CF" localSheetId="29">#REF!</definedName>
    <definedName name="_56PRO_CF" localSheetId="4">#REF!</definedName>
    <definedName name="_56PRO_CF" localSheetId="21">#REF!</definedName>
    <definedName name="_56PRO_CF" localSheetId="9">#REF!</definedName>
    <definedName name="_56PRO_CF">#REF!</definedName>
    <definedName name="_56REC_AND_DISB" localSheetId="21">'[7]Rec and Disb'!$A$1:$K$96</definedName>
    <definedName name="_56REC_AND_DISB" localSheetId="9">'[7]Rec and Disb'!$A$1:$K$96</definedName>
    <definedName name="_56REC_AND_DISB">'[7]Rec and Disb'!$A$1:$K$96</definedName>
    <definedName name="_56REV_AVAIL" localSheetId="29">#REF!</definedName>
    <definedName name="_56REV_AVAIL" localSheetId="4">#REF!</definedName>
    <definedName name="_56REV_AVAIL" localSheetId="21">#REF!</definedName>
    <definedName name="_56REV_AVAIL" localSheetId="9">#REF!</definedName>
    <definedName name="_56REV_AVAIL">#REF!</definedName>
    <definedName name="_578REV_REQ" localSheetId="29">#REF!</definedName>
    <definedName name="_578REV_REQ" localSheetId="4">#REF!</definedName>
    <definedName name="_578REV_REQ" localSheetId="21">#REF!</definedName>
    <definedName name="_578REV_REQ" localSheetId="9">#REF!</definedName>
    <definedName name="_578REV_REQ">#REF!</definedName>
    <definedName name="_57DEBT_CAP" localSheetId="29">#REF!</definedName>
    <definedName name="_57DEBT_CAP" localSheetId="4">#REF!</definedName>
    <definedName name="_57DEBT_CAP" localSheetId="21">#REF!</definedName>
    <definedName name="_57DEBT_CAP" localSheetId="9">#REF!</definedName>
    <definedName name="_57DEBT_CAP">#REF!</definedName>
    <definedName name="_57LEVEL_COMBO" localSheetId="29">#REF!</definedName>
    <definedName name="_57LEVEL_COMBO" localSheetId="4">#REF!</definedName>
    <definedName name="_57LEVEL_COMBO" localSheetId="21">#REF!</definedName>
    <definedName name="_57LEVEL_COMBO" localSheetId="9">#REF!</definedName>
    <definedName name="_57LEVEL_COMBO">#REF!</definedName>
    <definedName name="_57NORM_REV" localSheetId="29">#REF!</definedName>
    <definedName name="_57NORM_REV" localSheetId="4">#REF!</definedName>
    <definedName name="_57NORM_REV" localSheetId="21">#REF!</definedName>
    <definedName name="_57NORM_REV" localSheetId="9">#REF!</definedName>
    <definedName name="_57NORM_REV">#REF!</definedName>
    <definedName name="_57PRO_OP_EXP" localSheetId="29">#REF!</definedName>
    <definedName name="_57PRO_OP_EXP" localSheetId="4">#REF!</definedName>
    <definedName name="_57PRO_OP_EXP" localSheetId="21">#REF!</definedName>
    <definedName name="_57PRO_OP_EXP" localSheetId="9">#REF!</definedName>
    <definedName name="_57PRO_OP_EXP">#REF!</definedName>
    <definedName name="_57REC_DIS" localSheetId="29">#REF!</definedName>
    <definedName name="_57REC_DIS" localSheetId="4">#REF!</definedName>
    <definedName name="_57REC_DIS" localSheetId="21">#REF!</definedName>
    <definedName name="_57REC_DIS" localSheetId="9">#REF!</definedName>
    <definedName name="_57REC_DIS">#REF!</definedName>
    <definedName name="_57REV_REQ">'[2]Rev Req I'!$A$1:$L$128</definedName>
    <definedName name="_584SEWER_LAND" localSheetId="29">#REF!</definedName>
    <definedName name="_584SEWER_LAND" localSheetId="4">#REF!</definedName>
    <definedName name="_584SEWER_LAND" localSheetId="21">#REF!</definedName>
    <definedName name="_584SEWER_LAND" localSheetId="9">#REF!</definedName>
    <definedName name="_584SEWER_LAND">#REF!</definedName>
    <definedName name="_58DEBT_NOTES" localSheetId="29">#REF!</definedName>
    <definedName name="_58DEBT_NOTES" localSheetId="4">#REF!</definedName>
    <definedName name="_58DEBT_NOTES" localSheetId="21">#REF!</definedName>
    <definedName name="_58DEBT_NOTES" localSheetId="9">#REF!</definedName>
    <definedName name="_58DEBT_NOTES">#REF!</definedName>
    <definedName name="_58LU_WKSHT" localSheetId="29">#REF!</definedName>
    <definedName name="_58LU_WKSHT" localSheetId="4">#REF!</definedName>
    <definedName name="_58LU_WKSHT" localSheetId="21">#REF!</definedName>
    <definedName name="_58LU_WKSHT" localSheetId="9">#REF!</definedName>
    <definedName name="_58LU_WKSHT">#REF!</definedName>
    <definedName name="_58NORM_REV">'[2]Norm Rev'!$A$1:$M$110</definedName>
    <definedName name="_58REV_AVAIL" localSheetId="29">#REF!</definedName>
    <definedName name="_58REV_AVAIL" localSheetId="4">#REF!</definedName>
    <definedName name="_58REV_AVAIL" localSheetId="21">#REF!</definedName>
    <definedName name="_58REV_AVAIL" localSheetId="9">#REF!</definedName>
    <definedName name="_58REV_AVAIL">#REF!</definedName>
    <definedName name="_58SEWER_LAND" localSheetId="29">#REF!</definedName>
    <definedName name="_58SEWER_LAND" localSheetId="4">#REF!</definedName>
    <definedName name="_58SEWER_LAND" localSheetId="21">#REF!</definedName>
    <definedName name="_58SEWER_LAND" localSheetId="9">#REF!</definedName>
    <definedName name="_58SEWER_LAND">#REF!</definedName>
    <definedName name="_590SUM_OM" localSheetId="29">#REF!</definedName>
    <definedName name="_590SUM_OM" localSheetId="4">#REF!</definedName>
    <definedName name="_590SUM_OM" localSheetId="21">#REF!</definedName>
    <definedName name="_590SUM_OM" localSheetId="9">#REF!</definedName>
    <definedName name="_590SUM_OM">#REF!</definedName>
    <definedName name="_596TAX_RATE" localSheetId="29">#REF!</definedName>
    <definedName name="_596TAX_RATE" localSheetId="4">#REF!</definedName>
    <definedName name="_596TAX_RATE" localSheetId="21">#REF!</definedName>
    <definedName name="_596TAX_RATE" localSheetId="9">#REF!</definedName>
    <definedName name="_596TAX_RATE">#REF!</definedName>
    <definedName name="_59DEBT_RATIOS" localSheetId="29">#REF!</definedName>
    <definedName name="_59DEBT_RATIOS" localSheetId="4">#REF!</definedName>
    <definedName name="_59DEBT_RATIOS" localSheetId="21">#REF!</definedName>
    <definedName name="_59DEBT_RATIOS" localSheetId="9">#REF!</definedName>
    <definedName name="_59DEBT_RATIOS">#REF!</definedName>
    <definedName name="_59PF_COE" localSheetId="29">#REF!</definedName>
    <definedName name="_59PF_COE" localSheetId="4">#REF!</definedName>
    <definedName name="_59PF_COE" localSheetId="21">#REF!</definedName>
    <definedName name="_59PF_COE" localSheetId="9">#REF!</definedName>
    <definedName name="_59PF_COE">#REF!</definedName>
    <definedName name="_59PSG_LOAN" localSheetId="29">#REF!</definedName>
    <definedName name="_59PSG_LOAN" localSheetId="4">#REF!</definedName>
    <definedName name="_59PSG_LOAN" localSheetId="21">#REF!</definedName>
    <definedName name="_59PSG_LOAN" localSheetId="9">#REF!</definedName>
    <definedName name="_59PSG_LOAN">#REF!</definedName>
    <definedName name="_59REV_REQ" localSheetId="29">#REF!</definedName>
    <definedName name="_59REV_REQ" localSheetId="4">#REF!</definedName>
    <definedName name="_59REV_REQ" localSheetId="21">#REF!</definedName>
    <definedName name="_59REV_REQ" localSheetId="9">#REF!</definedName>
    <definedName name="_59REV_REQ">#REF!</definedName>
    <definedName name="_59TY_WTB" localSheetId="29">#REF!</definedName>
    <definedName name="_59TY_WTB" localSheetId="4">#REF!</definedName>
    <definedName name="_59TY_WTB" localSheetId="21">#REF!</definedName>
    <definedName name="_59TY_WTB" localSheetId="9">#REF!</definedName>
    <definedName name="_59TY_WTB">#REF!</definedName>
    <definedName name="_5ALLOC_WL_PU" localSheetId="29">#REF!</definedName>
    <definedName name="_5ALLOC_WL_PU" localSheetId="4">#REF!</definedName>
    <definedName name="_5ALLOC_WL_PU" localSheetId="21">#REF!</definedName>
    <definedName name="_5ALLOC_WL_PU" localSheetId="9">#REF!</definedName>
    <definedName name="_5ALLOC_WL_PU">#REF!</definedName>
    <definedName name="_5CASH_FLOW" localSheetId="29">#REF!</definedName>
    <definedName name="_5CASH_FLOW" localSheetId="4">#REF!</definedName>
    <definedName name="_5CASH_FLOW" localSheetId="21">#REF!</definedName>
    <definedName name="_5CASH_FLOW" localSheetId="9">#REF!</definedName>
    <definedName name="_5CASH_FLOW">#REF!</definedName>
    <definedName name="_5COMP_BILLINGS" localSheetId="29">#REF!</definedName>
    <definedName name="_5COMP_BILLINGS" localSheetId="4">#REF!</definedName>
    <definedName name="_5COMP_BILLINGS" localSheetId="21">#REF!</definedName>
    <definedName name="_5COMP_BILLINGS" localSheetId="9">#REF!</definedName>
    <definedName name="_5COMP_BILLINGS">#REF!</definedName>
    <definedName name="_5EXHIBIT_B_2" localSheetId="29">#REF!</definedName>
    <definedName name="_5EXHIBIT_B_2" localSheetId="21">#REF!</definedName>
    <definedName name="_5EXHIBIT_B_2" localSheetId="9">#REF!</definedName>
    <definedName name="_5EXHIBIT_B_2">#REF!</definedName>
    <definedName name="_5FIN_INFO">'[9]Fin Info'!$A$1:$H$38</definedName>
    <definedName name="_5MIN_BAL" localSheetId="29">#REF!</definedName>
    <definedName name="_5MIN_BAL" localSheetId="4">#REF!</definedName>
    <definedName name="_5MIN_BAL" localSheetId="21">#REF!</definedName>
    <definedName name="_5MIN_BAL" localSheetId="9">#REF!</definedName>
    <definedName name="_5MIN_BAL">#REF!</definedName>
    <definedName name="_5PRO_CF" localSheetId="29">#REF!</definedName>
    <definedName name="_5PRO_CF" localSheetId="4">#REF!</definedName>
    <definedName name="_5PRO_CF" localSheetId="21">#REF!</definedName>
    <definedName name="_5PRO_CF" localSheetId="9">#REF!</definedName>
    <definedName name="_5PRO_CF">#REF!</definedName>
    <definedName name="_5RATES_WL" localSheetId="29">#REF!</definedName>
    <definedName name="_5RATES_WL" localSheetId="4">#REF!</definedName>
    <definedName name="_5RATES_WL" localSheetId="21">#REF!</definedName>
    <definedName name="_5RATES_WL" localSheetId="9">#REF!</definedName>
    <definedName name="_5RATES_WL">#REF!</definedName>
    <definedName name="_6_1989_BONDS" localSheetId="29">#REF!</definedName>
    <definedName name="_6_1989_BONDS" localSheetId="4">#REF!</definedName>
    <definedName name="_6_1989_BONDS" localSheetId="21">#REF!</definedName>
    <definedName name="_6_1989_BONDS" localSheetId="9">#REF!</definedName>
    <definedName name="_6_1989_BONDS">#REF!</definedName>
    <definedName name="_6_1997_BONDS" localSheetId="29">#REF!</definedName>
    <definedName name="_6_1997_BONDS" localSheetId="4">#REF!</definedName>
    <definedName name="_6_1997_BONDS" localSheetId="21">#REF!</definedName>
    <definedName name="_6_1997_BONDS" localSheetId="9">#REF!</definedName>
    <definedName name="_6_1997_BONDS">#REF!</definedName>
    <definedName name="_6_2001_LEVEL" localSheetId="29">#REF!</definedName>
    <definedName name="_6_2001_LEVEL" localSheetId="4">#REF!</definedName>
    <definedName name="_6_2001_LEVEL" localSheetId="21">#REF!</definedName>
    <definedName name="_6_2001_LEVEL" localSheetId="9">#REF!</definedName>
    <definedName name="_6_2001_LEVEL">#REF!</definedName>
    <definedName name="_6_3_MOS_00" localSheetId="29">#REF!</definedName>
    <definedName name="_6_3_MOS_00" localSheetId="4">#REF!</definedName>
    <definedName name="_6_3_MOS_00" localSheetId="21">#REF!</definedName>
    <definedName name="_6_3_MOS_00" localSheetId="9">#REF!</definedName>
    <definedName name="_6_3_MOS_00">#REF!</definedName>
    <definedName name="_6_3_MOS_01" localSheetId="29">#REF!</definedName>
    <definedName name="_6_3_MOS_01" localSheetId="4">#REF!</definedName>
    <definedName name="_6_3_MOS_01" localSheetId="21">#REF!</definedName>
    <definedName name="_6_3_MOS_01" localSheetId="9">#REF!</definedName>
    <definedName name="_6_3_MOS_01">#REF!</definedName>
    <definedName name="_602TIF_9TH_ST" localSheetId="29">#REF!</definedName>
    <definedName name="_602TIF_9TH_ST" localSheetId="4">#REF!</definedName>
    <definedName name="_602TIF_9TH_ST" localSheetId="21">#REF!</definedName>
    <definedName name="_602TIF_9TH_ST" localSheetId="9">#REF!</definedName>
    <definedName name="_602TIF_9TH_ST">#REF!</definedName>
    <definedName name="_608TIF_BRADY" localSheetId="29">#REF!</definedName>
    <definedName name="_608TIF_BRADY" localSheetId="4">#REF!</definedName>
    <definedName name="_608TIF_BRADY" localSheetId="21">#REF!</definedName>
    <definedName name="_608TIF_BRADY" localSheetId="9">#REF!</definedName>
    <definedName name="_608TIF_BRADY">#REF!</definedName>
    <definedName name="_60RATE_BREAKDOWN" localSheetId="29">#REF!</definedName>
    <definedName name="_60RATE_BREAKDOWN" localSheetId="4">#REF!</definedName>
    <definedName name="_60RATE_BREAKDOWN" localSheetId="21">#REF!</definedName>
    <definedName name="_60RATE_BREAKDOWN" localSheetId="9">#REF!</definedName>
    <definedName name="_60RATE_BREAKDOWN">#REF!</definedName>
    <definedName name="_60SEWER_LAND" localSheetId="29">#REF!</definedName>
    <definedName name="_60SEWER_LAND" localSheetId="4">#REF!</definedName>
    <definedName name="_60SEWER_LAND" localSheetId="21">#REF!</definedName>
    <definedName name="_60SEWER_LAND" localSheetId="9">#REF!</definedName>
    <definedName name="_60SEWER_LAND">#REF!</definedName>
    <definedName name="_60USER_CONNECT" localSheetId="29">#REF!</definedName>
    <definedName name="_60USER_CONNECT" localSheetId="4">#REF!</definedName>
    <definedName name="_60USER_CONNECT" localSheetId="21">#REF!</definedName>
    <definedName name="_60USER_CONNECT" localSheetId="9">#REF!</definedName>
    <definedName name="_60USER_CONNECT">#REF!</definedName>
    <definedName name="_614TIF_HISTORY" localSheetId="29">#REF!</definedName>
    <definedName name="_614TIF_HISTORY" localSheetId="4">#REF!</definedName>
    <definedName name="_614TIF_HISTORY" localSheetId="21">#REF!</definedName>
    <definedName name="_614TIF_HISTORY" localSheetId="9">#REF!</definedName>
    <definedName name="_614TIF_HISTORY">#REF!</definedName>
    <definedName name="_61PF_COE">'[2]PF COE'!$A$1:$M$604</definedName>
    <definedName name="_61PRES_PROP_RT" localSheetId="29">#REF!</definedName>
    <definedName name="_61PRES_PROP_RT" localSheetId="4">#REF!</definedName>
    <definedName name="_61PRES_PROP_RT" localSheetId="21">#REF!</definedName>
    <definedName name="_61PRES_PROP_RT" localSheetId="9">#REF!</definedName>
    <definedName name="_61PRES_PROP_RT">#REF!</definedName>
    <definedName name="_61RATES_PU" localSheetId="29">#REF!</definedName>
    <definedName name="_61RATES_PU" localSheetId="4">#REF!</definedName>
    <definedName name="_61RATES_PU" localSheetId="21">#REF!</definedName>
    <definedName name="_61RATES_PU" localSheetId="9">#REF!</definedName>
    <definedName name="_61RATES_PU">#REF!</definedName>
    <definedName name="_61SUM_OM" localSheetId="29">#REF!</definedName>
    <definedName name="_61SUM_OM" localSheetId="4">#REF!</definedName>
    <definedName name="_61SUM_OM" localSheetId="21">#REF!</definedName>
    <definedName name="_61SUM_OM" localSheetId="9">#REF!</definedName>
    <definedName name="_61SUM_OM">#REF!</definedName>
    <definedName name="_620TIF_TREECE" localSheetId="29">#REF!</definedName>
    <definedName name="_620TIF_TREECE" localSheetId="4">#REF!</definedName>
    <definedName name="_620TIF_TREECE" localSheetId="21">#REF!</definedName>
    <definedName name="_620TIF_TREECE" localSheetId="9">#REF!</definedName>
    <definedName name="_620TIF_TREECE">#REF!</definedName>
    <definedName name="_626TY_WTB" localSheetId="29">#REF!</definedName>
    <definedName name="_626TY_WTB" localSheetId="4">#REF!</definedName>
    <definedName name="_626TY_WTB" localSheetId="21">#REF!</definedName>
    <definedName name="_626TY_WTB" localSheetId="9">#REF!</definedName>
    <definedName name="_626TY_WTB">#REF!</definedName>
    <definedName name="_62ALLOC_WL_PU" localSheetId="29">#REF!</definedName>
    <definedName name="_62ALLOC_WL_PU" localSheetId="4">#REF!</definedName>
    <definedName name="_62ALLOC_WL_PU" localSheetId="21">#REF!</definedName>
    <definedName name="_62ALLOC_WL_PU" localSheetId="9">#REF!</definedName>
    <definedName name="_62ALLOC_WL_PU">#REF!</definedName>
    <definedName name="_62RATES_WL" localSheetId="29">#REF!</definedName>
    <definedName name="_62RATES_WL" localSheetId="4">#REF!</definedName>
    <definedName name="_62RATES_WL" localSheetId="21">#REF!</definedName>
    <definedName name="_62RATES_WL" localSheetId="9">#REF!</definedName>
    <definedName name="_62RATES_WL">#REF!</definedName>
    <definedName name="_62TY_WTB" localSheetId="29">#REF!</definedName>
    <definedName name="_62TY_WTB" localSheetId="4">#REF!</definedName>
    <definedName name="_62TY_WTB" localSheetId="21">#REF!</definedName>
    <definedName name="_62TY_WTB" localSheetId="9">#REF!</definedName>
    <definedName name="_62TY_WTB">#REF!</definedName>
    <definedName name="_63PRO_CF" localSheetId="29">#REF!</definedName>
    <definedName name="_63PRO_CF" localSheetId="4">#REF!</definedName>
    <definedName name="_63PRO_CF" localSheetId="21">#REF!</definedName>
    <definedName name="_63PRO_CF" localSheetId="9">#REF!</definedName>
    <definedName name="_63PRO_CF">#REF!</definedName>
    <definedName name="_63REC_DIS" localSheetId="29">#REF!</definedName>
    <definedName name="_63REC_DIS" localSheetId="4">#REF!</definedName>
    <definedName name="_63REC_DIS" localSheetId="21">#REF!</definedName>
    <definedName name="_63REC_DIS" localSheetId="9">#REF!</definedName>
    <definedName name="_63REC_DIS">#REF!</definedName>
    <definedName name="_63USER_CONNECT" localSheetId="29">#REF!</definedName>
    <definedName name="_63USER_CONNECT" localSheetId="4">#REF!</definedName>
    <definedName name="_63USER_CONNECT" localSheetId="21">#REF!</definedName>
    <definedName name="_63USER_CONNECT" localSheetId="9">#REF!</definedName>
    <definedName name="_63USER_CONNECT">#REF!</definedName>
    <definedName name="_649USER_CONNECT" localSheetId="29">#REF!</definedName>
    <definedName name="_649USER_CONNECT" localSheetId="4">#REF!</definedName>
    <definedName name="_649USER_CONNECT" localSheetId="21">#REF!</definedName>
    <definedName name="_649USER_CONNECT" localSheetId="9">#REF!</definedName>
    <definedName name="_649USER_CONNECT">#REF!</definedName>
    <definedName name="_64PRES_PROP_RT">'[2]Pres Prop Rt'!$A$1:$M$71</definedName>
    <definedName name="_64PRO_OP_EXP" localSheetId="29">#REF!</definedName>
    <definedName name="_64PRO_OP_EXP" localSheetId="4">#REF!</definedName>
    <definedName name="_64PRO_OP_EXP" localSheetId="21">#REF!</definedName>
    <definedName name="_64PRO_OP_EXP" localSheetId="9">#REF!</definedName>
    <definedName name="_64PRO_OP_EXP">#REF!</definedName>
    <definedName name="_65DEPR_EXP" localSheetId="21">'[1]Add Plant'!$A$1:$H$59</definedName>
    <definedName name="_65DEPR_EXP" localSheetId="9">'[1]Add Plant'!$A$1:$H$59</definedName>
    <definedName name="_65DEPR_EXP">'[1]Add Plant'!$A$1:$H$59</definedName>
    <definedName name="_65PRO_CF" localSheetId="29">#REF!</definedName>
    <definedName name="_65PRO_CF" localSheetId="4">#REF!</definedName>
    <definedName name="_65PRO_CF" localSheetId="21">#REF!</definedName>
    <definedName name="_65PRO_CF" localSheetId="9">#REF!</definedName>
    <definedName name="_65PRO_CF">#REF!</definedName>
    <definedName name="_65PROJECTED_DISB." localSheetId="21">'[7]Projected Disb.'!$A$1:$I$41</definedName>
    <definedName name="_65PROJECTED_DISB." localSheetId="9">'[7]Projected Disb.'!$A$1:$I$41</definedName>
    <definedName name="_65PROJECTED_DISB.">'[7]Projected Disb.'!$A$1:$I$41</definedName>
    <definedName name="_65REV_REQ" localSheetId="21">'[1]Rev Req I'!$A$1:$M$127</definedName>
    <definedName name="_65REV_REQ" localSheetId="9">'[1]Rev Req I'!$A$1:$M$127</definedName>
    <definedName name="_65REV_REQ">'[1]Rev Req I'!$A$1:$M$127</definedName>
    <definedName name="_66CAP_IMPR">'[2]Cap Impr'!$A$1:$J$47</definedName>
    <definedName name="_66DET_INC" localSheetId="29">#REF!</definedName>
    <definedName name="_66DET_INC" localSheetId="4">#REF!</definedName>
    <definedName name="_66DET_INC" localSheetId="21">#REF!</definedName>
    <definedName name="_66DET_INC" localSheetId="9">#REF!</definedName>
    <definedName name="_66DET_INC">#REF!</definedName>
    <definedName name="_66MIN_BAL" localSheetId="29">#REF!</definedName>
    <definedName name="_66MIN_BAL" localSheetId="4">#REF!</definedName>
    <definedName name="_66MIN_BAL" localSheetId="21">#REF!</definedName>
    <definedName name="_66MIN_BAL" localSheetId="9">#REF!</definedName>
    <definedName name="_66MIN_BAL">#REF!</definedName>
    <definedName name="_66PRO_OP_EXP" localSheetId="29">#REF!</definedName>
    <definedName name="_66PRO_OP_EXP" localSheetId="4">#REF!</definedName>
    <definedName name="_66PRO_OP_EXP" localSheetId="21">#REF!</definedName>
    <definedName name="_66PRO_OP_EXP" localSheetId="9">#REF!</definedName>
    <definedName name="_66PRO_OP_EXP">#REF!</definedName>
    <definedName name="_66PROM_NOTE" localSheetId="21">[7]RevReq!$X$56:$AE$79</definedName>
    <definedName name="_66PROM_NOTE" localSheetId="9">[7]RevReq!$X$56:$AE$79</definedName>
    <definedName name="_66PROM_NOTE">[7]RevReq!$X$56:$AE$79</definedName>
    <definedName name="_66SEL_OTHER_NFI" localSheetId="29">#REF!</definedName>
    <definedName name="_66SEL_OTHER_NFI" localSheetId="4">#REF!</definedName>
    <definedName name="_66SEL_OTHER_NFI" localSheetId="21">#REF!</definedName>
    <definedName name="_66SEL_OTHER_NFI" localSheetId="9">#REF!</definedName>
    <definedName name="_66SEL_OTHER_NFI">#REF!</definedName>
    <definedName name="_67SRF_DISB" localSheetId="29">#REF!</definedName>
    <definedName name="_67SRF_DISB" localSheetId="4">#REF!</definedName>
    <definedName name="_67SRF_DISB" localSheetId="21">#REF!</definedName>
    <definedName name="_67SRF_DISB" localSheetId="9">#REF!</definedName>
    <definedName name="_67SRF_DISB">#REF!</definedName>
    <definedName name="_68AMOR_1994" localSheetId="29">#REF!</definedName>
    <definedName name="_68AMOR_1994" localSheetId="4">#REF!</definedName>
    <definedName name="_68AMOR_1994" localSheetId="21">#REF!</definedName>
    <definedName name="_68AMOR_1994" localSheetId="9">#REF!</definedName>
    <definedName name="_68AMOR_1994">#REF!</definedName>
    <definedName name="_68PSG_LOAN" localSheetId="29">#REF!</definedName>
    <definedName name="_68PSG_LOAN" localSheetId="4">#REF!</definedName>
    <definedName name="_68PSG_LOAN" localSheetId="21">#REF!</definedName>
    <definedName name="_68PSG_LOAN" localSheetId="9">#REF!</definedName>
    <definedName name="_68PSG_LOAN">#REF!</definedName>
    <definedName name="_68TY_WTB" localSheetId="29">#REF!</definedName>
    <definedName name="_68TY_WTB" localSheetId="4">#REF!</definedName>
    <definedName name="_68TY_WTB" localSheetId="21">#REF!</definedName>
    <definedName name="_68TY_WTB" localSheetId="9">#REF!</definedName>
    <definedName name="_68TY_WTB">#REF!</definedName>
    <definedName name="_69PSG_LOAN">'[2]PSG Loan'!$A$1:$L$40</definedName>
    <definedName name="_69USER_CONNECT" localSheetId="29">#REF!</definedName>
    <definedName name="_69USER_CONNECT" localSheetId="4">#REF!</definedName>
    <definedName name="_69USER_CONNECT" localSheetId="21">#REF!</definedName>
    <definedName name="_69USER_CONNECT" localSheetId="9">#REF!</definedName>
    <definedName name="_69USER_CONNECT">#REF!</definedName>
    <definedName name="_6ALLOC_EXP" localSheetId="29">#REF!</definedName>
    <definedName name="_6ALLOC_EXP" localSheetId="4">#REF!</definedName>
    <definedName name="_6ALLOC_EXP" localSheetId="21">#REF!</definedName>
    <definedName name="_6ALLOC_EXP" localSheetId="9">#REF!</definedName>
    <definedName name="_6ALLOC_EXP">#REF!</definedName>
    <definedName name="_6COMP_BILLINGS" localSheetId="21">'[3]Comp Billings'!$A$1:$I$53</definedName>
    <definedName name="_6COMP_BILLINGS" localSheetId="9">'[3]Comp Billings'!$A$1:$I$53</definedName>
    <definedName name="_6COMP_BILLINGS">'[3]Comp Billings'!$A$1:$I$53</definedName>
    <definedName name="_6DEPR_EXP">'[6]Add Plant'!$A$1:$H$60</definedName>
    <definedName name="_6MIN_BAL">'[9]Min Bal'!$A$1:$K$49</definedName>
    <definedName name="_6MIN_BAL_EXP" localSheetId="29">#REF!</definedName>
    <definedName name="_6MIN_BAL_EXP" localSheetId="4">#REF!</definedName>
    <definedName name="_6MIN_BAL_EXP" localSheetId="21">#REF!</definedName>
    <definedName name="_6MIN_BAL_EXP" localSheetId="9">#REF!</definedName>
    <definedName name="_6MIN_BAL_EXP">#REF!</definedName>
    <definedName name="_6RATE_BREAKDOWN" localSheetId="29">#REF!</definedName>
    <definedName name="_6RATE_BREAKDOWN" localSheetId="4">#REF!</definedName>
    <definedName name="_6RATE_BREAKDOWN" localSheetId="21">#REF!</definedName>
    <definedName name="_6RATE_BREAKDOWN" localSheetId="9">#REF!</definedName>
    <definedName name="_6RATE_BREAKDOWN">#REF!</definedName>
    <definedName name="_7_1993" localSheetId="29">#REF!</definedName>
    <definedName name="_7_1993" localSheetId="4">#REF!</definedName>
    <definedName name="_7_1993" localSheetId="21">#REF!</definedName>
    <definedName name="_7_1993" localSheetId="9">#REF!</definedName>
    <definedName name="_7_1993">#REF!</definedName>
    <definedName name="_7_2001_LEVEL" localSheetId="29">#REF!</definedName>
    <definedName name="_7_2001_LEVEL" localSheetId="4">#REF!</definedName>
    <definedName name="_7_2001_LEVEL" localSheetId="21">#REF!</definedName>
    <definedName name="_7_2001_LEVEL" localSheetId="9">#REF!</definedName>
    <definedName name="_7_2001_LEVEL">#REF!</definedName>
    <definedName name="_7_3_MOS_00" localSheetId="29">#REF!</definedName>
    <definedName name="_7_3_MOS_00" localSheetId="4">#REF!</definedName>
    <definedName name="_7_3_MOS_00" localSheetId="21">#REF!</definedName>
    <definedName name="_7_3_MOS_00" localSheetId="9">#REF!</definedName>
    <definedName name="_7_3_MOS_00">#REF!</definedName>
    <definedName name="_7_3_MOS_01" localSheetId="29">#REF!</definedName>
    <definedName name="_7_3_MOS_01" localSheetId="4">#REF!</definedName>
    <definedName name="_7_3_MOS_01" localSheetId="21">#REF!</definedName>
    <definedName name="_7_3_MOS_01" localSheetId="9">#REF!</definedName>
    <definedName name="_7_3_MOS_01">#REF!</definedName>
    <definedName name="_70RATE_BREAKDOWN" localSheetId="29">#REF!</definedName>
    <definedName name="_70RATE_BREAKDOWN" localSheetId="4">#REF!</definedName>
    <definedName name="_70RATE_BREAKDOWN" localSheetId="21">#REF!</definedName>
    <definedName name="_70RATE_BREAKDOWN" localSheetId="9">#REF!</definedName>
    <definedName name="_70RATE_BREAKDOWN">#REF!</definedName>
    <definedName name="_71DET_OP_EXP" localSheetId="29">#REF!</definedName>
    <definedName name="_71DET_OP_EXP" localSheetId="4">#REF!</definedName>
    <definedName name="_71DET_OP_EXP" localSheetId="21">#REF!</definedName>
    <definedName name="_71DET_OP_EXP" localSheetId="9">#REF!</definedName>
    <definedName name="_71DET_OP_EXP">#REF!</definedName>
    <definedName name="_71RATE_COMP" localSheetId="21">'[15]Rate Comp'!$C$1:$M$39</definedName>
    <definedName name="_71RATE_COMP" localSheetId="9">'[15]Rate Comp'!$C$1:$M$39</definedName>
    <definedName name="_71RATE_COMP">'[15]Rate Comp'!$C$1:$M$39</definedName>
    <definedName name="_72FIN_INFO" localSheetId="21">'[7]Fin Info'!$A$1:$H$38</definedName>
    <definedName name="_72FIN_INFO" localSheetId="9">'[7]Fin Info'!$A$1:$H$38</definedName>
    <definedName name="_72FIN_INFO">'[7]Fin Info'!$A$1:$H$38</definedName>
    <definedName name="_72RATES_PU" localSheetId="29">#REF!</definedName>
    <definedName name="_72RATES_PU" localSheetId="4">#REF!</definedName>
    <definedName name="_72RATES_PU" localSheetId="21">#REF!</definedName>
    <definedName name="_72RATES_PU" localSheetId="9">#REF!</definedName>
    <definedName name="_72RATES_PU">#REF!</definedName>
    <definedName name="_73GF_DETAIL" localSheetId="29">#REF!</definedName>
    <definedName name="_73GF_DETAIL" localSheetId="4">#REF!</definedName>
    <definedName name="_73GF_DETAIL" localSheetId="21">#REF!</definedName>
    <definedName name="_73GF_DETAIL" localSheetId="9">#REF!</definedName>
    <definedName name="_73GF_DETAIL">#REF!</definedName>
    <definedName name="_73RATES_PU" localSheetId="29">#REF!</definedName>
    <definedName name="_73RATES_PU" localSheetId="4">#REF!</definedName>
    <definedName name="_73RATES_PU" localSheetId="21">#REF!</definedName>
    <definedName name="_73RATES_PU" localSheetId="9">#REF!</definedName>
    <definedName name="_73RATES_PU">#REF!</definedName>
    <definedName name="_73RATES_WL" localSheetId="29">#REF!</definedName>
    <definedName name="_73RATES_WL" localSheetId="4">#REF!</definedName>
    <definedName name="_73RATES_WL" localSheetId="21">#REF!</definedName>
    <definedName name="_73RATES_WL" localSheetId="9">#REF!</definedName>
    <definedName name="_73RATES_WL">#REF!</definedName>
    <definedName name="_74AMOR_1998" localSheetId="29">#REF!</definedName>
    <definedName name="_74AMOR_1998" localSheetId="4">#REF!</definedName>
    <definedName name="_74AMOR_1998" localSheetId="21">#REF!</definedName>
    <definedName name="_74AMOR_1998" localSheetId="9">#REF!</definedName>
    <definedName name="_74AMOR_1998">#REF!</definedName>
    <definedName name="_74LARGE_EMPLOYERS" localSheetId="29">#REF!</definedName>
    <definedName name="_74LARGE_EMPLOYERS" localSheetId="4">#REF!</definedName>
    <definedName name="_74LARGE_EMPLOYERS" localSheetId="21">#REF!</definedName>
    <definedName name="_74LARGE_EMPLOYERS" localSheetId="9">#REF!</definedName>
    <definedName name="_74LARGE_EMPLOYERS">#REF!</definedName>
    <definedName name="_74MIN_BAL_EXP" localSheetId="29">#REF!</definedName>
    <definedName name="_74MIN_BAL_EXP" localSheetId="4">#REF!</definedName>
    <definedName name="_74MIN_BAL_EXP" localSheetId="21">#REF!</definedName>
    <definedName name="_74MIN_BAL_EXP" localSheetId="9">#REF!</definedName>
    <definedName name="_74MIN_BAL_EXP">#REF!</definedName>
    <definedName name="_74REC_AND_DIS" localSheetId="21">[15]Disb!$A$1:$I$46</definedName>
    <definedName name="_74REC_AND_DIS" localSheetId="9">[15]Disb!$A$1:$I$46</definedName>
    <definedName name="_74REC_AND_DIS">[15]Disb!$A$1:$I$46</definedName>
    <definedName name="_75LEVEL_COMBO" localSheetId="29">#REF!</definedName>
    <definedName name="_75LEVEL_COMBO" localSheetId="4">#REF!</definedName>
    <definedName name="_75LEVEL_COMBO" localSheetId="21">#REF!</definedName>
    <definedName name="_75LEVEL_COMBO" localSheetId="9">#REF!</definedName>
    <definedName name="_75LEVEL_COMBO">#REF!</definedName>
    <definedName name="_75MISC_ECON_INFO" localSheetId="29">#REF!</definedName>
    <definedName name="_75MISC_ECON_INFO" localSheetId="4">#REF!</definedName>
    <definedName name="_75MISC_ECON_INFO" localSheetId="21">#REF!</definedName>
    <definedName name="_75MISC_ECON_INFO" localSheetId="9">#REF!</definedName>
    <definedName name="_75MISC_ECON_INFO">#REF!</definedName>
    <definedName name="_75RATES_WL" localSheetId="29">#REF!</definedName>
    <definedName name="_75RATES_WL" localSheetId="4">#REF!</definedName>
    <definedName name="_75RATES_WL" localSheetId="21">#REF!</definedName>
    <definedName name="_75RATES_WL" localSheetId="9">#REF!</definedName>
    <definedName name="_75RATES_WL">#REF!</definedName>
    <definedName name="_75REC_DIS" localSheetId="29">#REF!</definedName>
    <definedName name="_75REC_DIS" localSheetId="4">#REF!</definedName>
    <definedName name="_75REC_DIS" localSheetId="21">#REF!</definedName>
    <definedName name="_75REC_DIS" localSheetId="9">#REF!</definedName>
    <definedName name="_75REC_DIS">#REF!</definedName>
    <definedName name="_76COMP_BILLINGS">'[2]Comp Billings'!$A$1:$I$53</definedName>
    <definedName name="_76REC_AND_DIS" localSheetId="21">[5]Disb!$A$1:$I$46</definedName>
    <definedName name="_76REC_AND_DIS" localSheetId="9">[5]Disb!$A$1:$I$46</definedName>
    <definedName name="_76REC_AND_DIS">[5]Disb!$A$1:$I$46</definedName>
    <definedName name="_76REV_AVAIL" localSheetId="29">#REF!</definedName>
    <definedName name="_76REV_AVAIL" localSheetId="4">#REF!</definedName>
    <definedName name="_76REV_AVAIL" localSheetId="21">#REF!</definedName>
    <definedName name="_76REV_AVAIL" localSheetId="9">#REF!</definedName>
    <definedName name="_76REV_AVAIL">#REF!</definedName>
    <definedName name="_77REC_AND_DISB" localSheetId="21">'[7]Rec and Disb'!$A$1:$K$96</definedName>
    <definedName name="_77REC_AND_DISB" localSheetId="9">'[7]Rec and Disb'!$A$1:$K$96</definedName>
    <definedName name="_77REC_AND_DISB">'[7]Rec and Disb'!$A$1:$K$96</definedName>
    <definedName name="_78REC_DIS" localSheetId="29">#REF!</definedName>
    <definedName name="_78REC_DIS" localSheetId="4">#REF!</definedName>
    <definedName name="_78REC_DIS" localSheetId="21">#REF!</definedName>
    <definedName name="_78REC_DIS" localSheetId="9">#REF!</definedName>
    <definedName name="_78REC_DIS">#REF!</definedName>
    <definedName name="_79REV_AVAIL" localSheetId="29">#REF!</definedName>
    <definedName name="_79REV_AVAIL" localSheetId="4">#REF!</definedName>
    <definedName name="_79REV_AVAIL" localSheetId="21">#REF!</definedName>
    <definedName name="_79REV_AVAIL" localSheetId="9">#REF!</definedName>
    <definedName name="_79REV_AVAIL">#REF!</definedName>
    <definedName name="_79REV_REQ">'[2]Rev Req I'!$A$1:$L$128</definedName>
    <definedName name="_7ALLOC_EXP" localSheetId="29">#REF!</definedName>
    <definedName name="_7ALLOC_EXP" localSheetId="4">#REF!</definedName>
    <definedName name="_7ALLOC_EXP" localSheetId="21">#REF!</definedName>
    <definedName name="_7ALLOC_EXP" localSheetId="9">#REF!</definedName>
    <definedName name="_7ALLOC_EXP">#REF!</definedName>
    <definedName name="_7ALLOC_WL_PU" localSheetId="29">#REF!</definedName>
    <definedName name="_7ALLOC_WL_PU" localSheetId="4">#REF!</definedName>
    <definedName name="_7ALLOC_WL_PU" localSheetId="21">#REF!</definedName>
    <definedName name="_7ALLOC_WL_PU" localSheetId="9">#REF!</definedName>
    <definedName name="_7ALLOC_WL_PU">#REF!</definedName>
    <definedName name="_7DEBT_NOTES" localSheetId="29">#REF!</definedName>
    <definedName name="_7DEBT_NOTES" localSheetId="4">#REF!</definedName>
    <definedName name="_7DEBT_NOTES" localSheetId="21">#REF!</definedName>
    <definedName name="_7DEBT_NOTES" localSheetId="9">#REF!</definedName>
    <definedName name="_7DEBT_NOTES">#REF!</definedName>
    <definedName name="_7DEPR_EXP" localSheetId="21">'[3]Add Plant'!$A$1:$H$60</definedName>
    <definedName name="_7DEPR_EXP" localSheetId="9">'[3]Add Plant'!$A$1:$H$60</definedName>
    <definedName name="_7DEPR_EXP">'[3]Add Plant'!$A$1:$H$60</definedName>
    <definedName name="_7FIN_INFO">'[9]Fin Info'!$A$1:$H$38</definedName>
    <definedName name="_7NORM_REV" localSheetId="29">#REF!</definedName>
    <definedName name="_7NORM_REV" localSheetId="4">#REF!</definedName>
    <definedName name="_7NORM_REV" localSheetId="21">#REF!</definedName>
    <definedName name="_7NORM_REV" localSheetId="9">#REF!</definedName>
    <definedName name="_7NORM_REV">#REF!</definedName>
    <definedName name="_7RATES_PU" localSheetId="29">#REF!</definedName>
    <definedName name="_7RATES_PU" localSheetId="4">#REF!</definedName>
    <definedName name="_7RATES_PU" localSheetId="21">#REF!</definedName>
    <definedName name="_7RATES_PU" localSheetId="9">#REF!</definedName>
    <definedName name="_7RATES_PU">#REF!</definedName>
    <definedName name="_8_1993" localSheetId="29">#REF!</definedName>
    <definedName name="_8_1993" localSheetId="4">#REF!</definedName>
    <definedName name="_8_1993" localSheetId="21">#REF!</definedName>
    <definedName name="_8_1993" localSheetId="9">#REF!</definedName>
    <definedName name="_8_1993">#REF!</definedName>
    <definedName name="_8_2001_LEVEL" localSheetId="29">#REF!</definedName>
    <definedName name="_8_2001_LEVEL" localSheetId="4">#REF!</definedName>
    <definedName name="_8_2001_LEVEL" localSheetId="21">#REF!</definedName>
    <definedName name="_8_2001_LEVEL" localSheetId="9">#REF!</definedName>
    <definedName name="_8_2001_LEVEL">#REF!</definedName>
    <definedName name="_8_3_MOS_00" localSheetId="29">#REF!</definedName>
    <definedName name="_8_3_MOS_00" localSheetId="4">#REF!</definedName>
    <definedName name="_8_3_MOS_00" localSheetId="21">#REF!</definedName>
    <definedName name="_8_3_MOS_00" localSheetId="9">#REF!</definedName>
    <definedName name="_8_3_MOS_00">#REF!</definedName>
    <definedName name="_8_3_MOS_01" localSheetId="29">#REF!</definedName>
    <definedName name="_8_3_MOS_01" localSheetId="4">#REF!</definedName>
    <definedName name="_8_3_MOS_01" localSheetId="21">#REF!</definedName>
    <definedName name="_8_3_MOS_01" localSheetId="9">#REF!</definedName>
    <definedName name="_8_3_MOS_01">#REF!</definedName>
    <definedName name="_80BILLS_PU" localSheetId="29">#REF!</definedName>
    <definedName name="_80BILLS_PU" localSheetId="4">#REF!</definedName>
    <definedName name="_80BILLS_PU" localSheetId="21">#REF!</definedName>
    <definedName name="_80BILLS_PU" localSheetId="9">#REF!</definedName>
    <definedName name="_80BILLS_PU">#REF!</definedName>
    <definedName name="_80TAX_RATE" localSheetId="29">#REF!</definedName>
    <definedName name="_80TAX_RATE" localSheetId="4">#REF!</definedName>
    <definedName name="_80TAX_RATE" localSheetId="21">#REF!</definedName>
    <definedName name="_80TAX_RATE" localSheetId="9">#REF!</definedName>
    <definedName name="_80TAX_RATE">#REF!</definedName>
    <definedName name="_81REV_REQ" localSheetId="29">#REF!</definedName>
    <definedName name="_81REV_REQ" localSheetId="4">#REF!</definedName>
    <definedName name="_81REV_REQ" localSheetId="21">#REF!</definedName>
    <definedName name="_81REV_REQ" localSheetId="9">#REF!</definedName>
    <definedName name="_81REV_REQ">#REF!</definedName>
    <definedName name="_81TIF_9TH_ST" localSheetId="29">#REF!</definedName>
    <definedName name="_81TIF_9TH_ST" localSheetId="4">#REF!</definedName>
    <definedName name="_81TIF_9TH_ST" localSheetId="21">#REF!</definedName>
    <definedName name="_81TIF_9TH_ST" localSheetId="9">#REF!</definedName>
    <definedName name="_81TIF_9TH_ST">#REF!</definedName>
    <definedName name="_82NORM_REV" localSheetId="29">#REF!</definedName>
    <definedName name="_82NORM_REV" localSheetId="4">#REF!</definedName>
    <definedName name="_82NORM_REV" localSheetId="21">#REF!</definedName>
    <definedName name="_82NORM_REV" localSheetId="9">#REF!</definedName>
    <definedName name="_82NORM_REV">#REF!</definedName>
    <definedName name="_82SEWER_LAND" localSheetId="29">#REF!</definedName>
    <definedName name="_82SEWER_LAND" localSheetId="4">#REF!</definedName>
    <definedName name="_82SEWER_LAND" localSheetId="21">#REF!</definedName>
    <definedName name="_82SEWER_LAND" localSheetId="9">#REF!</definedName>
    <definedName name="_82SEWER_LAND">#REF!</definedName>
    <definedName name="_82TIF_BRADY" localSheetId="29">#REF!</definedName>
    <definedName name="_82TIF_BRADY" localSheetId="4">#REF!</definedName>
    <definedName name="_82TIF_BRADY" localSheetId="21">#REF!</definedName>
    <definedName name="_82TIF_BRADY" localSheetId="9">#REF!</definedName>
    <definedName name="_82TIF_BRADY">#REF!</definedName>
    <definedName name="_83MIN_BAL" localSheetId="21">'[1]Min Bal'!$A$1:$M$53</definedName>
    <definedName name="_83MIN_BAL" localSheetId="9">'[1]Min Bal'!$A$1:$M$53</definedName>
    <definedName name="_83MIN_BAL">'[1]Min Bal'!$A$1:$M$53</definedName>
    <definedName name="_83SUM_OM" localSheetId="29">#REF!</definedName>
    <definedName name="_83SUM_OM" localSheetId="4">#REF!</definedName>
    <definedName name="_83SUM_OM" localSheetId="21">#REF!</definedName>
    <definedName name="_83SUM_OM" localSheetId="9">#REF!</definedName>
    <definedName name="_83SUM_OM">#REF!</definedName>
    <definedName name="_83TIF_HISTORY" localSheetId="29">#REF!</definedName>
    <definedName name="_83TIF_HISTORY" localSheetId="4">#REF!</definedName>
    <definedName name="_83TIF_HISTORY" localSheetId="21">#REF!</definedName>
    <definedName name="_83TIF_HISTORY" localSheetId="9">#REF!</definedName>
    <definedName name="_83TIF_HISTORY">#REF!</definedName>
    <definedName name="_84TAX_RATE" localSheetId="29">#REF!</definedName>
    <definedName name="_84TAX_RATE" localSheetId="4">#REF!</definedName>
    <definedName name="_84TAX_RATE" localSheetId="21">#REF!</definedName>
    <definedName name="_84TAX_RATE" localSheetId="9">#REF!</definedName>
    <definedName name="_84TAX_RATE">#REF!</definedName>
    <definedName name="_84TIF_TREECE" localSheetId="29">#REF!</definedName>
    <definedName name="_84TIF_TREECE" localSheetId="4">#REF!</definedName>
    <definedName name="_84TIF_TREECE" localSheetId="21">#REF!</definedName>
    <definedName name="_84TIF_TREECE" localSheetId="9">#REF!</definedName>
    <definedName name="_84TIF_TREECE">#REF!</definedName>
    <definedName name="_85TIF_9TH_ST" localSheetId="29">#REF!</definedName>
    <definedName name="_85TIF_9TH_ST" localSheetId="4">#REF!</definedName>
    <definedName name="_85TIF_9TH_ST" localSheetId="21">#REF!</definedName>
    <definedName name="_85TIF_9TH_ST" localSheetId="9">#REF!</definedName>
    <definedName name="_85TIF_9TH_ST">#REF!</definedName>
    <definedName name="_85TY_WTB" localSheetId="29">#REF!</definedName>
    <definedName name="_85TY_WTB" localSheetId="4">#REF!</definedName>
    <definedName name="_85TY_WTB" localSheetId="21">#REF!</definedName>
    <definedName name="_85TY_WTB" localSheetId="9">#REF!</definedName>
    <definedName name="_85TY_WTB">#REF!</definedName>
    <definedName name="_86BUDG_ADJ" localSheetId="29">#REF!</definedName>
    <definedName name="_86BUDG_ADJ" localSheetId="4">#REF!</definedName>
    <definedName name="_86BUDG_ADJ" localSheetId="21">#REF!</definedName>
    <definedName name="_86BUDG_ADJ" localSheetId="9">#REF!</definedName>
    <definedName name="_86BUDG_ADJ">#REF!</definedName>
    <definedName name="_86TIF_BRADY" localSheetId="29">#REF!</definedName>
    <definedName name="_86TIF_BRADY" localSheetId="4">#REF!</definedName>
    <definedName name="_86TIF_BRADY" localSheetId="21">#REF!</definedName>
    <definedName name="_86TIF_BRADY" localSheetId="9">#REF!</definedName>
    <definedName name="_86TIF_BRADY">#REF!</definedName>
    <definedName name="_86USER_CONNECT" localSheetId="29">#REF!</definedName>
    <definedName name="_86USER_CONNECT" localSheetId="4">#REF!</definedName>
    <definedName name="_86USER_CONNECT" localSheetId="21">#REF!</definedName>
    <definedName name="_86USER_CONNECT" localSheetId="9">#REF!</definedName>
    <definedName name="_86USER_CONNECT">#REF!</definedName>
    <definedName name="_87TIF_HISTORY" localSheetId="29">#REF!</definedName>
    <definedName name="_87TIF_HISTORY" localSheetId="4">#REF!</definedName>
    <definedName name="_87TIF_HISTORY" localSheetId="21">#REF!</definedName>
    <definedName name="_87TIF_HISTORY" localSheetId="9">#REF!</definedName>
    <definedName name="_87TIF_HISTORY">#REF!</definedName>
    <definedName name="_88TIF_TREECE" localSheetId="29">#REF!</definedName>
    <definedName name="_88TIF_TREECE" localSheetId="4">#REF!</definedName>
    <definedName name="_88TIF_TREECE" localSheetId="21">#REF!</definedName>
    <definedName name="_88TIF_TREECE" localSheetId="9">#REF!</definedName>
    <definedName name="_88TIF_TREECE">#REF!</definedName>
    <definedName name="_89MIN_BAL_EXP" localSheetId="29">#REF!</definedName>
    <definedName name="_89MIN_BAL_EXP" localSheetId="4">#REF!</definedName>
    <definedName name="_89MIN_BAL_EXP" localSheetId="21">#REF!</definedName>
    <definedName name="_89MIN_BAL_EXP" localSheetId="9">#REF!</definedName>
    <definedName name="_89MIN_BAL_EXP">#REF!</definedName>
    <definedName name="_89PF_COE" localSheetId="29">#REF!</definedName>
    <definedName name="_89PF_COE" localSheetId="4">#REF!</definedName>
    <definedName name="_89PF_COE" localSheetId="21">#REF!</definedName>
    <definedName name="_89PF_COE" localSheetId="9">#REF!</definedName>
    <definedName name="_89PF_COE">#REF!</definedName>
    <definedName name="_89TY_WTB" localSheetId="29">#REF!</definedName>
    <definedName name="_89TY_WTB" localSheetId="4">#REF!</definedName>
    <definedName name="_89TY_WTB" localSheetId="21">#REF!</definedName>
    <definedName name="_89TY_WTB" localSheetId="9">#REF!</definedName>
    <definedName name="_89TY_WTB">#REF!</definedName>
    <definedName name="_8ALLOC_EXP" localSheetId="29">#REF!</definedName>
    <definedName name="_8ALLOC_EXP" localSheetId="4">#REF!</definedName>
    <definedName name="_8ALLOC_EXP" localSheetId="21">#REF!</definedName>
    <definedName name="_8ALLOC_EXP" localSheetId="9">#REF!</definedName>
    <definedName name="_8ALLOC_EXP">#REF!</definedName>
    <definedName name="_8ALLOC_WL_PU" localSheetId="29">#REF!</definedName>
    <definedName name="_8ALLOC_WL_PU" localSheetId="4">#REF!</definedName>
    <definedName name="_8ALLOC_WL_PU" localSheetId="21">#REF!</definedName>
    <definedName name="_8ALLOC_WL_PU" localSheetId="9">#REF!</definedName>
    <definedName name="_8ALLOC_WL_PU">#REF!</definedName>
    <definedName name="_8AMOR_1994" localSheetId="29">#REF!</definedName>
    <definedName name="_8AMOR_1994" localSheetId="4">#REF!</definedName>
    <definedName name="_8AMOR_1994" localSheetId="21">#REF!</definedName>
    <definedName name="_8AMOR_1994" localSheetId="9">#REF!</definedName>
    <definedName name="_8AMOR_1994">#REF!</definedName>
    <definedName name="_8CAP_IMPR" localSheetId="21">'[3]Cap Impr'!$A$1:$J$47</definedName>
    <definedName name="_8CAP_IMPR" localSheetId="9">'[3]Cap Impr'!$A$1:$J$47</definedName>
    <definedName name="_8CAP_IMPR">'[3]Cap Impr'!$A$1:$J$47</definedName>
    <definedName name="_8DEBT_RATIOS" localSheetId="29">#REF!</definedName>
    <definedName name="_8DEBT_RATIOS" localSheetId="4">#REF!</definedName>
    <definedName name="_8DEBT_RATIOS" localSheetId="21">#REF!</definedName>
    <definedName name="_8DEBT_RATIOS" localSheetId="9">#REF!</definedName>
    <definedName name="_8DEBT_RATIOS">#REF!</definedName>
    <definedName name="_8DEPR_EXP">'[8]Add Plant'!$A$1:$H$59</definedName>
    <definedName name="_8DET_OP_EXP" localSheetId="29">#REF!</definedName>
    <definedName name="_8DET_OP_EXP" localSheetId="4">#REF!</definedName>
    <definedName name="_8DET_OP_EXP" localSheetId="21">#REF!</definedName>
    <definedName name="_8DET_OP_EXP" localSheetId="9">#REF!</definedName>
    <definedName name="_8DET_OP_EXP">#REF!</definedName>
    <definedName name="_8EXHIBIT_B_4" localSheetId="29">#REF!</definedName>
    <definedName name="_8EXHIBIT_B_4" localSheetId="21">#REF!</definedName>
    <definedName name="_8EXHIBIT_B_4" localSheetId="9">#REF!</definedName>
    <definedName name="_8EXHIBIT_B_4">#REF!</definedName>
    <definedName name="_8MIN_BAL">'[9]Min Bal'!$A$1:$K$49</definedName>
    <definedName name="_8NORM_REV">'[6]Norm Rev'!$A$1:$M$110</definedName>
    <definedName name="_8PF_COE" localSheetId="29">#REF!</definedName>
    <definedName name="_8PF_COE" localSheetId="4">#REF!</definedName>
    <definedName name="_8PF_COE" localSheetId="21">#REF!</definedName>
    <definedName name="_8PF_COE" localSheetId="9">#REF!</definedName>
    <definedName name="_8PF_COE">#REF!</definedName>
    <definedName name="_8RATES_WL" localSheetId="29">#REF!</definedName>
    <definedName name="_8RATES_WL" localSheetId="4">#REF!</definedName>
    <definedName name="_8RATES_WL" localSheetId="21">#REF!</definedName>
    <definedName name="_8RATES_WL" localSheetId="9">#REF!</definedName>
    <definedName name="_8RATES_WL">#REF!</definedName>
    <definedName name="_9_3_MOS_00" localSheetId="29">#REF!</definedName>
    <definedName name="_9_3_MOS_00" localSheetId="4">#REF!</definedName>
    <definedName name="_9_3_MOS_00" localSheetId="21">#REF!</definedName>
    <definedName name="_9_3_MOS_00" localSheetId="9">#REF!</definedName>
    <definedName name="_9_3_MOS_00">#REF!</definedName>
    <definedName name="_9_3_MOS_01" localSheetId="29">#REF!</definedName>
    <definedName name="_9_3_MOS_01" localSheetId="4">#REF!</definedName>
    <definedName name="_9_3_MOS_01" localSheetId="21">#REF!</definedName>
    <definedName name="_9_3_MOS_01" localSheetId="9">#REF!</definedName>
    <definedName name="_9_3_MOS_01">#REF!</definedName>
    <definedName name="_90MISC_ECON_INFO" localSheetId="29">#REF!</definedName>
    <definedName name="_90MISC_ECON_INFO" localSheetId="4">#REF!</definedName>
    <definedName name="_90MISC_ECON_INFO" localSheetId="21">#REF!</definedName>
    <definedName name="_90MISC_ECON_INFO" localSheetId="9">#REF!</definedName>
    <definedName name="_90MISC_ECON_INFO">#REF!</definedName>
    <definedName name="_90USER_CONNECT" localSheetId="29">#REF!</definedName>
    <definedName name="_90USER_CONNECT" localSheetId="4">#REF!</definedName>
    <definedName name="_90USER_CONNECT" localSheetId="21">#REF!</definedName>
    <definedName name="_90USER_CONNECT" localSheetId="9">#REF!</definedName>
    <definedName name="_90USER_CONNECT">#REF!</definedName>
    <definedName name="_92BUDG_EXP" localSheetId="29">#REF!</definedName>
    <definedName name="_92BUDG_EXP" localSheetId="4">#REF!</definedName>
    <definedName name="_92BUDG_EXP" localSheetId="21">#REF!</definedName>
    <definedName name="_92BUDG_EXP" localSheetId="9">#REF!</definedName>
    <definedName name="_92BUDG_EXP">#REF!</definedName>
    <definedName name="_93DEPR_EXP">'[2]Add Plant'!$A$1:$H$60</definedName>
    <definedName name="_96PRES_PROP_RT" localSheetId="29">#REF!</definedName>
    <definedName name="_96PRES_PROP_RT" localSheetId="4">#REF!</definedName>
    <definedName name="_96PRES_PROP_RT" localSheetId="21">#REF!</definedName>
    <definedName name="_96PRES_PROP_RT" localSheetId="9">#REF!</definedName>
    <definedName name="_96PRES_PROP_RT">#REF!</definedName>
    <definedName name="_97PRO_CF" localSheetId="29">#REF!</definedName>
    <definedName name="_97PRO_CF" localSheetId="4">#REF!</definedName>
    <definedName name="_97PRO_CF" localSheetId="21">#REF!</definedName>
    <definedName name="_97PRO_CF" localSheetId="9">#REF!</definedName>
    <definedName name="_97PRO_CF">#REF!</definedName>
    <definedName name="_98BUDG_EXP_BY_EXP" localSheetId="29">#REF!</definedName>
    <definedName name="_98BUDG_EXP_BY_EXP" localSheetId="4">#REF!</definedName>
    <definedName name="_98BUDG_EXP_BY_EXP" localSheetId="21">#REF!</definedName>
    <definedName name="_98BUDG_EXP_BY_EXP" localSheetId="9">#REF!</definedName>
    <definedName name="_98BUDG_EXP_BY_EXP">#REF!</definedName>
    <definedName name="_98NORM_REV" localSheetId="29">#REF!</definedName>
    <definedName name="_98NORM_REV" localSheetId="4">#REF!</definedName>
    <definedName name="_98NORM_REV" localSheetId="21">#REF!</definedName>
    <definedName name="_98NORM_REV" localSheetId="9">#REF!</definedName>
    <definedName name="_98NORM_REV">#REF!</definedName>
    <definedName name="_98PRO_OP_EXP" localSheetId="29">#REF!</definedName>
    <definedName name="_98PRO_OP_EXP" localSheetId="4">#REF!</definedName>
    <definedName name="_98PRO_OP_EXP" localSheetId="21">#REF!</definedName>
    <definedName name="_98PRO_OP_EXP" localSheetId="9">#REF!</definedName>
    <definedName name="_98PRO_OP_EXP">#REF!</definedName>
    <definedName name="_99PROJECTED_DISB." localSheetId="21">'[3]Projected Disb.'!$A$1:$I$41</definedName>
    <definedName name="_99PROJECTED_DISB." localSheetId="9">'[3]Projected Disb.'!$A$1:$I$41</definedName>
    <definedName name="_99PROJECTED_DISB.">'[3]Projected Disb.'!$A$1:$I$41</definedName>
    <definedName name="_9ADD_PLANT" localSheetId="29">#REF!</definedName>
    <definedName name="_9ADD_PLANT" localSheetId="4">#REF!</definedName>
    <definedName name="_9ADD_PLANT" localSheetId="21">#REF!</definedName>
    <definedName name="_9ADD_PLANT" localSheetId="9">#REF!</definedName>
    <definedName name="_9ADD_PLANT">#REF!</definedName>
    <definedName name="_9ALLOC_WL_PU" localSheetId="29">#REF!</definedName>
    <definedName name="_9ALLOC_WL_PU" localSheetId="4">#REF!</definedName>
    <definedName name="_9ALLOC_WL_PU" localSheetId="21">#REF!</definedName>
    <definedName name="_9ALLOC_WL_PU" localSheetId="9">#REF!</definedName>
    <definedName name="_9ALLOC_WL_PU">#REF!</definedName>
    <definedName name="_9AMOR_1994" localSheetId="29">#REF!</definedName>
    <definedName name="_9AMOR_1994" localSheetId="4">#REF!</definedName>
    <definedName name="_9AMOR_1994" localSheetId="21">#REF!</definedName>
    <definedName name="_9AMOR_1994" localSheetId="9">#REF!</definedName>
    <definedName name="_9AMOR_1994">#REF!</definedName>
    <definedName name="_9AMOR_1998" localSheetId="29">#REF!</definedName>
    <definedName name="_9AMOR_1998" localSheetId="4">#REF!</definedName>
    <definedName name="_9AMOR_1998" localSheetId="21">#REF!</definedName>
    <definedName name="_9AMOR_1998" localSheetId="9">#REF!</definedName>
    <definedName name="_9AMOR_1998">#REF!</definedName>
    <definedName name="_9CASH_FLOW" localSheetId="29">#REF!</definedName>
    <definedName name="_9CASH_FLOW" localSheetId="4">#REF!</definedName>
    <definedName name="_9CASH_FLOW" localSheetId="21">#REF!</definedName>
    <definedName name="_9CASH_FLOW" localSheetId="9">#REF!</definedName>
    <definedName name="_9CASH_FLOW">#REF!</definedName>
    <definedName name="_9COMP_BILLINGS">'[2]Comp Billings'!$A$1:$I$53</definedName>
    <definedName name="_9DEPR_EXP">'[2]Add Plant'!$A$1:$H$60</definedName>
    <definedName name="_9EXHIBIT_A" localSheetId="29">#REF!</definedName>
    <definedName name="_9EXHIBIT_A" localSheetId="4">#REF!</definedName>
    <definedName name="_9EXHIBIT_A" localSheetId="21">#REF!</definedName>
    <definedName name="_9EXHIBIT_A" localSheetId="9">#REF!</definedName>
    <definedName name="_9EXHIBIT_A">#REF!</definedName>
    <definedName name="_9MIN_BAL" localSheetId="29">#REF!</definedName>
    <definedName name="_9MIN_BAL" localSheetId="4">#REF!</definedName>
    <definedName name="_9MIN_BAL" localSheetId="21">#REF!</definedName>
    <definedName name="_9MIN_BAL" localSheetId="9">#REF!</definedName>
    <definedName name="_9MIN_BAL">#REF!</definedName>
    <definedName name="_9PF_COE">'[6]PF COE'!$A$1:$M$604</definedName>
    <definedName name="_9PRES_PROP_RT" localSheetId="29">#REF!</definedName>
    <definedName name="_9PRES_PROP_RT" localSheetId="4">#REF!</definedName>
    <definedName name="_9PRES_PROP_RT" localSheetId="21">#REF!</definedName>
    <definedName name="_9PRES_PROP_RT" localSheetId="9">#REF!</definedName>
    <definedName name="_9PRES_PROP_RT">#REF!</definedName>
    <definedName name="_bud21" localSheetId="29">#REF!</definedName>
    <definedName name="_bud21" localSheetId="4">#REF!</definedName>
    <definedName name="_bud21" localSheetId="21">#REF!</definedName>
    <definedName name="_bud21" localSheetId="9">#REF!</definedName>
    <definedName name="_bud21">#REF!</definedName>
    <definedName name="_C" localSheetId="29">#REF!</definedName>
    <definedName name="_C" localSheetId="4">#REF!</definedName>
    <definedName name="_C" localSheetId="21">#REF!</definedName>
    <definedName name="_C" localSheetId="9">#REF!</definedName>
    <definedName name="_C">#REF!</definedName>
    <definedName name="_xlnm._FilterDatabase" localSheetId="4" hidden="1">'2022-2026 Projects'!$C$6:$Q$343</definedName>
    <definedName name="_xlnm._FilterDatabase" localSheetId="9" hidden="1">'PF II Adj'!$P$118:$AA$146</definedName>
    <definedName name="_GF08" localSheetId="25" hidden="1">#REF!</definedName>
    <definedName name="_GF08" localSheetId="26" hidden="1">#REF!</definedName>
    <definedName name="_GF08" localSheetId="27" hidden="1">#REF!</definedName>
    <definedName name="_GF08" localSheetId="28" hidden="1">#REF!</definedName>
    <definedName name="_GF08" localSheetId="29" hidden="1">#REF!</definedName>
    <definedName name="_GF08" localSheetId="4" hidden="1">#REF!</definedName>
    <definedName name="_GF08" localSheetId="21" hidden="1">#REF!</definedName>
    <definedName name="_GF08" localSheetId="9" hidden="1">#REF!</definedName>
    <definedName name="_GF08" hidden="1">#REF!</definedName>
    <definedName name="_Key1" localSheetId="25" hidden="1">[16]WATER04FINAL!#REF!</definedName>
    <definedName name="_Key1" localSheetId="26" hidden="1">[16]WATER04FINAL!#REF!</definedName>
    <definedName name="_Key1" localSheetId="27" hidden="1">[16]WATER04FINAL!#REF!</definedName>
    <definedName name="_Key1" localSheetId="28" hidden="1">[16]WATER04FINAL!#REF!</definedName>
    <definedName name="_Key1" localSheetId="29" hidden="1">[16]WATER04FINAL!#REF!</definedName>
    <definedName name="_Key1" localSheetId="4" hidden="1">[16]WATER04FINAL!#REF!</definedName>
    <definedName name="_Key1" localSheetId="21" hidden="1">[16]WATER04FINAL!#REF!</definedName>
    <definedName name="_Key1" localSheetId="9" hidden="1">[16]WATER04FINAL!#REF!</definedName>
    <definedName name="_Key1" hidden="1">[16]WATER04FINAL!#REF!</definedName>
    <definedName name="_Key2" localSheetId="25" hidden="1">[16]WATER04FINAL!#REF!</definedName>
    <definedName name="_Key2" localSheetId="26" hidden="1">[16]WATER04FINAL!#REF!</definedName>
    <definedName name="_Key2" localSheetId="27" hidden="1">[16]WATER04FINAL!#REF!</definedName>
    <definedName name="_Key2" localSheetId="28" hidden="1">[16]WATER04FINAL!#REF!</definedName>
    <definedName name="_Key2" localSheetId="29" hidden="1">[16]WATER04FINAL!#REF!</definedName>
    <definedName name="_Key2" localSheetId="4" hidden="1">[16]WATER04FINAL!#REF!</definedName>
    <definedName name="_Key2" localSheetId="21" hidden="1">[16]WATER04FINAL!#REF!</definedName>
    <definedName name="_Key2" localSheetId="9" hidden="1">[16]WATER04FINAL!#REF!</definedName>
    <definedName name="_Key2" hidden="1">[16]WATER04FINAL!#REF!</definedName>
    <definedName name="_Order1">255</definedName>
    <definedName name="_Order2">255</definedName>
    <definedName name="A" localSheetId="29">#REF!</definedName>
    <definedName name="A" localSheetId="4">#REF!</definedName>
    <definedName name="A" localSheetId="21">#REF!</definedName>
    <definedName name="A" localSheetId="9">#REF!</definedName>
    <definedName name="A">#REF!</definedName>
    <definedName name="ab" localSheetId="29">#REF!</definedName>
    <definedName name="ab" localSheetId="4">#REF!</definedName>
    <definedName name="ab" localSheetId="21">#REF!</definedName>
    <definedName name="ab" localSheetId="9">#REF!</definedName>
    <definedName name="ab">#REF!</definedName>
    <definedName name="ABAT" localSheetId="29">#REF!</definedName>
    <definedName name="ABAT" localSheetId="4">#REF!</definedName>
    <definedName name="ABAT" localSheetId="21">#REF!</definedName>
    <definedName name="ABAT" localSheetId="9">#REF!</definedName>
    <definedName name="ABAT">#REF!</definedName>
    <definedName name="abc" localSheetId="29">#REF!</definedName>
    <definedName name="abc" localSheetId="4">#REF!</definedName>
    <definedName name="abc" localSheetId="21">#REF!</definedName>
    <definedName name="abc" localSheetId="9">#REF!</definedName>
    <definedName name="abc">#REF!</definedName>
    <definedName name="abcd" localSheetId="29">#REF!</definedName>
    <definedName name="abcd" localSheetId="4">#REF!</definedName>
    <definedName name="abcd" localSheetId="21">#REF!</definedName>
    <definedName name="abcd" localSheetId="9">#REF!</definedName>
    <definedName name="abcd">#REF!</definedName>
    <definedName name="abs" localSheetId="29">#REF!</definedName>
    <definedName name="abs" localSheetId="4">#REF!</definedName>
    <definedName name="abs" localSheetId="21">#REF!</definedName>
    <definedName name="abs" localSheetId="9">#REF!</definedName>
    <definedName name="abs">#REF!</definedName>
    <definedName name="account" localSheetId="21">[17]Sheet12!$A$1:$C$1933</definedName>
    <definedName name="account" localSheetId="9">[17]Sheet12!$A$1:$C$1933</definedName>
    <definedName name="account">[17]Sheet12!$A$1:$C$1933</definedName>
    <definedName name="Acquisition" localSheetId="29">#REF!</definedName>
    <definedName name="Acquisition" localSheetId="4">#REF!</definedName>
    <definedName name="Acquisition" localSheetId="21">#REF!</definedName>
    <definedName name="Acquisition" localSheetId="9">#REF!</definedName>
    <definedName name="Acquisition">#REF!</definedName>
    <definedName name="adcbe" localSheetId="29">#REF!</definedName>
    <definedName name="adcbe" localSheetId="4">#REF!</definedName>
    <definedName name="adcbe" localSheetId="21">#REF!</definedName>
    <definedName name="adcbe" localSheetId="9">#REF!</definedName>
    <definedName name="adcbe">#REF!</definedName>
    <definedName name="AddPlant" localSheetId="29">#REF!</definedName>
    <definedName name="AddPlant" localSheetId="4">#REF!</definedName>
    <definedName name="AddPlant" localSheetId="21">#REF!</definedName>
    <definedName name="AddPlant" localSheetId="9">#REF!</definedName>
    <definedName name="AddPlant">#REF!</definedName>
    <definedName name="AddPlant1" localSheetId="25">[18]AddPlant!$A$1:$M$56</definedName>
    <definedName name="AddPlant1" localSheetId="26">[18]AddPlant!$A$1:$M$56</definedName>
    <definedName name="AddPlant1" localSheetId="27">[18]AddPlant!$A$1:$M$56</definedName>
    <definedName name="AddPlant1" localSheetId="28">[18]AddPlant!$A$1:$M$56</definedName>
    <definedName name="AddPlant1" localSheetId="29">[18]AddPlant!$A$1:$M$56</definedName>
    <definedName name="AddPlant1" localSheetId="21">[18]AddPlant!$A$1:$M$56</definedName>
    <definedName name="AddPlant1" localSheetId="9">[18]AddPlant!$A$1:$M$56</definedName>
    <definedName name="AddPlant1">[18]AddPlant!$A$1:$M$56</definedName>
    <definedName name="AddPlant2">[19]AddPlant!$A$1:$M$56</definedName>
    <definedName name="adf" localSheetId="29">'[20]#8 Pilot Testing'!#REF!</definedName>
    <definedName name="adf" localSheetId="4">'[20]#8 Pilot Testing'!#REF!</definedName>
    <definedName name="adf" localSheetId="21">'[20]#8 Pilot Testing'!#REF!</definedName>
    <definedName name="adf" localSheetId="9">'[20]#8 Pilot Testing'!#REF!</definedName>
    <definedName name="adf">'[20]#8 Pilot Testing'!#REF!</definedName>
    <definedName name="ADFA" localSheetId="25" hidden="1">[16]WATER04FINAL!#REF!</definedName>
    <definedName name="ADFA" localSheetId="26" hidden="1">[16]WATER04FINAL!#REF!</definedName>
    <definedName name="ADFA" localSheetId="27" hidden="1">[16]WATER04FINAL!#REF!</definedName>
    <definedName name="ADFA" localSheetId="28" hidden="1">[16]WATER04FINAL!#REF!</definedName>
    <definedName name="ADFA" localSheetId="29" hidden="1">[16]WATER04FINAL!#REF!</definedName>
    <definedName name="ADFA" localSheetId="4" hidden="1">[16]WATER04FINAL!#REF!</definedName>
    <definedName name="ADFA" localSheetId="21" hidden="1">[16]WATER04FINAL!#REF!</definedName>
    <definedName name="ADFA" localSheetId="9" hidden="1">[16]WATER04FINAL!#REF!</definedName>
    <definedName name="ADFA" hidden="1">[16]WATER04FINAL!#REF!</definedName>
    <definedName name="adfad" localSheetId="25" hidden="1">#REF!</definedName>
    <definedName name="adfad" localSheetId="26" hidden="1">#REF!</definedName>
    <definedName name="adfad" localSheetId="27" hidden="1">#REF!</definedName>
    <definedName name="adfad" localSheetId="28" hidden="1">#REF!</definedName>
    <definedName name="adfad" localSheetId="29" hidden="1">#REF!</definedName>
    <definedName name="adfad" localSheetId="4" hidden="1">#REF!</definedName>
    <definedName name="adfad" localSheetId="21" hidden="1">#REF!</definedName>
    <definedName name="adfad" localSheetId="9" hidden="1">#REF!</definedName>
    <definedName name="adfad" hidden="1">#REF!</definedName>
    <definedName name="adfasdf" localSheetId="29">#REF!</definedName>
    <definedName name="adfasdf" localSheetId="4">#REF!</definedName>
    <definedName name="adfasdf" localSheetId="21">#REF!</definedName>
    <definedName name="adfasdf" localSheetId="9">#REF!</definedName>
    <definedName name="adfasdf">#REF!</definedName>
    <definedName name="ADJUSTMENTS" localSheetId="21">[7]Adjustments!$A$1:$K$239</definedName>
    <definedName name="ADJUSTMENTS" localSheetId="9">[7]Adjustments!$A$1:$K$239</definedName>
    <definedName name="ADJUSTMENTS">[7]Adjustments!$A$1:$K$239</definedName>
    <definedName name="ALLOC" localSheetId="29">#REF!</definedName>
    <definedName name="ALLOC" localSheetId="4">#REF!</definedName>
    <definedName name="ALLOC" localSheetId="21">#REF!</definedName>
    <definedName name="ALLOC" localSheetId="9">#REF!</definedName>
    <definedName name="ALLOC">#REF!</definedName>
    <definedName name="ALLOCATION" localSheetId="25">[21]Allocation!$A$1:$U$73</definedName>
    <definedName name="ALLOCATION" localSheetId="26">[21]Allocation!$A$1:$U$73</definedName>
    <definedName name="ALLOCATION" localSheetId="27">[21]Allocation!$A$1:$U$73</definedName>
    <definedName name="ALLOCATION" localSheetId="28">[21]Allocation!$A$1:$U$73</definedName>
    <definedName name="ALLOCATION" localSheetId="29">[21]Allocation!$A$1:$U$73</definedName>
    <definedName name="ALLOCATION" localSheetId="21">[21]Allocation!$A$1:$U$73</definedName>
    <definedName name="ALLOCATION" localSheetId="9">[21]Allocation!$A$1:$U$73</definedName>
    <definedName name="ALLOCATION">[21]Allocation!$A$1:$U$73</definedName>
    <definedName name="AMORT" localSheetId="29">#REF!</definedName>
    <definedName name="AMORT" localSheetId="4">#REF!</definedName>
    <definedName name="AMORT" localSheetId="21">#REF!</definedName>
    <definedName name="AMORT" localSheetId="9">#REF!</definedName>
    <definedName name="AMORT">#REF!</definedName>
    <definedName name="AMORT_BONDS" localSheetId="29">#REF!</definedName>
    <definedName name="AMORT_BONDS" localSheetId="4">#REF!</definedName>
    <definedName name="AMORT_BONDS" localSheetId="21">#REF!</definedName>
    <definedName name="AMORT_BONDS" localSheetId="9">#REF!</definedName>
    <definedName name="AMORT_BONDS">#REF!</definedName>
    <definedName name="Amortization" localSheetId="29">#REF!</definedName>
    <definedName name="Amortization" localSheetId="4">#REF!</definedName>
    <definedName name="Amortization" localSheetId="21">#REF!</definedName>
    <definedName name="Amortization" localSheetId="9">#REF!</definedName>
    <definedName name="Amortization">#REF!</definedName>
    <definedName name="ANAL_PURCH_97" localSheetId="29">#REF!</definedName>
    <definedName name="ANAL_PURCH_97" localSheetId="4">#REF!</definedName>
    <definedName name="ANAL_PURCH_97" localSheetId="21">#REF!</definedName>
    <definedName name="ANAL_PURCH_97" localSheetId="9">#REF!</definedName>
    <definedName name="ANAL_PURCH_97">#REF!</definedName>
    <definedName name="ANALY_PURCHS96" localSheetId="29">#REF!</definedName>
    <definedName name="ANALY_PURCHS96" localSheetId="4">#REF!</definedName>
    <definedName name="ANALY_PURCHS96" localSheetId="21">#REF!</definedName>
    <definedName name="ANALY_PURCHS96" localSheetId="9">#REF!</definedName>
    <definedName name="ANALY_PURCHS96">#REF!</definedName>
    <definedName name="ANALYOPEXP" localSheetId="29">#REF!</definedName>
    <definedName name="ANALYOPEXP" localSheetId="4">#REF!</definedName>
    <definedName name="ANALYOPEXP" localSheetId="21">#REF!</definedName>
    <definedName name="ANALYOPEXP" localSheetId="9">#REF!</definedName>
    <definedName name="ANALYOPEXP">#REF!</definedName>
    <definedName name="ANALYOPREV" localSheetId="29">#REF!</definedName>
    <definedName name="ANALYOPREV" localSheetId="4">#REF!</definedName>
    <definedName name="ANALYOPREV" localSheetId="21">#REF!</definedName>
    <definedName name="ANALYOPREV" localSheetId="9">#REF!</definedName>
    <definedName name="ANALYOPREV">#REF!</definedName>
    <definedName name="anscount">1</definedName>
    <definedName name="b" localSheetId="29">#REF!</definedName>
    <definedName name="b" localSheetId="4">#REF!</definedName>
    <definedName name="b" localSheetId="21">#REF!</definedName>
    <definedName name="b" localSheetId="9">#REF!</definedName>
    <definedName name="b">#REF!</definedName>
    <definedName name="BAB.A" localSheetId="29">#REF!</definedName>
    <definedName name="BAB.A" localSheetId="4">#REF!</definedName>
    <definedName name="BAB.A" localSheetId="21">#REF!</definedName>
    <definedName name="BAB.A" localSheetId="9">#REF!</definedName>
    <definedName name="BAB.A">#REF!</definedName>
    <definedName name="BAL" localSheetId="29">#REF!</definedName>
    <definedName name="BAL" localSheetId="4">#REF!</definedName>
    <definedName name="BAL" localSheetId="21">#REF!</definedName>
    <definedName name="BAL" localSheetId="9">#REF!</definedName>
    <definedName name="BAL">#REF!</definedName>
    <definedName name="BALANCE" localSheetId="29">#REF!</definedName>
    <definedName name="BALANCE" localSheetId="4">#REF!</definedName>
    <definedName name="BALANCE" localSheetId="21">#REF!</definedName>
    <definedName name="BALANCE" localSheetId="9">#REF!</definedName>
    <definedName name="BALANCE">#REF!</definedName>
    <definedName name="balance2" localSheetId="29">#REF!</definedName>
    <definedName name="balance2" localSheetId="4">#REF!</definedName>
    <definedName name="balance2" localSheetId="21">#REF!</definedName>
    <definedName name="balance2" localSheetId="9">#REF!</definedName>
    <definedName name="balance2">#REF!</definedName>
    <definedName name="Billing" localSheetId="29">#REF!</definedName>
    <definedName name="Billing" localSheetId="4">#REF!</definedName>
    <definedName name="Billing" localSheetId="21">#REF!</definedName>
    <definedName name="Billing" localSheetId="9">#REF!</definedName>
    <definedName name="Billing">#REF!</definedName>
    <definedName name="billing2" localSheetId="29">#REF!</definedName>
    <definedName name="billing2" localSheetId="4">#REF!</definedName>
    <definedName name="billing2" localSheetId="21">#REF!</definedName>
    <definedName name="billing2" localSheetId="9">#REF!</definedName>
    <definedName name="billing2">#REF!</definedName>
    <definedName name="BILLS" localSheetId="29">#REF!</definedName>
    <definedName name="BILLS" localSheetId="4">#REF!</definedName>
    <definedName name="BILLS" localSheetId="21">#REF!</definedName>
    <definedName name="BILLS" localSheetId="9">#REF!</definedName>
    <definedName name="BILLS">#REF!</definedName>
    <definedName name="Bonds1993" localSheetId="29">#REF!</definedName>
    <definedName name="Bonds1993" localSheetId="4">#REF!</definedName>
    <definedName name="Bonds1993" localSheetId="21">#REF!</definedName>
    <definedName name="Bonds1993" localSheetId="9">#REF!</definedName>
    <definedName name="Bonds1993">#REF!</definedName>
    <definedName name="Bonds1995" localSheetId="29">#REF!</definedName>
    <definedName name="Bonds1995" localSheetId="4">#REF!</definedName>
    <definedName name="Bonds1995" localSheetId="21">#REF!</definedName>
    <definedName name="Bonds1995" localSheetId="9">#REF!</definedName>
    <definedName name="Bonds1995">#REF!</definedName>
    <definedName name="Bonds1997" localSheetId="29">#REF!</definedName>
    <definedName name="Bonds1997" localSheetId="4">#REF!</definedName>
    <definedName name="Bonds1997" localSheetId="21">#REF!</definedName>
    <definedName name="Bonds1997" localSheetId="9">#REF!</definedName>
    <definedName name="Bonds1997">#REF!</definedName>
    <definedName name="Bonds2000A">'[22]2000A'!$A$1:$N$67</definedName>
    <definedName name="Bonds2000B" localSheetId="29">#REF!</definedName>
    <definedName name="Bonds2000B" localSheetId="4">#REF!</definedName>
    <definedName name="Bonds2000B" localSheetId="21">#REF!</definedName>
    <definedName name="Bonds2000B" localSheetId="9">#REF!</definedName>
    <definedName name="Bonds2000B">#REF!</definedName>
    <definedName name="Bonds2001" localSheetId="29">#REF!</definedName>
    <definedName name="Bonds2001" localSheetId="4">#REF!</definedName>
    <definedName name="Bonds2001" localSheetId="21">#REF!</definedName>
    <definedName name="Bonds2001" localSheetId="9">#REF!</definedName>
    <definedName name="Bonds2001">#REF!</definedName>
    <definedName name="Bonds98" localSheetId="29">#REF!</definedName>
    <definedName name="Bonds98" localSheetId="4">#REF!</definedName>
    <definedName name="Bonds98" localSheetId="21">#REF!</definedName>
    <definedName name="Bonds98" localSheetId="9">#REF!</definedName>
    <definedName name="Bonds98">#REF!</definedName>
    <definedName name="CASHFLOW" localSheetId="25">[21]cashflow!$A$1:$H$92</definedName>
    <definedName name="CASHFLOW" localSheetId="26">[21]cashflow!$A$1:$H$92</definedName>
    <definedName name="CASHFLOW" localSheetId="27">[21]cashflow!$A$1:$H$92</definedName>
    <definedName name="CASHFLOW" localSheetId="28">[21]cashflow!$A$1:$H$92</definedName>
    <definedName name="CASHFLOW" localSheetId="29">[21]cashflow!$A$1:$H$92</definedName>
    <definedName name="CASHFLOW" localSheetId="21">[21]cashflow!$A$1:$H$92</definedName>
    <definedName name="CASHFLOW" localSheetId="9">[21]cashflow!$A$1:$H$92</definedName>
    <definedName name="CASHFLOW">[21]cashflow!$A$1:$H$92</definedName>
    <definedName name="CELLFORM" localSheetId="29">#REF!</definedName>
    <definedName name="CELLFORM" localSheetId="4">#REF!</definedName>
    <definedName name="CELLFORM" localSheetId="21">#REF!</definedName>
    <definedName name="CELLFORM" localSheetId="9">#REF!</definedName>
    <definedName name="CELLFORM">#REF!</definedName>
    <definedName name="CENTER" localSheetId="29">#REF!</definedName>
    <definedName name="CENTER" localSheetId="4">#REF!</definedName>
    <definedName name="CENTER" localSheetId="21">#REF!</definedName>
    <definedName name="CENTER" localSheetId="9">#REF!</definedName>
    <definedName name="CENTER">#REF!</definedName>
    <definedName name="CIB" localSheetId="29">[23]CIB!#REF!</definedName>
    <definedName name="CIB" localSheetId="4">[23]CIB!#REF!</definedName>
    <definedName name="CIB" localSheetId="21">[23]CIB!#REF!</definedName>
    <definedName name="CIB" localSheetId="9">[23]CIB!#REF!</definedName>
    <definedName name="CIB">[23]CIB!#REF!</definedName>
    <definedName name="CIP" localSheetId="29">#REF!</definedName>
    <definedName name="CIP" localSheetId="4">#REF!</definedName>
    <definedName name="CIP" localSheetId="21">#REF!</definedName>
    <definedName name="CIP" localSheetId="9">#REF!</definedName>
    <definedName name="CIP">#REF!</definedName>
    <definedName name="code" localSheetId="29">#REF!</definedName>
    <definedName name="code" localSheetId="21">#REF!</definedName>
    <definedName name="code" localSheetId="9">#REF!</definedName>
    <definedName name="code">#REF!</definedName>
    <definedName name="COMB" localSheetId="29">#REF!</definedName>
    <definedName name="COMB" localSheetId="4">#REF!</definedName>
    <definedName name="COMB" localSheetId="21">#REF!</definedName>
    <definedName name="COMB" localSheetId="9">#REF!</definedName>
    <definedName name="COMB">#REF!</definedName>
    <definedName name="Combined" localSheetId="29">#REF!</definedName>
    <definedName name="Combined" localSheetId="4">#REF!</definedName>
    <definedName name="Combined" localSheetId="21">#REF!</definedName>
    <definedName name="Combined" localSheetId="9">#REF!</definedName>
    <definedName name="Combined">#REF!</definedName>
    <definedName name="Compare" localSheetId="29">#REF!</definedName>
    <definedName name="Compare" localSheetId="4">#REF!</definedName>
    <definedName name="Compare" localSheetId="21">#REF!</definedName>
    <definedName name="Compare" localSheetId="9">#REF!</definedName>
    <definedName name="Compare">#REF!</definedName>
    <definedName name="COMPARISON" localSheetId="29">#REF!</definedName>
    <definedName name="COMPARISON" localSheetId="4">#REF!</definedName>
    <definedName name="COMPARISON" localSheetId="21">#REF!</definedName>
    <definedName name="COMPARISON" localSheetId="9">#REF!</definedName>
    <definedName name="COMPARISON">#REF!</definedName>
    <definedName name="COMPARISON_BAL">'[24]MIN RESERVE'!$A$1:$H$58</definedName>
    <definedName name="CompBudtoAct" localSheetId="29">#REF!</definedName>
    <definedName name="CompBudtoAct" localSheetId="4">#REF!</definedName>
    <definedName name="CompBudtoAct" localSheetId="21">#REF!</definedName>
    <definedName name="CompBudtoAct" localSheetId="9">#REF!</definedName>
    <definedName name="CompBudtoAct">#REF!</definedName>
    <definedName name="COMPONENTS" localSheetId="25">[21]component!$A$1:$H$53</definedName>
    <definedName name="COMPONENTS" localSheetId="26">[21]component!$A$1:$H$53</definedName>
    <definedName name="COMPONENTS" localSheetId="27">[21]component!$A$1:$H$53</definedName>
    <definedName name="COMPONENTS" localSheetId="28">[21]component!$A$1:$H$53</definedName>
    <definedName name="COMPONENTS" localSheetId="29">[21]component!$A$1:$H$53</definedName>
    <definedName name="COMPONENTS" localSheetId="21">[21]component!$A$1:$H$53</definedName>
    <definedName name="COMPONENTS" localSheetId="9">[21]component!$A$1:$H$53</definedName>
    <definedName name="COMPONENTS">[21]component!$A$1:$H$53</definedName>
    <definedName name="ComptoBudget" localSheetId="29">#REF!</definedName>
    <definedName name="ComptoBudget" localSheetId="4">#REF!</definedName>
    <definedName name="ComptoBudget" localSheetId="21">#REF!</definedName>
    <definedName name="ComptoBudget" localSheetId="9">#REF!</definedName>
    <definedName name="ComptoBudget">#REF!</definedName>
    <definedName name="CONBINED_PERS" localSheetId="29">#REF!</definedName>
    <definedName name="CONBINED_PERS" localSheetId="4">#REF!</definedName>
    <definedName name="CONBINED_PERS" localSheetId="21">#REF!</definedName>
    <definedName name="CONBINED_PERS" localSheetId="9">#REF!</definedName>
    <definedName name="CONBINED_PERS">#REF!</definedName>
    <definedName name="Consolidated" localSheetId="29">#REF!</definedName>
    <definedName name="Consolidated" localSheetId="4">#REF!</definedName>
    <definedName name="Consolidated" localSheetId="21">#REF!</definedName>
    <definedName name="Consolidated" localSheetId="9">#REF!</definedName>
    <definedName name="Consolidated">#REF!</definedName>
    <definedName name="CORPRATES" localSheetId="29">#REF!</definedName>
    <definedName name="CORPRATES" localSheetId="4">#REF!</definedName>
    <definedName name="CORPRATES" localSheetId="21">#REF!</definedName>
    <definedName name="CORPRATES" localSheetId="9">#REF!</definedName>
    <definedName name="CORPRATES">#REF!</definedName>
    <definedName name="COVER" localSheetId="29">#REF!</definedName>
    <definedName name="COVER" localSheetId="4">#REF!</definedName>
    <definedName name="COVER" localSheetId="21">#REF!</definedName>
    <definedName name="COVER" localSheetId="9">#REF!</definedName>
    <definedName name="COVER">#REF!</definedName>
    <definedName name="Coverage" localSheetId="29">#REF!</definedName>
    <definedName name="Coverage" localSheetId="4">#REF!</definedName>
    <definedName name="Coverage" localSheetId="21">#REF!</definedName>
    <definedName name="Coverage" localSheetId="9">#REF!</definedName>
    <definedName name="Coverage">#REF!</definedName>
    <definedName name="_xlnm.Criteria" localSheetId="29">#REF!</definedName>
    <definedName name="_xlnm.Criteria" localSheetId="4">#REF!</definedName>
    <definedName name="_xlnm.Criteria" localSheetId="21">#REF!</definedName>
    <definedName name="_xlnm.Criteria" localSheetId="9">#REF!</definedName>
    <definedName name="_xlnm.Criteria">#REF!</definedName>
    <definedName name="CURBIDCALC" localSheetId="29">#REF!</definedName>
    <definedName name="CURBIDCALC" localSheetId="4">#REF!</definedName>
    <definedName name="CURBIDCALC" localSheetId="21">#REF!</definedName>
    <definedName name="CURBIDCALC" localSheetId="9">#REF!</definedName>
    <definedName name="CURBIDCALC">#REF!</definedName>
    <definedName name="CUSTOMER" localSheetId="25">[21]customer!$A$1:$N$58</definedName>
    <definedName name="CUSTOMER" localSheetId="26">[21]customer!$A$1:$N$58</definedName>
    <definedName name="CUSTOMER" localSheetId="27">[21]customer!$A$1:$N$58</definedName>
    <definedName name="CUSTOMER" localSheetId="28">[21]customer!$A$1:$N$58</definedName>
    <definedName name="CUSTOMER" localSheetId="29">[21]customer!$A$1:$N$58</definedName>
    <definedName name="CUSTOMER" localSheetId="21">[21]customer!$A$1:$N$58</definedName>
    <definedName name="CUSTOMER" localSheetId="9">[21]customer!$A$1:$N$58</definedName>
    <definedName name="CUSTOMER">[21]customer!$A$1:$N$58</definedName>
    <definedName name="Darlington" localSheetId="29">#REF!</definedName>
    <definedName name="Darlington" localSheetId="4">#REF!</definedName>
    <definedName name="Darlington" localSheetId="21">#REF!</definedName>
    <definedName name="Darlington" localSheetId="9">#REF!</definedName>
    <definedName name="Darlington">#REF!</definedName>
    <definedName name="DATA" localSheetId="29">#REF!</definedName>
    <definedName name="DATA" localSheetId="4">#REF!</definedName>
    <definedName name="DATA" localSheetId="21">#REF!</definedName>
    <definedName name="DATA" localSheetId="9">#REF!</definedName>
    <definedName name="DATA">#REF!</definedName>
    <definedName name="_xlnm.Database" localSheetId="29">#REF!</definedName>
    <definedName name="_xlnm.Database" localSheetId="4">#REF!</definedName>
    <definedName name="_xlnm.Database" localSheetId="21">#REF!</definedName>
    <definedName name="_xlnm.Database" localSheetId="9">#REF!</definedName>
    <definedName name="_xlnm.Database">#REF!</definedName>
    <definedName name="DAVMAT" localSheetId="29">'[25]Water Line Projects'!#REF!</definedName>
    <definedName name="DAVMAT" localSheetId="4">'[25]Water Line Projects'!#REF!</definedName>
    <definedName name="DAVMAT" localSheetId="21">'[25]Water Line Projects'!#REF!</definedName>
    <definedName name="DAVMAT" localSheetId="9">'[25]Water Line Projects'!#REF!</definedName>
    <definedName name="DAVMAT">'[25]Water Line Projects'!#REF!</definedName>
    <definedName name="DEBT" localSheetId="29">#REF!</definedName>
    <definedName name="DEBT" localSheetId="4">#REF!</definedName>
    <definedName name="DEBT" localSheetId="21">#REF!</definedName>
    <definedName name="DEBT" localSheetId="9">#REF!</definedName>
    <definedName name="DEBT">#REF!</definedName>
    <definedName name="degts" localSheetId="29">#REF!</definedName>
    <definedName name="degts" localSheetId="4">#REF!</definedName>
    <definedName name="degts" localSheetId="21">#REF!</definedName>
    <definedName name="degts" localSheetId="9">#REF!</definedName>
    <definedName name="degts">#REF!</definedName>
    <definedName name="DepreciatedValues" localSheetId="29">#REF!</definedName>
    <definedName name="DepreciatedValues" localSheetId="4">#REF!</definedName>
    <definedName name="DepreciatedValues" localSheetId="21">#REF!</definedName>
    <definedName name="DepreciatedValues" localSheetId="9">#REF!</definedName>
    <definedName name="DepreciatedValues">#REF!</definedName>
    <definedName name="Dept" localSheetId="21">[26]tables!$A$17:$B$36</definedName>
    <definedName name="Dept" localSheetId="9">[26]tables!$A$17:$B$36</definedName>
    <definedName name="Dept">[26]tables!$A$17:$B$36</definedName>
    <definedName name="DESIGNDIGESTER" localSheetId="29">#REF!</definedName>
    <definedName name="DESIGNDIGESTER" localSheetId="4">#REF!</definedName>
    <definedName name="DESIGNDIGESTER" localSheetId="21">#REF!</definedName>
    <definedName name="DESIGNDIGESTER" localSheetId="9">#REF!</definedName>
    <definedName name="DESIGNDIGESTER">#REF!</definedName>
    <definedName name="DETEXP" localSheetId="29">#REF!</definedName>
    <definedName name="DETEXP" localSheetId="4">#REF!</definedName>
    <definedName name="DETEXP" localSheetId="21">#REF!</definedName>
    <definedName name="DETEXP" localSheetId="9">#REF!</definedName>
    <definedName name="DETEXP">#REF!</definedName>
    <definedName name="DetOpDisb" localSheetId="29">#REF!</definedName>
    <definedName name="DetOpDisb" localSheetId="4">#REF!</definedName>
    <definedName name="DetOpDisb" localSheetId="21">#REF!</definedName>
    <definedName name="DetOpDisb" localSheetId="9">#REF!</definedName>
    <definedName name="DetOpDisb">#REF!</definedName>
    <definedName name="DETREV" localSheetId="29">#REF!</definedName>
    <definedName name="DETREV" localSheetId="4">#REF!</definedName>
    <definedName name="DETREV" localSheetId="21">#REF!</definedName>
    <definedName name="DETREV" localSheetId="9">#REF!</definedName>
    <definedName name="DETREV">#REF!</definedName>
    <definedName name="DEVELOPMENTS" localSheetId="29">#REF!</definedName>
    <definedName name="DEVELOPMENTS" localSheetId="4">#REF!</definedName>
    <definedName name="DEVELOPMENTS" localSheetId="21">#REF!</definedName>
    <definedName name="DEVELOPMENTS" localSheetId="9">#REF!</definedName>
    <definedName name="DEVELOPMENTS">#REF!</definedName>
    <definedName name="dfghj" localSheetId="29">#REF!</definedName>
    <definedName name="dfghj" localSheetId="4">#REF!</definedName>
    <definedName name="dfghj" localSheetId="21">#REF!</definedName>
    <definedName name="dfghj" localSheetId="9">#REF!</definedName>
    <definedName name="dfghj">#REF!</definedName>
    <definedName name="dflt1">'[27]Customize Your Purchase Order'!$E$21</definedName>
    <definedName name="DisbBudget" localSheetId="29">#REF!</definedName>
    <definedName name="DisbBudget" localSheetId="4">#REF!</definedName>
    <definedName name="DisbBudget" localSheetId="21">#REF!</definedName>
    <definedName name="DisbBudget" localSheetId="9">#REF!</definedName>
    <definedName name="DisbBudget">#REF!</definedName>
    <definedName name="DOLLARSALES" localSheetId="29">#REF!</definedName>
    <definedName name="DOLLARSALES" localSheetId="4">#REF!</definedName>
    <definedName name="DOLLARSALES" localSheetId="21">#REF!</definedName>
    <definedName name="DOLLARSALES" localSheetId="9">#REF!</definedName>
    <definedName name="DOLLARSALES">#REF!</definedName>
    <definedName name="DRAFT" localSheetId="29">#REF!</definedName>
    <definedName name="DRAFT" localSheetId="4">#REF!</definedName>
    <definedName name="DRAFT" localSheetId="21">#REF!</definedName>
    <definedName name="DRAFT" localSheetId="9">#REF!</definedName>
    <definedName name="DRAFT">#REF!</definedName>
    <definedName name="e42wrqwer" localSheetId="25">[0]!BAB.A("Tim","George","Walter")</definedName>
    <definedName name="e42wrqwer" localSheetId="26">[0]!BAB.A("Tim","George","Walter")</definedName>
    <definedName name="e42wrqwer" localSheetId="27">[0]!BAB.A("Tim","George","Walter")</definedName>
    <definedName name="e42wrqwer" localSheetId="28">[0]!BAB.A("Tim","George","Walter")</definedName>
    <definedName name="e42wrqwer" localSheetId="29">'2021 (Level)'!BAB.A("Tim","George","Walter")</definedName>
    <definedName name="e42wrqwer" localSheetId="4">'2022-2026 Projects'!BAB.A("Tim","George","Walter")</definedName>
    <definedName name="e42wrqwer" localSheetId="21">'Min Bal'!BAB.A("Tim","George","Walter")</definedName>
    <definedName name="e42wrqwer" localSheetId="9">'PF II Adj'!BAB.A("Tim","George","Walter")</definedName>
    <definedName name="e42wrqwer">[0]!BAB.A("Tim","George","Walter")</definedName>
    <definedName name="EDIT" localSheetId="29">#REF!</definedName>
    <definedName name="EDIT" localSheetId="4">#REF!</definedName>
    <definedName name="EDIT" localSheetId="21">#REF!</definedName>
    <definedName name="EDIT" localSheetId="9">#REF!</definedName>
    <definedName name="EDIT">#REF!</definedName>
    <definedName name="EDUs" localSheetId="29">#REF!</definedName>
    <definedName name="EDUs" localSheetId="4">#REF!</definedName>
    <definedName name="EDUs" localSheetId="21">#REF!</definedName>
    <definedName name="EDUs" localSheetId="9">#REF!</definedName>
    <definedName name="EDUs">#REF!</definedName>
    <definedName name="eeeerrere" localSheetId="23">array("Tim","George","Walter")</definedName>
    <definedName name="eeeerrere" localSheetId="25">array("Tim","George","Walter")</definedName>
    <definedName name="eeeerrere" localSheetId="26">array("Tim","George","Walter")</definedName>
    <definedName name="eeeerrere" localSheetId="27">array("Tim","George","Walter")</definedName>
    <definedName name="eeeerrere" localSheetId="28">array("Tim","George","Walter")</definedName>
    <definedName name="eeeerrere" localSheetId="29">array("Tim","George","Walter")</definedName>
    <definedName name="eeeerrere" localSheetId="4">array("Tim","George","Walter")</definedName>
    <definedName name="eeeerrere" localSheetId="21">array("Tim","George","Walter")</definedName>
    <definedName name="eeeerrere" localSheetId="5">array("Tim","George","Walter")</definedName>
    <definedName name="eeeerrere" localSheetId="8">array("Tim","George","Walter")</definedName>
    <definedName name="eeeerrere" localSheetId="9">array("Tim","George","Walter")</definedName>
    <definedName name="eeeerrere" localSheetId="7">array("Tim","George","Walter")</definedName>
    <definedName name="eeeerrere" localSheetId="6">array("Tim","George","Walter")</definedName>
    <definedName name="eeeerrere">array("Tim","George","Walter")</definedName>
    <definedName name="eeList" localSheetId="23">array("Tim","George","Walter")</definedName>
    <definedName name="eeList" localSheetId="24">array("Tim","George","Walter")</definedName>
    <definedName name="eeList" localSheetId="25">array("Tim","George","Walter")</definedName>
    <definedName name="eeList" localSheetId="26">array("Tim","George","Walter")</definedName>
    <definedName name="eeList" localSheetId="27">array("Tim","George","Walter")</definedName>
    <definedName name="eeList" localSheetId="28">array("Tim","George","Walter")</definedName>
    <definedName name="eeList" localSheetId="29">array("Tim","George","Walter")</definedName>
    <definedName name="eeList" localSheetId="4">array("Tim","George","Walter")</definedName>
    <definedName name="eeList" localSheetId="2">array("Tim","George","Walter")</definedName>
    <definedName name="eeList" localSheetId="17">array("Tim","George","Walter")</definedName>
    <definedName name="eeList" localSheetId="21">array("Tim","George","Walter")</definedName>
    <definedName name="eeList" localSheetId="5">array("Tim","George","Walter")</definedName>
    <definedName name="eeList" localSheetId="8">array("Tim","George","Walter")</definedName>
    <definedName name="eeList" localSheetId="9">array("Tim","George","Walter")</definedName>
    <definedName name="eeList" localSheetId="3">array("Tim","George","Walter")</definedName>
    <definedName name="eeList" localSheetId="7">array("Tim","George","Walter")</definedName>
    <definedName name="eeList" localSheetId="6">array("Tim","George","Walter")</definedName>
    <definedName name="eeList">array("Tim","George","Walter")</definedName>
    <definedName name="EQUIP" localSheetId="29">#REF!</definedName>
    <definedName name="EQUIP" localSheetId="4">#REF!</definedName>
    <definedName name="EQUIP" localSheetId="21">#REF!</definedName>
    <definedName name="EQUIP" localSheetId="9">#REF!</definedName>
    <definedName name="EQUIP">#REF!</definedName>
    <definedName name="EXHIBITA" localSheetId="29">#REF!</definedName>
    <definedName name="EXHIBITA" localSheetId="4">#REF!</definedName>
    <definedName name="EXHIBITA" localSheetId="21">#REF!</definedName>
    <definedName name="EXHIBITA" localSheetId="9">#REF!</definedName>
    <definedName name="EXHIBITA">#REF!</definedName>
    <definedName name="EXHIBITB" localSheetId="29">#REF!</definedName>
    <definedName name="EXHIBITB" localSheetId="4">#REF!</definedName>
    <definedName name="EXHIBITB" localSheetId="21">#REF!</definedName>
    <definedName name="EXHIBITB" localSheetId="9">#REF!</definedName>
    <definedName name="EXHIBITB">#REF!</definedName>
    <definedName name="EXHIBITC" localSheetId="29">#REF!</definedName>
    <definedName name="EXHIBITC" localSheetId="4">#REF!</definedName>
    <definedName name="EXHIBITC" localSheetId="21">#REF!</definedName>
    <definedName name="EXHIBITC" localSheetId="9">#REF!</definedName>
    <definedName name="EXHIBITC">#REF!</definedName>
    <definedName name="EXHIBITD" localSheetId="29">#REF!</definedName>
    <definedName name="EXHIBITD" localSheetId="4">#REF!</definedName>
    <definedName name="EXHIBITD" localSheetId="21">#REF!</definedName>
    <definedName name="EXHIBITD" localSheetId="9">#REF!</definedName>
    <definedName name="EXHIBITD">#REF!</definedName>
    <definedName name="EXHIBITE" localSheetId="29">#REF!</definedName>
    <definedName name="EXHIBITE" localSheetId="4">#REF!</definedName>
    <definedName name="EXHIBITE" localSheetId="21">#REF!</definedName>
    <definedName name="EXHIBITE" localSheetId="9">#REF!</definedName>
    <definedName name="EXHIBITE">#REF!</definedName>
    <definedName name="EXHIBITF" localSheetId="29">#REF!</definedName>
    <definedName name="EXHIBITF" localSheetId="4">#REF!</definedName>
    <definedName name="EXHIBITF" localSheetId="21">#REF!</definedName>
    <definedName name="EXHIBITF" localSheetId="9">#REF!</definedName>
    <definedName name="EXHIBITF">#REF!</definedName>
    <definedName name="EXHIBITG" localSheetId="29">#REF!</definedName>
    <definedName name="EXHIBITG" localSheetId="4">#REF!</definedName>
    <definedName name="EXHIBITG" localSheetId="21">#REF!</definedName>
    <definedName name="EXHIBITG" localSheetId="9">#REF!</definedName>
    <definedName name="EXHIBITG">#REF!</definedName>
    <definedName name="F" localSheetId="29">#REF!</definedName>
    <definedName name="F" localSheetId="4">#REF!</definedName>
    <definedName name="F" localSheetId="21">#REF!</definedName>
    <definedName name="F" localSheetId="9">#REF!</definedName>
    <definedName name="F">#REF!</definedName>
    <definedName name="ff" localSheetId="29">#REF!</definedName>
    <definedName name="ff" localSheetId="4">#REF!</definedName>
    <definedName name="ff" localSheetId="21">#REF!</definedName>
    <definedName name="ff" localSheetId="9">#REF!</definedName>
    <definedName name="ff">#REF!</definedName>
    <definedName name="FIRSTARBONDS" localSheetId="29">#REF!</definedName>
    <definedName name="FIRSTARBONDS" localSheetId="4">#REF!</definedName>
    <definedName name="FIRSTARBONDS" localSheetId="21">#REF!</definedName>
    <definedName name="FIRSTARBONDS" localSheetId="9">#REF!</definedName>
    <definedName name="FIRSTARBONDS">#REF!</definedName>
    <definedName name="FIRSTI" localSheetId="29">#REF!</definedName>
    <definedName name="FIRSTI" localSheetId="4">#REF!</definedName>
    <definedName name="FIRSTI" localSheetId="21">#REF!</definedName>
    <definedName name="FIRSTI" localSheetId="9">#REF!</definedName>
    <definedName name="FIRSTI">#REF!</definedName>
    <definedName name="FLOWS" localSheetId="29">#REF!</definedName>
    <definedName name="FLOWS" localSheetId="4">#REF!</definedName>
    <definedName name="FLOWS" localSheetId="21">#REF!</definedName>
    <definedName name="FLOWS" localSheetId="9">#REF!</definedName>
    <definedName name="FLOWS">#REF!</definedName>
    <definedName name="FUNDNAMES" localSheetId="29">#REF!</definedName>
    <definedName name="FUNDNAMES" localSheetId="4">#REF!</definedName>
    <definedName name="FUNDNAMES" localSheetId="21">#REF!</definedName>
    <definedName name="FUNDNAMES" localSheetId="9">#REF!</definedName>
    <definedName name="FUNDNAMES">#REF!</definedName>
    <definedName name="FUNDRATES" localSheetId="29">#REF!</definedName>
    <definedName name="FUNDRATES" localSheetId="4">#REF!</definedName>
    <definedName name="FUNDRATES" localSheetId="21">#REF!</definedName>
    <definedName name="FUNDRATES" localSheetId="9">#REF!</definedName>
    <definedName name="FUNDRATES">#REF!</definedName>
    <definedName name="FUNDS" localSheetId="29">#REF!</definedName>
    <definedName name="FUNDS" localSheetId="4">#REF!</definedName>
    <definedName name="FUNDS" localSheetId="21">#REF!</definedName>
    <definedName name="FUNDS" localSheetId="9">#REF!</definedName>
    <definedName name="FUNDS">#REF!</definedName>
    <definedName name="G" localSheetId="29">'[28]GENERAL INFO'!#REF!</definedName>
    <definedName name="G" localSheetId="4">'[28]GENERAL INFO'!#REF!</definedName>
    <definedName name="G" localSheetId="21">'[28]GENERAL INFO'!#REF!</definedName>
    <definedName name="G" localSheetId="9">'[28]GENERAL INFO'!#REF!</definedName>
    <definedName name="G">'[28]GENERAL INFO'!#REF!</definedName>
    <definedName name="GALLONS" localSheetId="29">#REF!</definedName>
    <definedName name="GALLONS" localSheetId="4">#REF!</definedName>
    <definedName name="GALLONS" localSheetId="21">#REF!</definedName>
    <definedName name="GALLONS" localSheetId="9">#REF!</definedName>
    <definedName name="GALLONS">#REF!</definedName>
    <definedName name="GAV_PERS" localSheetId="29">#REF!</definedName>
    <definedName name="GAV_PERS" localSheetId="4">#REF!</definedName>
    <definedName name="GAV_PERS" localSheetId="21">#REF!</definedName>
    <definedName name="GAV_PERS" localSheetId="9">#REF!</definedName>
    <definedName name="GAV_PERS">#REF!</definedName>
    <definedName name="GAV_REAL" localSheetId="29">#REF!</definedName>
    <definedName name="GAV_REAL" localSheetId="4">#REF!</definedName>
    <definedName name="GAV_REAL" localSheetId="21">#REF!</definedName>
    <definedName name="GAV_REAL" localSheetId="9">#REF!</definedName>
    <definedName name="GAV_REAL">#REF!</definedName>
    <definedName name="GF" localSheetId="29">#REF!</definedName>
    <definedName name="GF" localSheetId="4">#REF!</definedName>
    <definedName name="GF" localSheetId="21">#REF!</definedName>
    <definedName name="GF" localSheetId="9">#REF!</definedName>
    <definedName name="GF">#REF!</definedName>
    <definedName name="Harbour" localSheetId="29">#REF!</definedName>
    <definedName name="Harbour" localSheetId="4">#REF!</definedName>
    <definedName name="Harbour" localSheetId="21">#REF!</definedName>
    <definedName name="Harbour" localSheetId="9">#REF!</definedName>
    <definedName name="Harbour">#REF!</definedName>
    <definedName name="HistoricalPlantFee" localSheetId="29">#REF!</definedName>
    <definedName name="HistoricalPlantFee" localSheetId="4">#REF!</definedName>
    <definedName name="HistoricalPlantFee" localSheetId="21">#REF!</definedName>
    <definedName name="HistoricalPlantFee" localSheetId="9">#REF!</definedName>
    <definedName name="HistoricalPlantFee">#REF!</definedName>
    <definedName name="Home" localSheetId="29">#REF!</definedName>
    <definedName name="Home" localSheetId="4">#REF!</definedName>
    <definedName name="Home" localSheetId="21">#REF!</definedName>
    <definedName name="Home" localSheetId="9">#REF!</definedName>
    <definedName name="Home">#REF!</definedName>
    <definedName name="IMPROV" localSheetId="29">#REF!</definedName>
    <definedName name="IMPROV" localSheetId="4">#REF!</definedName>
    <definedName name="IMPROV" localSheetId="21">#REF!</definedName>
    <definedName name="IMPROV" localSheetId="9">#REF!</definedName>
    <definedName name="IMPROV">#REF!</definedName>
    <definedName name="INC" localSheetId="29">#REF!</definedName>
    <definedName name="INC" localSheetId="4">#REF!</definedName>
    <definedName name="INC" localSheetId="21">#REF!</definedName>
    <definedName name="INC" localSheetId="9">#REF!</definedName>
    <definedName name="INC">#REF!</definedName>
    <definedName name="INCOME" localSheetId="29">#REF!</definedName>
    <definedName name="INCOME" localSheetId="4">#REF!</definedName>
    <definedName name="INCOME" localSheetId="21">#REF!</definedName>
    <definedName name="INCOME" localSheetId="9">#REF!</definedName>
    <definedName name="INCOME">#REF!</definedName>
    <definedName name="INFORMATION" localSheetId="29">#REF!</definedName>
    <definedName name="INFORMATION" localSheetId="4">#REF!</definedName>
    <definedName name="INFORMATION" localSheetId="21">#REF!</definedName>
    <definedName name="INFORMATION" localSheetId="9">#REF!</definedName>
    <definedName name="INFORMATION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L_Q">"c101"</definedName>
    <definedName name="IQ_CAL_Y">"c102"</definedName>
    <definedName name="IQ_CALL_FEATURE">"c2197"</definedName>
    <definedName name="IQ_CALLABLE">"c2196"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IZED_INTEREST">"c2076"</definedName>
    <definedName name="IQ_CASH">"c1458"</definedName>
    <definedName name="IQ_CASH_ACQUIRE_CF">"c1630"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UTSTANDING_BS_DATE">"c1971"</definedName>
    <definedName name="IQ_CLASSA_OUTSTANDING_FILING_DATE">"c1973"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PREMIUM">"c2195"</definedName>
    <definedName name="IQ_CONV_PRICE">"c2193"</definedName>
    <definedName name="IQ_CONV_RATE">"c2192"</definedName>
    <definedName name="IQ_CONV_SECURITY">"c2189"</definedName>
    <definedName name="IQ_CONV_SECURITY_ISSUER">"c2190"</definedName>
    <definedName name="IQ_CONV_SECURITY_PRICE">"c2194"</definedName>
    <definedName name="IQ_CONVEXITY">"c2182"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RATIO">"c246"</definedName>
    <definedName name="IQ_CUSIP">"c2245"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OTHER_COST">"c284"</definedName>
    <definedName name="IQ_DEF_BENEFIT_ROA">"c285"</definedName>
    <definedName name="IQ_DEF_BENEFIT_SERVICE_COST">"c286"</definedName>
    <definedName name="IQ_DEF_BENEFIT_TOTAL_COST">"c287"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URATION">"c2181"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INT">"c360"</definedName>
    <definedName name="IQ_EBIT_MARGIN">"c359"</definedName>
    <definedName name="IQ_EBIT_OVER_IE">"c1369"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INT">"c373"</definedName>
    <definedName name="IQ_EBITDA_MARGIN">"c372"</definedName>
    <definedName name="IQ_EBITDA_OVER_TOTAL_IE">"c1371"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NORM">"c1902"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DIVID">"c1446"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ROFIT">"c1378"</definedName>
    <definedName name="IQ_GROSS_SPRD">"c2155"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ICENSED_POPS">"c2123"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ET_CHANGE">"c749"</definedName>
    <definedName name="IQ_NET_DEBT">"c1584"</definedName>
    <definedName name="IQ_NET_DEBT_EBITDA">"c750"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FAS">"c795"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CLOSE_BALANCE_GAS">"c2049"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OIL">"c2035"</definedName>
    <definedName name="IQ_OG_PURCHASES_GAS">"c2045"</definedName>
    <definedName name="IQ_OG_PURCHASES_OIL">"c2033"</definedName>
    <definedName name="IQ_OG_REVISIONS_GAS">"c2042"</definedName>
    <definedName name="IQ_OG_REVISIONS_OIL">"c2030"</definedName>
    <definedName name="IQ_OG_SALES_IN_PLACE_GAS">"c2046"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ISSUED">"c857"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UTSTANDING_BS_DATE">"c2128"</definedName>
    <definedName name="IQ_OUTSTANDING_FILING_DATE">"c2127"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WRITTEN">"c1027"</definedName>
    <definedName name="IQ_PE_EXCL">"c1028"</definedName>
    <definedName name="IQ_PE_EXCL_AVG">"c1029"</definedName>
    <definedName name="IQ_PE_NORMALIZED">"c2207"</definedName>
    <definedName name="IQ_PE_RATIO">"c1610"</definedName>
    <definedName name="IQ_PENSION">"c1031"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VG_STORE_SIZE_GROSS">"c2066"</definedName>
    <definedName name="IQ_RETAIL_AVG_STORE_SIZE_NET">"c2067"</definedName>
    <definedName name="IQ_RETAIL_CLOSED_STORES">"c2063"</definedName>
    <definedName name="IQ_RETAIL_OPENED_STORES">"c2062"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Q_FOOTAGE">"c2064"</definedName>
    <definedName name="IQ_RETAIL_STORE_SELLING_AREA">"c2065"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UTI">"c1125"</definedName>
    <definedName name="IQ_REVENUE">"c1422"</definedName>
    <definedName name="IQ_REVISION_DATE_">38905.6975578704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VING_DEP">"c1150"</definedName>
    <definedName name="IQ_SECUR_RECEIV">"c1151"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CF">"c1203"</definedName>
    <definedName name="IQ_STRIKE_PRICE_ISSUED">"c1645"</definedName>
    <definedName name="IQ_STRIKE_PRICE_OS">"c1646"</definedName>
    <definedName name="IQ_STW">"c2166"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MPLOYEE_AVG">"c1225"</definedName>
    <definedName name="IQ_TEV_TOTAL_REV">"c1226"</definedName>
    <definedName name="IQ_TEV_TOTAL_REV_AVG">"c1227"</definedName>
    <definedName name="IQ_TEV_UFCF">"c2208"</definedName>
    <definedName name="IQ_TIER_ONE_RATIO">"c1229"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QUITY">"c1250"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EXP">"c1291"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S">"c2119"</definedName>
    <definedName name="IQ_TOTAL_UNUSUAL">"c1508"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USUAL_EXP">"c1456"</definedName>
    <definedName name="IQ_US_GAAP">"c1331"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W">"c2163"</definedName>
    <definedName name="IQ_YTW_DATE">"c2164"</definedName>
    <definedName name="IQ_YTW_DATE_TYPE">"c2165"</definedName>
    <definedName name="IQ_Z_SCORE">"c1339"</definedName>
    <definedName name="IS2_" localSheetId="29">[29]FINSTAT!#REF!</definedName>
    <definedName name="IS2_" localSheetId="4">[29]FINSTAT!#REF!</definedName>
    <definedName name="IS2_" localSheetId="21">[29]FINSTAT!#REF!</definedName>
    <definedName name="IS2_" localSheetId="9">[29]FINSTAT!#REF!</definedName>
    <definedName name="IS2_">[29]FINSTAT!#REF!</definedName>
    <definedName name="ISSCOST" localSheetId="29">#REF!</definedName>
    <definedName name="ISSCOST" localSheetId="4">#REF!</definedName>
    <definedName name="ISSCOST" localSheetId="21">#REF!</definedName>
    <definedName name="ISSCOST" localSheetId="9">#REF!</definedName>
    <definedName name="ISSCOST">#REF!</definedName>
    <definedName name="ISSUANCE" localSheetId="29">#REF!</definedName>
    <definedName name="ISSUANCE" localSheetId="4">#REF!</definedName>
    <definedName name="ISSUANCE" localSheetId="21">#REF!</definedName>
    <definedName name="ISSUANCE" localSheetId="9">#REF!</definedName>
    <definedName name="ISSUANCE">#REF!</definedName>
    <definedName name="IWC" localSheetId="29">#REF!</definedName>
    <definedName name="IWC" localSheetId="4">#REF!</definedName>
    <definedName name="IWC" localSheetId="21">#REF!</definedName>
    <definedName name="IWC" localSheetId="9">#REF!</definedName>
    <definedName name="IWC">#REF!</definedName>
    <definedName name="IWC_Morgan" localSheetId="29">#REF!</definedName>
    <definedName name="IWC_Morgan" localSheetId="4">#REF!</definedName>
    <definedName name="IWC_Morgan" localSheetId="21">#REF!</definedName>
    <definedName name="IWC_Morgan" localSheetId="9">#REF!</definedName>
    <definedName name="IWC_Morgan">#REF!</definedName>
    <definedName name="jkjhkj" localSheetId="29">#REF!</definedName>
    <definedName name="jkjhkj" localSheetId="4">#REF!</definedName>
    <definedName name="jkjhkj" localSheetId="21">#REF!</definedName>
    <definedName name="jkjhkj" localSheetId="9">#REF!</definedName>
    <definedName name="jkjhkj">#REF!</definedName>
    <definedName name="last" localSheetId="29">#REF!</definedName>
    <definedName name="last" localSheetId="21">#REF!</definedName>
    <definedName name="last" localSheetId="9">#REF!</definedName>
    <definedName name="last">#REF!</definedName>
    <definedName name="Last_Row" localSheetId="5">IF('OM 25 YR Alt II'!Values_Entered,Header_Row+'OM 25 YR Alt II'!Number_of_Payments,Header_Row)</definedName>
    <definedName name="Last_Row" localSheetId="8">IF('PF II (Forward)'!Values_Entered,Header_Row+'PF II (Forward)'!Number_of_Payments,Header_Row)</definedName>
    <definedName name="Last_Row" localSheetId="3">IF('Proj Costs (2)'!Values_Entered,Header_Row+'Proj Costs (2)'!Number_of_Payments,Header_Row)</definedName>
    <definedName name="Last_Row" localSheetId="6">IF('SRF 30 YR Pooled Alt II'!Values_Entered,Header_Row+'SRF 30 YR Pooled Alt II'!Number_of_Payments,Header_Row)</definedName>
    <definedName name="Last_Row">IF(Values_Entered,Header_Row+Number_of_Payments,Header_Row)</definedName>
    <definedName name="LEASE" localSheetId="29">[30]Costs!#REF!</definedName>
    <definedName name="LEASE" localSheetId="4">[30]Costs!#REF!</definedName>
    <definedName name="LEASE" localSheetId="21">[30]Costs!#REF!</definedName>
    <definedName name="LEASE" localSheetId="9">[30]Costs!#REF!</definedName>
    <definedName name="LEASE">[30]Costs!#REF!</definedName>
    <definedName name="LETTER" localSheetId="29">#REF!</definedName>
    <definedName name="LETTER" localSheetId="4">#REF!</definedName>
    <definedName name="LETTER" localSheetId="21">#REF!</definedName>
    <definedName name="LETTER" localSheetId="9">#REF!</definedName>
    <definedName name="LETTER">#REF!</definedName>
    <definedName name="level1" localSheetId="21">[26]tables!$A$3:$C$13</definedName>
    <definedName name="level1" localSheetId="9">[26]tables!$A$3:$C$13</definedName>
    <definedName name="level1">[26]tables!$A$3:$C$13</definedName>
    <definedName name="LF" localSheetId="29">#REF!</definedName>
    <definedName name="LF" localSheetId="4">#REF!</definedName>
    <definedName name="LF" localSheetId="21">#REF!</definedName>
    <definedName name="LF" localSheetId="9">#REF!</definedName>
    <definedName name="LF">#REF!</definedName>
    <definedName name="LIB_RATES" localSheetId="29">#REF!</definedName>
    <definedName name="LIB_RATES" localSheetId="4">#REF!</definedName>
    <definedName name="LIB_RATES" localSheetId="21">#REF!</definedName>
    <definedName name="LIB_RATES" localSheetId="9">#REF!</definedName>
    <definedName name="LIB_RATES">#REF!</definedName>
    <definedName name="Liberty" localSheetId="29">#REF!</definedName>
    <definedName name="Liberty" localSheetId="4">#REF!</definedName>
    <definedName name="Liberty" localSheetId="21">#REF!</definedName>
    <definedName name="Liberty" localSheetId="9">#REF!</definedName>
    <definedName name="Liberty">#REF!</definedName>
    <definedName name="LINE_LOSS" localSheetId="29">#REF!</definedName>
    <definedName name="LINE_LOSS" localSheetId="4">#REF!</definedName>
    <definedName name="LINE_LOSS" localSheetId="21">#REF!</definedName>
    <definedName name="LINE_LOSS" localSheetId="9">#REF!</definedName>
    <definedName name="LINE_LOSS">#REF!</definedName>
    <definedName name="MAINS" localSheetId="29">#REF!</definedName>
    <definedName name="MAINS" localSheetId="4">#REF!</definedName>
    <definedName name="MAINS" localSheetId="21">#REF!</definedName>
    <definedName name="MAINS" localSheetId="9">#REF!</definedName>
    <definedName name="MAINS">#REF!</definedName>
    <definedName name="MIN_REQ">'[24]MIN RESERVE'!$A$1:$H$56</definedName>
    <definedName name="minbal" localSheetId="29">#REF!</definedName>
    <definedName name="minbal" localSheetId="4">#REF!</definedName>
    <definedName name="minbal" localSheetId="21">#REF!</definedName>
    <definedName name="minbal" localSheetId="9">#REF!</definedName>
    <definedName name="minbal">#REF!</definedName>
    <definedName name="MINIMUM" localSheetId="29">#REF!</definedName>
    <definedName name="MINIMUM" localSheetId="4">#REF!</definedName>
    <definedName name="MINIMUM" localSheetId="21">#REF!</definedName>
    <definedName name="MINIMUM" localSheetId="9">#REF!</definedName>
    <definedName name="MINIMUM">#REF!</definedName>
    <definedName name="MTRED_SALES" localSheetId="29">#REF!</definedName>
    <definedName name="MTRED_SALES" localSheetId="4">#REF!</definedName>
    <definedName name="MTRED_SALES" localSheetId="21">#REF!</definedName>
    <definedName name="MTRED_SALES" localSheetId="9">#REF!</definedName>
    <definedName name="MTRED_SALES">#REF!</definedName>
    <definedName name="New">'[31]COVER SHEET'!$A$1:$U$67</definedName>
    <definedName name="NonfinInfo" localSheetId="29">#REF!</definedName>
    <definedName name="NonfinInfo" localSheetId="4">#REF!</definedName>
    <definedName name="NonfinInfo" localSheetId="21">#REF!</definedName>
    <definedName name="NonfinInfo" localSheetId="9">#REF!</definedName>
    <definedName name="NonfinInfo">#REF!</definedName>
    <definedName name="Number_of_Payments" localSheetId="5">MATCH(0.01,End_Bal,-1)+1</definedName>
    <definedName name="Number_of_Payments" localSheetId="8">MATCH(0.01,End_Bal,-1)+1</definedName>
    <definedName name="Number_of_Payments" localSheetId="3">MATCH(0.01,End_Bal,-1)+1</definedName>
    <definedName name="Number_of_Payments" localSheetId="6">MATCH(0.01,End_Bal,-1)+1</definedName>
    <definedName name="Number_of_Payments">MATCH(0.01,End_Bal,-1)+1</definedName>
    <definedName name="OpExpDetail" localSheetId="29">#REF!</definedName>
    <definedName name="OpExpDetail" localSheetId="4">#REF!</definedName>
    <definedName name="OpExpDetail" localSheetId="21">#REF!</definedName>
    <definedName name="OpExpDetail" localSheetId="9">#REF!</definedName>
    <definedName name="OpExpDetail">#REF!</definedName>
    <definedName name="OTHER" localSheetId="29">#REF!</definedName>
    <definedName name="OTHER" localSheetId="4">#REF!</definedName>
    <definedName name="OTHER" localSheetId="21">#REF!</definedName>
    <definedName name="OTHER" localSheetId="9">#REF!</definedName>
    <definedName name="OTHER">#REF!</definedName>
    <definedName name="OUTBIDCALC" localSheetId="29">#REF!</definedName>
    <definedName name="OUTBIDCALC" localSheetId="4">#REF!</definedName>
    <definedName name="OUTBIDCALC" localSheetId="21">#REF!</definedName>
    <definedName name="OUTBIDCALC" localSheetId="9">#REF!</definedName>
    <definedName name="OUTBIDCALC">#REF!</definedName>
    <definedName name="OUTSTANDING" localSheetId="29">#REF!</definedName>
    <definedName name="OUTSTANDING" localSheetId="4">#REF!</definedName>
    <definedName name="OUTSTANDING" localSheetId="21">#REF!</definedName>
    <definedName name="OUTSTANDING" localSheetId="9">#REF!</definedName>
    <definedName name="OUTSTANDING">#REF!</definedName>
    <definedName name="Overview" localSheetId="29">#REF!</definedName>
    <definedName name="Overview" localSheetId="4">#REF!</definedName>
    <definedName name="Overview" localSheetId="21">#REF!</definedName>
    <definedName name="Overview" localSheetId="9">#REF!</definedName>
    <definedName name="Overview">#REF!</definedName>
    <definedName name="PASS" localSheetId="29">#REF!</definedName>
    <definedName name="PASS" localSheetId="4">#REF!</definedName>
    <definedName name="PASS" localSheetId="21">#REF!</definedName>
    <definedName name="PASS" localSheetId="9">#REF!</definedName>
    <definedName name="PASS">#REF!</definedName>
    <definedName name="PERS_ABAT" localSheetId="29">'[32]TMMI abat'!#REF!</definedName>
    <definedName name="PERS_ABAT" localSheetId="4">'[32]TMMI abat'!#REF!</definedName>
    <definedName name="PERS_ABAT" localSheetId="21">'[32]TMMI abat'!#REF!</definedName>
    <definedName name="PERS_ABAT" localSheetId="9">'[32]TMMI abat'!#REF!</definedName>
    <definedName name="PERS_ABAT">'[32]TMMI abat'!#REF!</definedName>
    <definedName name="Pers_Abate_New" localSheetId="21">'[33]Support- Not In Report'!$AB$44:$AL$54</definedName>
    <definedName name="Pers_Abate_New" localSheetId="9">'[33]Support- Not In Report'!$AB$44:$AL$54</definedName>
    <definedName name="Pers_Abate_New">'[33]Support- Not In Report'!$AB$44:$AL$54</definedName>
    <definedName name="Pers_Abate_Old" localSheetId="29">#REF!</definedName>
    <definedName name="Pers_Abate_Old" localSheetId="4">#REF!</definedName>
    <definedName name="Pers_Abate_Old" localSheetId="21">#REF!</definedName>
    <definedName name="Pers_Abate_Old" localSheetId="9">#REF!</definedName>
    <definedName name="Pers_Abate_Old">#REF!</definedName>
    <definedName name="Pool1" localSheetId="21">[15]Support!$N$6:$O$30</definedName>
    <definedName name="Pool1" localSheetId="9">[15]Support!$N$6:$O$30</definedName>
    <definedName name="Pool1">[15]Support!$N$6:$O$30</definedName>
    <definedName name="Pool1_New" localSheetId="29">#REF!</definedName>
    <definedName name="Pool1_New" localSheetId="4">#REF!</definedName>
    <definedName name="Pool1_New" localSheetId="21">#REF!</definedName>
    <definedName name="Pool1_New" localSheetId="9">#REF!</definedName>
    <definedName name="Pool1_New">#REF!</definedName>
    <definedName name="Pool1_Old" localSheetId="29">#REF!</definedName>
    <definedName name="Pool1_Old" localSheetId="4">#REF!</definedName>
    <definedName name="Pool1_Old" localSheetId="21">#REF!</definedName>
    <definedName name="Pool1_Old" localSheetId="9">#REF!</definedName>
    <definedName name="Pool1_Old">#REF!</definedName>
    <definedName name="Pool2" localSheetId="21">[15]Support!$Q$6:$R$30</definedName>
    <definedName name="Pool2" localSheetId="9">[15]Support!$Q$6:$R$30</definedName>
    <definedName name="Pool2">[15]Support!$Q$6:$R$30</definedName>
    <definedName name="Pool2_2003" localSheetId="21">[15]Support!$Q$37:$R$61</definedName>
    <definedName name="Pool2_2003" localSheetId="9">[15]Support!$Q$37:$R$61</definedName>
    <definedName name="Pool2_2003">[15]Support!$Q$37:$R$61</definedName>
    <definedName name="Pool2_New" localSheetId="29">#REF!</definedName>
    <definedName name="Pool2_New" localSheetId="4">#REF!</definedName>
    <definedName name="Pool2_New" localSheetId="21">#REF!</definedName>
    <definedName name="Pool2_New" localSheetId="9">#REF!</definedName>
    <definedName name="Pool2_New">#REF!</definedName>
    <definedName name="Pool2_Old" localSheetId="29">#REF!</definedName>
    <definedName name="Pool2_Old" localSheetId="4">#REF!</definedName>
    <definedName name="Pool2_Old" localSheetId="21">#REF!</definedName>
    <definedName name="Pool2_Old" localSheetId="9">#REF!</definedName>
    <definedName name="Pool2_Old">#REF!</definedName>
    <definedName name="Pool3" localSheetId="21">[15]Support!$T$6:$U$30</definedName>
    <definedName name="Pool3" localSheetId="9">[15]Support!$T$6:$U$30</definedName>
    <definedName name="Pool3">[15]Support!$T$6:$U$30</definedName>
    <definedName name="Pool3_2003" localSheetId="21">[15]Support!$T$37:$U$61</definedName>
    <definedName name="Pool3_2003" localSheetId="9">[15]Support!$T$37:$U$61</definedName>
    <definedName name="Pool3_2003">[15]Support!$T$37:$U$61</definedName>
    <definedName name="Pool3_New" localSheetId="29">#REF!</definedName>
    <definedName name="Pool3_New" localSheetId="4">#REF!</definedName>
    <definedName name="Pool3_New" localSheetId="21">#REF!</definedName>
    <definedName name="Pool3_New" localSheetId="9">#REF!</definedName>
    <definedName name="Pool3_New">#REF!</definedName>
    <definedName name="Pool3_Old" localSheetId="29">#REF!</definedName>
    <definedName name="Pool3_Old" localSheetId="4">#REF!</definedName>
    <definedName name="Pool3_Old" localSheetId="21">#REF!</definedName>
    <definedName name="Pool3_Old" localSheetId="9">#REF!</definedName>
    <definedName name="Pool3_Old">#REF!</definedName>
    <definedName name="Pool4" localSheetId="21">[15]Support!$W$6:$X$30</definedName>
    <definedName name="Pool4" localSheetId="9">[15]Support!$W$6:$X$30</definedName>
    <definedName name="Pool4">[15]Support!$W$6:$X$30</definedName>
    <definedName name="Pool4_New" localSheetId="29">#REF!</definedName>
    <definedName name="Pool4_New" localSheetId="4">#REF!</definedName>
    <definedName name="Pool4_New" localSheetId="21">#REF!</definedName>
    <definedName name="Pool4_New" localSheetId="9">#REF!</definedName>
    <definedName name="Pool4_New">#REF!</definedName>
    <definedName name="Pool4_Old" localSheetId="29">#REF!</definedName>
    <definedName name="Pool4_Old" localSheetId="4">#REF!</definedName>
    <definedName name="Pool4_Old" localSheetId="21">#REF!</definedName>
    <definedName name="Pool4_Old" localSheetId="9">#REF!</definedName>
    <definedName name="Pool4_Old">#REF!</definedName>
    <definedName name="Post2000_PP_Abate" localSheetId="21">[15]Support!$B$32:$K$51</definedName>
    <definedName name="Post2000_PP_Abate" localSheetId="9">[15]Support!$B$32:$K$51</definedName>
    <definedName name="Post2000_PP_Abate">[15]Support!$B$32:$K$51</definedName>
    <definedName name="Pre2000_PP_Abate" localSheetId="21">[15]Support!$B$56:$K$75</definedName>
    <definedName name="Pre2000_PP_Abate" localSheetId="9">[15]Support!$B$56:$K$75</definedName>
    <definedName name="Pre2000_PP_Abate">[15]Support!$B$56:$K$75</definedName>
    <definedName name="_xlnm.Print_Area" localSheetId="23">'2016A'!$A$1:$N$68</definedName>
    <definedName name="_xlnm.Print_Area" localSheetId="24">'2016B'!$A$1:$M$84</definedName>
    <definedName name="_xlnm.Print_Area" localSheetId="25">'2018A-1 (SRF)'!$A$1:$O$91</definedName>
    <definedName name="_xlnm.Print_Area" localSheetId="26">'2018A-2 (SRF)'!$A$1:$O$70</definedName>
    <definedName name="_xlnm.Print_Area" localSheetId="27">'2019 (OM)'!$A$1:$N$69</definedName>
    <definedName name="_xlnm.Print_Area" localSheetId="28">'2020 (OM)'!$A$1:$M$56</definedName>
    <definedName name="_xlnm.Print_Area" localSheetId="29">'2021 (Level)'!$A$1:$M$57</definedName>
    <definedName name="_xlnm.Print_Area" localSheetId="4">'2022-2026 Projects'!$A$1:$P$238</definedName>
    <definedName name="_xlnm.Print_Area" localSheetId="19">CNP!$A$1:$N$78</definedName>
    <definedName name="_xlnm.Print_Area" localSheetId="30">Combined!$A$1:$S$84</definedName>
    <definedName name="_xlnm.Print_Area" localSheetId="22">'Det Oper Exp'!$A$1:$U$97</definedName>
    <definedName name="_xlnm.Print_Area" localSheetId="21">'Min Bal'!$A$1:$O$166</definedName>
    <definedName name="_xlnm.Print_Area" localSheetId="10">Norm!$A$1:$W$55</definedName>
    <definedName name="_xlnm.Print_Area" localSheetId="11">'Norm Adj'!$A$1:$AA$427</definedName>
    <definedName name="_xlnm.Print_Area" localSheetId="5">'OM 25 YR Alt II'!$A$1:$P$76</definedName>
    <definedName name="_xlnm.Print_Area" localSheetId="13">'PF Exp Rev Req II '!$A$1:$S$265</definedName>
    <definedName name="_xlnm.Print_Area" localSheetId="8">'PF II (Forward)'!$A$1:$Q$52</definedName>
    <definedName name="_xlnm.Print_Area" localSheetId="9">'PF II Adj'!$A$1:$I$504</definedName>
    <definedName name="_xlnm.Print_Area" localSheetId="12">'PF Rev Req II '!$A$1:$AK$70</definedName>
    <definedName name="_xlnm.Print_Area" localSheetId="3">'Proj Costs (2)'!$A$1:$N$50</definedName>
    <definedName name="_xlnm.Print_Area" localSheetId="7">'Prop Comb'!$A$1:$W$77</definedName>
    <definedName name="_xlnm.Print_Area" localSheetId="14">'Rates I '!$A$1:$X$71</definedName>
    <definedName name="_xlnm.Print_Area" localSheetId="15">'Rates II'!$A$1:$X$77</definedName>
    <definedName name="_xlnm.Print_Area" localSheetId="16">'Rates III'!$A$1:$X$66</definedName>
    <definedName name="_xlnm.Print_Area" localSheetId="20">SCF!$A$1:$L$138</definedName>
    <definedName name="_xlnm.Print_Area" localSheetId="18">SNP!$A$1:$M$162</definedName>
    <definedName name="_xlnm.Print_Area" localSheetId="6">'SRF 30 YR Pooled Alt II'!$A$1:$P$144</definedName>
    <definedName name="_xlnm.Print_Area">'[20]#8 Pilot Testing'!#REF!</definedName>
    <definedName name="PRINT_AREA_MI" localSheetId="29">'[20]#8 Pilot Testing'!#REF!</definedName>
    <definedName name="PRINT_AREA_MI" localSheetId="4">'[20]#8 Pilot Testing'!#REF!</definedName>
    <definedName name="PRINT_AREA_MI" localSheetId="21">'[20]#8 Pilot Testing'!#REF!</definedName>
    <definedName name="PRINT_AREA_MI" localSheetId="9">'[20]#8 Pilot Testing'!#REF!</definedName>
    <definedName name="PRINT_AREA_MI">'[20]#8 Pilot Testing'!#REF!</definedName>
    <definedName name="Print_Titles_MI" localSheetId="25">#REF!,#REF!</definedName>
    <definedName name="Print_Titles_MI" localSheetId="26">#REF!,#REF!</definedName>
    <definedName name="Print_Titles_MI" localSheetId="27">#REF!,#REF!</definedName>
    <definedName name="Print_Titles_MI" localSheetId="28">#REF!,#REF!</definedName>
    <definedName name="Print_Titles_MI" localSheetId="29">#REF!,#REF!</definedName>
    <definedName name="Print_Titles_MI" localSheetId="4">#REF!,#REF!</definedName>
    <definedName name="Print_Titles_MI" localSheetId="21">#REF!,#REF!</definedName>
    <definedName name="Print_Titles_MI" localSheetId="9">#REF!,#REF!</definedName>
    <definedName name="Print_Titles_MI">#REF!,#REF!</definedName>
    <definedName name="PROD_SALES" localSheetId="29">#REF!</definedName>
    <definedName name="PROD_SALES" localSheetId="4">#REF!</definedName>
    <definedName name="PROD_SALES" localSheetId="21">#REF!</definedName>
    <definedName name="PROD_SALES" localSheetId="9">#REF!</definedName>
    <definedName name="PROD_SALES">#REF!</definedName>
    <definedName name="PROJECTED" localSheetId="25">[21]Projection!$A$1:$L$48</definedName>
    <definedName name="PROJECTED" localSheetId="26">[21]Projection!$A$1:$L$48</definedName>
    <definedName name="PROJECTED" localSheetId="27">[21]Projection!$A$1:$L$48</definedName>
    <definedName name="PROJECTED" localSheetId="28">[21]Projection!$A$1:$L$48</definedName>
    <definedName name="PROJECTED" localSheetId="29">[21]Projection!$A$1:$L$48</definedName>
    <definedName name="PROJECTED" localSheetId="21">[21]Projection!$A$1:$L$48</definedName>
    <definedName name="PROJECTED" localSheetId="9">[21]Projection!$A$1:$L$48</definedName>
    <definedName name="PROJECTED">[21]Projection!$A$1:$L$48</definedName>
    <definedName name="ProjectFee" localSheetId="29">#REF!</definedName>
    <definedName name="ProjectFee" localSheetId="4">#REF!</definedName>
    <definedName name="ProjectFee" localSheetId="21">#REF!</definedName>
    <definedName name="ProjectFee" localSheetId="9">#REF!</definedName>
    <definedName name="ProjectFee">#REF!</definedName>
    <definedName name="PROPERTY" localSheetId="29">#REF!</definedName>
    <definedName name="PROPERTY" localSheetId="4">#REF!</definedName>
    <definedName name="PROPERTY" localSheetId="21">#REF!</definedName>
    <definedName name="PROPERTY" localSheetId="9">#REF!</definedName>
    <definedName name="PROPERTY">#REF!</definedName>
    <definedName name="PUB_FileID">"L10004431.xls"</definedName>
    <definedName name="PUB_UserID">"MAYERX"</definedName>
    <definedName name="QuickBooksComparisonData" localSheetId="29">[34]DataComparison!#REF!</definedName>
    <definedName name="QuickBooksComparisonData" localSheetId="4">[34]DataComparison!#REF!</definedName>
    <definedName name="QuickBooksComparisonData" localSheetId="21">[34]DataComparison!#REF!</definedName>
    <definedName name="QuickBooksComparisonData" localSheetId="9">[34]DataComparison!#REF!</definedName>
    <definedName name="QuickBooksComparisonData">[34]DataComparison!#REF!</definedName>
    <definedName name="RATE" localSheetId="29">#REF!</definedName>
    <definedName name="RATE" localSheetId="4">#REF!</definedName>
    <definedName name="RATE" localSheetId="21">#REF!</definedName>
    <definedName name="RATE" localSheetId="9">#REF!</definedName>
    <definedName name="RATE">#REF!</definedName>
    <definedName name="Rates" localSheetId="29">#REF!</definedName>
    <definedName name="Rates" localSheetId="4">#REF!</definedName>
    <definedName name="Rates" localSheetId="21">#REF!</definedName>
    <definedName name="Rates" localSheetId="9">#REF!</definedName>
    <definedName name="Rates">#REF!</definedName>
    <definedName name="RATES_1999" localSheetId="29">#REF!</definedName>
    <definedName name="RATES_1999" localSheetId="4">#REF!</definedName>
    <definedName name="RATES_1999" localSheetId="21">#REF!</definedName>
    <definedName name="RATES_1999" localSheetId="9">#REF!</definedName>
    <definedName name="RATES_1999">#REF!</definedName>
    <definedName name="RATESSSSS" localSheetId="21">[35]Rates!$A$1:$L$53</definedName>
    <definedName name="RATESSSSS" localSheetId="9">[35]Rates!$A$1:$L$53</definedName>
    <definedName name="RATESSSSS">[35]Rates!$A$1:$L$53</definedName>
    <definedName name="REAL" localSheetId="29">#REF!</definedName>
    <definedName name="REAL" localSheetId="4">#REF!</definedName>
    <definedName name="REAL" localSheetId="21">#REF!</definedName>
    <definedName name="REAL" localSheetId="9">#REF!</definedName>
    <definedName name="REAL">#REF!</definedName>
    <definedName name="REAL_ABAT" localSheetId="29">#REF!</definedName>
    <definedName name="REAL_ABAT" localSheetId="4">#REF!</definedName>
    <definedName name="REAL_ABAT" localSheetId="21">#REF!</definedName>
    <definedName name="REAL_ABAT" localSheetId="9">#REF!</definedName>
    <definedName name="REAL_ABAT">#REF!</definedName>
    <definedName name="Real_Abate" localSheetId="21">[15]Support!$B$6:$K$25</definedName>
    <definedName name="Real_Abate" localSheetId="9">[15]Support!$B$6:$K$25</definedName>
    <definedName name="Real_Abate">[15]Support!$B$6:$K$25</definedName>
    <definedName name="Real_Abate_New" localSheetId="29">#REF!</definedName>
    <definedName name="Real_Abate_New" localSheetId="4">#REF!</definedName>
    <definedName name="Real_Abate_New" localSheetId="21">#REF!</definedName>
    <definedName name="Real_Abate_New" localSheetId="9">#REF!</definedName>
    <definedName name="Real_Abate_New">#REF!</definedName>
    <definedName name="Real_Abate_Old" localSheetId="29">#REF!</definedName>
    <definedName name="Real_Abate_Old" localSheetId="4">#REF!</definedName>
    <definedName name="Real_Abate_Old" localSheetId="21">#REF!</definedName>
    <definedName name="Real_Abate_Old" localSheetId="9">#REF!</definedName>
    <definedName name="Real_Abate_Old">#REF!</definedName>
    <definedName name="Rec" localSheetId="21">[36]RevReq!$A$1:$R$60</definedName>
    <definedName name="Rec" localSheetId="9">[36]RevReq!$A$1:$R$60</definedName>
    <definedName name="Rec">[36]RevReq!$A$1:$R$60</definedName>
    <definedName name="RecDis" localSheetId="29">#REF!</definedName>
    <definedName name="RecDis" localSheetId="4">#REF!</definedName>
    <definedName name="RecDis" localSheetId="21">#REF!</definedName>
    <definedName name="RecDis" localSheetId="9">#REF!</definedName>
    <definedName name="RecDis">#REF!</definedName>
    <definedName name="RECEIPTS" localSheetId="29">#REF!</definedName>
    <definedName name="RECEIPTS" localSheetId="4">#REF!</definedName>
    <definedName name="RECEIPTS" localSheetId="21">#REF!</definedName>
    <definedName name="RECEIPTS" localSheetId="9">#REF!</definedName>
    <definedName name="RECEIPTS">#REF!</definedName>
    <definedName name="ReplacementCostFee" localSheetId="29">#REF!</definedName>
    <definedName name="ReplacementCostFee" localSheetId="4">#REF!</definedName>
    <definedName name="ReplacementCostFee" localSheetId="21">#REF!</definedName>
    <definedName name="ReplacementCostFee" localSheetId="9">#REF!</definedName>
    <definedName name="ReplacementCostFee">#REF!</definedName>
    <definedName name="RETURN" localSheetId="21">[7]Return!$A$1:$K$41</definedName>
    <definedName name="RETURN" localSheetId="9">[7]Return!$A$1:$K$41</definedName>
    <definedName name="RETURN">[7]Return!$A$1:$K$41</definedName>
    <definedName name="REVENUE" localSheetId="25">[21]revenue!$A$1:$K$24</definedName>
    <definedName name="REVENUE" localSheetId="26">[21]revenue!$A$1:$K$24</definedName>
    <definedName name="REVENUE" localSheetId="27">[21]revenue!$A$1:$K$24</definedName>
    <definedName name="REVENUE" localSheetId="28">[21]revenue!$A$1:$K$24</definedName>
    <definedName name="REVENUE" localSheetId="29">[21]revenue!$A$1:$K$24</definedName>
    <definedName name="REVENUE" localSheetId="21">[21]revenue!$A$1:$K$24</definedName>
    <definedName name="REVENUE" localSheetId="9">[21]revenue!$A$1:$K$24</definedName>
    <definedName name="REVENUE">[21]revenue!$A$1:$K$24</definedName>
    <definedName name="RevReq" localSheetId="29">#REF!</definedName>
    <definedName name="RevReq" localSheetId="4">#REF!</definedName>
    <definedName name="RevReq" localSheetId="21">#REF!</definedName>
    <definedName name="RevReq" localSheetId="9">#REF!</definedName>
    <definedName name="RevReq">#REF!</definedName>
    <definedName name="RevReq1" localSheetId="25">[18]RevReq!$A$1:$O$130</definedName>
    <definedName name="RevReq1" localSheetId="26">[18]RevReq!$A$1:$O$130</definedName>
    <definedName name="RevReq1" localSheetId="27">[18]RevReq!$A$1:$O$130</definedName>
    <definedName name="RevReq1" localSheetId="28">[18]RevReq!$A$1:$O$130</definedName>
    <definedName name="RevReq1" localSheetId="29">[18]RevReq!$A$1:$O$130</definedName>
    <definedName name="RevReq1" localSheetId="21">[18]RevReq!$A$1:$O$130</definedName>
    <definedName name="RevReq1" localSheetId="9">[18]RevReq!$A$1:$O$130</definedName>
    <definedName name="RevReq1">[18]RevReq!$A$1:$O$130</definedName>
    <definedName name="REVRQMT" localSheetId="25">'[21]Revenue Rqmt'!$A$1:$Q$123</definedName>
    <definedName name="REVRQMT" localSheetId="26">'[21]Revenue Rqmt'!$A$1:$Q$123</definedName>
    <definedName name="REVRQMT" localSheetId="27">'[21]Revenue Rqmt'!$A$1:$Q$123</definedName>
    <definedName name="REVRQMT" localSheetId="28">'[21]Revenue Rqmt'!$A$1:$Q$123</definedName>
    <definedName name="REVRQMT" localSheetId="29">'[21]Revenue Rqmt'!$A$1:$Q$123</definedName>
    <definedName name="REVRQMT" localSheetId="21">'[21]Revenue Rqmt'!$A$1:$Q$123</definedName>
    <definedName name="REVRQMT" localSheetId="9">'[21]Revenue Rqmt'!$A$1:$Q$123</definedName>
    <definedName name="REVRQMT">'[21]Revenue Rqmt'!$A$1:$Q$123</definedName>
    <definedName name="RevsBudget" localSheetId="29">#REF!</definedName>
    <definedName name="RevsBudget" localSheetId="4">#REF!</definedName>
    <definedName name="RevsBudget" localSheetId="21">#REF!</definedName>
    <definedName name="RevsBudget" localSheetId="9">#REF!</definedName>
    <definedName name="RevsBudget">#REF!</definedName>
    <definedName name="RR" localSheetId="29">#REF!</definedName>
    <definedName name="RR" localSheetId="4">#REF!</definedName>
    <definedName name="RR" localSheetId="21">#REF!</definedName>
    <definedName name="RR" localSheetId="9">#REF!</definedName>
    <definedName name="RR">#REF!</definedName>
    <definedName name="s" localSheetId="29">#REF!</definedName>
    <definedName name="s" localSheetId="4">#REF!</definedName>
    <definedName name="s" localSheetId="21">#REF!</definedName>
    <definedName name="s" localSheetId="9">#REF!</definedName>
    <definedName name="s">#REF!</definedName>
    <definedName name="S08MAY" localSheetId="25" hidden="1">[37]WATER04FINAL!#REF!</definedName>
    <definedName name="S08MAY" localSheetId="26" hidden="1">[37]WATER04FINAL!#REF!</definedName>
    <definedName name="S08MAY" localSheetId="27" hidden="1">[37]WATER04FINAL!#REF!</definedName>
    <definedName name="S08MAY" localSheetId="28" hidden="1">[37]WATER04FINAL!#REF!</definedName>
    <definedName name="S08MAY" localSheetId="29" hidden="1">[37]WATER04FINAL!#REF!</definedName>
    <definedName name="S08MAY" localSheetId="4" hidden="1">[37]WATER04FINAL!#REF!</definedName>
    <definedName name="S08MAY" localSheetId="21" hidden="1">[37]WATER04FINAL!#REF!</definedName>
    <definedName name="S08MAY" localSheetId="9" hidden="1">[37]WATER04FINAL!#REF!</definedName>
    <definedName name="S08MAY" hidden="1">[37]WATER04FINAL!#REF!</definedName>
    <definedName name="SCF" localSheetId="29">#REF!</definedName>
    <definedName name="SCF" localSheetId="4">#REF!</definedName>
    <definedName name="SCF" localSheetId="21">#REF!</definedName>
    <definedName name="SCF" localSheetId="9">#REF!</definedName>
    <definedName name="SCF">#REF!</definedName>
    <definedName name="SCHEDULE1" localSheetId="29">#REF!</definedName>
    <definedName name="SCHEDULE1" localSheetId="4">#REF!</definedName>
    <definedName name="SCHEDULE1" localSheetId="21">#REF!</definedName>
    <definedName name="SCHEDULE1" localSheetId="9">#REF!</definedName>
    <definedName name="SCHEDULE1">#REF!</definedName>
    <definedName name="SCHEDULE2" localSheetId="29">#REF!</definedName>
    <definedName name="SCHEDULE2" localSheetId="4">#REF!</definedName>
    <definedName name="SCHEDULE2" localSheetId="21">#REF!</definedName>
    <definedName name="SCHEDULE2" localSheetId="9">#REF!</definedName>
    <definedName name="SCHEDULE2">#REF!</definedName>
    <definedName name="sdfghj" localSheetId="29">#REF!</definedName>
    <definedName name="sdfghj" localSheetId="4">#REF!</definedName>
    <definedName name="sdfghj" localSheetId="21">#REF!</definedName>
    <definedName name="sdfghj" localSheetId="9">#REF!</definedName>
    <definedName name="sdfghj">#REF!</definedName>
    <definedName name="SELECT" localSheetId="29">#REF!</definedName>
    <definedName name="SELECT" localSheetId="4">#REF!</definedName>
    <definedName name="SELECT" localSheetId="21">#REF!</definedName>
    <definedName name="SELECT" localSheetId="9">#REF!</definedName>
    <definedName name="SELECT">#REF!</definedName>
    <definedName name="SelFinInfo" localSheetId="29">#REF!</definedName>
    <definedName name="SelFinInfo" localSheetId="4">#REF!</definedName>
    <definedName name="SelFinInfo" localSheetId="21">#REF!</definedName>
    <definedName name="SelFinInfo" localSheetId="9">#REF!</definedName>
    <definedName name="SelFinInfo">#REF!</definedName>
    <definedName name="Series2004" localSheetId="29">'[15]Tax Inc-Rev'!#REF!</definedName>
    <definedName name="Series2004" localSheetId="4">'[15]Tax Inc-Rev'!#REF!</definedName>
    <definedName name="Series2004" localSheetId="21">'[15]Tax Inc-Rev'!#REF!</definedName>
    <definedName name="Series2004" localSheetId="9">'[15]Tax Inc-Rev'!#REF!</definedName>
    <definedName name="Series2004">'[15]Tax Inc-Rev'!#REF!</definedName>
    <definedName name="sewer" localSheetId="25">'[38]1999'!$A$1:$N$58</definedName>
    <definedName name="sewer" localSheetId="26">'[38]1999'!$A$1:$N$58</definedName>
    <definedName name="sewer" localSheetId="27">'[38]1999'!$A$1:$N$58</definedName>
    <definedName name="sewer" localSheetId="28">'[38]1999'!$A$1:$N$58</definedName>
    <definedName name="sewer" localSheetId="29">'[38]1999'!$A$1:$N$58</definedName>
    <definedName name="sewer">'[38]1999'!$A$1:$N$58</definedName>
    <definedName name="sewer_changes" localSheetId="29">#REF!</definedName>
    <definedName name="sewer_changes" localSheetId="21">#REF!</definedName>
    <definedName name="sewer_changes" localSheetId="9">#REF!</definedName>
    <definedName name="sewer_changes">#REF!</definedName>
    <definedName name="SEWER_DATABASE" localSheetId="29">#REF!</definedName>
    <definedName name="SEWER_DATABASE" localSheetId="21">#REF!</definedName>
    <definedName name="SEWER_DATABASE" localSheetId="9">#REF!</definedName>
    <definedName name="SEWER_DATABASE">#REF!</definedName>
    <definedName name="SEWER_LEVEL2" localSheetId="21">[26]tables!$J$3:$M$224</definedName>
    <definedName name="SEWER_LEVEL2" localSheetId="9">[26]tables!$J$3:$M$224</definedName>
    <definedName name="SEWER_LEVEL2">[26]tables!$J$3:$M$224</definedName>
    <definedName name="SFI" localSheetId="29">#REF!</definedName>
    <definedName name="SFI" localSheetId="4">#REF!</definedName>
    <definedName name="SFI" localSheetId="21">#REF!</definedName>
    <definedName name="SFI" localSheetId="9">#REF!</definedName>
    <definedName name="SFI">#REF!</definedName>
    <definedName name="shit">[39]MinBal!$A$1:$M$54</definedName>
    <definedName name="SKL_RATES" localSheetId="29">#REF!</definedName>
    <definedName name="SKL_RATES" localSheetId="4">#REF!</definedName>
    <definedName name="SKL_RATES" localSheetId="21">#REF!</definedName>
    <definedName name="SKL_RATES" localSheetId="9">#REF!</definedName>
    <definedName name="SKL_RATES">#REF!</definedName>
    <definedName name="Sources_and_Uses" localSheetId="29">#REF!</definedName>
    <definedName name="Sources_and_Uses" localSheetId="4">#REF!</definedName>
    <definedName name="Sources_and_Uses" localSheetId="21">#REF!</definedName>
    <definedName name="Sources_and_Uses" localSheetId="9">#REF!</definedName>
    <definedName name="Sources_and_Uses">#REF!</definedName>
    <definedName name="SpecTool" localSheetId="21">[15]Support!$Z$6:$AA$30</definedName>
    <definedName name="SpecTool" localSheetId="9">[15]Support!$Z$6:$AA$30</definedName>
    <definedName name="SpecTool">[15]Support!$Z$6:$AA$30</definedName>
    <definedName name="SpecTool_2003" localSheetId="21">[15]Support!$Z$37:$AA$61</definedName>
    <definedName name="SpecTool_2003" localSheetId="9">[15]Support!$Z$37:$AA$61</definedName>
    <definedName name="SpecTool_2003">[15]Support!$Z$37:$AA$61</definedName>
    <definedName name="SpecTool_New" localSheetId="29">#REF!</definedName>
    <definedName name="SpecTool_New" localSheetId="4">#REF!</definedName>
    <definedName name="SpecTool_New" localSheetId="21">#REF!</definedName>
    <definedName name="SpecTool_New" localSheetId="9">#REF!</definedName>
    <definedName name="SpecTool_New">#REF!</definedName>
    <definedName name="SpecTool_Old" localSheetId="29">#REF!</definedName>
    <definedName name="SpecTool_Old" localSheetId="4">#REF!</definedName>
    <definedName name="SpecTool_Old" localSheetId="21">#REF!</definedName>
    <definedName name="SpecTool_Old" localSheetId="9">#REF!</definedName>
    <definedName name="SpecTool_Old">#REF!</definedName>
    <definedName name="SUBJECT" localSheetId="29">#REF!</definedName>
    <definedName name="SUBJECT" localSheetId="4">#REF!</definedName>
    <definedName name="SUBJECT" localSheetId="21">#REF!</definedName>
    <definedName name="SUBJECT" localSheetId="9">#REF!</definedName>
    <definedName name="SUBJECT">#REF!</definedName>
    <definedName name="Summary" localSheetId="29">#REF!</definedName>
    <definedName name="Summary" localSheetId="4">#REF!</definedName>
    <definedName name="Summary" localSheetId="21">#REF!</definedName>
    <definedName name="Summary" localSheetId="9">#REF!</definedName>
    <definedName name="Summary">#REF!</definedName>
    <definedName name="SURCHARGE" localSheetId="25">[21]Surcharge!$A$1:$L$51</definedName>
    <definedName name="SURCHARGE" localSheetId="26">[21]Surcharge!$A$1:$L$51</definedName>
    <definedName name="SURCHARGE" localSheetId="27">[21]Surcharge!$A$1:$L$51</definedName>
    <definedName name="SURCHARGE" localSheetId="28">[21]Surcharge!$A$1:$L$51</definedName>
    <definedName name="SURCHARGE" localSheetId="29">[21]Surcharge!$A$1:$L$51</definedName>
    <definedName name="SURCHARGE" localSheetId="21">[21]Surcharge!$A$1:$L$51</definedName>
    <definedName name="SURCHARGE" localSheetId="9">[21]Surcharge!$A$1:$L$51</definedName>
    <definedName name="SURCHARGE">[21]Surcharge!$A$1:$L$51</definedName>
    <definedName name="SURPLUS" localSheetId="29">#REF!</definedName>
    <definedName name="SURPLUS" localSheetId="4">#REF!</definedName>
    <definedName name="SURPLUS" localSheetId="21">#REF!</definedName>
    <definedName name="SURPLUS" localSheetId="9">#REF!</definedName>
    <definedName name="SURPLUS">#REF!</definedName>
    <definedName name="TAX_IMPACT" localSheetId="29">#REF!</definedName>
    <definedName name="TAX_IMPACT" localSheetId="4">#REF!</definedName>
    <definedName name="TAX_IMPACT" localSheetId="21">#REF!</definedName>
    <definedName name="TAX_IMPACT" localSheetId="9">#REF!</definedName>
    <definedName name="TAX_IMPACT">#REF!</definedName>
    <definedName name="TEST" localSheetId="29">#REF!</definedName>
    <definedName name="TEST" localSheetId="4">#REF!</definedName>
    <definedName name="TEST" localSheetId="21">#REF!</definedName>
    <definedName name="TEST" localSheetId="9">#REF!</definedName>
    <definedName name="TEST">#REF!</definedName>
    <definedName name="TIF" localSheetId="29">#REF!</definedName>
    <definedName name="TIF" localSheetId="4">#REF!</definedName>
    <definedName name="TIF" localSheetId="21">#REF!</definedName>
    <definedName name="TIF" localSheetId="9">#REF!</definedName>
    <definedName name="TIF">#REF!</definedName>
    <definedName name="tm_268437690" localSheetId="25">'[5]Trial Balance (2)'!$O$141</definedName>
    <definedName name="tm_268437690" localSheetId="26">'[5]Trial Balance (2)'!$O$141</definedName>
    <definedName name="tm_268437690" localSheetId="27">'[5]Trial Balance (2)'!$O$141</definedName>
    <definedName name="tm_268437690" localSheetId="28">'[5]Trial Balance (2)'!$O$141</definedName>
    <definedName name="tm_268437690" localSheetId="29">'[5]Trial Balance (2)'!$O$141</definedName>
    <definedName name="tm_268437690" localSheetId="21">'[5]Trial Balance (2)'!$O$141</definedName>
    <definedName name="tm_268437690" localSheetId="9">'[5]Trial Balance (2)'!$O$141</definedName>
    <definedName name="tm_268437690">'[5]Trial Balance (2)'!$O$141</definedName>
    <definedName name="Transfers" localSheetId="29">#REF!</definedName>
    <definedName name="Transfers" localSheetId="4">#REF!</definedName>
    <definedName name="Transfers" localSheetId="21">#REF!</definedName>
    <definedName name="Transfers" localSheetId="9">#REF!</definedName>
    <definedName name="Transfers">#REF!</definedName>
    <definedName name="TWP_RATES" localSheetId="29">#REF!</definedName>
    <definedName name="TWP_RATES" localSheetId="4">#REF!</definedName>
    <definedName name="TWP_RATES" localSheetId="21">#REF!</definedName>
    <definedName name="TWP_RATES" localSheetId="9">#REF!</definedName>
    <definedName name="TWP_RATES">#REF!</definedName>
    <definedName name="TXFRS" localSheetId="29">#REF!</definedName>
    <definedName name="TXFRS" localSheetId="4">#REF!</definedName>
    <definedName name="TXFRS" localSheetId="21">#REF!</definedName>
    <definedName name="TXFRS" localSheetId="9">#REF!</definedName>
    <definedName name="TXFRS">#REF!</definedName>
    <definedName name="TXRATES" localSheetId="29">#REF!</definedName>
    <definedName name="TXRATES" localSheetId="4">#REF!</definedName>
    <definedName name="TXRATES" localSheetId="21">#REF!</definedName>
    <definedName name="TXRATES" localSheetId="9">#REF!</definedName>
    <definedName name="TXRATES">#REF!</definedName>
    <definedName name="UNCAPTD" localSheetId="29">#REF!</definedName>
    <definedName name="UNCAPTD" localSheetId="4">#REF!</definedName>
    <definedName name="UNCAPTD" localSheetId="21">#REF!</definedName>
    <definedName name="UNCAPTD" localSheetId="9">#REF!</definedName>
    <definedName name="UNCAPTD">#REF!</definedName>
    <definedName name="UNITS" localSheetId="25">[21]UNITS!$A$1:$T$38</definedName>
    <definedName name="UNITS" localSheetId="26">[21]UNITS!$A$1:$T$38</definedName>
    <definedName name="UNITS" localSheetId="27">[21]UNITS!$A$1:$T$38</definedName>
    <definedName name="UNITS" localSheetId="28">[21]UNITS!$A$1:$T$38</definedName>
    <definedName name="UNITS" localSheetId="29">[21]UNITS!$A$1:$T$38</definedName>
    <definedName name="UNITS" localSheetId="21">[21]UNITS!$A$1:$T$38</definedName>
    <definedName name="UNITS" localSheetId="9">[21]UNITS!$A$1:$T$38</definedName>
    <definedName name="UNITS">[21]UNITS!$A$1:$T$38</definedName>
    <definedName name="update" localSheetId="29">[26]tables!#REF!</definedName>
    <definedName name="update" localSheetId="21">[26]tables!#REF!</definedName>
    <definedName name="update" localSheetId="9">[26]tables!#REF!</definedName>
    <definedName name="update">[26]tables!#REF!</definedName>
    <definedName name="UPIS" localSheetId="29">#REF!</definedName>
    <definedName name="UPIS" localSheetId="4">#REF!</definedName>
    <definedName name="UPIS" localSheetId="21">#REF!</definedName>
    <definedName name="UPIS" localSheetId="9">#REF!</definedName>
    <definedName name="UPIS">#REF!</definedName>
    <definedName name="Values_Entered" localSheetId="5">IF(Loan_Amount*Interest_Rate*Loan_Years*Loan_Start&gt;0,1,0)</definedName>
    <definedName name="Values_Entered" localSheetId="8">IF(Loan_Amount*Interest_Rate*Loan_Years*Loan_Start&gt;0,1,0)</definedName>
    <definedName name="Values_Entered" localSheetId="3">IF(Loan_Amount*Interest_Rate*Loan_Years*Loan_Start&gt;0,1,0)</definedName>
    <definedName name="Values_Entered" localSheetId="6">IF(Loan_Amount*Interest_Rate*Loan_Years*Loan_Start&gt;0,1,0)</definedName>
    <definedName name="Values_Entered">IF(Loan_Amount*Interest_Rate*Loan_Years*Loan_Start&gt;0,1,0)</definedName>
    <definedName name="water" localSheetId="29">[26]tables!#REF!</definedName>
    <definedName name="water" localSheetId="21">[26]tables!#REF!</definedName>
    <definedName name="water" localSheetId="9">[26]tables!#REF!</definedName>
    <definedName name="water">[26]tables!#REF!</definedName>
    <definedName name="water_changes" localSheetId="29">#REF!</definedName>
    <definedName name="water_changes" localSheetId="21">#REF!</definedName>
    <definedName name="water_changes" localSheetId="9">#REF!</definedName>
    <definedName name="water_changes">#REF!</definedName>
    <definedName name="water_level2" localSheetId="21">[26]tables!$E$3:$H$215</definedName>
    <definedName name="water_level2" localSheetId="9">[26]tables!$E$3:$H$215</definedName>
    <definedName name="water_level2">[26]tables!$E$3:$H$215</definedName>
    <definedName name="WHEELTEK_AV" localSheetId="29">#REF!</definedName>
    <definedName name="WHEELTEK_AV" localSheetId="4">#REF!</definedName>
    <definedName name="WHEELTEK_AV" localSheetId="21">#REF!</definedName>
    <definedName name="WHEELTEK_AV" localSheetId="9">#REF!</definedName>
    <definedName name="WHEELTEK_AV">#REF!</definedName>
    <definedName name="WHEELTEK_TIF" localSheetId="29">#REF!</definedName>
    <definedName name="WHEELTEK_TIF" localSheetId="4">#REF!</definedName>
    <definedName name="WHEELTEK_TIF" localSheetId="21">#REF!</definedName>
    <definedName name="WHEELTEK_TIF" localSheetId="9">#REF!</definedName>
    <definedName name="WHEELTEK_TIF">#REF!</definedName>
    <definedName name="WOODMARK" localSheetId="29">#REF!</definedName>
    <definedName name="WOODMARK" localSheetId="4">#REF!</definedName>
    <definedName name="WOODMARK" localSheetId="21">#REF!</definedName>
    <definedName name="WOODMARK" localSheetId="9">#REF!</definedName>
    <definedName name="WOODMARK">#REF!</definedName>
    <definedName name="WTB" localSheetId="21">[40]WTB!$A$1:$D$118</definedName>
    <definedName name="WTB" localSheetId="9">[40]WTB!$A$1:$D$118</definedName>
    <definedName name="WTB">[40]WTB!$A$1:$D$118</definedName>
    <definedName name="WWTP" localSheetId="25">[21]wwtp!$A$1:$R$49</definedName>
    <definedName name="WWTP" localSheetId="26">[21]wwtp!$A$1:$R$49</definedName>
    <definedName name="WWTP" localSheetId="27">[21]wwtp!$A$1:$R$49</definedName>
    <definedName name="WWTP" localSheetId="28">[21]wwtp!$A$1:$R$49</definedName>
    <definedName name="WWTP" localSheetId="29">[21]wwtp!$A$1:$R$49</definedName>
    <definedName name="WWTP" localSheetId="21">[21]wwtp!$A$1:$R$49</definedName>
    <definedName name="WWTP" localSheetId="9">[21]wwtp!$A$1:$R$49</definedName>
    <definedName name="WWTP">[21]wwtp!$A$1:$R$49</definedName>
    <definedName name="y" localSheetId="29">#REF!</definedName>
    <definedName name="y" localSheetId="4">#REF!</definedName>
    <definedName name="y" localSheetId="21">#REF!</definedName>
    <definedName name="y" localSheetId="9">#REF!</definedName>
    <definedName name="y">#REF!</definedName>
    <definedName name="yr1pivot">[41]PIVOT!$A$1:$C$75</definedName>
    <definedName name="yr2pivot">[41]PIVOT!$E$1:$G$75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3" i="24" l="1"/>
  <c r="B165" i="69"/>
  <c r="B164" i="69"/>
  <c r="B163" i="69"/>
  <c r="AK10" i="68"/>
  <c r="AE10" i="68"/>
  <c r="Y10" i="68"/>
  <c r="S10" i="68"/>
  <c r="M10" i="68"/>
  <c r="K49" i="69"/>
  <c r="M49" i="69" s="1"/>
  <c r="O49" i="69" s="1"/>
  <c r="Q49" i="69" s="1"/>
  <c r="S49" i="69" s="1"/>
  <c r="K48" i="69"/>
  <c r="M48" i="69" s="1"/>
  <c r="O48" i="69" s="1"/>
  <c r="Q48" i="69" s="1"/>
  <c r="S48" i="69" s="1"/>
  <c r="K47" i="69"/>
  <c r="M47" i="69" s="1"/>
  <c r="O47" i="69" s="1"/>
  <c r="Q47" i="69" s="1"/>
  <c r="S47" i="69" s="1"/>
  <c r="K46" i="69"/>
  <c r="M46" i="69" s="1"/>
  <c r="O46" i="69" s="1"/>
  <c r="Q46" i="69" s="1"/>
  <c r="S46" i="69" s="1"/>
  <c r="K45" i="69"/>
  <c r="M45" i="69" s="1"/>
  <c r="O45" i="69" s="1"/>
  <c r="Q45" i="69" s="1"/>
  <c r="S45" i="69" s="1"/>
  <c r="B47" i="69"/>
  <c r="B46" i="69"/>
  <c r="B45" i="69"/>
  <c r="S29" i="69"/>
  <c r="Q29" i="69"/>
  <c r="O29" i="69"/>
  <c r="M29" i="69"/>
  <c r="K29" i="69"/>
  <c r="AG43" i="68"/>
  <c r="E22" i="12"/>
  <c r="G23" i="233"/>
  <c r="G25" i="233" s="1"/>
  <c r="G27" i="233" s="1"/>
  <c r="G29" i="233" s="1"/>
  <c r="G31" i="233" s="1"/>
  <c r="G33" i="233" s="1"/>
  <c r="G35" i="233" s="1"/>
  <c r="G37" i="233" s="1"/>
  <c r="G39" i="233" s="1"/>
  <c r="G41" i="233" s="1"/>
  <c r="G43" i="233" s="1"/>
  <c r="G45" i="233" s="1"/>
  <c r="G46" i="233" s="1"/>
  <c r="G47" i="233" s="1"/>
  <c r="G48" i="233" s="1"/>
  <c r="G49" i="233" s="1"/>
  <c r="G50" i="233" s="1"/>
  <c r="G51" i="233" s="1"/>
  <c r="G52" i="233" s="1"/>
  <c r="G53" i="233" s="1"/>
  <c r="G54" i="233" s="1"/>
  <c r="G55" i="233" s="1"/>
  <c r="G56" i="233" s="1"/>
  <c r="G57" i="233" s="1"/>
  <c r="G58" i="233" s="1"/>
  <c r="G59" i="233" s="1"/>
  <c r="G60" i="233" s="1"/>
  <c r="G89" i="233" s="1"/>
  <c r="S201" i="69"/>
  <c r="Q201" i="69"/>
  <c r="K30" i="69"/>
  <c r="P416" i="13"/>
  <c r="N416" i="13"/>
  <c r="L416" i="13"/>
  <c r="J416" i="13"/>
  <c r="H416" i="13"/>
  <c r="P387" i="13"/>
  <c r="J386" i="13"/>
  <c r="P388" i="13" s="1"/>
  <c r="P390" i="13" s="1"/>
  <c r="P345" i="13"/>
  <c r="P349" i="13" s="1"/>
  <c r="N345" i="13"/>
  <c r="N349" i="13" s="1"/>
  <c r="N326" i="13"/>
  <c r="J326" i="13"/>
  <c r="N282" i="13"/>
  <c r="L282" i="13"/>
  <c r="H282" i="13"/>
  <c r="H267" i="13"/>
  <c r="L267" i="13"/>
  <c r="N267" i="13"/>
  <c r="P211" i="13"/>
  <c r="L211" i="13"/>
  <c r="H211" i="13"/>
  <c r="P150" i="13"/>
  <c r="P154" i="13" s="1"/>
  <c r="L150" i="13"/>
  <c r="H150" i="13"/>
  <c r="L92" i="13"/>
  <c r="H92" i="13"/>
  <c r="H29" i="13"/>
  <c r="J29" i="13"/>
  <c r="L29" i="13"/>
  <c r="N29" i="13"/>
  <c r="P29" i="13"/>
  <c r="P92" i="13"/>
  <c r="N330" i="13" l="1"/>
  <c r="N333" i="13" s="1"/>
  <c r="I460" i="227" l="1"/>
  <c r="I455" i="227"/>
  <c r="I450" i="227"/>
  <c r="I445" i="227"/>
  <c r="I440" i="227"/>
  <c r="I462" i="227" s="1"/>
  <c r="G26" i="241" s="1"/>
  <c r="I380" i="227"/>
  <c r="I372" i="227"/>
  <c r="I356" i="227"/>
  <c r="I359" i="227" s="1"/>
  <c r="G24" i="241" s="1"/>
  <c r="I338" i="227"/>
  <c r="I341" i="227" s="1"/>
  <c r="I344" i="227" s="1"/>
  <c r="G23" i="241" s="1"/>
  <c r="I308" i="227"/>
  <c r="I301" i="227"/>
  <c r="I294" i="227"/>
  <c r="I287" i="227"/>
  <c r="I280" i="227"/>
  <c r="I273" i="227"/>
  <c r="I262" i="227"/>
  <c r="I235" i="227"/>
  <c r="I230" i="227"/>
  <c r="I221" i="227"/>
  <c r="I212" i="227"/>
  <c r="G197" i="227"/>
  <c r="G200" i="227" s="1"/>
  <c r="I203" i="227" s="1"/>
  <c r="I188" i="227"/>
  <c r="I180" i="227"/>
  <c r="I156" i="227"/>
  <c r="G21" i="241" s="1"/>
  <c r="I137" i="227"/>
  <c r="G20" i="241" s="1"/>
  <c r="I93" i="227"/>
  <c r="G19" i="241" s="1"/>
  <c r="I70" i="227"/>
  <c r="G18" i="241" s="1"/>
  <c r="I58" i="227"/>
  <c r="G17" i="241" s="1"/>
  <c r="I39" i="227"/>
  <c r="I42" i="227" s="1"/>
  <c r="I46" i="227" s="1"/>
  <c r="G16" i="241" s="1"/>
  <c r="I24" i="227"/>
  <c r="I27" i="227" s="1"/>
  <c r="G15" i="241" s="1"/>
  <c r="I13" i="227"/>
  <c r="G14" i="241" s="1"/>
  <c r="O72" i="192"/>
  <c r="O88" i="192" s="1"/>
  <c r="O149" i="192" s="1"/>
  <c r="M72" i="192"/>
  <c r="M88" i="192" s="1"/>
  <c r="M149" i="192" s="1"/>
  <c r="K72" i="192"/>
  <c r="K88" i="192" s="1"/>
  <c r="K149" i="192" s="1"/>
  <c r="I72" i="192"/>
  <c r="I88" i="192" s="1"/>
  <c r="I149" i="192" s="1"/>
  <c r="G72" i="192"/>
  <c r="G88" i="192" s="1"/>
  <c r="G149" i="192" s="1"/>
  <c r="E72" i="192"/>
  <c r="E88" i="192" s="1"/>
  <c r="E149" i="192" s="1"/>
  <c r="I249" i="227" l="1"/>
  <c r="I311" i="227" s="1"/>
  <c r="G22" i="241" s="1"/>
  <c r="G25" i="241"/>
  <c r="A82" i="8" l="1"/>
  <c r="A55" i="222"/>
  <c r="A54" i="217"/>
  <c r="A67" i="220"/>
  <c r="A68" i="219"/>
  <c r="A89" i="218"/>
  <c r="A66" i="189"/>
  <c r="A95" i="53"/>
  <c r="A82" i="168"/>
  <c r="A69" i="24"/>
  <c r="A68" i="68"/>
  <c r="A53" i="12"/>
  <c r="A75" i="184"/>
  <c r="A70" i="233"/>
  <c r="A142" i="233" s="1"/>
  <c r="A74" i="232"/>
  <c r="A48" i="231"/>
  <c r="G30" i="68" l="1"/>
  <c r="S154" i="69" l="1"/>
  <c r="AG24" i="68" s="1"/>
  <c r="A101" i="233" l="1"/>
  <c r="R34" i="134"/>
  <c r="T34" i="134" s="1"/>
  <c r="V34" i="134" s="1"/>
  <c r="X34" i="134" s="1"/>
  <c r="P36" i="134"/>
  <c r="R36" i="134" s="1"/>
  <c r="T36" i="134" s="1"/>
  <c r="V36" i="134" s="1"/>
  <c r="X36" i="134" s="1"/>
  <c r="P35" i="134"/>
  <c r="R35" i="134" s="1"/>
  <c r="T35" i="134" s="1"/>
  <c r="V35" i="134" s="1"/>
  <c r="X35" i="134" s="1"/>
  <c r="P34" i="134"/>
  <c r="N45" i="226" l="1"/>
  <c r="N151" i="226" l="1"/>
  <c r="J126" i="226"/>
  <c r="N128" i="226" s="1"/>
  <c r="N144" i="226" l="1"/>
  <c r="N146" i="226" s="1"/>
  <c r="J15" i="226" s="1"/>
  <c r="N106" i="226"/>
  <c r="N107" i="226"/>
  <c r="H107" i="226"/>
  <c r="N96" i="226"/>
  <c r="N95" i="226"/>
  <c r="F97" i="226"/>
  <c r="I22" i="170"/>
  <c r="E23" i="12" l="1"/>
  <c r="L23" i="12" s="1"/>
  <c r="O29" i="241" l="1"/>
  <c r="A50" i="241" l="1"/>
  <c r="G10" i="241"/>
  <c r="A1" i="241"/>
  <c r="K10" i="241" l="1"/>
  <c r="Q10" i="241" s="1"/>
  <c r="G29" i="241"/>
  <c r="P33" i="226"/>
  <c r="P7" i="53" l="1"/>
  <c r="R7" i="53" s="1"/>
  <c r="E62" i="233" l="1"/>
  <c r="A75" i="25" l="1"/>
  <c r="A64" i="134" s="1"/>
  <c r="A43" i="25"/>
  <c r="A45" i="25"/>
  <c r="A47" i="25"/>
  <c r="A49" i="25"/>
  <c r="A51" i="25"/>
  <c r="A41" i="25"/>
  <c r="B42" i="25"/>
  <c r="B44" i="25"/>
  <c r="B46" i="25"/>
  <c r="B48" i="25"/>
  <c r="B50" i="25"/>
  <c r="B52" i="25"/>
  <c r="B41" i="25"/>
  <c r="V33" i="25"/>
  <c r="X33" i="25" s="1"/>
  <c r="V31" i="25"/>
  <c r="X31" i="25" s="1"/>
  <c r="V30" i="25"/>
  <c r="X30" i="25" s="1"/>
  <c r="V25" i="25"/>
  <c r="X25" i="25" s="1"/>
  <c r="X6" i="25"/>
  <c r="V6" i="25"/>
  <c r="T6" i="25"/>
  <c r="R6" i="25"/>
  <c r="P6" i="25"/>
  <c r="A1" i="233" l="1"/>
  <c r="A73" i="233" s="1"/>
  <c r="G90" i="233"/>
  <c r="G91" i="233" s="1"/>
  <c r="G92" i="233" s="1"/>
  <c r="G93" i="233" s="1"/>
  <c r="G94" i="233" s="1"/>
  <c r="G95" i="233" s="1"/>
  <c r="G96" i="233" s="1"/>
  <c r="G97" i="233" s="1"/>
  <c r="I97" i="233" s="1"/>
  <c r="A79" i="233"/>
  <c r="E87" i="233"/>
  <c r="E99" i="233" s="1"/>
  <c r="A16" i="233"/>
  <c r="A17" i="233" s="1"/>
  <c r="A18" i="233" s="1"/>
  <c r="A19" i="233" s="1"/>
  <c r="A20" i="233" s="1"/>
  <c r="A21" i="233" s="1"/>
  <c r="A22" i="233" s="1"/>
  <c r="A23" i="233" s="1"/>
  <c r="A24" i="233" s="1"/>
  <c r="A25" i="233" s="1"/>
  <c r="A26" i="233" s="1"/>
  <c r="A27" i="233" s="1"/>
  <c r="A28" i="233" s="1"/>
  <c r="A29" i="233" s="1"/>
  <c r="A30" i="233" s="1"/>
  <c r="A31" i="233" s="1"/>
  <c r="A32" i="233" s="1"/>
  <c r="A33" i="233" s="1"/>
  <c r="A34" i="233" s="1"/>
  <c r="A35" i="233" s="1"/>
  <c r="A36" i="233" s="1"/>
  <c r="A37" i="233" s="1"/>
  <c r="A38" i="233" s="1"/>
  <c r="A39" i="233" s="1"/>
  <c r="A40" i="233" s="1"/>
  <c r="A41" i="233" s="1"/>
  <c r="A42" i="233" s="1"/>
  <c r="A43" i="233" s="1"/>
  <c r="A44" i="233" s="1"/>
  <c r="A45" i="233" s="1"/>
  <c r="A46" i="233" s="1"/>
  <c r="A47" i="233" s="1"/>
  <c r="A48" i="233" s="1"/>
  <c r="A49" i="233" s="1"/>
  <c r="A50" i="233" s="1"/>
  <c r="A51" i="233" s="1"/>
  <c r="A7" i="233"/>
  <c r="E69" i="232"/>
  <c r="C15" i="232" s="1"/>
  <c r="C16" i="232" s="1"/>
  <c r="C17" i="232" s="1"/>
  <c r="C18" i="232" s="1"/>
  <c r="C19" i="232" s="1"/>
  <c r="C20" i="232" s="1"/>
  <c r="C21" i="232" s="1"/>
  <c r="C22" i="232" s="1"/>
  <c r="C23" i="232" s="1"/>
  <c r="C24" i="232" s="1"/>
  <c r="C25" i="232" s="1"/>
  <c r="C26" i="232" s="1"/>
  <c r="C27" i="232" s="1"/>
  <c r="C28" i="232" s="1"/>
  <c r="C29" i="232" s="1"/>
  <c r="C30" i="232" s="1"/>
  <c r="C31" i="232" s="1"/>
  <c r="C32" i="232" s="1"/>
  <c r="C33" i="232" s="1"/>
  <c r="C34" i="232" s="1"/>
  <c r="C35" i="232" s="1"/>
  <c r="C36" i="232" s="1"/>
  <c r="C37" i="232" s="1"/>
  <c r="C38" i="232" s="1"/>
  <c r="C39" i="232" s="1"/>
  <c r="C40" i="232" s="1"/>
  <c r="C41" i="232" s="1"/>
  <c r="C42" i="232" s="1"/>
  <c r="C43" i="232" s="1"/>
  <c r="C44" i="232" s="1"/>
  <c r="C45" i="232" s="1"/>
  <c r="C46" i="232" s="1"/>
  <c r="C47" i="232" s="1"/>
  <c r="C48" i="232" s="1"/>
  <c r="C49" i="232" s="1"/>
  <c r="C50" i="232" s="1"/>
  <c r="C51" i="232" s="1"/>
  <c r="C52" i="232" s="1"/>
  <c r="C53" i="232" s="1"/>
  <c r="C54" i="232" s="1"/>
  <c r="C55" i="232" s="1"/>
  <c r="C56" i="232" s="1"/>
  <c r="C57" i="232" s="1"/>
  <c r="C58" i="232" s="1"/>
  <c r="C59" i="232" s="1"/>
  <c r="C60" i="232" s="1"/>
  <c r="C61" i="232" s="1"/>
  <c r="C62" i="232" s="1"/>
  <c r="C63" i="232" s="1"/>
  <c r="C64" i="232" s="1"/>
  <c r="C65" i="232" s="1"/>
  <c r="C66" i="232" s="1"/>
  <c r="C67" i="232" s="1"/>
  <c r="I67" i="232"/>
  <c r="A16" i="232"/>
  <c r="A17" i="232" s="1"/>
  <c r="A18" i="232" s="1"/>
  <c r="A19" i="232" s="1"/>
  <c r="A20" i="232" s="1"/>
  <c r="A21" i="232" s="1"/>
  <c r="A22" i="232" s="1"/>
  <c r="A23" i="232" s="1"/>
  <c r="A24" i="232" s="1"/>
  <c r="A25" i="232" s="1"/>
  <c r="A26" i="232" s="1"/>
  <c r="A27" i="232" s="1"/>
  <c r="A28" i="232" s="1"/>
  <c r="A29" i="232" s="1"/>
  <c r="A30" i="232" s="1"/>
  <c r="A31" i="232" s="1"/>
  <c r="A32" i="232" s="1"/>
  <c r="A33" i="232" s="1"/>
  <c r="A34" i="232" s="1"/>
  <c r="A35" i="232" s="1"/>
  <c r="A36" i="232" s="1"/>
  <c r="A37" i="232" s="1"/>
  <c r="A38" i="232" s="1"/>
  <c r="A39" i="232" s="1"/>
  <c r="A40" i="232" s="1"/>
  <c r="A41" i="232" s="1"/>
  <c r="A42" i="232" s="1"/>
  <c r="A43" i="232" s="1"/>
  <c r="A44" i="232" s="1"/>
  <c r="A45" i="232" s="1"/>
  <c r="A46" i="232" s="1"/>
  <c r="A47" i="232" s="1"/>
  <c r="A48" i="232" s="1"/>
  <c r="A49" i="232" s="1"/>
  <c r="A50" i="232" s="1"/>
  <c r="A51" i="232" s="1"/>
  <c r="A52" i="232" s="1"/>
  <c r="A53" i="232" s="1"/>
  <c r="A54" i="232" s="1"/>
  <c r="A55" i="232" s="1"/>
  <c r="A56" i="232" s="1"/>
  <c r="A57" i="232" s="1"/>
  <c r="A58" i="232" s="1"/>
  <c r="A59" i="232" s="1"/>
  <c r="A60" i="232" s="1"/>
  <c r="A61" i="232" s="1"/>
  <c r="A62" i="232" s="1"/>
  <c r="A63" i="232" s="1"/>
  <c r="A64" i="232" s="1"/>
  <c r="A65" i="232" s="1"/>
  <c r="A66" i="232" s="1"/>
  <c r="A67" i="232" s="1"/>
  <c r="R3" i="232" s="1"/>
  <c r="R4" i="232" s="1"/>
  <c r="R5" i="232" s="1"/>
  <c r="R6" i="232" s="1"/>
  <c r="A7" i="232"/>
  <c r="O24" i="231"/>
  <c r="M24" i="231"/>
  <c r="K24" i="231"/>
  <c r="O19" i="231"/>
  <c r="M19" i="231"/>
  <c r="K19" i="231"/>
  <c r="K12" i="231"/>
  <c r="K9" i="231"/>
  <c r="I66" i="232" l="1"/>
  <c r="M66" i="232" s="1"/>
  <c r="Q64" i="184" s="1"/>
  <c r="M67" i="232"/>
  <c r="Q65" i="184" s="1"/>
  <c r="A3" i="233"/>
  <c r="A75" i="233" s="1"/>
  <c r="C15" i="233"/>
  <c r="C16" i="233" s="1"/>
  <c r="C17" i="233" s="1"/>
  <c r="C18" i="233" s="1"/>
  <c r="C19" i="233" s="1"/>
  <c r="C20" i="233" s="1"/>
  <c r="C21" i="233" s="1"/>
  <c r="C22" i="233" s="1"/>
  <c r="C23" i="233" s="1"/>
  <c r="C24" i="233" s="1"/>
  <c r="C25" i="233" s="1"/>
  <c r="C26" i="233" s="1"/>
  <c r="C27" i="233" s="1"/>
  <c r="C28" i="233" s="1"/>
  <c r="C29" i="233" s="1"/>
  <c r="C30" i="233" s="1"/>
  <c r="C31" i="233" s="1"/>
  <c r="C32" i="233" s="1"/>
  <c r="C33" i="233" s="1"/>
  <c r="C34" i="233" s="1"/>
  <c r="C35" i="233" s="1"/>
  <c r="C36" i="233" s="1"/>
  <c r="C37" i="233" s="1"/>
  <c r="C38" i="233" s="1"/>
  <c r="C39" i="233" s="1"/>
  <c r="C40" i="233" s="1"/>
  <c r="C41" i="233" s="1"/>
  <c r="C42" i="233" s="1"/>
  <c r="C43" i="233" s="1"/>
  <c r="C44" i="233" s="1"/>
  <c r="C45" i="233" s="1"/>
  <c r="C46" i="233" s="1"/>
  <c r="C47" i="233" s="1"/>
  <c r="C48" i="233" s="1"/>
  <c r="C49" i="233" s="1"/>
  <c r="C50" i="233" s="1"/>
  <c r="C51" i="233" s="1"/>
  <c r="C52" i="233" s="1"/>
  <c r="C53" i="233" s="1"/>
  <c r="C54" i="233" s="1"/>
  <c r="C55" i="233" s="1"/>
  <c r="C56" i="233" s="1"/>
  <c r="C57" i="233" s="1"/>
  <c r="C58" i="233" s="1"/>
  <c r="C59" i="233" s="1"/>
  <c r="C60" i="233" s="1"/>
  <c r="C89" i="233" s="1"/>
  <c r="C90" i="233" s="1"/>
  <c r="C91" i="233" s="1"/>
  <c r="C92" i="233" s="1"/>
  <c r="C93" i="233" s="1"/>
  <c r="C94" i="233" s="1"/>
  <c r="C95" i="233" s="1"/>
  <c r="C96" i="233" s="1"/>
  <c r="C97" i="233" s="1"/>
  <c r="A3" i="232"/>
  <c r="M26" i="231"/>
  <c r="O26" i="231"/>
  <c r="M12" i="231"/>
  <c r="M9" i="231"/>
  <c r="O9" i="231"/>
  <c r="O11" i="231"/>
  <c r="O12" i="231"/>
  <c r="K26" i="231"/>
  <c r="K10" i="231"/>
  <c r="O10" i="231"/>
  <c r="M10" i="231"/>
  <c r="A52" i="233"/>
  <c r="A53" i="233" s="1"/>
  <c r="A54" i="233" s="1"/>
  <c r="A55" i="233" s="1"/>
  <c r="A56" i="233" s="1"/>
  <c r="A57" i="233" s="1"/>
  <c r="A58" i="233" s="1"/>
  <c r="A59" i="233" s="1"/>
  <c r="A60" i="233" s="1"/>
  <c r="A89" i="233" s="1"/>
  <c r="A90" i="233" s="1"/>
  <c r="A91" i="233" s="1"/>
  <c r="A92" i="233" s="1"/>
  <c r="A93" i="233" s="1"/>
  <c r="A94" i="233" s="1"/>
  <c r="A95" i="233" s="1"/>
  <c r="A96" i="233" s="1"/>
  <c r="A97" i="233" s="1"/>
  <c r="R3" i="233"/>
  <c r="R4" i="233" s="1"/>
  <c r="R5" i="233" s="1"/>
  <c r="R6" i="233" s="1"/>
  <c r="K11" i="231"/>
  <c r="M11" i="231"/>
  <c r="I65" i="232" l="1"/>
  <c r="M65" i="232" s="1"/>
  <c r="O15" i="231"/>
  <c r="O28" i="231" s="1"/>
  <c r="M15" i="231"/>
  <c r="M28" i="231" s="1"/>
  <c r="M31" i="231" s="1"/>
  <c r="K31" i="231"/>
  <c r="I15" i="231"/>
  <c r="O67" i="232"/>
  <c r="K15" i="231"/>
  <c r="K28" i="231" s="1"/>
  <c r="Q63" i="184"/>
  <c r="I64" i="232"/>
  <c r="M64" i="232" s="1"/>
  <c r="O32" i="231" l="1"/>
  <c r="Q62" i="184"/>
  <c r="I63" i="232"/>
  <c r="M63" i="232" s="1"/>
  <c r="M34" i="231"/>
  <c r="M51" i="231" s="1"/>
  <c r="K34" i="231"/>
  <c r="K51" i="231" s="1"/>
  <c r="O34" i="231" l="1"/>
  <c r="O51" i="231" s="1"/>
  <c r="O65" i="232"/>
  <c r="Q61" i="184"/>
  <c r="I62" i="232"/>
  <c r="M62" i="232" s="1"/>
  <c r="Q60" i="184" l="1"/>
  <c r="I61" i="232"/>
  <c r="M61" i="232" s="1"/>
  <c r="I60" i="232" l="1"/>
  <c r="M60" i="232" s="1"/>
  <c r="Q59" i="184"/>
  <c r="O63" i="232"/>
  <c r="Q58" i="184" l="1"/>
  <c r="I59" i="232"/>
  <c r="M59" i="232" s="1"/>
  <c r="O61" i="232" l="1"/>
  <c r="Q57" i="184"/>
  <c r="I58" i="232"/>
  <c r="M58" i="232" s="1"/>
  <c r="Q56" i="184" l="1"/>
  <c r="I57" i="232"/>
  <c r="M57" i="232" s="1"/>
  <c r="O59" i="232" l="1"/>
  <c r="I56" i="232"/>
  <c r="M56" i="232" s="1"/>
  <c r="Q55" i="184"/>
  <c r="M97" i="233" l="1"/>
  <c r="S67" i="184" s="1"/>
  <c r="I96" i="233"/>
  <c r="I55" i="232"/>
  <c r="M55" i="232" s="1"/>
  <c r="Q54" i="184"/>
  <c r="U67" i="184" l="1"/>
  <c r="Q53" i="184"/>
  <c r="I54" i="232"/>
  <c r="M54" i="232" s="1"/>
  <c r="I95" i="233"/>
  <c r="M96" i="233"/>
  <c r="S66" i="184" s="1"/>
  <c r="O57" i="232"/>
  <c r="U66" i="184" l="1"/>
  <c r="W67" i="184" s="1"/>
  <c r="Q52" i="184"/>
  <c r="I53" i="232"/>
  <c r="M53" i="232" s="1"/>
  <c r="I94" i="233"/>
  <c r="M95" i="233"/>
  <c r="S65" i="184" s="1"/>
  <c r="O97" i="233"/>
  <c r="U65" i="184" l="1"/>
  <c r="O55" i="232"/>
  <c r="I93" i="233"/>
  <c r="M94" i="233"/>
  <c r="S64" i="184" s="1"/>
  <c r="I52" i="232"/>
  <c r="M52" i="232" s="1"/>
  <c r="Q51" i="184"/>
  <c r="U64" i="184" l="1"/>
  <c r="W65" i="184" s="1"/>
  <c r="O95" i="233"/>
  <c r="I51" i="232"/>
  <c r="M51" i="232" s="1"/>
  <c r="Q50" i="184"/>
  <c r="M93" i="233"/>
  <c r="S63" i="184" s="1"/>
  <c r="I92" i="233"/>
  <c r="U63" i="184" l="1"/>
  <c r="M92" i="233"/>
  <c r="S62" i="184" s="1"/>
  <c r="I91" i="233"/>
  <c r="O53" i="232"/>
  <c r="I50" i="232"/>
  <c r="M50" i="232" s="1"/>
  <c r="Q49" i="184"/>
  <c r="U62" i="184" l="1"/>
  <c r="W63" i="184" s="1"/>
  <c r="O93" i="233"/>
  <c r="Q48" i="184"/>
  <c r="I49" i="232"/>
  <c r="M49" i="232" s="1"/>
  <c r="I90" i="233"/>
  <c r="M91" i="233"/>
  <c r="S61" i="184" s="1"/>
  <c r="U61" i="184" l="1"/>
  <c r="O51" i="232"/>
  <c r="Q47" i="184"/>
  <c r="I48" i="232"/>
  <c r="M48" i="232" s="1"/>
  <c r="M90" i="233"/>
  <c r="S60" i="184" s="1"/>
  <c r="I89" i="233"/>
  <c r="U60" i="184" l="1"/>
  <c r="W61" i="184" s="1"/>
  <c r="I47" i="232"/>
  <c r="M47" i="232" s="1"/>
  <c r="Q46" i="184"/>
  <c r="I60" i="233"/>
  <c r="M60" i="233" s="1"/>
  <c r="M89" i="233"/>
  <c r="S59" i="184" s="1"/>
  <c r="O91" i="233"/>
  <c r="U59" i="184" l="1"/>
  <c r="S58" i="184"/>
  <c r="I59" i="233"/>
  <c r="M59" i="233" s="1"/>
  <c r="O49" i="232"/>
  <c r="Q45" i="184"/>
  <c r="I46" i="232"/>
  <c r="M46" i="232" s="1"/>
  <c r="U58" i="184" l="1"/>
  <c r="W59" i="184" s="1"/>
  <c r="Q44" i="184"/>
  <c r="I45" i="232"/>
  <c r="M45" i="232" s="1"/>
  <c r="I58" i="233"/>
  <c r="M58" i="233" s="1"/>
  <c r="S57" i="184"/>
  <c r="O89" i="233"/>
  <c r="U57" i="184" l="1"/>
  <c r="S56" i="184"/>
  <c r="I57" i="233"/>
  <c r="M57" i="233" s="1"/>
  <c r="I44" i="232"/>
  <c r="M44" i="232" s="1"/>
  <c r="Q43" i="184"/>
  <c r="O47" i="232"/>
  <c r="U56" i="184" l="1"/>
  <c r="W57" i="184" s="1"/>
  <c r="Q42" i="184"/>
  <c r="I43" i="232"/>
  <c r="M43" i="232" s="1"/>
  <c r="O59" i="233"/>
  <c r="S55" i="184"/>
  <c r="I56" i="233"/>
  <c r="M56" i="233" s="1"/>
  <c r="U55" i="184" l="1"/>
  <c r="S54" i="184"/>
  <c r="I55" i="233"/>
  <c r="M55" i="233" s="1"/>
  <c r="Q41" i="184"/>
  <c r="I42" i="232"/>
  <c r="M42" i="232" s="1"/>
  <c r="O45" i="232"/>
  <c r="U54" i="184" l="1"/>
  <c r="W55" i="184" s="1"/>
  <c r="S53" i="184"/>
  <c r="I54" i="233"/>
  <c r="M54" i="233" s="1"/>
  <c r="Q40" i="184"/>
  <c r="I41" i="232"/>
  <c r="M41" i="232" s="1"/>
  <c r="O57" i="233"/>
  <c r="U53" i="184" l="1"/>
  <c r="O43" i="232"/>
  <c r="I40" i="232"/>
  <c r="M40" i="232" s="1"/>
  <c r="Q39" i="184"/>
  <c r="S52" i="184"/>
  <c r="I53" i="233"/>
  <c r="M53" i="233" s="1"/>
  <c r="U52" i="184" l="1"/>
  <c r="W53" i="184" s="1"/>
  <c r="I52" i="233"/>
  <c r="M52" i="233" s="1"/>
  <c r="S51" i="184"/>
  <c r="O55" i="233"/>
  <c r="Q38" i="184"/>
  <c r="I39" i="232"/>
  <c r="M39" i="232" s="1"/>
  <c r="U51" i="184" l="1"/>
  <c r="Q37" i="184"/>
  <c r="I38" i="232"/>
  <c r="M38" i="232" s="1"/>
  <c r="I51" i="233"/>
  <c r="M51" i="233" s="1"/>
  <c r="S50" i="184"/>
  <c r="O41" i="232"/>
  <c r="U50" i="184" l="1"/>
  <c r="W51" i="184" s="1"/>
  <c r="Q36" i="184"/>
  <c r="I37" i="232"/>
  <c r="M37" i="232" s="1"/>
  <c r="I50" i="233"/>
  <c r="M50" i="233" s="1"/>
  <c r="S49" i="184"/>
  <c r="O53" i="233"/>
  <c r="U49" i="184" l="1"/>
  <c r="I36" i="232"/>
  <c r="M36" i="232" s="1"/>
  <c r="Q35" i="184"/>
  <c r="I49" i="233"/>
  <c r="M49" i="233" s="1"/>
  <c r="S48" i="184"/>
  <c r="O39" i="232"/>
  <c r="U48" i="184" l="1"/>
  <c r="W49" i="184" s="1"/>
  <c r="I48" i="233"/>
  <c r="M48" i="233" s="1"/>
  <c r="S47" i="184"/>
  <c r="Q34" i="184"/>
  <c r="I35" i="232"/>
  <c r="M35" i="232" s="1"/>
  <c r="O51" i="233"/>
  <c r="I47" i="233" l="1"/>
  <c r="M47" i="233" s="1"/>
  <c r="S46" i="184"/>
  <c r="I34" i="232"/>
  <c r="M34" i="232" s="1"/>
  <c r="Q33" i="184"/>
  <c r="O37" i="232"/>
  <c r="O49" i="233" l="1"/>
  <c r="S45" i="184"/>
  <c r="I46" i="233"/>
  <c r="M46" i="233" s="1"/>
  <c r="Q32" i="184"/>
  <c r="I33" i="232"/>
  <c r="M33" i="232" s="1"/>
  <c r="S44" i="184" l="1"/>
  <c r="I45" i="233"/>
  <c r="M45" i="233" s="1"/>
  <c r="I32" i="232"/>
  <c r="M32" i="232" s="1"/>
  <c r="Q31" i="184"/>
  <c r="O35" i="232"/>
  <c r="I44" i="233" l="1"/>
  <c r="M44" i="233" s="1"/>
  <c r="S43" i="184"/>
  <c r="I31" i="232"/>
  <c r="M31" i="232" s="1"/>
  <c r="Q30" i="184"/>
  <c r="O47" i="233"/>
  <c r="O33" i="232" l="1"/>
  <c r="S42" i="184"/>
  <c r="I43" i="233"/>
  <c r="M43" i="233" s="1"/>
  <c r="I30" i="232"/>
  <c r="M30" i="232" s="1"/>
  <c r="Q29" i="184"/>
  <c r="Q28" i="184" l="1"/>
  <c r="I29" i="232"/>
  <c r="M29" i="232" s="1"/>
  <c r="O45" i="233"/>
  <c r="I42" i="233"/>
  <c r="M42" i="233" s="1"/>
  <c r="S41" i="184"/>
  <c r="I28" i="232" l="1"/>
  <c r="M28" i="232" s="1"/>
  <c r="Q27" i="184"/>
  <c r="S40" i="184"/>
  <c r="I41" i="233"/>
  <c r="M41" i="233" s="1"/>
  <c r="O31" i="232"/>
  <c r="Q26" i="184" l="1"/>
  <c r="I27" i="232"/>
  <c r="M27" i="232" s="1"/>
  <c r="I40" i="233"/>
  <c r="M40" i="233" s="1"/>
  <c r="S39" i="184"/>
  <c r="O43" i="233"/>
  <c r="I39" i="233" l="1"/>
  <c r="M39" i="233" s="1"/>
  <c r="S38" i="184"/>
  <c r="I26" i="232"/>
  <c r="M26" i="232" s="1"/>
  <c r="Q25" i="184"/>
  <c r="O29" i="232"/>
  <c r="O41" i="233" l="1"/>
  <c r="I25" i="232"/>
  <c r="M25" i="232" s="1"/>
  <c r="Q24" i="184"/>
  <c r="S37" i="184"/>
  <c r="I38" i="233"/>
  <c r="M38" i="233" s="1"/>
  <c r="O27" i="232" l="1"/>
  <c r="Q23" i="184"/>
  <c r="I24" i="232"/>
  <c r="M24" i="232" s="1"/>
  <c r="I37" i="233"/>
  <c r="M37" i="233" s="1"/>
  <c r="S36" i="184"/>
  <c r="I36" i="233" l="1"/>
  <c r="M36" i="233" s="1"/>
  <c r="S35" i="184"/>
  <c r="I23" i="232"/>
  <c r="M23" i="232" s="1"/>
  <c r="Q22" i="184"/>
  <c r="O39" i="233"/>
  <c r="O25" i="232" l="1"/>
  <c r="I22" i="232"/>
  <c r="M22" i="232" s="1"/>
  <c r="Q21" i="184"/>
  <c r="I35" i="233"/>
  <c r="M35" i="233" s="1"/>
  <c r="S34" i="184"/>
  <c r="I34" i="233" l="1"/>
  <c r="M34" i="233" s="1"/>
  <c r="S33" i="184"/>
  <c r="Q20" i="184"/>
  <c r="I21" i="232"/>
  <c r="M21" i="232" s="1"/>
  <c r="O37" i="233"/>
  <c r="O23" i="232" l="1"/>
  <c r="S32" i="184"/>
  <c r="I33" i="233"/>
  <c r="M33" i="233" s="1"/>
  <c r="I20" i="232"/>
  <c r="Q19" i="184"/>
  <c r="K20" i="232" l="1"/>
  <c r="M20" i="232" s="1"/>
  <c r="Q18" i="184" s="1"/>
  <c r="I32" i="233"/>
  <c r="M32" i="233" s="1"/>
  <c r="S31" i="184"/>
  <c r="I19" i="232"/>
  <c r="O35" i="233"/>
  <c r="K19" i="232" l="1"/>
  <c r="M19" i="232" s="1"/>
  <c r="Q17" i="184" s="1"/>
  <c r="O21" i="232"/>
  <c r="S30" i="184"/>
  <c r="I31" i="233"/>
  <c r="M31" i="233" s="1"/>
  <c r="I18" i="232"/>
  <c r="K18" i="232" l="1"/>
  <c r="M18" i="232" s="1"/>
  <c r="Q16" i="184" s="1"/>
  <c r="I30" i="233"/>
  <c r="M30" i="233" s="1"/>
  <c r="S29" i="184"/>
  <c r="I17" i="232"/>
  <c r="K17" i="232" s="1"/>
  <c r="M17" i="232" s="1"/>
  <c r="O33" i="233"/>
  <c r="O19" i="232" l="1"/>
  <c r="Q15" i="184"/>
  <c r="I16" i="232"/>
  <c r="S28" i="184"/>
  <c r="I29" i="233"/>
  <c r="M29" i="233" s="1"/>
  <c r="K16" i="232" l="1"/>
  <c r="M16" i="232" s="1"/>
  <c r="Q14" i="184" s="1"/>
  <c r="I15" i="232"/>
  <c r="O31" i="233"/>
  <c r="I28" i="233"/>
  <c r="M28" i="233" s="1"/>
  <c r="S27" i="184"/>
  <c r="K15" i="232" l="1"/>
  <c r="K69" i="232" s="1"/>
  <c r="I27" i="233"/>
  <c r="M27" i="233" s="1"/>
  <c r="S26" i="184"/>
  <c r="O17" i="232"/>
  <c r="I69" i="232"/>
  <c r="M15" i="232" l="1"/>
  <c r="Q13" i="184" s="1"/>
  <c r="Q69" i="184" s="1"/>
  <c r="O29" i="233"/>
  <c r="I26" i="233"/>
  <c r="M26" i="233" s="1"/>
  <c r="S25" i="184"/>
  <c r="O15" i="232" l="1"/>
  <c r="O69" i="232" s="1"/>
  <c r="M69" i="232"/>
  <c r="S24" i="184"/>
  <c r="I25" i="233"/>
  <c r="M25" i="233" s="1"/>
  <c r="I24" i="233" l="1"/>
  <c r="M24" i="233" s="1"/>
  <c r="S23" i="184"/>
  <c r="O27" i="233"/>
  <c r="I23" i="233" l="1"/>
  <c r="M23" i="233" s="1"/>
  <c r="S22" i="184"/>
  <c r="S21" i="184" l="1"/>
  <c r="I22" i="233"/>
  <c r="O25" i="233"/>
  <c r="M22" i="233" l="1"/>
  <c r="S20" i="184" s="1"/>
  <c r="I21" i="233"/>
  <c r="M21" i="233" s="1"/>
  <c r="I20" i="233" l="1"/>
  <c r="S19" i="184"/>
  <c r="O23" i="233"/>
  <c r="M20" i="233" l="1"/>
  <c r="S18" i="184" s="1"/>
  <c r="I19" i="233"/>
  <c r="M19" i="233" s="1"/>
  <c r="I18" i="233" l="1"/>
  <c r="S17" i="184"/>
  <c r="O21" i="233"/>
  <c r="K18" i="233" l="1"/>
  <c r="M18" i="233" s="1"/>
  <c r="S16" i="184" s="1"/>
  <c r="I17" i="233"/>
  <c r="K17" i="233" l="1"/>
  <c r="M17" i="233" s="1"/>
  <c r="S15" i="184" s="1"/>
  <c r="O19" i="233"/>
  <c r="I16" i="233"/>
  <c r="K16" i="233" s="1"/>
  <c r="M16" i="233" s="1"/>
  <c r="I15" i="233" l="1"/>
  <c r="S14" i="184"/>
  <c r="K15" i="233" l="1"/>
  <c r="K62" i="233" s="1"/>
  <c r="K87" i="233" s="1"/>
  <c r="K99" i="233" s="1"/>
  <c r="O17" i="233"/>
  <c r="I62" i="233"/>
  <c r="I87" i="233" s="1"/>
  <c r="I99" i="233" s="1"/>
  <c r="M15" i="233" l="1"/>
  <c r="S13" i="184" s="1"/>
  <c r="S69" i="184" s="1"/>
  <c r="M62" i="233" l="1"/>
  <c r="M87" i="233" s="1"/>
  <c r="M99" i="233" s="1"/>
  <c r="O15" i="233"/>
  <c r="O62" i="233" l="1"/>
  <c r="O87" i="233" s="1"/>
  <c r="O99" i="233" l="1"/>
  <c r="G20" i="68" l="1"/>
  <c r="G18" i="68"/>
  <c r="N14" i="12" l="1"/>
  <c r="O6" i="184" l="1"/>
  <c r="O7" i="184"/>
  <c r="M6" i="184"/>
  <c r="M7" i="184"/>
  <c r="K6" i="184"/>
  <c r="K7" i="184"/>
  <c r="E6" i="184"/>
  <c r="G6" i="184"/>
  <c r="I6" i="184"/>
  <c r="E7" i="184"/>
  <c r="G7" i="184"/>
  <c r="I7" i="184"/>
  <c r="C7" i="184"/>
  <c r="C6" i="184"/>
  <c r="F102" i="226" l="1"/>
  <c r="F101" i="226"/>
  <c r="F100" i="226"/>
  <c r="F99" i="226"/>
  <c r="H31" i="226" l="1"/>
  <c r="H29" i="226"/>
  <c r="J29" i="226" s="1"/>
  <c r="H27" i="226"/>
  <c r="J27" i="226" s="1"/>
  <c r="N158" i="226" s="1"/>
  <c r="H25" i="226"/>
  <c r="H23" i="226"/>
  <c r="H21" i="226"/>
  <c r="H15" i="226"/>
  <c r="H17" i="226"/>
  <c r="H13" i="226"/>
  <c r="H11" i="226"/>
  <c r="A1" i="226"/>
  <c r="A83" i="226" s="1"/>
  <c r="J17" i="226"/>
  <c r="N130" i="226"/>
  <c r="N114" i="226"/>
  <c r="H109" i="226"/>
  <c r="H110" i="226" s="1"/>
  <c r="H111" i="226" s="1"/>
  <c r="H112" i="226" s="1"/>
  <c r="H113" i="226" s="1"/>
  <c r="H114" i="226" s="1"/>
  <c r="N103" i="226"/>
  <c r="N102" i="226"/>
  <c r="N101" i="226"/>
  <c r="N100" i="226"/>
  <c r="N99" i="226"/>
  <c r="N98" i="226"/>
  <c r="N97" i="226"/>
  <c r="A86" i="226"/>
  <c r="A85" i="226"/>
  <c r="J31" i="226" l="1"/>
  <c r="N31" i="226" s="1"/>
  <c r="N27" i="226"/>
  <c r="N17" i="226"/>
  <c r="N15" i="226"/>
  <c r="H33" i="226"/>
  <c r="Q33" i="226" s="1"/>
  <c r="J21" i="226"/>
  <c r="N21" i="226" s="1"/>
  <c r="J23" i="226"/>
  <c r="N23" i="226" s="1"/>
  <c r="J25" i="226"/>
  <c r="N25" i="226" s="1"/>
  <c r="P41" i="226" l="1"/>
  <c r="T84" i="53"/>
  <c r="Q41" i="226" l="1"/>
  <c r="I56" i="220" l="1"/>
  <c r="I55" i="220" s="1"/>
  <c r="I54" i="220" s="1"/>
  <c r="I53" i="220" s="1"/>
  <c r="I52" i="220" s="1"/>
  <c r="I51" i="220" s="1"/>
  <c r="I50" i="220" s="1"/>
  <c r="I49" i="220" s="1"/>
  <c r="I48" i="220" s="1"/>
  <c r="I47" i="220" s="1"/>
  <c r="I46" i="220" s="1"/>
  <c r="I45" i="220" s="1"/>
  <c r="I44" i="220" s="1"/>
  <c r="I43" i="220" s="1"/>
  <c r="I42" i="220" s="1"/>
  <c r="I41" i="220" s="1"/>
  <c r="I40" i="220" s="1"/>
  <c r="I39" i="220" s="1"/>
  <c r="I38" i="220" s="1"/>
  <c r="I37" i="220" s="1"/>
  <c r="I36" i="220" s="1"/>
  <c r="I35" i="220" s="1"/>
  <c r="I34" i="220" s="1"/>
  <c r="I33" i="220" s="1"/>
  <c r="I32" i="220" s="1"/>
  <c r="I31" i="220" s="1"/>
  <c r="I30" i="220" s="1"/>
  <c r="I29" i="220" s="1"/>
  <c r="I28" i="220" s="1"/>
  <c r="I27" i="220" s="1"/>
  <c r="I26" i="220" s="1"/>
  <c r="I25" i="220" s="1"/>
  <c r="I24" i="220" s="1"/>
  <c r="I23" i="220" s="1"/>
  <c r="I22" i="220" s="1"/>
  <c r="I21" i="220" s="1"/>
  <c r="I44" i="217"/>
  <c r="I43" i="217" s="1"/>
  <c r="I42" i="217" s="1"/>
  <c r="I41" i="217" s="1"/>
  <c r="I40" i="217" s="1"/>
  <c r="I39" i="217" s="1"/>
  <c r="I38" i="217" s="1"/>
  <c r="I37" i="217" s="1"/>
  <c r="I36" i="217" s="1"/>
  <c r="I35" i="217" s="1"/>
  <c r="I34" i="217" s="1"/>
  <c r="I33" i="217" s="1"/>
  <c r="I32" i="217" s="1"/>
  <c r="I31" i="217" s="1"/>
  <c r="I30" i="217" s="1"/>
  <c r="I29" i="217" s="1"/>
  <c r="I28" i="217" s="1"/>
  <c r="I27" i="217" s="1"/>
  <c r="E46" i="217"/>
  <c r="A3" i="217" s="1"/>
  <c r="E58" i="220"/>
  <c r="E59" i="219"/>
  <c r="E57" i="218"/>
  <c r="E58" i="190"/>
  <c r="I26" i="217" l="1"/>
  <c r="I25" i="217" s="1"/>
  <c r="I24" i="217" s="1"/>
  <c r="I23" i="217" s="1"/>
  <c r="I22" i="217" s="1"/>
  <c r="I21" i="217" s="1"/>
  <c r="I20" i="217" s="1"/>
  <c r="E58" i="189"/>
  <c r="AO73" i="222"/>
  <c r="E49" i="222"/>
  <c r="A3" i="222" s="1"/>
  <c r="I47" i="222"/>
  <c r="I46" i="222" s="1"/>
  <c r="C19" i="222"/>
  <c r="C21" i="222" s="1"/>
  <c r="C23" i="222" s="1"/>
  <c r="C25" i="222" s="1"/>
  <c r="C27" i="222" s="1"/>
  <c r="C29" i="222" s="1"/>
  <c r="C31" i="222" s="1"/>
  <c r="C33" i="222" s="1"/>
  <c r="C35" i="222" s="1"/>
  <c r="C37" i="222" s="1"/>
  <c r="C39" i="222" s="1"/>
  <c r="C41" i="222" s="1"/>
  <c r="C43" i="222" s="1"/>
  <c r="C45" i="222" s="1"/>
  <c r="C47" i="222" s="1"/>
  <c r="A16" i="222"/>
  <c r="A8" i="222"/>
  <c r="A18" i="222" l="1"/>
  <c r="A19" i="222" s="1"/>
  <c r="A20" i="222" s="1"/>
  <c r="A21" i="222" s="1"/>
  <c r="K47" i="222"/>
  <c r="O65" i="8" s="1"/>
  <c r="O39" i="184" s="1"/>
  <c r="I45" i="222"/>
  <c r="K46" i="222"/>
  <c r="M47" i="222" l="1"/>
  <c r="O64" i="8"/>
  <c r="O38" i="184" s="1"/>
  <c r="A22" i="222"/>
  <c r="I44" i="222"/>
  <c r="K45" i="222"/>
  <c r="O63" i="8" s="1"/>
  <c r="O37" i="184" s="1"/>
  <c r="A23" i="222" l="1"/>
  <c r="K44" i="222"/>
  <c r="I43" i="222"/>
  <c r="M45" i="222" l="1"/>
  <c r="O62" i="8"/>
  <c r="O36" i="184" s="1"/>
  <c r="K43" i="222"/>
  <c r="O61" i="8" s="1"/>
  <c r="O35" i="184" s="1"/>
  <c r="I42" i="222"/>
  <c r="A24" i="222"/>
  <c r="I41" i="222" l="1"/>
  <c r="K42" i="222"/>
  <c r="A25" i="222"/>
  <c r="M57" i="169"/>
  <c r="M43" i="222" l="1"/>
  <c r="O60" i="8"/>
  <c r="O34" i="184" s="1"/>
  <c r="I40" i="222"/>
  <c r="K41" i="222"/>
  <c r="O59" i="8" s="1"/>
  <c r="O33" i="184" s="1"/>
  <c r="A26" i="222"/>
  <c r="A27" i="222" l="1"/>
  <c r="K40" i="222"/>
  <c r="I39" i="222"/>
  <c r="M41" i="222" l="1"/>
  <c r="O58" i="8"/>
  <c r="O32" i="184" s="1"/>
  <c r="K39" i="222"/>
  <c r="O57" i="8" s="1"/>
  <c r="O31" i="184" s="1"/>
  <c r="I38" i="222"/>
  <c r="A28" i="222"/>
  <c r="A29" i="222" s="1"/>
  <c r="A30" i="222" l="1"/>
  <c r="A31" i="222" s="1"/>
  <c r="I37" i="222"/>
  <c r="K38" i="222"/>
  <c r="M39" i="222" l="1"/>
  <c r="O56" i="8"/>
  <c r="O30" i="184" s="1"/>
  <c r="K37" i="222"/>
  <c r="O55" i="8" s="1"/>
  <c r="O29" i="184" s="1"/>
  <c r="I36" i="222"/>
  <c r="A32" i="222"/>
  <c r="A33" i="222" s="1"/>
  <c r="E13" i="12"/>
  <c r="X13" i="12" s="1"/>
  <c r="A34" i="222" l="1"/>
  <c r="A35" i="222" s="1"/>
  <c r="K36" i="222"/>
  <c r="I35" i="222"/>
  <c r="M37" i="222" l="1"/>
  <c r="O54" i="8"/>
  <c r="O28" i="184" s="1"/>
  <c r="K35" i="222"/>
  <c r="O53" i="8" s="1"/>
  <c r="O27" i="184" s="1"/>
  <c r="I34" i="222"/>
  <c r="A36" i="222"/>
  <c r="A37" i="222" s="1"/>
  <c r="A38" i="222" l="1"/>
  <c r="A39" i="222" s="1"/>
  <c r="I33" i="222"/>
  <c r="K34" i="222"/>
  <c r="L13" i="170"/>
  <c r="M35" i="222" l="1"/>
  <c r="O52" i="8"/>
  <c r="O26" i="184" s="1"/>
  <c r="I32" i="222"/>
  <c r="K33" i="222"/>
  <c r="O51" i="8" s="1"/>
  <c r="O25" i="184" s="1"/>
  <c r="A40" i="222"/>
  <c r="A41" i="222" s="1"/>
  <c r="M32" i="169"/>
  <c r="A42" i="222" l="1"/>
  <c r="A43" i="222" s="1"/>
  <c r="K32" i="222"/>
  <c r="I31" i="222"/>
  <c r="M112" i="168"/>
  <c r="M33" i="222" l="1"/>
  <c r="O50" i="8"/>
  <c r="O24" i="184" s="1"/>
  <c r="I30" i="222"/>
  <c r="K31" i="222"/>
  <c r="O49" i="8" s="1"/>
  <c r="O23" i="184" s="1"/>
  <c r="A44" i="222"/>
  <c r="A45" i="222" s="1"/>
  <c r="M55" i="168"/>
  <c r="M59" i="168" s="1"/>
  <c r="A46" i="222" l="1"/>
  <c r="A47" i="222" s="1"/>
  <c r="I29" i="222"/>
  <c r="K30" i="222"/>
  <c r="M31" i="222" l="1"/>
  <c r="O48" i="8"/>
  <c r="O22" i="184" s="1"/>
  <c r="I28" i="222"/>
  <c r="K29" i="222"/>
  <c r="O47" i="8" s="1"/>
  <c r="O21" i="184" s="1"/>
  <c r="O3" i="169" l="1"/>
  <c r="P4" i="169" s="1"/>
  <c r="K28" i="222"/>
  <c r="I27" i="222"/>
  <c r="P5" i="169" l="1"/>
  <c r="P3" i="169"/>
  <c r="P2" i="169"/>
  <c r="M29" i="222"/>
  <c r="O46" i="8"/>
  <c r="O20" i="184" s="1"/>
  <c r="K27" i="222"/>
  <c r="O45" i="8" s="1"/>
  <c r="O19" i="184" s="1"/>
  <c r="I26" i="222"/>
  <c r="I25" i="222" l="1"/>
  <c r="K26" i="222"/>
  <c r="AF74" i="220"/>
  <c r="A3" i="220"/>
  <c r="K56" i="220"/>
  <c r="K73" i="8" s="1"/>
  <c r="K47" i="184" s="1"/>
  <c r="C18" i="220"/>
  <c r="C20" i="220" s="1"/>
  <c r="C22" i="220" s="1"/>
  <c r="C24" i="220" s="1"/>
  <c r="C26" i="220" s="1"/>
  <c r="C28" i="220" s="1"/>
  <c r="C30" i="220" s="1"/>
  <c r="C32" i="220" s="1"/>
  <c r="C34" i="220" s="1"/>
  <c r="C36" i="220" s="1"/>
  <c r="C38" i="220" s="1"/>
  <c r="C40" i="220" s="1"/>
  <c r="C42" i="220" s="1"/>
  <c r="C44" i="220" s="1"/>
  <c r="C46" i="220" s="1"/>
  <c r="C48" i="220" s="1"/>
  <c r="C50" i="220" s="1"/>
  <c r="C52" i="220" s="1"/>
  <c r="C53" i="220" s="1"/>
  <c r="C54" i="220" s="1"/>
  <c r="C55" i="220" s="1"/>
  <c r="C56" i="220" s="1"/>
  <c r="K59" i="219"/>
  <c r="A3" i="219"/>
  <c r="G25" i="219"/>
  <c r="G27" i="219" s="1"/>
  <c r="C21" i="219"/>
  <c r="C23" i="219" s="1"/>
  <c r="C25" i="219" s="1"/>
  <c r="C27" i="219" s="1"/>
  <c r="C29" i="219" s="1"/>
  <c r="C31" i="219" s="1"/>
  <c r="C33" i="219" s="1"/>
  <c r="C35" i="219" s="1"/>
  <c r="C37" i="219" s="1"/>
  <c r="C39" i="219" s="1"/>
  <c r="C41" i="219" s="1"/>
  <c r="C43" i="219" s="1"/>
  <c r="C45" i="219" s="1"/>
  <c r="C47" i="219" s="1"/>
  <c r="C49" i="219" s="1"/>
  <c r="C51" i="219" s="1"/>
  <c r="C53" i="219" s="1"/>
  <c r="C54" i="219" s="1"/>
  <c r="C55" i="219" s="1"/>
  <c r="C56" i="219" s="1"/>
  <c r="C57" i="219" s="1"/>
  <c r="A9" i="219"/>
  <c r="A8" i="219"/>
  <c r="K57" i="218"/>
  <c r="A3" i="218"/>
  <c r="G23" i="218"/>
  <c r="G25" i="218" s="1"/>
  <c r="G27" i="218" s="1"/>
  <c r="G29" i="218" s="1"/>
  <c r="G31" i="218" s="1"/>
  <c r="G19" i="218"/>
  <c r="C19" i="218"/>
  <c r="C21" i="218" s="1"/>
  <c r="C23" i="218" s="1"/>
  <c r="C25" i="218" s="1"/>
  <c r="C27" i="218" s="1"/>
  <c r="C29" i="218" s="1"/>
  <c r="C31" i="218" s="1"/>
  <c r="C33" i="218" s="1"/>
  <c r="C35" i="218" s="1"/>
  <c r="C37" i="218" s="1"/>
  <c r="C39" i="218" s="1"/>
  <c r="C41" i="218" s="1"/>
  <c r="C43" i="218" s="1"/>
  <c r="C45" i="218" s="1"/>
  <c r="C47" i="218" s="1"/>
  <c r="C49" i="218" s="1"/>
  <c r="C51" i="218" s="1"/>
  <c r="C52" i="218" s="1"/>
  <c r="C53" i="218" s="1"/>
  <c r="C54" i="218" s="1"/>
  <c r="C55" i="218" s="1"/>
  <c r="A8" i="218"/>
  <c r="K44" i="217"/>
  <c r="M63" i="8" s="1"/>
  <c r="M37" i="184" s="1"/>
  <c r="K43" i="217"/>
  <c r="M62" i="8" s="1"/>
  <c r="M36" i="184" s="1"/>
  <c r="A16" i="217"/>
  <c r="A8" i="217"/>
  <c r="M27" i="222" l="1"/>
  <c r="O44" i="8"/>
  <c r="O18" i="184" s="1"/>
  <c r="K25" i="222"/>
  <c r="O43" i="8" s="1"/>
  <c r="O17" i="184" s="1"/>
  <c r="I24" i="222"/>
  <c r="K54" i="220"/>
  <c r="K71" i="8" s="1"/>
  <c r="K45" i="184" s="1"/>
  <c r="K55" i="220"/>
  <c r="C16" i="217"/>
  <c r="C20" i="217" s="1"/>
  <c r="C22" i="217" s="1"/>
  <c r="C24" i="217" s="1"/>
  <c r="C26" i="217" s="1"/>
  <c r="C28" i="217" s="1"/>
  <c r="C30" i="217" s="1"/>
  <c r="C32" i="217" s="1"/>
  <c r="C34" i="217" s="1"/>
  <c r="C36" i="217" s="1"/>
  <c r="C38" i="217" s="1"/>
  <c r="C40" i="217" s="1"/>
  <c r="C42" i="217" s="1"/>
  <c r="C44" i="217" s="1"/>
  <c r="C15" i="218"/>
  <c r="C17" i="219"/>
  <c r="G29" i="219"/>
  <c r="G33" i="218"/>
  <c r="M44" i="217"/>
  <c r="A17" i="217"/>
  <c r="A18" i="217" s="1"/>
  <c r="J22" i="170"/>
  <c r="K24" i="222" l="1"/>
  <c r="I23" i="222"/>
  <c r="K72" i="8"/>
  <c r="K46" i="184" s="1"/>
  <c r="M56" i="220"/>
  <c r="K53" i="220"/>
  <c r="G31" i="219"/>
  <c r="G35" i="218"/>
  <c r="A19" i="217"/>
  <c r="A20" i="217" s="1"/>
  <c r="K42" i="217"/>
  <c r="M61" i="8" s="1"/>
  <c r="M35" i="184" s="1"/>
  <c r="M25" i="222" l="1"/>
  <c r="O42" i="8"/>
  <c r="O16" i="184" s="1"/>
  <c r="I22" i="222"/>
  <c r="K23" i="222"/>
  <c r="O41" i="8" s="1"/>
  <c r="O15" i="184" s="1"/>
  <c r="K52" i="220"/>
  <c r="K69" i="8" s="1"/>
  <c r="K43" i="184" s="1"/>
  <c r="M54" i="220"/>
  <c r="K70" i="8"/>
  <c r="K44" i="184" s="1"/>
  <c r="G33" i="219"/>
  <c r="G37" i="218"/>
  <c r="K41" i="217"/>
  <c r="A21" i="217"/>
  <c r="I21" i="222" l="1"/>
  <c r="K22" i="222"/>
  <c r="M42" i="217"/>
  <c r="M60" i="8"/>
  <c r="M34" i="184" s="1"/>
  <c r="K51" i="220"/>
  <c r="G35" i="219"/>
  <c r="G39" i="218"/>
  <c r="A22" i="217"/>
  <c r="K40" i="217"/>
  <c r="M59" i="8" s="1"/>
  <c r="M33" i="184" s="1"/>
  <c r="M23" i="222" l="1"/>
  <c r="O40" i="8"/>
  <c r="O14" i="184" s="1"/>
  <c r="K21" i="222"/>
  <c r="O39" i="8" s="1"/>
  <c r="O13" i="184" s="1"/>
  <c r="I20" i="222"/>
  <c r="K68" i="8"/>
  <c r="K42" i="184" s="1"/>
  <c r="M52" i="220"/>
  <c r="K50" i="220"/>
  <c r="K67" i="8" s="1"/>
  <c r="K41" i="184" s="1"/>
  <c r="G37" i="219"/>
  <c r="G41" i="218"/>
  <c r="K39" i="217"/>
  <c r="A23" i="217"/>
  <c r="H22" i="170"/>
  <c r="F22" i="170"/>
  <c r="K20" i="222" l="1"/>
  <c r="I19" i="222"/>
  <c r="I112" i="168"/>
  <c r="G112" i="168"/>
  <c r="M40" i="217"/>
  <c r="M58" i="8"/>
  <c r="M32" i="184" s="1"/>
  <c r="K49" i="220"/>
  <c r="G39" i="219"/>
  <c r="G43" i="218"/>
  <c r="K38" i="217"/>
  <c r="M57" i="8" s="1"/>
  <c r="M31" i="184" s="1"/>
  <c r="A24" i="217"/>
  <c r="I31" i="168"/>
  <c r="M21" i="222" l="1"/>
  <c r="O38" i="8"/>
  <c r="O12" i="184" s="1"/>
  <c r="I18" i="222"/>
  <c r="K19" i="222"/>
  <c r="O37" i="8" s="1"/>
  <c r="O11" i="184" s="1"/>
  <c r="M50" i="220"/>
  <c r="K66" i="8"/>
  <c r="K40" i="184" s="1"/>
  <c r="K48" i="220"/>
  <c r="K65" i="8" s="1"/>
  <c r="K39" i="184" s="1"/>
  <c r="G41" i="219"/>
  <c r="G45" i="218"/>
  <c r="A25" i="217"/>
  <c r="K37" i="217"/>
  <c r="I49" i="222" l="1"/>
  <c r="K18" i="222"/>
  <c r="O36" i="8" s="1"/>
  <c r="K47" i="220"/>
  <c r="M38" i="217"/>
  <c r="M56" i="8"/>
  <c r="M30" i="184" s="1"/>
  <c r="G43" i="219"/>
  <c r="G47" i="218"/>
  <c r="K36" i="217"/>
  <c r="M55" i="8" s="1"/>
  <c r="M29" i="184" s="1"/>
  <c r="A26" i="217"/>
  <c r="O75" i="8" l="1"/>
  <c r="O87" i="8" s="1"/>
  <c r="O10" i="184"/>
  <c r="O69" i="184" s="1"/>
  <c r="K49" i="222"/>
  <c r="M19" i="222"/>
  <c r="M48" i="220"/>
  <c r="K64" i="8"/>
  <c r="K38" i="184" s="1"/>
  <c r="K46" i="220"/>
  <c r="K63" i="8" s="1"/>
  <c r="K37" i="184" s="1"/>
  <c r="G45" i="219"/>
  <c r="G49" i="218"/>
  <c r="A27" i="217"/>
  <c r="A28" i="217" s="1"/>
  <c r="K35" i="217"/>
  <c r="O88" i="8" l="1"/>
  <c r="O90" i="8" s="1"/>
  <c r="M49" i="222"/>
  <c r="M36" i="217"/>
  <c r="M54" i="8"/>
  <c r="M28" i="184" s="1"/>
  <c r="K45" i="220"/>
  <c r="G47" i="219"/>
  <c r="G51" i="218"/>
  <c r="A29" i="217"/>
  <c r="A30" i="217" s="1"/>
  <c r="K34" i="217"/>
  <c r="M53" i="8" s="1"/>
  <c r="M27" i="184" s="1"/>
  <c r="K44" i="220" l="1"/>
  <c r="K61" i="8" s="1"/>
  <c r="K35" i="184" s="1"/>
  <c r="M46" i="220"/>
  <c r="K62" i="8"/>
  <c r="K36" i="184" s="1"/>
  <c r="G49" i="219"/>
  <c r="G52" i="218"/>
  <c r="K33" i="217"/>
  <c r="A31" i="217"/>
  <c r="A32" i="217" s="1"/>
  <c r="K43" i="220" l="1"/>
  <c r="M34" i="217"/>
  <c r="M52" i="8"/>
  <c r="M26" i="184" s="1"/>
  <c r="G51" i="219"/>
  <c r="G53" i="218"/>
  <c r="K32" i="217"/>
  <c r="M51" i="8" s="1"/>
  <c r="M25" i="184" s="1"/>
  <c r="A33" i="217"/>
  <c r="A34" i="217" s="1"/>
  <c r="M44" i="220" l="1"/>
  <c r="K60" i="8"/>
  <c r="K34" i="184" s="1"/>
  <c r="K42" i="220"/>
  <c r="K59" i="8" s="1"/>
  <c r="K33" i="184" s="1"/>
  <c r="G53" i="219"/>
  <c r="G54" i="218"/>
  <c r="A35" i="217"/>
  <c r="A36" i="217" s="1"/>
  <c r="K31" i="217"/>
  <c r="M32" i="217" l="1"/>
  <c r="M50" i="8"/>
  <c r="M24" i="184" s="1"/>
  <c r="K41" i="220"/>
  <c r="G54" i="219"/>
  <c r="G55" i="218"/>
  <c r="I55" i="218" s="1"/>
  <c r="M55" i="218" s="1"/>
  <c r="K30" i="217"/>
  <c r="M49" i="8" s="1"/>
  <c r="M23" i="184" s="1"/>
  <c r="A37" i="217"/>
  <c r="A38" i="217" s="1"/>
  <c r="K40" i="220" l="1"/>
  <c r="K57" i="8" s="1"/>
  <c r="K31" i="184" s="1"/>
  <c r="M42" i="220"/>
  <c r="K58" i="8"/>
  <c r="K32" i="184" s="1"/>
  <c r="G55" i="219"/>
  <c r="I54" i="218"/>
  <c r="A39" i="217"/>
  <c r="A40" i="217" s="1"/>
  <c r="K29" i="217"/>
  <c r="M30" i="217" l="1"/>
  <c r="M48" i="8"/>
  <c r="M22" i="184" s="1"/>
  <c r="K39" i="220"/>
  <c r="G56" i="219"/>
  <c r="M54" i="218"/>
  <c r="O55" i="218" s="1"/>
  <c r="I53" i="218"/>
  <c r="K28" i="217"/>
  <c r="M47" i="8" s="1"/>
  <c r="M21" i="184" s="1"/>
  <c r="A41" i="217"/>
  <c r="A42" i="217" s="1"/>
  <c r="K38" i="220" l="1"/>
  <c r="K55" i="8" s="1"/>
  <c r="K29" i="184" s="1"/>
  <c r="M40" i="220"/>
  <c r="K56" i="8"/>
  <c r="K30" i="184" s="1"/>
  <c r="G57" i="219"/>
  <c r="M53" i="218"/>
  <c r="I52" i="218"/>
  <c r="A43" i="217"/>
  <c r="A44" i="217" s="1"/>
  <c r="K27" i="217"/>
  <c r="I57" i="219" l="1"/>
  <c r="M28" i="217"/>
  <c r="M46" i="8"/>
  <c r="M20" i="184" s="1"/>
  <c r="K37" i="220"/>
  <c r="M52" i="218"/>
  <c r="O53" i="218" s="1"/>
  <c r="I51" i="218"/>
  <c r="K26" i="217"/>
  <c r="M45" i="8" s="1"/>
  <c r="M19" i="184" s="1"/>
  <c r="I56" i="219" l="1"/>
  <c r="I55" i="219" s="1"/>
  <c r="M57" i="219"/>
  <c r="I73" i="8" s="1"/>
  <c r="M38" i="220"/>
  <c r="K54" i="8"/>
  <c r="K28" i="184" s="1"/>
  <c r="K36" i="220"/>
  <c r="K53" i="8" s="1"/>
  <c r="K27" i="184" s="1"/>
  <c r="M56" i="219"/>
  <c r="M51" i="218"/>
  <c r="I50" i="218"/>
  <c r="K25" i="217"/>
  <c r="I54" i="219" l="1"/>
  <c r="I53" i="219" s="1"/>
  <c r="I52" i="219" s="1"/>
  <c r="Q73" i="8"/>
  <c r="I47" i="184"/>
  <c r="O57" i="219"/>
  <c r="I72" i="8"/>
  <c r="I46" i="184" s="1"/>
  <c r="K35" i="220"/>
  <c r="M26" i="217"/>
  <c r="M44" i="8"/>
  <c r="M18" i="184" s="1"/>
  <c r="M55" i="219"/>
  <c r="I71" i="8" s="1"/>
  <c r="M50" i="218"/>
  <c r="O51" i="218" s="1"/>
  <c r="I49" i="218"/>
  <c r="K24" i="217"/>
  <c r="M43" i="8" s="1"/>
  <c r="M17" i="184" s="1"/>
  <c r="I51" i="219" l="1"/>
  <c r="I50" i="219" s="1"/>
  <c r="I49" i="219" s="1"/>
  <c r="I48" i="219" s="1"/>
  <c r="Q71" i="8"/>
  <c r="I45" i="184"/>
  <c r="U46" i="184"/>
  <c r="U47" i="184"/>
  <c r="Q72" i="8"/>
  <c r="S73" i="8" s="1"/>
  <c r="K34" i="220"/>
  <c r="K51" i="8" s="1"/>
  <c r="K25" i="184" s="1"/>
  <c r="M36" i="220"/>
  <c r="K52" i="8"/>
  <c r="K26" i="184" s="1"/>
  <c r="M54" i="219"/>
  <c r="I48" i="218"/>
  <c r="M49" i="218"/>
  <c r="K23" i="217"/>
  <c r="I47" i="219" l="1"/>
  <c r="I46" i="219" s="1"/>
  <c r="W47" i="184"/>
  <c r="U45" i="184"/>
  <c r="O55" i="219"/>
  <c r="I70" i="8"/>
  <c r="I44" i="184" s="1"/>
  <c r="M24" i="217"/>
  <c r="M42" i="8"/>
  <c r="M16" i="184" s="1"/>
  <c r="K33" i="220"/>
  <c r="M53" i="219"/>
  <c r="I69" i="8" s="1"/>
  <c r="I43" i="184" s="1"/>
  <c r="M48" i="218"/>
  <c r="O49" i="218" s="1"/>
  <c r="I47" i="218"/>
  <c r="K22" i="217"/>
  <c r="M41" i="8" s="1"/>
  <c r="M15" i="184" s="1"/>
  <c r="I45" i="219" l="1"/>
  <c r="I44" i="219" s="1"/>
  <c r="I43" i="219" s="1"/>
  <c r="I42" i="219" s="1"/>
  <c r="U44" i="184"/>
  <c r="W45" i="184" s="1"/>
  <c r="Q70" i="8"/>
  <c r="S71" i="8" s="1"/>
  <c r="M34" i="220"/>
  <c r="K50" i="8"/>
  <c r="K24" i="184" s="1"/>
  <c r="K32" i="220"/>
  <c r="K49" i="8" s="1"/>
  <c r="K23" i="184" s="1"/>
  <c r="M52" i="219"/>
  <c r="I46" i="218"/>
  <c r="M47" i="218"/>
  <c r="K21" i="217"/>
  <c r="I41" i="219" l="1"/>
  <c r="I40" i="219" s="1"/>
  <c r="M22" i="217"/>
  <c r="M40" i="8"/>
  <c r="M14" i="184" s="1"/>
  <c r="O53" i="219"/>
  <c r="I68" i="8"/>
  <c r="I42" i="184" s="1"/>
  <c r="K31" i="220"/>
  <c r="M51" i="219"/>
  <c r="I67" i="8" s="1"/>
  <c r="I41" i="184" s="1"/>
  <c r="M46" i="218"/>
  <c r="O47" i="218" s="1"/>
  <c r="I45" i="218"/>
  <c r="I19" i="217"/>
  <c r="K20" i="217"/>
  <c r="M39" i="8" s="1"/>
  <c r="M13" i="184" s="1"/>
  <c r="I39" i="219" l="1"/>
  <c r="I38" i="219" s="1"/>
  <c r="I37" i="219" s="1"/>
  <c r="I36" i="219" s="1"/>
  <c r="I35" i="219" s="1"/>
  <c r="I34" i="219" s="1"/>
  <c r="K30" i="220"/>
  <c r="K47" i="8" s="1"/>
  <c r="K21" i="184" s="1"/>
  <c r="M32" i="220"/>
  <c r="K48" i="8"/>
  <c r="K22" i="184" s="1"/>
  <c r="M50" i="219"/>
  <c r="I44" i="218"/>
  <c r="M45" i="218"/>
  <c r="I18" i="217"/>
  <c r="K19" i="217"/>
  <c r="I33" i="219" l="1"/>
  <c r="I32" i="219" s="1"/>
  <c r="I31" i="219" s="1"/>
  <c r="I30" i="219" s="1"/>
  <c r="I29" i="219" s="1"/>
  <c r="I28" i="219" s="1"/>
  <c r="I17" i="217"/>
  <c r="K17" i="217" s="1"/>
  <c r="M20" i="217"/>
  <c r="M38" i="8"/>
  <c r="M12" i="184" s="1"/>
  <c r="O51" i="219"/>
  <c r="I66" i="8"/>
  <c r="I40" i="184" s="1"/>
  <c r="K29" i="220"/>
  <c r="M49" i="219"/>
  <c r="I65" i="8" s="1"/>
  <c r="I39" i="184" s="1"/>
  <c r="M44" i="218"/>
  <c r="O45" i="218" s="1"/>
  <c r="I43" i="218"/>
  <c r="K18" i="217"/>
  <c r="M37" i="8" s="1"/>
  <c r="M11" i="184" s="1"/>
  <c r="I27" i="219" l="1"/>
  <c r="I26" i="219" s="1"/>
  <c r="I25" i="219" s="1"/>
  <c r="I24" i="219" s="1"/>
  <c r="I23" i="219" s="1"/>
  <c r="I46" i="217"/>
  <c r="K28" i="220"/>
  <c r="K45" i="8" s="1"/>
  <c r="K19" i="184" s="1"/>
  <c r="M30" i="220"/>
  <c r="K46" i="8"/>
  <c r="K20" i="184" s="1"/>
  <c r="M48" i="219"/>
  <c r="I42" i="218"/>
  <c r="M43" i="218"/>
  <c r="I16" i="217"/>
  <c r="F113" i="226" s="1"/>
  <c r="N113" i="226" s="1"/>
  <c r="K46" i="217"/>
  <c r="M88" i="8" s="1"/>
  <c r="O49" i="219" l="1"/>
  <c r="I64" i="8"/>
  <c r="I38" i="184" s="1"/>
  <c r="M18" i="217"/>
  <c r="M36" i="8"/>
  <c r="K27" i="220"/>
  <c r="M47" i="219"/>
  <c r="I63" i="8" s="1"/>
  <c r="I37" i="184" s="1"/>
  <c r="M42" i="218"/>
  <c r="O43" i="218" s="1"/>
  <c r="I41" i="218"/>
  <c r="I15" i="217"/>
  <c r="K16" i="217"/>
  <c r="M35" i="8" s="1"/>
  <c r="M75" i="8" l="1"/>
  <c r="M87" i="8" s="1"/>
  <c r="M90" i="8" s="1"/>
  <c r="M10" i="184"/>
  <c r="M69" i="184" s="1"/>
  <c r="M46" i="217"/>
  <c r="K26" i="220"/>
  <c r="K43" i="8" s="1"/>
  <c r="K17" i="184" s="1"/>
  <c r="M28" i="220"/>
  <c r="K44" i="8"/>
  <c r="K18" i="184" s="1"/>
  <c r="M46" i="219"/>
  <c r="I40" i="218"/>
  <c r="M41" i="218"/>
  <c r="K15" i="217"/>
  <c r="M34" i="8" s="1"/>
  <c r="O47" i="219" l="1"/>
  <c r="I62" i="8"/>
  <c r="I36" i="184" s="1"/>
  <c r="K25" i="220"/>
  <c r="M45" i="219"/>
  <c r="I61" i="8" s="1"/>
  <c r="I35" i="184" s="1"/>
  <c r="M40" i="218"/>
  <c r="O41" i="218" s="1"/>
  <c r="I39" i="218"/>
  <c r="M16" i="217"/>
  <c r="K24" i="220" l="1"/>
  <c r="K41" i="8" s="1"/>
  <c r="K15" i="184" s="1"/>
  <c r="M26" i="220"/>
  <c r="K42" i="8"/>
  <c r="K16" i="184" s="1"/>
  <c r="M44" i="219"/>
  <c r="M39" i="218"/>
  <c r="I38" i="218"/>
  <c r="K23" i="220" l="1"/>
  <c r="O45" i="219"/>
  <c r="I60" i="8"/>
  <c r="I34" i="184" s="1"/>
  <c r="M43" i="219"/>
  <c r="I59" i="8" s="1"/>
  <c r="I33" i="184" s="1"/>
  <c r="M38" i="218"/>
  <c r="O39" i="218" s="1"/>
  <c r="I37" i="218"/>
  <c r="Q135" i="69" l="1"/>
  <c r="AA22" i="68" s="1"/>
  <c r="K22" i="220"/>
  <c r="K39" i="8" s="1"/>
  <c r="K13" i="184" s="1"/>
  <c r="M24" i="220"/>
  <c r="K40" i="8"/>
  <c r="K14" i="184" s="1"/>
  <c r="M42" i="219"/>
  <c r="M37" i="218"/>
  <c r="I36" i="218"/>
  <c r="O135" i="69" l="1"/>
  <c r="U22" i="68" s="1"/>
  <c r="K135" i="69"/>
  <c r="I22" i="68" s="1"/>
  <c r="M22" i="68" s="1"/>
  <c r="M135" i="69"/>
  <c r="O22" i="68" s="1"/>
  <c r="O43" i="219"/>
  <c r="I58" i="8"/>
  <c r="I32" i="184" s="1"/>
  <c r="I20" i="220"/>
  <c r="K21" i="220"/>
  <c r="M41" i="219"/>
  <c r="I57" i="8" s="1"/>
  <c r="I31" i="184" s="1"/>
  <c r="M36" i="218"/>
  <c r="O37" i="218" s="1"/>
  <c r="I35" i="218"/>
  <c r="S22" i="68" l="1"/>
  <c r="Y22" i="68" s="1"/>
  <c r="AE22" i="68" s="1"/>
  <c r="S135" i="69"/>
  <c r="AG22" i="68" s="1"/>
  <c r="M22" i="220"/>
  <c r="K38" i="8"/>
  <c r="K12" i="184" s="1"/>
  <c r="I19" i="220"/>
  <c r="I58" i="220" s="1"/>
  <c r="K20" i="220"/>
  <c r="K37" i="8" s="1"/>
  <c r="K11" i="184" s="1"/>
  <c r="M40" i="219"/>
  <c r="M35" i="218"/>
  <c r="I34" i="218"/>
  <c r="AK22" i="68" l="1"/>
  <c r="I18" i="220"/>
  <c r="F112" i="226" s="1"/>
  <c r="N112" i="226" s="1"/>
  <c r="K19" i="220"/>
  <c r="K58" i="220" s="1"/>
  <c r="K88" i="8" s="1"/>
  <c r="O41" i="219"/>
  <c r="I56" i="8"/>
  <c r="I30" i="184" s="1"/>
  <c r="M39" i="219"/>
  <c r="I55" i="8" s="1"/>
  <c r="I29" i="184" s="1"/>
  <c r="M34" i="218"/>
  <c r="O35" i="218" s="1"/>
  <c r="I33" i="218"/>
  <c r="M20" i="220" l="1"/>
  <c r="M58" i="220" s="1"/>
  <c r="K36" i="8"/>
  <c r="I17" i="220"/>
  <c r="K18" i="220"/>
  <c r="K35" i="8" s="1"/>
  <c r="M38" i="219"/>
  <c r="M33" i="218"/>
  <c r="I32" i="218"/>
  <c r="K75" i="8" l="1"/>
  <c r="K87" i="8" s="1"/>
  <c r="K90" i="8" s="1"/>
  <c r="K10" i="184"/>
  <c r="K69" i="184" s="1"/>
  <c r="I16" i="220"/>
  <c r="K17" i="220"/>
  <c r="O39" i="219"/>
  <c r="I54" i="8"/>
  <c r="I28" i="184" s="1"/>
  <c r="M60" i="220"/>
  <c r="M37" i="219"/>
  <c r="I53" i="8" s="1"/>
  <c r="I27" i="184" s="1"/>
  <c r="M32" i="218"/>
  <c r="O33" i="218" s="1"/>
  <c r="I31" i="218"/>
  <c r="K34" i="8" l="1"/>
  <c r="M18" i="220"/>
  <c r="K16" i="220"/>
  <c r="K33" i="8" s="1"/>
  <c r="I15" i="220"/>
  <c r="M36" i="219"/>
  <c r="I30" i="218"/>
  <c r="M31" i="218"/>
  <c r="K15" i="220" l="1"/>
  <c r="O37" i="219"/>
  <c r="I52" i="8"/>
  <c r="I26" i="184" s="1"/>
  <c r="M35" i="219"/>
  <c r="I51" i="8" s="1"/>
  <c r="I25" i="184" s="1"/>
  <c r="M30" i="218"/>
  <c r="O31" i="218" s="1"/>
  <c r="I29" i="218"/>
  <c r="K32" i="8" l="1"/>
  <c r="M16" i="220"/>
  <c r="M34" i="219"/>
  <c r="I28" i="218"/>
  <c r="M29" i="218"/>
  <c r="K78" i="220" l="1"/>
  <c r="O35" i="219"/>
  <c r="I50" i="8"/>
  <c r="I24" i="184" s="1"/>
  <c r="M33" i="219"/>
  <c r="I49" i="8" s="1"/>
  <c r="I23" i="184" s="1"/>
  <c r="M28" i="218"/>
  <c r="O29" i="218" s="1"/>
  <c r="I27" i="218"/>
  <c r="M32" i="219" l="1"/>
  <c r="I26" i="218"/>
  <c r="M27" i="218"/>
  <c r="O33" i="219" l="1"/>
  <c r="I48" i="8"/>
  <c r="I22" i="184" s="1"/>
  <c r="M31" i="219"/>
  <c r="I47" i="8" s="1"/>
  <c r="I21" i="184" s="1"/>
  <c r="M26" i="218"/>
  <c r="O27" i="218" s="1"/>
  <c r="I25" i="218"/>
  <c r="M30" i="219" l="1"/>
  <c r="I24" i="218"/>
  <c r="M25" i="218"/>
  <c r="O31" i="219" l="1"/>
  <c r="I46" i="8"/>
  <c r="I20" i="184" s="1"/>
  <c r="M29" i="219"/>
  <c r="I45" i="8" s="1"/>
  <c r="I19" i="184" s="1"/>
  <c r="M24" i="218"/>
  <c r="O25" i="218" s="1"/>
  <c r="I23" i="218"/>
  <c r="M28" i="219" l="1"/>
  <c r="M23" i="218"/>
  <c r="I22" i="218"/>
  <c r="O29" i="219" l="1"/>
  <c r="I44" i="8"/>
  <c r="I18" i="184" s="1"/>
  <c r="M27" i="219"/>
  <c r="I43" i="8" s="1"/>
  <c r="I17" i="184" s="1"/>
  <c r="I21" i="218"/>
  <c r="M22" i="218"/>
  <c r="O23" i="218" s="1"/>
  <c r="M26" i="219" l="1"/>
  <c r="M21" i="218"/>
  <c r="I20" i="218"/>
  <c r="O27" i="219" l="1"/>
  <c r="I42" i="8"/>
  <c r="I16" i="184" s="1"/>
  <c r="M25" i="219"/>
  <c r="I41" i="8" s="1"/>
  <c r="I15" i="184" s="1"/>
  <c r="I19" i="218"/>
  <c r="M20" i="218"/>
  <c r="O21" i="218" s="1"/>
  <c r="M24" i="219" l="1"/>
  <c r="I18" i="218"/>
  <c r="I57" i="218" s="1"/>
  <c r="M19" i="218"/>
  <c r="G37" i="8" s="1"/>
  <c r="G11" i="184" s="1"/>
  <c r="O25" i="219" l="1"/>
  <c r="I40" i="8"/>
  <c r="I14" i="184" s="1"/>
  <c r="M23" i="219"/>
  <c r="I39" i="8" s="1"/>
  <c r="I13" i="184" s="1"/>
  <c r="I22" i="219"/>
  <c r="I17" i="218"/>
  <c r="F110" i="226" s="1"/>
  <c r="N110" i="226" s="1"/>
  <c r="M18" i="218"/>
  <c r="M57" i="218" s="1"/>
  <c r="G88" i="8" l="1"/>
  <c r="O19" i="218"/>
  <c r="O57" i="218" s="1"/>
  <c r="G36" i="8"/>
  <c r="I21" i="219"/>
  <c r="M22" i="219"/>
  <c r="M17" i="218"/>
  <c r="G35" i="8" s="1"/>
  <c r="I16" i="218"/>
  <c r="G75" i="8" l="1"/>
  <c r="G87" i="8" s="1"/>
  <c r="G90" i="8" s="1"/>
  <c r="G10" i="184"/>
  <c r="O23" i="219"/>
  <c r="I38" i="8"/>
  <c r="I12" i="184" s="1"/>
  <c r="I20" i="219"/>
  <c r="I59" i="219" s="1"/>
  <c r="M21" i="219"/>
  <c r="I37" i="8" s="1"/>
  <c r="I11" i="184" s="1"/>
  <c r="I15" i="218"/>
  <c r="M16" i="218"/>
  <c r="G34" i="8" s="1"/>
  <c r="G69" i="184" l="1"/>
  <c r="I19" i="219"/>
  <c r="F111" i="226" s="1"/>
  <c r="N111" i="226" s="1"/>
  <c r="M20" i="219"/>
  <c r="M59" i="219" s="1"/>
  <c r="O17" i="218"/>
  <c r="M15" i="218"/>
  <c r="G33" i="8" s="1"/>
  <c r="I14" i="218"/>
  <c r="I88" i="8" l="1"/>
  <c r="O21" i="219"/>
  <c r="O59" i="219" s="1"/>
  <c r="I36" i="8"/>
  <c r="M14" i="218"/>
  <c r="G32" i="8" s="1"/>
  <c r="M19" i="219"/>
  <c r="I35" i="8" s="1"/>
  <c r="I18" i="219"/>
  <c r="I75" i="8" l="1"/>
  <c r="I87" i="8" s="1"/>
  <c r="I90" i="8" s="1"/>
  <c r="I10" i="184"/>
  <c r="O15" i="218"/>
  <c r="M18" i="219"/>
  <c r="I34" i="8" s="1"/>
  <c r="I17" i="219"/>
  <c r="I69" i="184" l="1"/>
  <c r="I16" i="219"/>
  <c r="M17" i="219"/>
  <c r="I33" i="8" s="1"/>
  <c r="O19" i="219"/>
  <c r="M16" i="219" l="1"/>
  <c r="O17" i="219" s="1"/>
  <c r="I32" i="8" l="1"/>
  <c r="C18" i="190" l="1"/>
  <c r="Q154" i="69" l="1"/>
  <c r="AA24" i="68" s="1"/>
  <c r="O154" i="69" l="1"/>
  <c r="U24" i="68" s="1"/>
  <c r="K154" i="69" l="1"/>
  <c r="I24" i="68" s="1"/>
  <c r="M154" i="69"/>
  <c r="O24" i="68" s="1"/>
  <c r="A72" i="233" l="1"/>
  <c r="A144" i="233" s="1"/>
  <c r="A77" i="184" s="1"/>
  <c r="A52" i="241" l="1"/>
  <c r="C40" i="226" l="1"/>
  <c r="L21" i="12" l="1"/>
  <c r="K61" i="69" l="1"/>
  <c r="A160" i="168"/>
  <c r="A76" i="169" s="1"/>
  <c r="A66" i="170" s="1"/>
  <c r="A136" i="170" s="1"/>
  <c r="E24" i="12"/>
  <c r="E16" i="12"/>
  <c r="X16" i="12" s="1"/>
  <c r="E15" i="12"/>
  <c r="X15" i="12" s="1"/>
  <c r="E14" i="12"/>
  <c r="X14" i="12" s="1"/>
  <c r="A80" i="226" l="1"/>
  <c r="A164" i="226" s="1"/>
  <c r="A81" i="190"/>
  <c r="G31" i="68"/>
  <c r="G29" i="68"/>
  <c r="G28" i="68"/>
  <c r="G42" i="68"/>
  <c r="G41" i="68"/>
  <c r="G40" i="68"/>
  <c r="G39" i="68"/>
  <c r="G38" i="68"/>
  <c r="G37" i="68"/>
  <c r="G45" i="68" l="1"/>
  <c r="R14" i="53"/>
  <c r="T14" i="53"/>
  <c r="R31" i="53" l="1"/>
  <c r="R60" i="53"/>
  <c r="T60" i="53"/>
  <c r="R46" i="53"/>
  <c r="R84" i="53"/>
  <c r="T46" i="53"/>
  <c r="T31" i="53"/>
  <c r="R88" i="53" l="1"/>
  <c r="T88" i="53"/>
  <c r="G12" i="68" l="1"/>
  <c r="G56" i="190" l="1"/>
  <c r="I56" i="190" s="1"/>
  <c r="G54" i="190"/>
  <c r="G52" i="190"/>
  <c r="G50" i="190"/>
  <c r="G48" i="190"/>
  <c r="G46" i="190"/>
  <c r="G44" i="190"/>
  <c r="G42" i="190"/>
  <c r="A3" i="190"/>
  <c r="I56" i="189"/>
  <c r="K56" i="189" s="1"/>
  <c r="A1" i="189"/>
  <c r="C69" i="8" l="1"/>
  <c r="I55" i="189"/>
  <c r="C16" i="190"/>
  <c r="C20" i="190" s="1"/>
  <c r="C22" i="190" s="1"/>
  <c r="C26" i="190" s="1"/>
  <c r="C28" i="190" s="1"/>
  <c r="C30" i="190" s="1"/>
  <c r="C32" i="190" s="1"/>
  <c r="C34" i="190" s="1"/>
  <c r="C36" i="190" s="1"/>
  <c r="C38" i="190" s="1"/>
  <c r="C40" i="190" s="1"/>
  <c r="C42" i="190" s="1"/>
  <c r="C44" i="190" s="1"/>
  <c r="C46" i="190" s="1"/>
  <c r="C48" i="190" s="1"/>
  <c r="C50" i="190" s="1"/>
  <c r="C52" i="190" s="1"/>
  <c r="C54" i="190" s="1"/>
  <c r="C56" i="190" s="1"/>
  <c r="C18" i="189"/>
  <c r="C20" i="189" s="1"/>
  <c r="C22" i="189" s="1"/>
  <c r="C26" i="189" s="1"/>
  <c r="C28" i="189" s="1"/>
  <c r="C30" i="189" s="1"/>
  <c r="C32" i="189" s="1"/>
  <c r="C34" i="189" s="1"/>
  <c r="C36" i="189" s="1"/>
  <c r="C38" i="189" s="1"/>
  <c r="C40" i="189" s="1"/>
  <c r="C42" i="189" s="1"/>
  <c r="C44" i="189" s="1"/>
  <c r="C46" i="189" s="1"/>
  <c r="C48" i="189" s="1"/>
  <c r="C50" i="189" s="1"/>
  <c r="C52" i="189" s="1"/>
  <c r="C54" i="189" s="1"/>
  <c r="C56" i="189" s="1"/>
  <c r="A3" i="189"/>
  <c r="K56" i="190"/>
  <c r="I55" i="190"/>
  <c r="K55" i="190" s="1"/>
  <c r="C16" i="189"/>
  <c r="Q69" i="8" l="1"/>
  <c r="C43" i="184"/>
  <c r="U43" i="184" s="1"/>
  <c r="K55" i="189"/>
  <c r="M56" i="189" s="1"/>
  <c r="I54" i="189"/>
  <c r="M56" i="190"/>
  <c r="I54" i="190"/>
  <c r="K54" i="189" l="1"/>
  <c r="I53" i="189"/>
  <c r="C68" i="8"/>
  <c r="C42" i="184" s="1"/>
  <c r="U42" i="184" s="1"/>
  <c r="W43" i="184" s="1"/>
  <c r="K54" i="190"/>
  <c r="I53" i="190"/>
  <c r="Q68" i="8" l="1"/>
  <c r="S69" i="8" s="1"/>
  <c r="I52" i="189"/>
  <c r="K53" i="189"/>
  <c r="C67" i="8"/>
  <c r="K53" i="190"/>
  <c r="M54" i="190" s="1"/>
  <c r="I52" i="190"/>
  <c r="Q67" i="8" l="1"/>
  <c r="C41" i="184"/>
  <c r="U41" i="184" s="1"/>
  <c r="K52" i="189"/>
  <c r="I51" i="189"/>
  <c r="M54" i="189"/>
  <c r="C66" i="8"/>
  <c r="C40" i="184" s="1"/>
  <c r="U40" i="184" s="1"/>
  <c r="K52" i="190"/>
  <c r="I51" i="190"/>
  <c r="W41" i="184" l="1"/>
  <c r="Q66" i="8"/>
  <c r="S67" i="8" s="1"/>
  <c r="I50" i="189"/>
  <c r="K51" i="189"/>
  <c r="C65" i="8"/>
  <c r="K51" i="190"/>
  <c r="M52" i="190" s="1"/>
  <c r="I50" i="190"/>
  <c r="Q65" i="8" l="1"/>
  <c r="C39" i="184"/>
  <c r="U39" i="184" s="1"/>
  <c r="K50" i="189"/>
  <c r="I49" i="189"/>
  <c r="M52" i="189"/>
  <c r="C64" i="8"/>
  <c r="I49" i="190"/>
  <c r="K50" i="190"/>
  <c r="Q64" i="8" l="1"/>
  <c r="C38" i="184"/>
  <c r="U38" i="184" s="1"/>
  <c r="W39" i="184" s="1"/>
  <c r="K49" i="189"/>
  <c r="I48" i="189"/>
  <c r="C63" i="8"/>
  <c r="K49" i="190"/>
  <c r="M50" i="190" s="1"/>
  <c r="I48" i="190"/>
  <c r="Q63" i="8" l="1"/>
  <c r="C37" i="184"/>
  <c r="U37" i="184" s="1"/>
  <c r="I47" i="189"/>
  <c r="K48" i="189"/>
  <c r="M50" i="189"/>
  <c r="C62" i="8"/>
  <c r="K48" i="190"/>
  <c r="I47" i="190"/>
  <c r="Q62" i="8" l="1"/>
  <c r="C36" i="184"/>
  <c r="U36" i="184" s="1"/>
  <c r="W37" i="184" s="1"/>
  <c r="C61" i="8"/>
  <c r="K47" i="189"/>
  <c r="I46" i="189"/>
  <c r="K47" i="190"/>
  <c r="M48" i="190" s="1"/>
  <c r="I46" i="190"/>
  <c r="Q61" i="8" l="1"/>
  <c r="C35" i="184"/>
  <c r="U35" i="184" s="1"/>
  <c r="M48" i="189"/>
  <c r="C60" i="8"/>
  <c r="K46" i="189"/>
  <c r="I45" i="189"/>
  <c r="K46" i="190"/>
  <c r="I45" i="190"/>
  <c r="Q60" i="8" l="1"/>
  <c r="C34" i="184"/>
  <c r="U34" i="184" s="1"/>
  <c r="W35" i="184" s="1"/>
  <c r="C59" i="8"/>
  <c r="K45" i="189"/>
  <c r="I44" i="189"/>
  <c r="K45" i="190"/>
  <c r="M46" i="190" s="1"/>
  <c r="I44" i="190"/>
  <c r="Q59" i="8" l="1"/>
  <c r="C33" i="184"/>
  <c r="U33" i="184" s="1"/>
  <c r="I43" i="189"/>
  <c r="K44" i="189"/>
  <c r="M46" i="189"/>
  <c r="C58" i="8"/>
  <c r="K44" i="190"/>
  <c r="I43" i="190"/>
  <c r="Q58" i="8" l="1"/>
  <c r="C32" i="184"/>
  <c r="U32" i="184" s="1"/>
  <c r="W33" i="184" s="1"/>
  <c r="C57" i="8"/>
  <c r="K43" i="189"/>
  <c r="I42" i="189"/>
  <c r="K43" i="190"/>
  <c r="M44" i="190" s="1"/>
  <c r="I42" i="190"/>
  <c r="Q57" i="8" l="1"/>
  <c r="C31" i="184"/>
  <c r="U31" i="184" s="1"/>
  <c r="M44" i="189"/>
  <c r="C56" i="8"/>
  <c r="I41" i="189"/>
  <c r="K42" i="189"/>
  <c r="K42" i="190"/>
  <c r="I41" i="190"/>
  <c r="Q56" i="8" l="1"/>
  <c r="C30" i="184"/>
  <c r="U30" i="184" s="1"/>
  <c r="W31" i="184" s="1"/>
  <c r="C55" i="8"/>
  <c r="K41" i="189"/>
  <c r="I40" i="189"/>
  <c r="I40" i="190"/>
  <c r="K41" i="190"/>
  <c r="M42" i="190" s="1"/>
  <c r="Q55" i="8" l="1"/>
  <c r="C29" i="184"/>
  <c r="U29" i="184" s="1"/>
  <c r="I39" i="189"/>
  <c r="K40" i="189"/>
  <c r="M42" i="189"/>
  <c r="C54" i="8"/>
  <c r="I39" i="190"/>
  <c r="K40" i="190"/>
  <c r="Q54" i="8" l="1"/>
  <c r="C28" i="184"/>
  <c r="U28" i="184" s="1"/>
  <c r="W29" i="184" s="1"/>
  <c r="C53" i="8"/>
  <c r="C27" i="184" s="1"/>
  <c r="K39" i="189"/>
  <c r="I38" i="189"/>
  <c r="E53" i="8"/>
  <c r="E27" i="184" s="1"/>
  <c r="I38" i="190"/>
  <c r="K39" i="190"/>
  <c r="U27" i="184" l="1"/>
  <c r="Q53" i="8"/>
  <c r="M40" i="189"/>
  <c r="C52" i="8"/>
  <c r="C26" i="184" s="1"/>
  <c r="K38" i="189"/>
  <c r="I37" i="189"/>
  <c r="M40" i="190"/>
  <c r="E52" i="8"/>
  <c r="E26" i="184" s="1"/>
  <c r="I37" i="190"/>
  <c r="K38" i="190"/>
  <c r="U26" i="184" l="1"/>
  <c r="W27" i="184" s="1"/>
  <c r="Q52" i="8"/>
  <c r="I36" i="189"/>
  <c r="K37" i="189"/>
  <c r="C51" i="8"/>
  <c r="E51" i="8"/>
  <c r="E25" i="184" s="1"/>
  <c r="I36" i="190"/>
  <c r="K37" i="190"/>
  <c r="Q51" i="8" l="1"/>
  <c r="C25" i="184"/>
  <c r="U25" i="184" s="1"/>
  <c r="M38" i="189"/>
  <c r="C50" i="8"/>
  <c r="K36" i="189"/>
  <c r="I35" i="189"/>
  <c r="M38" i="190"/>
  <c r="E50" i="8"/>
  <c r="E24" i="184" s="1"/>
  <c r="K36" i="190"/>
  <c r="I35" i="190"/>
  <c r="Q50" i="8" l="1"/>
  <c r="C24" i="184"/>
  <c r="U24" i="184" s="1"/>
  <c r="W25" i="184" s="1"/>
  <c r="C49" i="8"/>
  <c r="K35" i="189"/>
  <c r="I34" i="189"/>
  <c r="E49" i="8"/>
  <c r="E23" i="184" s="1"/>
  <c r="I34" i="190"/>
  <c r="K35" i="190"/>
  <c r="Q49" i="8" l="1"/>
  <c r="C23" i="184"/>
  <c r="U23" i="184" s="1"/>
  <c r="K34" i="189"/>
  <c r="I33" i="189"/>
  <c r="M36" i="189"/>
  <c r="C48" i="8"/>
  <c r="M36" i="190"/>
  <c r="E48" i="8"/>
  <c r="E22" i="184" s="1"/>
  <c r="K34" i="190"/>
  <c r="I33" i="190"/>
  <c r="Q48" i="8" l="1"/>
  <c r="C22" i="184"/>
  <c r="U22" i="184" s="1"/>
  <c r="W23" i="184" s="1"/>
  <c r="I32" i="189"/>
  <c r="K33" i="189"/>
  <c r="C47" i="8"/>
  <c r="C21" i="184" s="1"/>
  <c r="E47" i="8"/>
  <c r="E21" i="184" s="1"/>
  <c r="I32" i="190"/>
  <c r="K33" i="190"/>
  <c r="U21" i="184" l="1"/>
  <c r="Q47" i="8"/>
  <c r="I31" i="189"/>
  <c r="K32" i="189"/>
  <c r="M34" i="189"/>
  <c r="C46" i="8"/>
  <c r="M34" i="190"/>
  <c r="E46" i="8"/>
  <c r="E20" i="184" s="1"/>
  <c r="I31" i="190"/>
  <c r="K32" i="190"/>
  <c r="Q46" i="8" l="1"/>
  <c r="C20" i="184"/>
  <c r="U20" i="184" s="1"/>
  <c r="W21" i="184" s="1"/>
  <c r="C45" i="8"/>
  <c r="K31" i="189"/>
  <c r="I30" i="189"/>
  <c r="E45" i="8"/>
  <c r="E19" i="184" s="1"/>
  <c r="I30" i="190"/>
  <c r="Q121" i="69" s="1"/>
  <c r="AA20" i="68" s="1"/>
  <c r="K31" i="190"/>
  <c r="W71" i="184" l="1"/>
  <c r="Q45" i="8"/>
  <c r="C19" i="184"/>
  <c r="U19" i="184" s="1"/>
  <c r="I29" i="189"/>
  <c r="K30" i="189"/>
  <c r="M32" i="189"/>
  <c r="C44" i="8"/>
  <c r="M32" i="190"/>
  <c r="E44" i="8"/>
  <c r="E18" i="184" s="1"/>
  <c r="I29" i="190"/>
  <c r="K30" i="190"/>
  <c r="Q44" i="8" l="1"/>
  <c r="C18" i="184"/>
  <c r="U18" i="184" s="1"/>
  <c r="W19" i="184" s="1"/>
  <c r="C43" i="8"/>
  <c r="C17" i="184" s="1"/>
  <c r="I28" i="189"/>
  <c r="K29" i="189"/>
  <c r="E43" i="8"/>
  <c r="E17" i="184" s="1"/>
  <c r="I28" i="190"/>
  <c r="K29" i="190"/>
  <c r="U17" i="184" l="1"/>
  <c r="Q43" i="8"/>
  <c r="K28" i="189"/>
  <c r="I27" i="189"/>
  <c r="M30" i="189"/>
  <c r="C42" i="8"/>
  <c r="C16" i="184" s="1"/>
  <c r="M30" i="190"/>
  <c r="E42" i="8"/>
  <c r="E16" i="184" s="1"/>
  <c r="K28" i="190"/>
  <c r="I27" i="190"/>
  <c r="U16" i="184" l="1"/>
  <c r="W17" i="184" s="1"/>
  <c r="Q42" i="8"/>
  <c r="K27" i="189"/>
  <c r="I26" i="189"/>
  <c r="C41" i="8"/>
  <c r="C15" i="184" s="1"/>
  <c r="E41" i="8"/>
  <c r="E15" i="184" s="1"/>
  <c r="I26" i="190"/>
  <c r="K27" i="190"/>
  <c r="U15" i="184" l="1"/>
  <c r="Q41" i="8"/>
  <c r="K26" i="189"/>
  <c r="I25" i="189"/>
  <c r="M28" i="189"/>
  <c r="C40" i="8"/>
  <c r="C14" i="184" s="1"/>
  <c r="M28" i="190"/>
  <c r="E40" i="8"/>
  <c r="E14" i="184" s="1"/>
  <c r="K26" i="190"/>
  <c r="I25" i="190"/>
  <c r="U14" i="184" l="1"/>
  <c r="W15" i="184" s="1"/>
  <c r="Q40" i="8"/>
  <c r="K25" i="189"/>
  <c r="I24" i="189"/>
  <c r="C39" i="8"/>
  <c r="C13" i="184" s="1"/>
  <c r="E39" i="8"/>
  <c r="E13" i="184" s="1"/>
  <c r="I24" i="190"/>
  <c r="K25" i="190"/>
  <c r="U13" i="184" l="1"/>
  <c r="Q39" i="8"/>
  <c r="K24" i="189"/>
  <c r="I23" i="189"/>
  <c r="I58" i="189" s="1"/>
  <c r="M26" i="189"/>
  <c r="C38" i="8"/>
  <c r="M26" i="190"/>
  <c r="E38" i="8"/>
  <c r="E12" i="184" s="1"/>
  <c r="I23" i="190"/>
  <c r="I58" i="190" s="1"/>
  <c r="K24" i="190"/>
  <c r="Q38" i="8" l="1"/>
  <c r="C12" i="184"/>
  <c r="U12" i="184" s="1"/>
  <c r="W13" i="184" s="1"/>
  <c r="I22" i="189"/>
  <c r="F108" i="226" s="1"/>
  <c r="N108" i="226" s="1"/>
  <c r="K23" i="189"/>
  <c r="C37" i="8"/>
  <c r="E37" i="8"/>
  <c r="E11" i="184" s="1"/>
  <c r="I22" i="190"/>
  <c r="F109" i="226" s="1"/>
  <c r="N109" i="226" s="1"/>
  <c r="K23" i="190"/>
  <c r="K58" i="190" s="1"/>
  <c r="Q37" i="8" l="1"/>
  <c r="C11" i="184"/>
  <c r="U11" i="184" s="1"/>
  <c r="K58" i="189"/>
  <c r="M24" i="189"/>
  <c r="M58" i="189" s="1"/>
  <c r="N116" i="226"/>
  <c r="J13" i="226" s="1"/>
  <c r="N13" i="226" s="1"/>
  <c r="C36" i="8"/>
  <c r="I21" i="189"/>
  <c r="K22" i="189"/>
  <c r="M24" i="190"/>
  <c r="M58" i="190" s="1"/>
  <c r="E36" i="8"/>
  <c r="E10" i="184" s="1"/>
  <c r="I21" i="190"/>
  <c r="K22" i="190"/>
  <c r="E69" i="184" l="1"/>
  <c r="C75" i="8"/>
  <c r="C10" i="184"/>
  <c r="E75" i="8"/>
  <c r="Q36" i="8"/>
  <c r="I20" i="189"/>
  <c r="K21" i="189"/>
  <c r="C35" i="8"/>
  <c r="E35" i="8"/>
  <c r="I20" i="190"/>
  <c r="K21" i="190"/>
  <c r="C69" i="184" l="1"/>
  <c r="U10" i="184"/>
  <c r="U69" i="184" s="1"/>
  <c r="Q75" i="8"/>
  <c r="S37" i="8"/>
  <c r="M22" i="189"/>
  <c r="C34" i="8"/>
  <c r="I19" i="189"/>
  <c r="K20" i="189"/>
  <c r="M22" i="190"/>
  <c r="E34" i="8"/>
  <c r="K20" i="190"/>
  <c r="I19" i="190"/>
  <c r="W11" i="184" l="1"/>
  <c r="I18" i="189"/>
  <c r="K19" i="189"/>
  <c r="C33" i="8"/>
  <c r="E33" i="8"/>
  <c r="K19" i="190"/>
  <c r="I18" i="190"/>
  <c r="W69" i="184" l="1"/>
  <c r="S121" i="69"/>
  <c r="AG20" i="68" s="1"/>
  <c r="S167" i="69"/>
  <c r="M20" i="189"/>
  <c r="C32" i="8"/>
  <c r="K18" i="189"/>
  <c r="I17" i="189"/>
  <c r="M20" i="190"/>
  <c r="E32" i="8"/>
  <c r="I17" i="190"/>
  <c r="K18" i="190"/>
  <c r="C31" i="8" l="1"/>
  <c r="I16" i="189"/>
  <c r="K17" i="189"/>
  <c r="E31" i="8"/>
  <c r="K17" i="190"/>
  <c r="I16" i="190"/>
  <c r="K16" i="189" l="1"/>
  <c r="I15" i="189"/>
  <c r="K15" i="189" s="1"/>
  <c r="M16" i="189" s="1"/>
  <c r="M18" i="189"/>
  <c r="C30" i="8"/>
  <c r="C87" i="8" s="1"/>
  <c r="M18" i="190"/>
  <c r="E30" i="8"/>
  <c r="E87" i="8" s="1"/>
  <c r="I15" i="190"/>
  <c r="K16" i="190"/>
  <c r="C88" i="8" l="1"/>
  <c r="E88" i="8"/>
  <c r="E90" i="8" s="1"/>
  <c r="K15" i="190"/>
  <c r="C90" i="8" l="1"/>
  <c r="Q88" i="8"/>
  <c r="M16" i="190"/>
  <c r="J46" i="170" l="1"/>
  <c r="L36" i="170"/>
  <c r="L37" i="170"/>
  <c r="L18" i="170"/>
  <c r="L22" i="170" s="1"/>
  <c r="L86" i="170"/>
  <c r="L40" i="170" l="1"/>
  <c r="I45" i="168"/>
  <c r="I136" i="168" s="1"/>
  <c r="I123" i="168"/>
  <c r="I125" i="168" l="1"/>
  <c r="K31" i="168"/>
  <c r="I131" i="168" l="1"/>
  <c r="H40" i="170"/>
  <c r="L46" i="170"/>
  <c r="H46" i="170"/>
  <c r="H15" i="170"/>
  <c r="M139" i="168"/>
  <c r="M123" i="168"/>
  <c r="K123" i="168"/>
  <c r="K112" i="168"/>
  <c r="M71" i="168"/>
  <c r="K71" i="168"/>
  <c r="K55" i="168"/>
  <c r="K59" i="168" s="1"/>
  <c r="K135" i="168" s="1"/>
  <c r="M45" i="168"/>
  <c r="K45" i="168"/>
  <c r="K136" i="168" s="1"/>
  <c r="M31" i="168"/>
  <c r="M19" i="169"/>
  <c r="K19" i="169"/>
  <c r="K28" i="169"/>
  <c r="M40" i="169"/>
  <c r="K40" i="169"/>
  <c r="M47" i="169"/>
  <c r="K47" i="169"/>
  <c r="K57" i="169"/>
  <c r="I57" i="169"/>
  <c r="K32" i="169" l="1"/>
  <c r="K34" i="169" s="1"/>
  <c r="M81" i="169"/>
  <c r="J15" i="170"/>
  <c r="M34" i="169"/>
  <c r="M125" i="168"/>
  <c r="M131" i="168" s="1"/>
  <c r="K125" i="168"/>
  <c r="K131" i="168" s="1"/>
  <c r="M61" i="168"/>
  <c r="M63" i="168" s="1"/>
  <c r="M73" i="168" s="1"/>
  <c r="K61" i="168"/>
  <c r="K63" i="168" s="1"/>
  <c r="K73" i="168" s="1"/>
  <c r="H49" i="170"/>
  <c r="K137" i="168" l="1"/>
  <c r="K139" i="168" s="1"/>
  <c r="L15" i="170"/>
  <c r="K49" i="169"/>
  <c r="K59" i="169" s="1"/>
  <c r="M49" i="169"/>
  <c r="L81" i="170"/>
  <c r="L49" i="170" l="1"/>
  <c r="L52" i="170" s="1"/>
  <c r="J110" i="170"/>
  <c r="M59" i="169"/>
  <c r="M63" i="169" s="1"/>
  <c r="M83" i="169" s="1"/>
  <c r="K81" i="169"/>
  <c r="L110" i="170"/>
  <c r="R24" i="25" l="1"/>
  <c r="P24" i="25"/>
  <c r="T24" i="25" s="1"/>
  <c r="V24" i="25" s="1"/>
  <c r="X24" i="25" s="1"/>
  <c r="P23" i="25"/>
  <c r="T23" i="25" s="1"/>
  <c r="V23" i="25" s="1"/>
  <c r="X23" i="25" s="1"/>
  <c r="R23" i="25"/>
  <c r="N24" i="12" l="1"/>
  <c r="K216" i="69" l="1"/>
  <c r="F46" i="170"/>
  <c r="F40" i="170"/>
  <c r="F15" i="170"/>
  <c r="F49" i="170" l="1"/>
  <c r="S170" i="69" l="1"/>
  <c r="M28" i="68" s="1"/>
  <c r="H14" i="53"/>
  <c r="H31" i="53"/>
  <c r="G57" i="169"/>
  <c r="G19" i="169"/>
  <c r="G40" i="169"/>
  <c r="G47" i="169"/>
  <c r="G123" i="168"/>
  <c r="G71" i="168"/>
  <c r="G55" i="168"/>
  <c r="G59" i="168" s="1"/>
  <c r="G135" i="168" s="1"/>
  <c r="G45" i="168"/>
  <c r="G136" i="168" s="1"/>
  <c r="G31" i="168"/>
  <c r="I71" i="168"/>
  <c r="I55" i="168"/>
  <c r="I59" i="168" s="1"/>
  <c r="I135" i="168" s="1"/>
  <c r="H60" i="53" l="1"/>
  <c r="H46" i="53"/>
  <c r="J40" i="170"/>
  <c r="J49" i="170" s="1"/>
  <c r="I61" i="168"/>
  <c r="I63" i="168" s="1"/>
  <c r="I73" i="168" s="1"/>
  <c r="I137" i="168" s="1"/>
  <c r="I139" i="168" s="1"/>
  <c r="H84" i="53"/>
  <c r="G125" i="168"/>
  <c r="G131" i="168" s="1"/>
  <c r="G61" i="168"/>
  <c r="G63" i="168" s="1"/>
  <c r="G73" i="168" s="1"/>
  <c r="H88" i="53" l="1"/>
  <c r="G137" i="168"/>
  <c r="G139" i="168" s="1"/>
  <c r="A88" i="69"/>
  <c r="A172" i="69" s="1"/>
  <c r="A4" i="69"/>
  <c r="A3" i="69"/>
  <c r="G81" i="169" l="1"/>
  <c r="I81" i="169"/>
  <c r="A1" i="185" l="1"/>
  <c r="A1" i="184" l="1"/>
  <c r="A55" i="12" l="1"/>
  <c r="N26" i="12" l="1"/>
  <c r="I15" i="12" l="1"/>
  <c r="L15" i="12" s="1"/>
  <c r="G26" i="12" l="1"/>
  <c r="A1" i="170" l="1"/>
  <c r="A1" i="169"/>
  <c r="A1" i="168"/>
  <c r="A85" i="168" s="1"/>
  <c r="XEO150" i="170" l="1"/>
  <c r="A72" i="170"/>
  <c r="A71" i="170"/>
  <c r="A69" i="170"/>
  <c r="A87" i="168"/>
  <c r="I47" i="169" l="1"/>
  <c r="K217" i="69"/>
  <c r="R21" i="12"/>
  <c r="V21" i="12" s="1"/>
  <c r="K215" i="69" l="1"/>
  <c r="P14" i="53"/>
  <c r="I24" i="12"/>
  <c r="L24" i="12" s="1"/>
  <c r="P31" i="53"/>
  <c r="P60" i="53"/>
  <c r="P84" i="53"/>
  <c r="K51" i="69"/>
  <c r="K52" i="69" s="1"/>
  <c r="R23" i="12"/>
  <c r="V23" i="12" s="1"/>
  <c r="P46" i="53" l="1"/>
  <c r="P88" i="53" s="1"/>
  <c r="I28" i="169"/>
  <c r="G28" i="169"/>
  <c r="R24" i="12"/>
  <c r="V24" i="12" s="1"/>
  <c r="M30" i="68" l="1"/>
  <c r="I30" i="68" s="1"/>
  <c r="G32" i="169"/>
  <c r="G34" i="169" s="1"/>
  <c r="K212" i="69"/>
  <c r="I32" i="169"/>
  <c r="G49" i="169" l="1"/>
  <c r="G59" i="169" s="1"/>
  <c r="G63" i="169" s="1"/>
  <c r="F110" i="170"/>
  <c r="F52" i="170"/>
  <c r="H52" i="170" s="1"/>
  <c r="I16" i="12" l="1"/>
  <c r="L16" i="12" s="1"/>
  <c r="J52" i="170"/>
  <c r="G83" i="169" l="1"/>
  <c r="R16" i="12" l="1"/>
  <c r="I40" i="169"/>
  <c r="O215" i="69" l="1"/>
  <c r="K213" i="69"/>
  <c r="K214" i="69"/>
  <c r="K220" i="69" l="1"/>
  <c r="M215" i="69"/>
  <c r="E26" i="12"/>
  <c r="I19" i="169"/>
  <c r="I34" i="169" l="1"/>
  <c r="I49" i="169" l="1"/>
  <c r="I59" i="169" s="1"/>
  <c r="I63" i="169" s="1"/>
  <c r="H110" i="170"/>
  <c r="I83" i="169" l="1"/>
  <c r="K63" i="169"/>
  <c r="K83" i="169" l="1"/>
  <c r="A1" i="164"/>
  <c r="I14" i="12" l="1"/>
  <c r="L14" i="12" s="1"/>
  <c r="R15" i="12" l="1"/>
  <c r="I22" i="12"/>
  <c r="L22" i="12" s="1"/>
  <c r="O214" i="69" l="1"/>
  <c r="R22" i="12"/>
  <c r="V22" i="12" l="1"/>
  <c r="O217" i="69"/>
  <c r="M214" i="69"/>
  <c r="M217" i="69" l="1"/>
  <c r="S65" i="8" l="1"/>
  <c r="B4" i="1" l="1"/>
  <c r="A73" i="25"/>
  <c r="AS115" i="134" l="1"/>
  <c r="AU115" i="134" s="1"/>
  <c r="AW115" i="134" s="1"/>
  <c r="AS107" i="134"/>
  <c r="AU107" i="134" s="1"/>
  <c r="AW107" i="134" s="1"/>
  <c r="AS105" i="134"/>
  <c r="AU105" i="134" s="1"/>
  <c r="AW105" i="134" s="1"/>
  <c r="AS103" i="134"/>
  <c r="AU103" i="134" s="1"/>
  <c r="AW103" i="134" s="1"/>
  <c r="A3" i="134"/>
  <c r="A1" i="134"/>
  <c r="A174" i="69" l="1"/>
  <c r="A263" i="69" s="1"/>
  <c r="A328" i="69" l="1"/>
  <c r="S63" i="8"/>
  <c r="M55" i="69"/>
  <c r="O55" i="69" s="1"/>
  <c r="Q55" i="69" s="1"/>
  <c r="S55" i="69" l="1"/>
  <c r="A329" i="69" l="1"/>
  <c r="J14" i="53" l="1"/>
  <c r="L14" i="53"/>
  <c r="J31" i="53" l="1"/>
  <c r="J84" i="53"/>
  <c r="H33" i="53"/>
  <c r="J46" i="53"/>
  <c r="J60" i="53"/>
  <c r="L31" i="53"/>
  <c r="P33" i="53" s="1"/>
  <c r="L46" i="53"/>
  <c r="L60" i="53"/>
  <c r="N84" i="53"/>
  <c r="L84" i="53"/>
  <c r="N60" i="53" l="1"/>
  <c r="N14" i="53"/>
  <c r="N31" i="53"/>
  <c r="N46" i="53"/>
  <c r="J88" i="53"/>
  <c r="L88" i="53"/>
  <c r="L33" i="53"/>
  <c r="K54" i="69"/>
  <c r="K57" i="69" s="1"/>
  <c r="H86" i="53" l="1"/>
  <c r="N33" i="53"/>
  <c r="N86" i="53"/>
  <c r="L86" i="53"/>
  <c r="N88" i="53"/>
  <c r="J86" i="53" l="1"/>
  <c r="A1" i="69" l="1"/>
  <c r="A93" i="69" s="1"/>
  <c r="A177" i="69" s="1"/>
  <c r="J33" i="53"/>
  <c r="S61" i="8" l="1"/>
  <c r="S59" i="8" l="1"/>
  <c r="S57" i="8" l="1"/>
  <c r="S55" i="8" l="1"/>
  <c r="Q35" i="8" l="1"/>
  <c r="Q34" i="8" l="1"/>
  <c r="Q33" i="8" l="1"/>
  <c r="Q32" i="8" l="1"/>
  <c r="Q31" i="8" l="1"/>
  <c r="Q30" i="8" l="1"/>
  <c r="Q29" i="8"/>
  <c r="Q28" i="8" l="1"/>
  <c r="Q27" i="8" l="1"/>
  <c r="Q26" i="8" l="1"/>
  <c r="A181" i="69" l="1"/>
  <c r="A97" i="69"/>
  <c r="A180" i="69"/>
  <c r="A179" i="69"/>
  <c r="A96" i="69" l="1"/>
  <c r="A95" i="69"/>
  <c r="A1" i="8" l="1"/>
  <c r="K60" i="69" l="1"/>
  <c r="M61" i="69" l="1"/>
  <c r="K63" i="69"/>
  <c r="G16" i="68"/>
  <c r="I18" i="68" l="1"/>
  <c r="I20" i="12" l="1"/>
  <c r="L20" i="12" s="1"/>
  <c r="R20" i="12" l="1"/>
  <c r="V20" i="12" s="1"/>
  <c r="A1" i="12" l="1"/>
  <c r="S30" i="68" l="1"/>
  <c r="Y30" i="68" s="1"/>
  <c r="AE30" i="68" s="1"/>
  <c r="AK30" i="68" s="1"/>
  <c r="A1" i="53" l="1"/>
  <c r="I19" i="12" l="1"/>
  <c r="L19" i="12" s="1"/>
  <c r="R19" i="12" l="1"/>
  <c r="V19" i="12" s="1"/>
  <c r="I18" i="12"/>
  <c r="L18" i="12" l="1"/>
  <c r="R18" i="12" l="1"/>
  <c r="V18" i="12" l="1"/>
  <c r="O216" i="69"/>
  <c r="M216" i="69" s="1"/>
  <c r="R14" i="12" l="1"/>
  <c r="A1" i="24"/>
  <c r="A3" i="25"/>
  <c r="A1" i="25"/>
  <c r="V14" i="12" l="1"/>
  <c r="O213" i="69"/>
  <c r="M213" i="69" l="1"/>
  <c r="S53" i="8" l="1"/>
  <c r="S51" i="8" l="1"/>
  <c r="S49" i="8" l="1"/>
  <c r="S47" i="8" l="1"/>
  <c r="S45" i="8" l="1"/>
  <c r="S43" i="8" l="1"/>
  <c r="I13" i="12" l="1"/>
  <c r="L13" i="12" s="1"/>
  <c r="R13" i="12" l="1"/>
  <c r="S41" i="8"/>
  <c r="O212" i="69" l="1"/>
  <c r="R26" i="12"/>
  <c r="M212" i="69" l="1"/>
  <c r="S39" i="8"/>
  <c r="S77" i="8" l="1"/>
  <c r="S75" i="8"/>
  <c r="K33" i="69" l="1"/>
  <c r="S35" i="8" l="1"/>
  <c r="S33" i="8" l="1"/>
  <c r="S31" i="8" l="1"/>
  <c r="S29" i="8" l="1"/>
  <c r="Q25" i="8" l="1"/>
  <c r="S27" i="8" l="1"/>
  <c r="Q24" i="8" l="1"/>
  <c r="S25" i="8" l="1"/>
  <c r="Q23" i="8"/>
  <c r="S23" i="8" s="1"/>
  <c r="Q22" i="8"/>
  <c r="Q87" i="8" l="1"/>
  <c r="Q21" i="8"/>
  <c r="S21" i="8" l="1"/>
  <c r="Q20" i="8"/>
  <c r="Q19" i="8"/>
  <c r="Q18" i="8" l="1"/>
  <c r="S19" i="8" l="1"/>
  <c r="Q17" i="8"/>
  <c r="Q15" i="8" l="1"/>
  <c r="S17" i="8"/>
  <c r="Q16" i="8"/>
  <c r="G26" i="68" l="1"/>
  <c r="G33" i="68" s="1"/>
  <c r="Q13" i="8" l="1"/>
  <c r="S87" i="8"/>
  <c r="Q14" i="8"/>
  <c r="S15" i="8" s="1"/>
  <c r="Q12" i="8" l="1"/>
  <c r="Q11" i="8"/>
  <c r="S13" i="8" l="1"/>
  <c r="Q10" i="8" l="1"/>
  <c r="Q90" i="8" l="1"/>
  <c r="S11" i="8"/>
  <c r="I26" i="12" l="1"/>
  <c r="L26" i="12" l="1"/>
  <c r="B248" i="69" l="1"/>
  <c r="A190" i="69" l="1"/>
  <c r="B32" i="241"/>
  <c r="A4" i="12"/>
  <c r="A70" i="68" l="1"/>
  <c r="A92" i="69" l="1"/>
  <c r="A176" i="69" s="1"/>
  <c r="A265" i="69" s="1"/>
  <c r="A331" i="69" l="1"/>
  <c r="Y71" i="24" a="1"/>
  <c r="Y71" i="24" s="1"/>
  <c r="A71" i="24" s="1"/>
  <c r="A77" i="25" s="1"/>
  <c r="A66" i="134" s="1"/>
  <c r="A162" i="168" l="1"/>
  <c r="A78" i="169" s="1"/>
  <c r="B10" i="241" l="1"/>
  <c r="A68" i="170"/>
  <c r="A138" i="170" s="1"/>
  <c r="A82" i="226" l="1"/>
  <c r="A166" i="226" s="1"/>
  <c r="A97" i="53" s="1"/>
  <c r="A68" i="189" s="1"/>
  <c r="A84" i="190" l="1"/>
  <c r="A84" i="8" l="1"/>
  <c r="I28" i="68" l="1"/>
  <c r="S28" i="68"/>
  <c r="Y28" i="68" s="1"/>
  <c r="AE28" i="68" s="1"/>
  <c r="AK28" i="68" l="1"/>
  <c r="O121" i="69" l="1"/>
  <c r="U20" i="68" s="1"/>
  <c r="K121" i="69" l="1"/>
  <c r="I20" i="68" s="1"/>
  <c r="M20" i="68" s="1"/>
  <c r="M121" i="69"/>
  <c r="O20" i="68" s="1"/>
  <c r="S20" i="68" l="1"/>
  <c r="Y20" i="68" s="1"/>
  <c r="AE20" i="68" s="1"/>
  <c r="AK20" i="68" l="1"/>
  <c r="M51" i="69" l="1"/>
  <c r="M52" i="69" s="1"/>
  <c r="M54" i="69" s="1"/>
  <c r="M57" i="69" s="1"/>
  <c r="M60" i="69" l="1"/>
  <c r="S51" i="69" l="1"/>
  <c r="S52" i="69" s="1"/>
  <c r="S54" i="69" s="1"/>
  <c r="S57" i="69" s="1"/>
  <c r="Q51" i="69"/>
  <c r="Q52" i="69" s="1"/>
  <c r="Q54" i="69" s="1"/>
  <c r="Q57" i="69" s="1"/>
  <c r="Q60" i="69" s="1"/>
  <c r="S61" i="69" s="1"/>
  <c r="O51" i="69"/>
  <c r="O52" i="69" s="1"/>
  <c r="O54" i="69" s="1"/>
  <c r="O57" i="69" s="1"/>
  <c r="M63" i="69"/>
  <c r="O18" i="68" s="1"/>
  <c r="O61" i="69"/>
  <c r="O60" i="69" l="1"/>
  <c r="Q61" i="69" s="1"/>
  <c r="Q63" i="69" s="1"/>
  <c r="AA18" i="68" s="1"/>
  <c r="S60" i="69"/>
  <c r="S63" i="69" s="1"/>
  <c r="AG18" i="68" s="1"/>
  <c r="O63" i="69" l="1"/>
  <c r="U18" i="68" s="1"/>
  <c r="M30" i="69" l="1"/>
  <c r="K36" i="69"/>
  <c r="O30" i="69" l="1"/>
  <c r="M36" i="69"/>
  <c r="Q30" i="69" l="1"/>
  <c r="O36" i="69"/>
  <c r="S30" i="69" l="1"/>
  <c r="S36" i="69" s="1"/>
  <c r="Q36" i="69"/>
  <c r="M29" i="241" l="1"/>
  <c r="I34" i="231" l="1"/>
  <c r="I29" i="241" l="1"/>
  <c r="K32" i="69" l="1"/>
  <c r="M14" i="68" s="1"/>
  <c r="I14" i="68" l="1"/>
  <c r="M32" i="69" l="1"/>
  <c r="S14" i="68" s="1"/>
  <c r="O14" i="68" s="1"/>
  <c r="O32" i="69" l="1"/>
  <c r="U14" i="68" s="1"/>
  <c r="Y14" i="68" s="1"/>
  <c r="Q32" i="69" l="1"/>
  <c r="AA14" i="68" s="1"/>
  <c r="AE14" i="68" s="1"/>
  <c r="S32" i="69" l="1"/>
  <c r="AG14" i="68" s="1"/>
  <c r="AK14" i="68" s="1"/>
  <c r="M18" i="68" l="1"/>
  <c r="S18" i="68" s="1"/>
  <c r="Y18" i="68" l="1"/>
  <c r="AE18" i="68" l="1"/>
  <c r="AK18" i="68" l="1"/>
  <c r="M24" i="68"/>
  <c r="S24" i="68" l="1"/>
  <c r="Y24" i="68" l="1"/>
  <c r="AE24" i="68" l="1"/>
  <c r="AK24" i="68" l="1"/>
  <c r="V13" i="12" l="1"/>
  <c r="V16" i="12" l="1"/>
  <c r="T26" i="12" l="1"/>
  <c r="M218" i="69" s="1"/>
  <c r="V15" i="12" l="1"/>
  <c r="V26" i="12" s="1"/>
  <c r="O218" i="69"/>
  <c r="M220" i="69"/>
  <c r="O220" i="69" l="1"/>
  <c r="K29" i="241" l="1"/>
  <c r="M12" i="68" s="1"/>
  <c r="Q29" i="241"/>
  <c r="S12" i="68" s="1"/>
  <c r="N44" i="226"/>
  <c r="N47" i="226" s="1"/>
  <c r="N50" i="226" s="1"/>
  <c r="J11" i="226" s="1"/>
  <c r="N11" i="226" l="1"/>
  <c r="N33" i="226" s="1"/>
  <c r="J33" i="226"/>
  <c r="I29" i="68" l="1"/>
  <c r="O12" i="68" l="1"/>
  <c r="Y12" i="68"/>
  <c r="I12" i="68"/>
  <c r="O29" i="68"/>
  <c r="Y29" i="68"/>
  <c r="AE29" i="68" s="1"/>
  <c r="AK29" i="68" s="1"/>
  <c r="U12" i="68" l="1"/>
  <c r="AE12" i="68"/>
  <c r="AK12" i="68" l="1"/>
  <c r="AA12" i="68"/>
  <c r="AG12" i="68" l="1"/>
  <c r="Q218" i="69"/>
  <c r="P39" i="24" l="1"/>
  <c r="P35" i="24"/>
  <c r="P34" i="24"/>
  <c r="P36" i="24"/>
  <c r="P37" i="24"/>
  <c r="P38" i="24"/>
  <c r="Q212" i="69"/>
  <c r="Q215" i="69"/>
  <c r="S215" i="69" s="1"/>
  <c r="Q216" i="69"/>
  <c r="S216" i="69" s="1"/>
  <c r="Q213" i="69"/>
  <c r="S213" i="69" s="1"/>
  <c r="Q217" i="69"/>
  <c r="S217" i="69" s="1"/>
  <c r="Q214" i="69"/>
  <c r="S214" i="69" s="1"/>
  <c r="S218" i="69"/>
  <c r="K21" i="69"/>
  <c r="I13" i="68" s="1"/>
  <c r="P11" i="24"/>
  <c r="P15" i="24"/>
  <c r="P24" i="24"/>
  <c r="P8" i="24"/>
  <c r="P12" i="24"/>
  <c r="P16" i="24"/>
  <c r="P25" i="24"/>
  <c r="Z7" i="25"/>
  <c r="P9" i="24"/>
  <c r="P13" i="24"/>
  <c r="P17" i="24"/>
  <c r="P26" i="24"/>
  <c r="P10" i="24"/>
  <c r="P14" i="24"/>
  <c r="P23" i="24"/>
  <c r="I50" i="68" s="1"/>
  <c r="P27" i="24"/>
  <c r="B46" i="24"/>
  <c r="B43" i="25" s="1"/>
  <c r="K230" i="69" l="1"/>
  <c r="M42" i="68"/>
  <c r="I42" i="68" s="1"/>
  <c r="M38" i="68"/>
  <c r="I38" i="68" s="1"/>
  <c r="K226" i="69"/>
  <c r="M41" i="68"/>
  <c r="I41" i="68" s="1"/>
  <c r="K229" i="69"/>
  <c r="P17" i="25"/>
  <c r="P10" i="25"/>
  <c r="P11" i="25"/>
  <c r="P12" i="25"/>
  <c r="P13" i="25"/>
  <c r="P14" i="25"/>
  <c r="P15" i="25"/>
  <c r="P16" i="25"/>
  <c r="K228" i="69"/>
  <c r="M40" i="68"/>
  <c r="I40" i="68" s="1"/>
  <c r="Q220" i="69"/>
  <c r="S212" i="69"/>
  <c r="M13" i="68"/>
  <c r="I16" i="68"/>
  <c r="I26" i="68" s="1"/>
  <c r="M43" i="68"/>
  <c r="M39" i="68"/>
  <c r="I39" i="68" s="1"/>
  <c r="K227" i="69"/>
  <c r="S220" i="69" l="1"/>
  <c r="M37" i="68"/>
  <c r="K225" i="69"/>
  <c r="K233" i="69" s="1"/>
  <c r="M16" i="68"/>
  <c r="M26" i="68" s="1"/>
  <c r="I43" i="68"/>
  <c r="M231" i="69" l="1"/>
  <c r="I37" i="68"/>
  <c r="I45" i="68" s="1"/>
  <c r="M45" i="68"/>
  <c r="M226" i="69" l="1"/>
  <c r="O226" i="69" s="1"/>
  <c r="M230" i="69"/>
  <c r="O230" i="69" s="1"/>
  <c r="M227" i="69"/>
  <c r="O227" i="69" s="1"/>
  <c r="M229" i="69"/>
  <c r="O229" i="69" s="1"/>
  <c r="O231" i="69"/>
  <c r="M228" i="69"/>
  <c r="O228" i="69" s="1"/>
  <c r="B48" i="24"/>
  <c r="B45" i="25" s="1"/>
  <c r="AB7" i="25"/>
  <c r="R11" i="24"/>
  <c r="R35" i="24"/>
  <c r="R25" i="24"/>
  <c r="R27" i="24"/>
  <c r="R14" i="24"/>
  <c r="R9" i="24"/>
  <c r="R34" i="24"/>
  <c r="R36" i="24"/>
  <c r="R8" i="24"/>
  <c r="R17" i="24"/>
  <c r="R37" i="24"/>
  <c r="R23" i="24"/>
  <c r="R10" i="24"/>
  <c r="R12" i="24"/>
  <c r="R13" i="24"/>
  <c r="R33" i="24"/>
  <c r="R26" i="24"/>
  <c r="R15" i="24"/>
  <c r="R39" i="24"/>
  <c r="R24" i="24"/>
  <c r="R38" i="24"/>
  <c r="R16" i="24"/>
  <c r="M21" i="69"/>
  <c r="O13" i="68" s="1"/>
  <c r="M225" i="69"/>
  <c r="O50" i="68" l="1"/>
  <c r="M233" i="69"/>
  <c r="O43" i="68"/>
  <c r="S41" i="68"/>
  <c r="O41" i="68" s="1"/>
  <c r="S39" i="68"/>
  <c r="O39" i="68" s="1"/>
  <c r="S42" i="68"/>
  <c r="O42" i="68" s="1"/>
  <c r="S38" i="68"/>
  <c r="O38" i="68" s="1"/>
  <c r="O225" i="69"/>
  <c r="R14" i="25"/>
  <c r="R15" i="25"/>
  <c r="R16" i="25"/>
  <c r="R12" i="25"/>
  <c r="R13" i="25"/>
  <c r="R17" i="25"/>
  <c r="R11" i="25"/>
  <c r="R10" i="25"/>
  <c r="O16" i="68"/>
  <c r="O26" i="68" s="1"/>
  <c r="S13" i="68"/>
  <c r="S40" i="68"/>
  <c r="O40" i="68" s="1"/>
  <c r="Q231" i="69" l="1"/>
  <c r="S37" i="68"/>
  <c r="O233" i="69"/>
  <c r="S16" i="68"/>
  <c r="S26" i="68" s="1"/>
  <c r="S45" i="68" l="1"/>
  <c r="O37" i="68"/>
  <c r="O45" i="68" s="1"/>
  <c r="O21" i="69"/>
  <c r="U13" i="68" s="1"/>
  <c r="S231" i="69"/>
  <c r="Q228" i="69"/>
  <c r="S228" i="69" s="1"/>
  <c r="Q227" i="69"/>
  <c r="S227" i="69" s="1"/>
  <c r="Q230" i="69"/>
  <c r="S230" i="69" s="1"/>
  <c r="Q229" i="69"/>
  <c r="S229" i="69" s="1"/>
  <c r="Q226" i="69"/>
  <c r="S226" i="69" s="1"/>
  <c r="Q225" i="69"/>
  <c r="B50" i="24"/>
  <c r="B47" i="25" s="1"/>
  <c r="AD7" i="25"/>
  <c r="T37" i="24"/>
  <c r="T13" i="24"/>
  <c r="T9" i="24"/>
  <c r="T14" i="24"/>
  <c r="T23" i="24"/>
  <c r="T33" i="24"/>
  <c r="T10" i="24"/>
  <c r="T12" i="24"/>
  <c r="T17" i="24"/>
  <c r="T27" i="24"/>
  <c r="T34" i="24"/>
  <c r="T8" i="24"/>
  <c r="U50" i="68" s="1"/>
  <c r="T36" i="24"/>
  <c r="T25" i="24"/>
  <c r="T16" i="24"/>
  <c r="T38" i="24"/>
  <c r="T35" i="24"/>
  <c r="T39" i="24"/>
  <c r="T11" i="24"/>
  <c r="T24" i="24"/>
  <c r="T26" i="24"/>
  <c r="T15" i="24"/>
  <c r="Q233" i="69" l="1"/>
  <c r="K239" i="69"/>
  <c r="Y38" i="68"/>
  <c r="U38" i="68" s="1"/>
  <c r="K243" i="69"/>
  <c r="Y42" i="68"/>
  <c r="U42" i="68" s="1"/>
  <c r="Y41" i="68"/>
  <c r="U41" i="68" s="1"/>
  <c r="K242" i="69"/>
  <c r="Y39" i="68"/>
  <c r="U39" i="68" s="1"/>
  <c r="K240" i="69"/>
  <c r="T12" i="25"/>
  <c r="T17" i="25"/>
  <c r="T10" i="25"/>
  <c r="T16" i="25"/>
  <c r="T13" i="25"/>
  <c r="T15" i="25"/>
  <c r="T14" i="25"/>
  <c r="T11" i="25"/>
  <c r="K241" i="69"/>
  <c r="Y40" i="68"/>
  <c r="U40" i="68" s="1"/>
  <c r="U16" i="68"/>
  <c r="U26" i="68" s="1"/>
  <c r="U33" i="68" s="1"/>
  <c r="Y13" i="68"/>
  <c r="K244" i="69"/>
  <c r="U43" i="68"/>
  <c r="S225" i="69"/>
  <c r="Y16" i="68" l="1"/>
  <c r="Y26" i="68" s="1"/>
  <c r="K238" i="69"/>
  <c r="Y37" i="68"/>
  <c r="S233" i="69"/>
  <c r="M244" i="69" l="1"/>
  <c r="O244" i="69" s="1"/>
  <c r="M239" i="69"/>
  <c r="AA38" i="68" s="1"/>
  <c r="M241" i="69"/>
  <c r="M242" i="69"/>
  <c r="AA41" i="68" s="1"/>
  <c r="Q21" i="69"/>
  <c r="AA13" i="68" s="1"/>
  <c r="B52" i="24"/>
  <c r="B49" i="25" s="1"/>
  <c r="AF7" i="25"/>
  <c r="V39" i="24"/>
  <c r="V16" i="24"/>
  <c r="V27" i="24"/>
  <c r="V26" i="24"/>
  <c r="V8" i="24"/>
  <c r="AA50" i="68" s="1"/>
  <c r="V37" i="24"/>
  <c r="V15" i="24"/>
  <c r="V24" i="24"/>
  <c r="V35" i="24"/>
  <c r="V34" i="24"/>
  <c r="V10" i="24"/>
  <c r="V36" i="24"/>
  <c r="V38" i="24"/>
  <c r="V9" i="24"/>
  <c r="V14" i="24"/>
  <c r="V13" i="24"/>
  <c r="V12" i="24"/>
  <c r="V25" i="24"/>
  <c r="V11" i="24"/>
  <c r="V23" i="24"/>
  <c r="V33" i="24"/>
  <c r="V17" i="24"/>
  <c r="M243" i="69"/>
  <c r="Y45" i="68"/>
  <c r="U37" i="68"/>
  <c r="U45" i="68" s="1"/>
  <c r="M238" i="69"/>
  <c r="K246" i="69"/>
  <c r="M240" i="69"/>
  <c r="AA43" i="68" l="1"/>
  <c r="O242" i="69"/>
  <c r="AE41" i="68" s="1"/>
  <c r="O239" i="69"/>
  <c r="AE38" i="68" s="1"/>
  <c r="AA40" i="68"/>
  <c r="O241" i="69"/>
  <c r="AE40" i="68" s="1"/>
  <c r="M246" i="69"/>
  <c r="AA37" i="68"/>
  <c r="V12" i="25"/>
  <c r="V15" i="25"/>
  <c r="V16" i="25"/>
  <c r="V10" i="25"/>
  <c r="V17" i="25"/>
  <c r="V13" i="25"/>
  <c r="V14" i="25"/>
  <c r="V11" i="25"/>
  <c r="AA16" i="68"/>
  <c r="AA26" i="68" s="1"/>
  <c r="AA33" i="68" s="1"/>
  <c r="AE13" i="68"/>
  <c r="AA39" i="68"/>
  <c r="O240" i="69"/>
  <c r="AA42" i="68"/>
  <c r="O243" i="69"/>
  <c r="O238" i="69"/>
  <c r="AE42" i="68" l="1"/>
  <c r="Q244" i="69"/>
  <c r="AA45" i="68"/>
  <c r="AE16" i="68"/>
  <c r="AE26" i="68" s="1"/>
  <c r="O246" i="69"/>
  <c r="AE37" i="68"/>
  <c r="AE39" i="68"/>
  <c r="Q243" i="69" l="1"/>
  <c r="S243" i="69" s="1"/>
  <c r="AK42" i="68" s="1"/>
  <c r="S244" i="69"/>
  <c r="AH7" i="25"/>
  <c r="B54" i="24"/>
  <c r="B51" i="25" s="1"/>
  <c r="X39" i="24"/>
  <c r="X11" i="24"/>
  <c r="X16" i="24"/>
  <c r="X27" i="24"/>
  <c r="X38" i="24"/>
  <c r="X35" i="24"/>
  <c r="X37" i="24"/>
  <c r="X23" i="24"/>
  <c r="X10" i="24"/>
  <c r="X8" i="24"/>
  <c r="AG50" i="68" s="1"/>
  <c r="X9" i="24"/>
  <c r="X34" i="24"/>
  <c r="X36" i="24"/>
  <c r="X25" i="24"/>
  <c r="X12" i="24"/>
  <c r="X13" i="24"/>
  <c r="X15" i="24"/>
  <c r="X14" i="24"/>
  <c r="X33" i="24"/>
  <c r="X24" i="24"/>
  <c r="X26" i="24"/>
  <c r="X17" i="24"/>
  <c r="Q241" i="69"/>
  <c r="Q239" i="69"/>
  <c r="Q242" i="69"/>
  <c r="S21" i="69"/>
  <c r="AG13" i="68" s="1"/>
  <c r="AE45" i="68"/>
  <c r="Q240" i="69"/>
  <c r="Q238" i="69"/>
  <c r="AG42" i="68" l="1"/>
  <c r="AG16" i="68"/>
  <c r="AG26" i="68" s="1"/>
  <c r="AG33" i="68" s="1"/>
  <c r="AK13" i="68"/>
  <c r="AK16" i="68" s="1"/>
  <c r="AK26" i="68" s="1"/>
  <c r="AG41" i="68"/>
  <c r="S242" i="69"/>
  <c r="AK41" i="68" s="1"/>
  <c r="AG38" i="68"/>
  <c r="S239" i="69"/>
  <c r="AK38" i="68" s="1"/>
  <c r="AG40" i="68"/>
  <c r="S241" i="69"/>
  <c r="AK40" i="68" s="1"/>
  <c r="Q246" i="69"/>
  <c r="AG37" i="68"/>
  <c r="S238" i="69"/>
  <c r="AG39" i="68"/>
  <c r="S240" i="69"/>
  <c r="AK39" i="68" s="1"/>
  <c r="X14" i="25"/>
  <c r="X15" i="25"/>
  <c r="X16" i="25"/>
  <c r="X12" i="25"/>
  <c r="X17" i="25"/>
  <c r="X10" i="25"/>
  <c r="X13" i="25"/>
  <c r="X11" i="25"/>
  <c r="S246" i="69" l="1"/>
  <c r="AK37" i="68"/>
  <c r="AK45" i="68" s="1"/>
  <c r="AG45" i="68"/>
  <c r="I26" i="231" l="1"/>
  <c r="I28" i="231" s="1"/>
  <c r="S31" i="68" l="1"/>
  <c r="M31" i="68"/>
  <c r="I31" i="68" s="1"/>
  <c r="I33" i="68" s="1"/>
  <c r="O31" i="68" l="1"/>
  <c r="O33" i="68" s="1"/>
  <c r="S33" i="68"/>
  <c r="Y31" i="68"/>
  <c r="M33" i="68"/>
  <c r="AE31" i="68" l="1"/>
  <c r="Y33" i="68"/>
  <c r="AK31" i="68" l="1"/>
  <c r="AK33" i="68" s="1"/>
  <c r="AE33" i="6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Mitchell D. Eschweiler</author>
  </authors>
  <commentList>
    <comment ref="I43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Mitchell D. Eschweiler:</t>
        </r>
        <r>
          <rPr>
            <sz val="9"/>
            <color indexed="81"/>
            <rFont val="Tahoma"/>
            <family val="2"/>
          </rPr>
          <t xml:space="preserve">
Based on the same percentage calculated for the test year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 Riley</author>
  </authors>
  <commentList>
    <comment ref="J19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Andre Riley:</t>
        </r>
        <r>
          <rPr>
            <sz val="9"/>
            <color indexed="81"/>
            <rFont val="Tahoma"/>
            <family val="2"/>
          </rPr>
          <t xml:space="preserve">
See Pro Forma Revenues wkpaper</t>
        </r>
      </text>
    </comment>
    <comment ref="N20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Eschweiler:</t>
        </r>
        <r>
          <rPr>
            <sz val="9"/>
            <color indexed="81"/>
            <rFont val="Tahoma"/>
            <family val="2"/>
          </rPr>
          <t xml:space="preserve">
Includes the Wholesale revenues. Also includes the normalized reduction from PPG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 Riley</author>
  </authors>
  <commentList>
    <comment ref="AB275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Andre Riley:</t>
        </r>
        <r>
          <rPr>
            <sz val="9"/>
            <color indexed="81"/>
            <rFont val="Tahoma"/>
            <family val="2"/>
          </rPr>
          <t xml:space="preserve">
Includes the Wholesale revenues.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D. Scruggs</author>
  </authors>
  <commentList>
    <comment ref="L43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Brandon D. Scruggs: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Andre Riley:
Reclassed Cap. Int. Income of $136,696.58 to Interest Received. Calculation located in the Water CWIP 2017 RVSD schedule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<sst xmlns="http://schemas.openxmlformats.org/spreadsheetml/2006/main" count="2385" uniqueCount="1172">
  <si>
    <t>Beginning balance</t>
  </si>
  <si>
    <t>July</t>
  </si>
  <si>
    <t>5/8</t>
  </si>
  <si>
    <t>Nonoperating Expenses:</t>
  </si>
  <si>
    <t>Calendar Year</t>
  </si>
  <si>
    <t xml:space="preserve"> </t>
  </si>
  <si>
    <t>Accounts payable</t>
  </si>
  <si>
    <t>Client:</t>
  </si>
  <si>
    <t>Project</t>
  </si>
  <si>
    <t>Date</t>
  </si>
  <si>
    <t>Partner</t>
  </si>
  <si>
    <t>Manager</t>
  </si>
  <si>
    <t>Staff</t>
  </si>
  <si>
    <t>(Unaudited)</t>
  </si>
  <si>
    <t>Accounts receivable - customer</t>
  </si>
  <si>
    <t>Prepaid expenses</t>
  </si>
  <si>
    <t>(Continued on next page)</t>
  </si>
  <si>
    <t>(Cont'd)</t>
  </si>
  <si>
    <t>Other</t>
  </si>
  <si>
    <t>Sub-totals</t>
  </si>
  <si>
    <t>Total Operating Expenses</t>
  </si>
  <si>
    <t>Cash flows from operating activities:</t>
  </si>
  <si>
    <t>Cash flows from capital and related</t>
  </si>
  <si>
    <t>Cash flows from investing activities:</t>
  </si>
  <si>
    <t xml:space="preserve">Reconciliation of net operating revenues </t>
  </si>
  <si>
    <t>Adjustments to reconcile net operating revenue</t>
  </si>
  <si>
    <t>Salaries and wages</t>
  </si>
  <si>
    <t>Totals</t>
  </si>
  <si>
    <t>Interest rates as indicated.</t>
  </si>
  <si>
    <t>Payment</t>
  </si>
  <si>
    <t>Principal</t>
  </si>
  <si>
    <t>Interest</t>
  </si>
  <si>
    <t>Debt Service</t>
  </si>
  <si>
    <t>Bond Year</t>
  </si>
  <si>
    <t>Balance</t>
  </si>
  <si>
    <t>Total</t>
  </si>
  <si>
    <t>(%)</t>
  </si>
  <si>
    <t>Bonds</t>
  </si>
  <si>
    <t>Adjustments</t>
  </si>
  <si>
    <t>PERF</t>
  </si>
  <si>
    <t>Variance</t>
  </si>
  <si>
    <t>ASSETS</t>
  </si>
  <si>
    <t>Current Assets:</t>
  </si>
  <si>
    <t>Cash with fiscal agent</t>
  </si>
  <si>
    <t>Interest receivable</t>
  </si>
  <si>
    <t>Prepaids</t>
  </si>
  <si>
    <t>Total Current Assets</t>
  </si>
  <si>
    <t>Bond and interest cash and cash equivalents</t>
  </si>
  <si>
    <t>Bond and interest investments</t>
  </si>
  <si>
    <t>Debt service reserve investments</t>
  </si>
  <si>
    <t>Total Restricted Assets</t>
  </si>
  <si>
    <t>Capital Assets:</t>
  </si>
  <si>
    <t>Depreciable capital assets</t>
  </si>
  <si>
    <t>Less accumulated depreciation</t>
  </si>
  <si>
    <t>Land and improvements to land</t>
  </si>
  <si>
    <t>Construction work in progress</t>
  </si>
  <si>
    <t>Net Capital Assets</t>
  </si>
  <si>
    <t>Total Assets</t>
  </si>
  <si>
    <t>LIABILITIES</t>
  </si>
  <si>
    <t>Current Liabilities:</t>
  </si>
  <si>
    <t>Accrued payroll and withholdings payable</t>
  </si>
  <si>
    <t>Retainage payable</t>
  </si>
  <si>
    <t>Compensated absences</t>
  </si>
  <si>
    <t>Payable from restricted assets:</t>
  </si>
  <si>
    <t>Accrued interest</t>
  </si>
  <si>
    <t>Total Current Liabilities</t>
  </si>
  <si>
    <t>Noncurrent Liabilities:</t>
  </si>
  <si>
    <t>Total Noncurrent Liabilities</t>
  </si>
  <si>
    <t>Total Liabilities</t>
  </si>
  <si>
    <t>BANs payable</t>
  </si>
  <si>
    <t>Invested in Capital Assets, Net of Related Debt</t>
  </si>
  <si>
    <t>Unrestricted</t>
  </si>
  <si>
    <t>Operating Revenues:</t>
  </si>
  <si>
    <t>Residential</t>
  </si>
  <si>
    <t>Total Operating Revenues</t>
  </si>
  <si>
    <t>Contributed Capital</t>
  </si>
  <si>
    <t>Other contractual services</t>
  </si>
  <si>
    <t>NPDES permit</t>
  </si>
  <si>
    <t>Controller</t>
  </si>
  <si>
    <t>*</t>
  </si>
  <si>
    <t>Ended</t>
  </si>
  <si>
    <t>Ref.</t>
  </si>
  <si>
    <t>5 Months</t>
  </si>
  <si>
    <t>(1)</t>
  </si>
  <si>
    <t>(2)</t>
  </si>
  <si>
    <t>Net cash provided from operations</t>
  </si>
  <si>
    <t>Workman's compensation</t>
  </si>
  <si>
    <t>Fire Protection Service - Inside City Limits:</t>
  </si>
  <si>
    <t>Fire Protection Service - Outside City Limits:</t>
  </si>
  <si>
    <t>Bad Check Charge</t>
  </si>
  <si>
    <t>Administrative and General:</t>
  </si>
  <si>
    <t>Debt service reserve</t>
  </si>
  <si>
    <t>Minimum</t>
  </si>
  <si>
    <t>Bond and interest</t>
  </si>
  <si>
    <t>Minimum Balance Required</t>
  </si>
  <si>
    <t>Amount</t>
  </si>
  <si>
    <t>Factor</t>
  </si>
  <si>
    <t>Months</t>
  </si>
  <si>
    <t>x</t>
  </si>
  <si>
    <t>=</t>
  </si>
  <si>
    <t>(3)</t>
  </si>
  <si>
    <t>(4)</t>
  </si>
  <si>
    <t>(5)</t>
  </si>
  <si>
    <t>Account</t>
  </si>
  <si>
    <t>WITH MINIMUM BALANCES REQUIRED</t>
  </si>
  <si>
    <t>COMPARISON OF ACCOUNT BALANCES</t>
  </si>
  <si>
    <t>**</t>
  </si>
  <si>
    <t>Sub-total</t>
  </si>
  <si>
    <t>A balance sufficient to provide for the payment of current operating</t>
  </si>
  <si>
    <t>(The Accountants' Compilation Report and the accompanying</t>
  </si>
  <si>
    <t>comments are an integral part of this statement.)</t>
  </si>
  <si>
    <t>(The Accountants' Compilation Report and the summary</t>
  </si>
  <si>
    <t>are an integral part of this statement.)</t>
  </si>
  <si>
    <t>Estimated Non-Construction Costs:</t>
  </si>
  <si>
    <t>Total Estimated Non-Construction Costs</t>
  </si>
  <si>
    <t>COMPARATIVE STATEMENT OF CASH FLOWS</t>
  </si>
  <si>
    <t>Debt service reserve cash and cash equivalents</t>
  </si>
  <si>
    <t>Cash with Fiscal Agent</t>
  </si>
  <si>
    <t>Balances fully restricted.</t>
  </si>
  <si>
    <t>I.</t>
  </si>
  <si>
    <t>II.</t>
  </si>
  <si>
    <t>III.</t>
  </si>
  <si>
    <t>(In thousands)</t>
  </si>
  <si>
    <t>Var.</t>
  </si>
  <si>
    <t>(---------------------In Dollars---------------------)</t>
  </si>
  <si>
    <t>Operating</t>
  </si>
  <si>
    <t xml:space="preserve">expenses. </t>
  </si>
  <si>
    <t xml:space="preserve">(A)    </t>
  </si>
  <si>
    <t xml:space="preserve">          </t>
  </si>
  <si>
    <t>Total Revenue Requirements</t>
  </si>
  <si>
    <t>Miscellaneous</t>
  </si>
  <si>
    <t>To adjust the test year to reflect pro forma IDEM regulatory fee expense.</t>
  </si>
  <si>
    <t>Interest payable semi-annually January 1st and July 1st.</t>
  </si>
  <si>
    <t>SCHEDULE OF COMBINED BOND AMORTIZATION</t>
  </si>
  <si>
    <t>Normalized</t>
  </si>
  <si>
    <t>Revenues</t>
  </si>
  <si>
    <t>Billing</t>
  </si>
  <si>
    <t>(Decrease)</t>
  </si>
  <si>
    <t>Additional</t>
  </si>
  <si>
    <t>Estimated</t>
  </si>
  <si>
    <t>Cycle</t>
  </si>
  <si>
    <t>Monthly Bills</t>
  </si>
  <si>
    <t>February</t>
  </si>
  <si>
    <t>April</t>
  </si>
  <si>
    <t>May</t>
  </si>
  <si>
    <t>June</t>
  </si>
  <si>
    <t>August</t>
  </si>
  <si>
    <t>September</t>
  </si>
  <si>
    <t>November</t>
  </si>
  <si>
    <t>December</t>
  </si>
  <si>
    <t>Operating Revenues</t>
  </si>
  <si>
    <t>Times</t>
  </si>
  <si>
    <t>Increase/</t>
  </si>
  <si>
    <t>Monthly</t>
  </si>
  <si>
    <t>In Users (A)</t>
  </si>
  <si>
    <t>Bills</t>
  </si>
  <si>
    <t>Bill (B)</t>
  </si>
  <si>
    <t>March</t>
  </si>
  <si>
    <t xml:space="preserve">        Totals</t>
  </si>
  <si>
    <t>Connection Charge: (5)</t>
  </si>
  <si>
    <t>Customer</t>
  </si>
  <si>
    <t>Engineering</t>
  </si>
  <si>
    <t>Adjustment (1)</t>
  </si>
  <si>
    <t>Adjustment (2)</t>
  </si>
  <si>
    <t>Adjustment (3)</t>
  </si>
  <si>
    <t>Normalization</t>
  </si>
  <si>
    <t>Purchased power</t>
  </si>
  <si>
    <t>Chemicals</t>
  </si>
  <si>
    <t>Materials and supplies</t>
  </si>
  <si>
    <t>(Explanation of Adjustments)</t>
  </si>
  <si>
    <t>Less test year expense</t>
  </si>
  <si>
    <t>Adjustment</t>
  </si>
  <si>
    <t>Description</t>
  </si>
  <si>
    <t>Times FICA rate</t>
  </si>
  <si>
    <t>Times PERF rate</t>
  </si>
  <si>
    <t>Fire Protection Charge</t>
  </si>
  <si>
    <t>Rate Per</t>
  </si>
  <si>
    <t>Revenue</t>
  </si>
  <si>
    <t>Per Month</t>
  </si>
  <si>
    <t>Per Year</t>
  </si>
  <si>
    <t>agreements and utility management.</t>
  </si>
  <si>
    <t>Present (1)</t>
  </si>
  <si>
    <t>First</t>
  </si>
  <si>
    <t>gallons</t>
  </si>
  <si>
    <t>Next</t>
  </si>
  <si>
    <t>Monthly Service Charge</t>
  </si>
  <si>
    <t>Meter Size:</t>
  </si>
  <si>
    <t xml:space="preserve">5/8 - 3/4     </t>
  </si>
  <si>
    <t>inch meter</t>
  </si>
  <si>
    <t>1 1/4</t>
  </si>
  <si>
    <t>1 1/2</t>
  </si>
  <si>
    <t>Consumption per Month</t>
  </si>
  <si>
    <t>Over</t>
  </si>
  <si>
    <t>(D)</t>
  </si>
  <si>
    <t>Private Connections, each per annum:</t>
  </si>
  <si>
    <t>Reconnection Charge</t>
  </si>
  <si>
    <t>Customer Deposit</t>
  </si>
  <si>
    <t>Late Payment Charge</t>
  </si>
  <si>
    <t>10% of 1st $3.00:</t>
  </si>
  <si>
    <t>3% of remainder</t>
  </si>
  <si>
    <t>Non-Recurring Charges:</t>
  </si>
  <si>
    <t>(13)</t>
  </si>
  <si>
    <t>FICA</t>
  </si>
  <si>
    <t>Adjustment 4 - Health and Life Insurance</t>
  </si>
  <si>
    <t>Health and life insurance</t>
  </si>
  <si>
    <t xml:space="preserve">Additional Indiana utility receipts tax </t>
  </si>
  <si>
    <t>Times annual fee per connection</t>
  </si>
  <si>
    <t>(11)</t>
  </si>
  <si>
    <t>Year</t>
  </si>
  <si>
    <t>Cash operating expenses for the twelve months</t>
  </si>
  <si>
    <t>Adjustments:</t>
  </si>
  <si>
    <t>Periodic maintenance</t>
  </si>
  <si>
    <t>Debt service</t>
  </si>
  <si>
    <t>(Explanation of References)</t>
  </si>
  <si>
    <t>(7)</t>
  </si>
  <si>
    <t>Source of Supply:</t>
  </si>
  <si>
    <t>Adjustment 5 - Workman's Compensation</t>
  </si>
  <si>
    <t>(6)</t>
  </si>
  <si>
    <t>(C)</t>
  </si>
  <si>
    <t>(8)</t>
  </si>
  <si>
    <t>(A)</t>
  </si>
  <si>
    <t>(B)</t>
  </si>
  <si>
    <t>Adjustment 1 - Salaries and Wages</t>
  </si>
  <si>
    <t xml:space="preserve">Ended </t>
  </si>
  <si>
    <t>Adjustment 2 - FICA</t>
  </si>
  <si>
    <t>Adjustment 3 - PERF</t>
  </si>
  <si>
    <t xml:space="preserve">Balance </t>
  </si>
  <si>
    <t xml:space="preserve">Net Operating Revenues </t>
  </si>
  <si>
    <t>Calculated as follows:</t>
  </si>
  <si>
    <t>12 Months</t>
  </si>
  <si>
    <t>Restricted</t>
  </si>
  <si>
    <t>Principal payable annually January 1st.</t>
  </si>
  <si>
    <t>EVANSVILLE (INDIANA) WATERWORKS DISTRICT</t>
  </si>
  <si>
    <t>Accounts receivable (net of allowance):</t>
  </si>
  <si>
    <t>Advances for bad checks</t>
  </si>
  <si>
    <t xml:space="preserve">Interfund </t>
  </si>
  <si>
    <t>Construction fund cash and cash equivalents</t>
  </si>
  <si>
    <t>Construction fund investments</t>
  </si>
  <si>
    <t>Service charge due petitioners</t>
  </si>
  <si>
    <t>Deposits on new extension estimates</t>
  </si>
  <si>
    <t>Customer deposits receivable</t>
  </si>
  <si>
    <t>Taxes payable</t>
  </si>
  <si>
    <t>Contracts payable</t>
  </si>
  <si>
    <t>Customer deposits</t>
  </si>
  <si>
    <t>Fire protection</t>
  </si>
  <si>
    <t>Forfeited discounts</t>
  </si>
  <si>
    <t>Sewer utility portion of general expenses</t>
  </si>
  <si>
    <t>Transmission and distribution</t>
  </si>
  <si>
    <t>Customer accounts</t>
  </si>
  <si>
    <t xml:space="preserve">Administrative and general </t>
  </si>
  <si>
    <t>Depreciation expense</t>
  </si>
  <si>
    <t>Nonoperating Revenues:</t>
  </si>
  <si>
    <t>Interfund services provided</t>
  </si>
  <si>
    <t>Compensated absences payable</t>
  </si>
  <si>
    <t xml:space="preserve">As of </t>
  </si>
  <si>
    <t>Transmission and Distribution:</t>
  </si>
  <si>
    <t>Proposed</t>
  </si>
  <si>
    <t xml:space="preserve">           Sub-totals</t>
  </si>
  <si>
    <t>Customer Accounts:</t>
  </si>
  <si>
    <t>Office supplies</t>
  </si>
  <si>
    <t>Legal</t>
  </si>
  <si>
    <t>Unamortized bond premium (discount)</t>
  </si>
  <si>
    <t>Operating Expenses</t>
  </si>
  <si>
    <t xml:space="preserve">(D) </t>
  </si>
  <si>
    <t>Adjustment (5)</t>
  </si>
  <si>
    <t>Less normalized exempt sales</t>
  </si>
  <si>
    <t>Less taxpayer deduction</t>
  </si>
  <si>
    <t>COMPARATIVE STATEMENT OF REVENUES, EXPENSES AND</t>
  </si>
  <si>
    <t>(Preliminary - Subject to Change)</t>
  </si>
  <si>
    <t>(Internal Use Only)</t>
  </si>
  <si>
    <t>Commercial</t>
  </si>
  <si>
    <t>COMPARATIVE STATEMENT OF DETAILED OPERATING EXPENSES</t>
  </si>
  <si>
    <t>Operating Expenses:</t>
  </si>
  <si>
    <t>Employee benefits</t>
  </si>
  <si>
    <t>Bad debt expense</t>
  </si>
  <si>
    <t>Board member salaries</t>
  </si>
  <si>
    <t>Administrative &amp; clerical salaries</t>
  </si>
  <si>
    <t>Engineering salaries</t>
  </si>
  <si>
    <t>Office expense</t>
  </si>
  <si>
    <t>Less pro forma rate case expense</t>
  </si>
  <si>
    <t>Times tax rate</t>
  </si>
  <si>
    <t>Inflation</t>
  </si>
  <si>
    <t>Contractual services</t>
  </si>
  <si>
    <t>Rate Increase</t>
  </si>
  <si>
    <t>Indiana Utility Receipts Tax</t>
  </si>
  <si>
    <t>% Change</t>
  </si>
  <si>
    <t>Capital Contributions and (Transfers):</t>
  </si>
  <si>
    <t>Adjustment (4)</t>
  </si>
  <si>
    <t>Effective</t>
  </si>
  <si>
    <t>Fire Protection</t>
  </si>
  <si>
    <t>Flat Rate Sprinklers</t>
  </si>
  <si>
    <t>Annum</t>
  </si>
  <si>
    <t>3 Months</t>
  </si>
  <si>
    <t>(9)</t>
  </si>
  <si>
    <t>Cash flows from noncapital financing activities:</t>
  </si>
  <si>
    <t>Interest Income</t>
  </si>
  <si>
    <t>Source of Supply and Treatment:</t>
  </si>
  <si>
    <t>Plus non-operating income</t>
  </si>
  <si>
    <t>Transportation</t>
  </si>
  <si>
    <t>Annual Revenues:</t>
  </si>
  <si>
    <t>Less est. capital assets not within corporate limits (25%)</t>
  </si>
  <si>
    <t>Inventory</t>
  </si>
  <si>
    <t>Repairs and maintenance</t>
  </si>
  <si>
    <t>Lab expense</t>
  </si>
  <si>
    <t>Postage</t>
  </si>
  <si>
    <t>Adjustment 9 - Contractual Services</t>
  </si>
  <si>
    <t>Adjustment 11 - IDEM Regulatory Fee</t>
  </si>
  <si>
    <t>SCHEDULE OF ESTIMATED PROJECT COSTS AND FUNDING</t>
  </si>
  <si>
    <t>Total Estimated Project Costs</t>
  </si>
  <si>
    <t>Interest expense</t>
  </si>
  <si>
    <t>Interest income</t>
  </si>
  <si>
    <t>Source of supply</t>
  </si>
  <si>
    <t>Consumer meter deposits cash and cash equivalents</t>
  </si>
  <si>
    <t>Consumer meter deposits investments</t>
  </si>
  <si>
    <t>Advance for bad checks</t>
  </si>
  <si>
    <t xml:space="preserve">Interest   </t>
  </si>
  <si>
    <t>Bonds payable - current</t>
  </si>
  <si>
    <t>Payments in lieu of tax</t>
  </si>
  <si>
    <t>As of December 31,</t>
  </si>
  <si>
    <t xml:space="preserve">Treatment </t>
  </si>
  <si>
    <t xml:space="preserve">Rent </t>
  </si>
  <si>
    <t xml:space="preserve">inch meter </t>
  </si>
  <si>
    <t>inch connection</t>
  </si>
  <si>
    <t>2</t>
  </si>
  <si>
    <t>3</t>
  </si>
  <si>
    <t>4</t>
  </si>
  <si>
    <t>6</t>
  </si>
  <si>
    <t>8</t>
  </si>
  <si>
    <t>10</t>
  </si>
  <si>
    <t>12</t>
  </si>
  <si>
    <t>1</t>
  </si>
  <si>
    <r>
      <t>Split Services and Fire Plug Fees</t>
    </r>
    <r>
      <rPr>
        <sz val="12"/>
        <rFont val="Times New Roman"/>
        <family val="1"/>
      </rPr>
      <t xml:space="preserve"> (Test Year)</t>
    </r>
  </si>
  <si>
    <t/>
  </si>
  <si>
    <t>Sub-total carried forward</t>
  </si>
  <si>
    <t>Sub-totals carried forward</t>
  </si>
  <si>
    <t>Adjustment 7 - Periodic Maintenance</t>
  </si>
  <si>
    <t>Pump Maintenance</t>
  </si>
  <si>
    <t>a.</t>
  </si>
  <si>
    <t>High service pumps</t>
  </si>
  <si>
    <t>b.</t>
  </si>
  <si>
    <t>Low service pumps</t>
  </si>
  <si>
    <t>Filter Media</t>
  </si>
  <si>
    <t>IV.</t>
  </si>
  <si>
    <t>Tank Maintenance</t>
  </si>
  <si>
    <t>V.</t>
  </si>
  <si>
    <t>Booster Stations</t>
  </si>
  <si>
    <t>VI.</t>
  </si>
  <si>
    <t>Traveling Screens Maintenance</t>
  </si>
  <si>
    <t>To eliminate expenditures that are considered non-recurring in nature.</t>
  </si>
  <si>
    <t>Expense Category</t>
  </si>
  <si>
    <t>Estimated Net Assessed Value</t>
  </si>
  <si>
    <t>Increase</t>
  </si>
  <si>
    <t>Phase I</t>
  </si>
  <si>
    <t>Phase II</t>
  </si>
  <si>
    <t>Phase III</t>
  </si>
  <si>
    <t>Annual Revenue Requirements:</t>
  </si>
  <si>
    <t>Net Revenue Requirements</t>
  </si>
  <si>
    <t xml:space="preserve">     Residential </t>
  </si>
  <si>
    <t>Total Annual Operating Revenues</t>
  </si>
  <si>
    <t>*  Computed as normalized additional operating revenues as computed on page 19.</t>
  </si>
  <si>
    <t>Adjustment 1</t>
  </si>
  <si>
    <t>Adjustment 2</t>
  </si>
  <si>
    <t>Adjustment 3</t>
  </si>
  <si>
    <t>To provide an allowance for additional Indiana Utility Receipts tax. Calculated as follows:</t>
  </si>
  <si>
    <t>Additional URT from rate increase</t>
  </si>
  <si>
    <t>Less estimated increase in URT for wholesale and exempt revenues</t>
  </si>
  <si>
    <t>Adjustment 4</t>
  </si>
  <si>
    <t>Adjustment 5</t>
  </si>
  <si>
    <t>Adjustment 6</t>
  </si>
  <si>
    <t>Balances available to invest (unaudited):</t>
  </si>
  <si>
    <t>Times current certificate of deposit interest rate</t>
  </si>
  <si>
    <t>Adjustment 7</t>
  </si>
  <si>
    <t>Adjustment 8</t>
  </si>
  <si>
    <t>Adjustment 9</t>
  </si>
  <si>
    <t>Normalize*</t>
  </si>
  <si>
    <t>CALCULATION OF NORMALIZED ANNUAL OPERATING REVENUES</t>
  </si>
  <si>
    <t>became effective on January 1, 2010.</t>
  </si>
  <si>
    <t>Present rates and charges approved by IURC pursuant to Cause No. 43190 on September 26, 2007 and</t>
  </si>
  <si>
    <t>and became effective on January 1, 2010.</t>
  </si>
  <si>
    <t>Present rates and charges approved by IURC pursuant to Cause No. 43190 on September 26, 2007</t>
  </si>
  <si>
    <t>Adjustment 6 - Teamster's Scholarship Fund</t>
  </si>
  <si>
    <t>As of</t>
  </si>
  <si>
    <t>to net cash provided from operating activities:</t>
  </si>
  <si>
    <t>Change in assets and liabilities:</t>
  </si>
  <si>
    <t>Decrease (increase) in:</t>
  </si>
  <si>
    <t>Increase (decrease) in:</t>
  </si>
  <si>
    <t>to cash provided from operations:</t>
  </si>
  <si>
    <t>Cash received from customers</t>
  </si>
  <si>
    <t>Cash paid to suppliers, employees</t>
  </si>
  <si>
    <t>and others</t>
  </si>
  <si>
    <t>Net cash from operating activities</t>
  </si>
  <si>
    <t>Additions to capital assets</t>
  </si>
  <si>
    <t>Principal paid on revenue bonds</t>
  </si>
  <si>
    <t>Interest paid</t>
  </si>
  <si>
    <t>Contracts paid, bond issuance and</t>
  </si>
  <si>
    <t>rate case costs</t>
  </si>
  <si>
    <t>Contributed capital</t>
  </si>
  <si>
    <t>Retainage accrued/paid</t>
  </si>
  <si>
    <t>Nonoperating revenues</t>
  </si>
  <si>
    <t>Net cash from capital and related</t>
  </si>
  <si>
    <t xml:space="preserve">     financing activities</t>
  </si>
  <si>
    <t xml:space="preserve">  financing activities:</t>
  </si>
  <si>
    <t>Ending balance</t>
  </si>
  <si>
    <t xml:space="preserve">Operation and maintenance expense </t>
  </si>
  <si>
    <t xml:space="preserve">Less interest income </t>
  </si>
  <si>
    <t xml:space="preserve">Less sewer portion of general expenses </t>
  </si>
  <si>
    <t xml:space="preserve">Less other operating income </t>
  </si>
  <si>
    <t xml:space="preserve">Less other nonoperating income </t>
  </si>
  <si>
    <t>Interest income normalized based on investment of available fund balances at current interest rates.  The construction account</t>
  </si>
  <si>
    <t xml:space="preserve">funds are not included in the interest rate calculation since those interest earnings are used to fund project costs.  </t>
  </si>
  <si>
    <t>Non-recurring items</t>
  </si>
  <si>
    <t>PROJECT</t>
  </si>
  <si>
    <t>Dredging in front of Intake Structure</t>
  </si>
  <si>
    <t>Redemption of BAN</t>
  </si>
  <si>
    <t>Proceeds from BAN</t>
  </si>
  <si>
    <t>(12)</t>
  </si>
  <si>
    <t>Less test year expenses</t>
  </si>
  <si>
    <t>Percentage Increase Requested</t>
  </si>
  <si>
    <t>Flat rate sprinklers</t>
  </si>
  <si>
    <t>Outside City</t>
  </si>
  <si>
    <t>Pro forma backfill and paving expenses (based on 4 year average historical expense)</t>
  </si>
  <si>
    <t>Pro forma chemical expense (based on information from Water Superintendent)</t>
  </si>
  <si>
    <t>Outstanding</t>
  </si>
  <si>
    <t>Assumed</t>
  </si>
  <si>
    <t>Less sewer utility, county reimbursements and other operating revenues</t>
  </si>
  <si>
    <t>Nonoperating expenses</t>
  </si>
  <si>
    <t>Capitalized</t>
  </si>
  <si>
    <t>Number of customer connections at 12/31/11</t>
  </si>
  <si>
    <t>Split services and fire plugs</t>
  </si>
  <si>
    <t xml:space="preserve">* </t>
  </si>
  <si>
    <t>Fire Protection Service</t>
  </si>
  <si>
    <t xml:space="preserve">Monthly Surcharge for fire protection </t>
  </si>
  <si>
    <t>Fire Protection Service (Cont'd)</t>
  </si>
  <si>
    <t>Average Monthly Residential Bill</t>
  </si>
  <si>
    <t>Inside City</t>
  </si>
  <si>
    <t>Transfer for payment in lieu of property taxes **</t>
  </si>
  <si>
    <t>Improvement fund cash and cash equivalents</t>
  </si>
  <si>
    <t>Noncurrent Assets:</t>
  </si>
  <si>
    <t>Restricted assets:</t>
  </si>
  <si>
    <t>(10)</t>
  </si>
  <si>
    <t>(14)</t>
  </si>
  <si>
    <t>Test Year</t>
  </si>
  <si>
    <t xml:space="preserve">Forfeited discounts </t>
  </si>
  <si>
    <t>Phase II rates and charges approved by IURC pursuant to Cause No. 44137 on February 13, 2013</t>
  </si>
  <si>
    <t>COMPARATIVE STATEMENT OF NET POSITION</t>
  </si>
  <si>
    <t>NET POSITION</t>
  </si>
  <si>
    <t>Total Net Position</t>
  </si>
  <si>
    <t>CHANGES IN NET POSITION</t>
  </si>
  <si>
    <t>Change In Net Position</t>
  </si>
  <si>
    <t>Increase (Decrease) in Cash and Cash Equivalents</t>
  </si>
  <si>
    <t xml:space="preserve">Cash and Cash Equivalents: </t>
  </si>
  <si>
    <t>Connection Charge</t>
  </si>
  <si>
    <t>10% of 1st $3.00:  3% of remainder of bill.</t>
  </si>
  <si>
    <t>3/4</t>
  </si>
  <si>
    <t>Larger than 1 inch</t>
  </si>
  <si>
    <t>Actual cost</t>
  </si>
  <si>
    <t>(E)</t>
  </si>
  <si>
    <t>Customer Meter Deposit</t>
  </si>
  <si>
    <t>Commercial/Industrial</t>
  </si>
  <si>
    <t>(F)</t>
  </si>
  <si>
    <t>Split Service Fee</t>
  </si>
  <si>
    <t>(G)</t>
  </si>
  <si>
    <t>Developer Installed Service Charge</t>
  </si>
  <si>
    <t>(H)</t>
  </si>
  <si>
    <t>Temporary Fire Hydrant Meter Fee</t>
  </si>
  <si>
    <t>inch</t>
  </si>
  <si>
    <t>inch and larger</t>
  </si>
  <si>
    <t>(I)</t>
  </si>
  <si>
    <t>(J)</t>
  </si>
  <si>
    <t>(K)</t>
  </si>
  <si>
    <t>Collection of Deferred Payment Charge</t>
  </si>
  <si>
    <t>Present</t>
  </si>
  <si>
    <t>Phase I (1)</t>
  </si>
  <si>
    <t>Payment in lieu of property taxes</t>
  </si>
  <si>
    <t>Net Position - Beginning</t>
  </si>
  <si>
    <t>Net Position - Ending</t>
  </si>
  <si>
    <t>Adjustment (6)</t>
  </si>
  <si>
    <t>O&amp;M Savings - Non-Measured</t>
  </si>
  <si>
    <t>AJR</t>
  </si>
  <si>
    <t>Rate</t>
  </si>
  <si>
    <t>of significant accounting policies, assumptions and notes</t>
  </si>
  <si>
    <t xml:space="preserve">Phase I rates and charges approved by IURC pursuant to Cause No. 44137 on February 13, 2013 </t>
  </si>
  <si>
    <t>represent a 15.83% across-the-board increase and became effective on March 18, 2013.</t>
  </si>
  <si>
    <t>Increase (Decrease)</t>
  </si>
  <si>
    <t>Purchase/sale of investments</t>
  </si>
  <si>
    <t>Net cash from investing activities</t>
  </si>
  <si>
    <t>1/12</t>
  </si>
  <si>
    <t>1/6</t>
  </si>
  <si>
    <t xml:space="preserve">The District has filed a Debt Service True-Up report reflecting the actual debt service on the Series 2013A Bonds </t>
  </si>
  <si>
    <t>Pursuant to the Order in Cause No. 44137 the approved rate increases were 8.54% and 7.85% respectively</t>
  </si>
  <si>
    <t>for Phases II and III.</t>
  </si>
  <si>
    <t>with the IURC for the Phase II and III across-the-board increases adjusting them to to 9.20% and 7.50% respectively.</t>
  </si>
  <si>
    <t>Restricted cash and cash equivalents:</t>
  </si>
  <si>
    <t>Total Noncurrent Assets</t>
  </si>
  <si>
    <t>DEFERRED OUTFLOWS OF RESOURCES</t>
  </si>
  <si>
    <t>Deferred Amount on Refunding</t>
  </si>
  <si>
    <t>Total Assets and Deferred Outflows</t>
  </si>
  <si>
    <t>Regulatory Assets</t>
  </si>
  <si>
    <t>Interest expense - amortization</t>
  </si>
  <si>
    <t>Industrial</t>
  </si>
  <si>
    <t>Public authority</t>
  </si>
  <si>
    <t>Operating cash and cash equivalents</t>
  </si>
  <si>
    <t>Operating investments</t>
  </si>
  <si>
    <t>Bond proceeds</t>
  </si>
  <si>
    <t>Required *</t>
  </si>
  <si>
    <t>Accounts:</t>
  </si>
  <si>
    <t>Intergovernmental payable</t>
  </si>
  <si>
    <t>Phase II (1)</t>
  </si>
  <si>
    <t>and became effective on January 1, 2014.</t>
  </si>
  <si>
    <t xml:space="preserve"> represent a 9.20% across-the-board increase </t>
  </si>
  <si>
    <t xml:space="preserve"> represent a 7.50% across-the-board increase</t>
  </si>
  <si>
    <t>Consumer deposits receivable</t>
  </si>
  <si>
    <t>Total Deferred Outflows of Resources</t>
  </si>
  <si>
    <t>Total Deferred Inflows of Resources</t>
  </si>
  <si>
    <t>Public Authority</t>
  </si>
  <si>
    <t>For 12 Months</t>
  </si>
  <si>
    <t>Net Revenues Before Contributions and Transfers</t>
  </si>
  <si>
    <t xml:space="preserve">Net operating revenues </t>
  </si>
  <si>
    <t>2014B Bonds</t>
  </si>
  <si>
    <t>per utility management and contract.</t>
  </si>
  <si>
    <t>and contract.</t>
  </si>
  <si>
    <t>YR 1 - Contract amount</t>
  </si>
  <si>
    <t>YR 2 - Contract amount</t>
  </si>
  <si>
    <t>YR 3 - Contract amount</t>
  </si>
  <si>
    <t>(A) Source of Supply - Repairs and maintenance</t>
  </si>
  <si>
    <t xml:space="preserve">Adjustment 8 - Non-recurring Items </t>
  </si>
  <si>
    <t>Average contract amount (3 years-First Billing)</t>
  </si>
  <si>
    <t>directly reimburse the District through the sewer utility portion of general expenses revenue).</t>
  </si>
  <si>
    <t>(C) Treatment - Materials and supplies</t>
  </si>
  <si>
    <t>See expense analysis CY 9/30/14 - 9002-436020/9002-436022</t>
  </si>
  <si>
    <t>Past</t>
  </si>
  <si>
    <t>Teamster's scholarship fund</t>
  </si>
  <si>
    <t>PROPOSED CAPITAL IMPROVEMENT PLAN</t>
  </si>
  <si>
    <t xml:space="preserve">     Totals</t>
  </si>
  <si>
    <t>Valve Replacement Program</t>
  </si>
  <si>
    <t xml:space="preserve">Note:  </t>
  </si>
  <si>
    <t>Fire protection:</t>
  </si>
  <si>
    <t>(D) Trans. &amp; Distribution - Repairs and maintenance</t>
  </si>
  <si>
    <t>(E) Trans. &amp; Distribution  - Materials and supplies</t>
  </si>
  <si>
    <t>See expense analysis CY 9/30/14 - 9003-423126/9003-423127</t>
  </si>
  <si>
    <t>Metered - Operating Revenues</t>
  </si>
  <si>
    <t xml:space="preserve">Per utility personnel and monthly billing summaries. </t>
  </si>
  <si>
    <t>2013C Bonds</t>
  </si>
  <si>
    <t>To provide an allowance for additional bad debt expense.</t>
  </si>
  <si>
    <t>(L)</t>
  </si>
  <si>
    <t>(M)</t>
  </si>
  <si>
    <t>(N)</t>
  </si>
  <si>
    <t>Meter Test Fee (Customer Request)</t>
  </si>
  <si>
    <t>Meter Re-Read Fee (Customer Request)</t>
  </si>
  <si>
    <t>Damaged Meter Fee (Customer Negligence)</t>
  </si>
  <si>
    <t>Larger than 3/4 inch</t>
  </si>
  <si>
    <t>Average for</t>
  </si>
  <si>
    <t>Customer Name</t>
  </si>
  <si>
    <t>Annualized</t>
  </si>
  <si>
    <t>Start</t>
  </si>
  <si>
    <t>2" meters and larger.</t>
  </si>
  <si>
    <t>Normalized Operating Revenues:</t>
  </si>
  <si>
    <t>Increase in residential and commercial revenues</t>
  </si>
  <si>
    <t>Phase I (2)</t>
  </si>
  <si>
    <t>Phase II (3)</t>
  </si>
  <si>
    <t>SCHEDULE OF PRESENT AND PROPOSED RATES AND CHARGES</t>
  </si>
  <si>
    <t>Reduced by assumed savings realized in test year (6 months)</t>
  </si>
  <si>
    <t>Total stipulated contract savings</t>
  </si>
  <si>
    <t>Power Factor Correction (Water Share - as stipulated in the contract)</t>
  </si>
  <si>
    <t>Building Automation (Water Share - as stipulated in the contract)</t>
  </si>
  <si>
    <t>Energy Savings - Measured</t>
  </si>
  <si>
    <t>Divided by 3</t>
  </si>
  <si>
    <t>(B) Treatment - Repairs and maintenance</t>
  </si>
  <si>
    <t>due to the Sewage Works' related Capacity Management and Operation and Maintenance ("CMOM") expenses based on</t>
  </si>
  <si>
    <t>effective upon Commission approval.</t>
  </si>
  <si>
    <t>Utility receipts tax</t>
  </si>
  <si>
    <t xml:space="preserve">current PERF rate of 14.20%. </t>
  </si>
  <si>
    <t>Lighting Upgrade - Water Plant (project complete April 2014)</t>
  </si>
  <si>
    <t>(1) Based on information from the Deputy Director of Utilties - Engineering.</t>
  </si>
  <si>
    <t xml:space="preserve">Normalized operating revenues </t>
  </si>
  <si>
    <t>To adjust the test year expense for adjustments made during the test year on expenses incurred prior to the test year.</t>
  </si>
  <si>
    <t>Adjustment 14 - Year-End Adjustments Reclassified</t>
  </si>
  <si>
    <t>Auto Leak Detection System (as stipulated in the contract)</t>
  </si>
  <si>
    <t>AND ANNUAL REVENUES</t>
  </si>
  <si>
    <t>Total Pay as you Go Capital</t>
  </si>
  <si>
    <t xml:space="preserve"> per utility management and contract (Smart Utility Systems).</t>
  </si>
  <si>
    <t>VII.</t>
  </si>
  <si>
    <t>(every year)</t>
  </si>
  <si>
    <t>(yearly per maintenance contract)</t>
  </si>
  <si>
    <t>Annual Blow-Offs</t>
  </si>
  <si>
    <t>Annual Intake Supply</t>
  </si>
  <si>
    <t xml:space="preserve">with JCI (Water Portion Only). </t>
  </si>
  <si>
    <t>(O)</t>
  </si>
  <si>
    <t>Damaged SmartPoint Fee (Customer Negligence)</t>
  </si>
  <si>
    <t>(P)</t>
  </si>
  <si>
    <t>Service Fee (Customer Request)</t>
  </si>
  <si>
    <t>This will be adjusted through the sewer shared revenues</t>
  </si>
  <si>
    <t>Operation and maintenance expenses - Sewer *</t>
  </si>
  <si>
    <t xml:space="preserve">     Public Authority</t>
  </si>
  <si>
    <t>Allowance for capital improvements</t>
  </si>
  <si>
    <t>Debt service reserve - outstanding</t>
  </si>
  <si>
    <t>Times: Bad Debt % for the Test Year</t>
  </si>
  <si>
    <t>Adjustment 10</t>
  </si>
  <si>
    <t>Adjustment 11</t>
  </si>
  <si>
    <t xml:space="preserve">     Forfeited discounts </t>
  </si>
  <si>
    <r>
      <rPr>
        <sz val="12"/>
        <rFont val="Times New Roman"/>
        <family val="1"/>
      </rPr>
      <t xml:space="preserve">         </t>
    </r>
    <r>
      <rPr>
        <u/>
        <sz val="12"/>
        <rFont val="Times New Roman"/>
        <family val="1"/>
      </rPr>
      <t>Amount</t>
    </r>
  </si>
  <si>
    <t>Campground 20 MG underground tank</t>
  </si>
  <si>
    <t xml:space="preserve">Cleaning, inspection and tank coating 9 total tanks </t>
  </si>
  <si>
    <t>Rates</t>
  </si>
  <si>
    <t xml:space="preserve">(See Accountants' Report </t>
  </si>
  <si>
    <t xml:space="preserve">Payment in lieu of taxes </t>
  </si>
  <si>
    <t xml:space="preserve">     Industrial</t>
  </si>
  <si>
    <t xml:space="preserve">     Commercial</t>
  </si>
  <si>
    <t xml:space="preserve">     Fire Protection</t>
  </si>
  <si>
    <t>Capital Improvement Plan:</t>
  </si>
  <si>
    <t>To provide an allowance for replacements and improvements equal to the amount in the capital improvement plan.</t>
  </si>
  <si>
    <t>(See Accountants' Report)</t>
  </si>
  <si>
    <t>Interest rate as indicated.</t>
  </si>
  <si>
    <t>and Accompanying Comments)</t>
  </si>
  <si>
    <t>Key:</t>
  </si>
  <si>
    <t># Amounts anticipated to be funded by rates</t>
  </si>
  <si>
    <t>^ Amounts anticipated to be funded by bond proceeds</t>
  </si>
  <si>
    <t>Additional bad debt expense</t>
  </si>
  <si>
    <t xml:space="preserve">12 Months </t>
  </si>
  <si>
    <t>Audit adjustment</t>
  </si>
  <si>
    <t>Periodic maintenance fund cash and cash equivalents</t>
  </si>
  <si>
    <t>Cash with fiscal agent cash and cash equivalents</t>
  </si>
  <si>
    <t>Deferred Benefit Pension Deferred Outflows</t>
  </si>
  <si>
    <t>Net pension liability</t>
  </si>
  <si>
    <t>DEFERRED INFLOWS OF RESOURCES</t>
  </si>
  <si>
    <t xml:space="preserve">  Defined Benefit Pension Deferred Inflows</t>
  </si>
  <si>
    <t>Contributed Capital to City</t>
  </si>
  <si>
    <t>September 30,</t>
  </si>
  <si>
    <t>Bonds dated December 15, 2016.</t>
  </si>
  <si>
    <t>(1) $10,235,000 of Term Bonds due January 1, 2038.</t>
  </si>
  <si>
    <t>OUTSTANDING WATERWORKS DISTRICT REFUNDING REVENUE BONDS, SERIES 2016B</t>
  </si>
  <si>
    <t>OUTSTANDING WATERWORKS DISTRICT REVENUE BONDS, SERIES 2016A</t>
  </si>
  <si>
    <t>Series 2016A</t>
  </si>
  <si>
    <t>2016A Bonds</t>
  </si>
  <si>
    <t>2016B Bonds</t>
  </si>
  <si>
    <t>2019 Bonds</t>
  </si>
  <si>
    <t>Series 2016B</t>
  </si>
  <si>
    <t>Contract Amount</t>
  </si>
  <si>
    <t>Booster Station</t>
  </si>
  <si>
    <t>Phase III (4)</t>
  </si>
  <si>
    <t>Deaconess Hospital</t>
  </si>
  <si>
    <t>Distribution System:</t>
  </si>
  <si>
    <t>Plus assumed pension expense adjustment</t>
  </si>
  <si>
    <t>Plus amount to be paid for the annual storage tank maintenance program</t>
  </si>
  <si>
    <t>tank maintenance, booster stations, traveling screens and leak detection, per the Water Superintendent.</t>
  </si>
  <si>
    <t>Less payroll applicable to Board members</t>
  </si>
  <si>
    <t>Adjustment 10 - Utility Receipts Tax</t>
  </si>
  <si>
    <t>Adjustment 11 - Bad Debt Expense</t>
  </si>
  <si>
    <t>In Users (A)(C)</t>
  </si>
  <si>
    <t xml:space="preserve"> Assistance program cash and cash equivalents</t>
  </si>
  <si>
    <t>Construction fund</t>
  </si>
  <si>
    <t>Improvement fund</t>
  </si>
  <si>
    <t xml:space="preserve">Balance fully restricted to provide a funding source for certain periodic maintenance </t>
  </si>
  <si>
    <t>items as required by the Indiana Utility Regulatory Commission.</t>
  </si>
  <si>
    <t>The balance of this account should be equal to the accrued monthly transfers of 1/6 of the interest on</t>
  </si>
  <si>
    <t xml:space="preserve">all outstanding bonds payable on the then next succeeding interest payment date and 1/12th of the </t>
  </si>
  <si>
    <t>principal on all outstanding bonds payable on the then next succeeding principal payment date.</t>
  </si>
  <si>
    <t>Balance fully restricted to provide assistance to low-income customers.</t>
  </si>
  <si>
    <t>Assistance program</t>
  </si>
  <si>
    <t>Adjusted for temporary shutoffs.</t>
  </si>
  <si>
    <t>Annual Capital Improvements Projects:</t>
  </si>
  <si>
    <t xml:space="preserve">               Sub-totals</t>
  </si>
  <si>
    <t>To provide an allowance for payments in lieu of property taxes ("PILT"). Calculated as follows:</t>
  </si>
  <si>
    <t>(Per Consulting Engineer and Utility Management)</t>
  </si>
  <si>
    <t>Per outstanding bond resolutions and other District requirements.</t>
  </si>
  <si>
    <t>Summary:</t>
  </si>
  <si>
    <t>Distribution System</t>
  </si>
  <si>
    <t>Treatment Plant</t>
  </si>
  <si>
    <t>Annual Capital Improvements</t>
  </si>
  <si>
    <t>(A) Contractual Services - Legal</t>
  </si>
  <si>
    <t>Leak Detection and Distribution System Maintenance Assessment</t>
  </si>
  <si>
    <t>(B) Contractual Services - Distribution</t>
  </si>
  <si>
    <t>the Consent Decree with the U.S. EPA (the District will not be responsible for these costs as the Sewage Works will</t>
  </si>
  <si>
    <t>Average annual debt service for the five bond years ending January 1, 2026.</t>
  </si>
  <si>
    <t>(D) Postage - Administration</t>
  </si>
  <si>
    <t>(E) Software Support - Administration</t>
  </si>
  <si>
    <t>In Users (a)(c)</t>
  </si>
  <si>
    <t>Bill (b)</t>
  </si>
  <si>
    <t>(a) Per utility personnel and monthly billing summaries.</t>
  </si>
  <si>
    <t>(c) Adjusted for temporary shutoffs.</t>
  </si>
  <si>
    <t>(C) Repairs and Maintenance - Distribution</t>
  </si>
  <si>
    <t>Calculated PILT</t>
  </si>
  <si>
    <t>Capitalized Interest</t>
  </si>
  <si>
    <t>MDE</t>
  </si>
  <si>
    <t>Less and amount to phase-in the rates and charges</t>
  </si>
  <si>
    <t>Pro forma PILT</t>
  </si>
  <si>
    <t>2020</t>
  </si>
  <si>
    <t>Plus Phase I adjustment</t>
  </si>
  <si>
    <t>To adjust the test year expense to normalize adjustments made during the test year period for both expenses incurred</t>
  </si>
  <si>
    <t>prior to test year and accruals.</t>
  </si>
  <si>
    <t>See Explanation of References, pages 27 to 29.</t>
  </si>
  <si>
    <t>Less test year adjustment (see page 14)</t>
  </si>
  <si>
    <t>See pages 4 to 6.</t>
  </si>
  <si>
    <t>SUPPLEMENTAL FINANCIAL DATA</t>
  </si>
  <si>
    <t xml:space="preserve">Increase in Residential and Commercial Water Sales </t>
  </si>
  <si>
    <t>Amount to be paid for periodic maintenance items</t>
  </si>
  <si>
    <t>Leased buildings</t>
  </si>
  <si>
    <t>Leased vehicles</t>
  </si>
  <si>
    <t>Less accumulated amortization for leased assets</t>
  </si>
  <si>
    <t>Leases payable</t>
  </si>
  <si>
    <t>Revenue Bonds payable</t>
  </si>
  <si>
    <t>State Revolving Fund loan payable</t>
  </si>
  <si>
    <t>Excess pension - State Regulation</t>
  </si>
  <si>
    <t>Leases Payable</t>
  </si>
  <si>
    <t>Lease amortization</t>
  </si>
  <si>
    <t>Lease Amortization</t>
  </si>
  <si>
    <t>Accounts receivable - miscellaneous</t>
  </si>
  <si>
    <t>IT Leases</t>
  </si>
  <si>
    <t>`</t>
  </si>
  <si>
    <t>TAXABLE WATERWORKS DISTRICT REFUNDING REVENUE BONDS, SERIES 2020</t>
  </si>
  <si>
    <t>(------In thousands------)</t>
  </si>
  <si>
    <t>(--------------------------In Dollars--------------------------)</t>
  </si>
  <si>
    <t>OUTSTANDING WATERWORKS DISTRICT REVENUE BONDS, SERIES 2018A-1</t>
  </si>
  <si>
    <t>(--------In Dollars--------)</t>
  </si>
  <si>
    <t>OUTSTANDING WATERWORKS DISTRICT REVENUE BONDS, SERIES 2018A-2</t>
  </si>
  <si>
    <t>Principal payable annually January 1st and</t>
  </si>
  <si>
    <t>semi-annually on January 1st and July 1st, beginning on July 1, 2038.</t>
  </si>
  <si>
    <t>(-----------In Dollars------------)</t>
  </si>
  <si>
    <t>OUTSTANDING WATERWORKS DISTRICT REVENUE BONDS, SERIES 2019</t>
  </si>
  <si>
    <t>Principal payable annually January 1st, beginning January 1, 2021 and semi-annually</t>
  </si>
  <si>
    <t xml:space="preserve"> January 1st and July 1st, beginning on July 1, 2038.</t>
  </si>
  <si>
    <t>(1) $4,255,000 of Term Bonds due January 1, 2034.</t>
  </si>
  <si>
    <t>(2) $2,740,000 of Term Bonds due January 1, 2040.</t>
  </si>
  <si>
    <t>Series 2018A-1</t>
  </si>
  <si>
    <t>Series 2018A-2</t>
  </si>
  <si>
    <t>Series 2019</t>
  </si>
  <si>
    <t>Series 2020</t>
  </si>
  <si>
    <t>State revolving fund loan - current maturities</t>
  </si>
  <si>
    <t>The adjustment to net position is comprised of a prior period adjustment to reflect  depreciable</t>
  </si>
  <si>
    <t>capital assets and the associated accumulated depreciation for the contributed assets from developers</t>
  </si>
  <si>
    <t>for water mains.</t>
  </si>
  <si>
    <t>2021 IURC Rates</t>
  </si>
  <si>
    <t>EP/JD</t>
  </si>
  <si>
    <t>(12.60%)</t>
  </si>
  <si>
    <t>(5.55%)</t>
  </si>
  <si>
    <t>1/1/20 (a)</t>
  </si>
  <si>
    <t>1/1/21 (b)</t>
  </si>
  <si>
    <t>October 2019</t>
  </si>
  <si>
    <t>January 2020</t>
  </si>
  <si>
    <t>(In $1,000's)</t>
  </si>
  <si>
    <t>Series 2021</t>
  </si>
  <si>
    <t>Average annual debt service for the 5 bond years ending January 1, 2027.</t>
  </si>
  <si>
    <t>TAXABLE WATERWORKS DISTRICT REFUNDING REVENUE BONDS, SERIES 2021</t>
  </si>
  <si>
    <t>To adjust industrial revenues for the closure one of the top 10 users of the District, Pittsburgh Glass Works.</t>
  </si>
  <si>
    <t>starting January 1, 2020 and the Phase III 5.55% increase first billed starting January 1, 2021.</t>
  </si>
  <si>
    <t>(a) The Phase II 12.60% increase in rates and charges was first billed on January 1, 2020.</t>
  </si>
  <si>
    <t>at 9/30/20</t>
  </si>
  <si>
    <t>Excess pension - state regulation</t>
  </si>
  <si>
    <t>Principal due 1/1/21:</t>
  </si>
  <si>
    <t>2018A-1 Bonds</t>
  </si>
  <si>
    <t>2018A-2 Bonds</t>
  </si>
  <si>
    <t>2020 Bonds</t>
  </si>
  <si>
    <t>2021 Bonds</t>
  </si>
  <si>
    <t>Interest due 1/1/21:</t>
  </si>
  <si>
    <t>A. Individual Pre - 2017 Reserve Accounts</t>
  </si>
  <si>
    <t>The District has debt service reserve surety policies to satisfy this requirement for the outstanding</t>
  </si>
  <si>
    <t>B. SRF Post - 2017 Reserve Account</t>
  </si>
  <si>
    <t>The Post - 2017 Reserve account is equal to the maximum annual debt service on the bonds issued</t>
  </si>
  <si>
    <t>after 2017.  The balance for the Post - 2017 reserve account related to the 2018A Bonds shall equal</t>
  </si>
  <si>
    <t>$5,308,000 and was funded at closing with bond proceeds.  The balance for the account related to the</t>
  </si>
  <si>
    <t>2019 Bonds shall equal $2,807,031 and was funded at closing with bond proceeds.  The balance for</t>
  </si>
  <si>
    <t>the account related to the 2020 bonds shall equal $6,013,432.14 and was funded at closing with bond proceeds</t>
  </si>
  <si>
    <t>2018A Bonds</t>
  </si>
  <si>
    <t>employees, per the Utility 2021 Budget and the City Controller.</t>
  </si>
  <si>
    <t>per the Utility 2021 Budget and the City Controller.</t>
  </si>
  <si>
    <t>and the Utility 2021 Budget.</t>
  </si>
  <si>
    <t>(7 pumps over a 4 year cycle @ an average of $148,214 per pump)</t>
  </si>
  <si>
    <t>(6 pumps over a 4 year cycle @ and average of $171,419 per pump)</t>
  </si>
  <si>
    <t xml:space="preserve">(4 filter beds over 2 years @ $344,625 each) </t>
  </si>
  <si>
    <t>(3 year average $9,353)</t>
  </si>
  <si>
    <t>(2 pumps per year @ $20,637 each)</t>
  </si>
  <si>
    <t>(3 screens over a 4 year cycle @ an average annual amount of $554,385)</t>
  </si>
  <si>
    <t>($847,003 over 3 years)</t>
  </si>
  <si>
    <t>VIII.</t>
  </si>
  <si>
    <t>SCADA</t>
  </si>
  <si>
    <t>(Annual maintenance)</t>
  </si>
  <si>
    <t>Rate increases effective January 1, 2020 and January 1, 2021 were approved pursuant  to IURC Order in Cause No. 45073 on December 19, 2018.</t>
  </si>
  <si>
    <t>Trued-Up</t>
  </si>
  <si>
    <t>Month - 2021</t>
  </si>
  <si>
    <t>Present rates and charges approved by IURC pursuant to Cause No. 45073 on December 9, 2018 and</t>
  </si>
  <si>
    <t>became effective on January 1, 2021.</t>
  </si>
  <si>
    <t>PROPOSED WATERWORKS DISTRICT REVENUE BONDS, SERIES 2022</t>
  </si>
  <si>
    <t>Proprty insurance</t>
  </si>
  <si>
    <t>Administration - Contractual Services</t>
  </si>
  <si>
    <t>2019 Refunding Bonds</t>
  </si>
  <si>
    <t>March 2020</t>
  </si>
  <si>
    <t>July 2020</t>
  </si>
  <si>
    <t>February 2020</t>
  </si>
  <si>
    <t>Replace concrete driveway</t>
  </si>
  <si>
    <t>rates (average bill calculated assuming 1" meter assuming consumption for the 12 months ended 9/30/20).</t>
  </si>
  <si>
    <t>EFP LLC</t>
  </si>
  <si>
    <t>The Post House</t>
  </si>
  <si>
    <t>Wasabi Evansville</t>
  </si>
  <si>
    <t>Casey's General Store</t>
  </si>
  <si>
    <t>Parks Department</t>
  </si>
  <si>
    <t>J &amp; D Dean LLC</t>
  </si>
  <si>
    <t>Number of Bills in</t>
  </si>
  <si>
    <t>October, 2019</t>
  </si>
  <si>
    <t>January, 2020</t>
  </si>
  <si>
    <t>Pro forma revenues</t>
  </si>
  <si>
    <t>Less normalized revenues from operations prior to closure</t>
  </si>
  <si>
    <t>by Element Three, per utility management and contract.</t>
  </si>
  <si>
    <t>not anticipated to continue, per utility management and contracts.</t>
  </si>
  <si>
    <t>Advanced Network test year fees (9001-431061)</t>
  </si>
  <si>
    <t>per utility management budget.</t>
  </si>
  <si>
    <t>per utility management and contact.</t>
  </si>
  <si>
    <t>To adjust the test year for the Frakes Engineering contract, per management.</t>
  </si>
  <si>
    <t>Advanced Network 2021 budget - ANCS Managed Services</t>
  </si>
  <si>
    <t>Adjustment 12 - Lease</t>
  </si>
  <si>
    <t>Leases</t>
  </si>
  <si>
    <t>Adjustment 13 - Normalization Adjustment</t>
  </si>
  <si>
    <t>(Per Utility Management and Consulting Engineers)</t>
  </si>
  <si>
    <t>Bond Issue</t>
  </si>
  <si>
    <t>ESTIMATED PROJECT COSTS:</t>
  </si>
  <si>
    <t>with WIFIA</t>
  </si>
  <si>
    <t>Financing</t>
  </si>
  <si>
    <t>Estimated Construction, Engineering and Contingency Costs: *</t>
  </si>
  <si>
    <t>Water Treatment Plant</t>
  </si>
  <si>
    <t>Water Treatment Plant - Relocation of City Garage</t>
  </si>
  <si>
    <t>Road Relocations</t>
  </si>
  <si>
    <t>Total Estimated Construction, Engineering</t>
  </si>
  <si>
    <t xml:space="preserve">     and Contingency Costs</t>
  </si>
  <si>
    <t>Underwriter's discount (1%)</t>
  </si>
  <si>
    <t>Preliminary engineering report</t>
  </si>
  <si>
    <t xml:space="preserve">Allowance for legal, bond counsel, financial advisory, </t>
  </si>
  <si>
    <t xml:space="preserve">   bond issuance costs and rounding</t>
  </si>
  <si>
    <t>ESTIMATED PROJECT FUNDING:</t>
  </si>
  <si>
    <t>Proposed Waterworks District Revenue Bonds - OM</t>
  </si>
  <si>
    <t>Proposed Waterworks District Revenue Bonds - SRF</t>
  </si>
  <si>
    <t>Total Estimated Project Funding</t>
  </si>
  <si>
    <t>* Assume estimates for AIS, Davis-Bacon Wage Requirement, Environmental Review, etc..</t>
  </si>
  <si>
    <t>Dated Date</t>
  </si>
  <si>
    <t>First int</t>
  </si>
  <si>
    <t>days</t>
  </si>
  <si>
    <t>years</t>
  </si>
  <si>
    <t>Interest payable on January 1st and July 1st, beginning January 1. 2023.</t>
  </si>
  <si>
    <t>months</t>
  </si>
  <si>
    <t>(Open Market)</t>
  </si>
  <si>
    <t>(------ In $1,000's-------)</t>
  </si>
  <si>
    <t>(-------------------In Dollars-------------------)</t>
  </si>
  <si>
    <t>Principal payable on January 1st, beginning January 1, 2026.</t>
  </si>
  <si>
    <t>Interest payable on January 1st and July 1st, beginning January 1, 2023.</t>
  </si>
  <si>
    <t>(SRF Bond Issue)</t>
  </si>
  <si>
    <t>Rate*</t>
  </si>
  <si>
    <t>Subtotals carried forward:</t>
  </si>
  <si>
    <t>Road Relocates</t>
  </si>
  <si>
    <t>Planning</t>
  </si>
  <si>
    <t>CES/RPR</t>
  </si>
  <si>
    <t>Plant Replacement, Demo and Relocation</t>
  </si>
  <si>
    <t>Plant Replacement, CES/RPR</t>
  </si>
  <si>
    <t>Plant Replacement, Phase I</t>
  </si>
  <si>
    <t>Plant Replacement, Phase II</t>
  </si>
  <si>
    <t>Plant Replacement, Phase III</t>
  </si>
  <si>
    <t>Plant Replacement, Phase IV</t>
  </si>
  <si>
    <t>Plant Replacement, Phase V</t>
  </si>
  <si>
    <t>Road Relocation Projects</t>
  </si>
  <si>
    <t>Road VC Oak Hill Road, Lynch to St. George</t>
  </si>
  <si>
    <t>Road VC Boonville New Harmony, Petersburg to SR57</t>
  </si>
  <si>
    <t>Road EVV Walnut Phase 3, MLK to US41</t>
  </si>
  <si>
    <t>Road INDOT Lloyd Expwy, Rosenberger to Epworth</t>
  </si>
  <si>
    <t>Road VC Oak Hill Road, Eastwood to Millersburg</t>
  </si>
  <si>
    <t>Campground Booster Station Electrical Imrpovements</t>
  </si>
  <si>
    <t>Killian Booster Station Improvements</t>
  </si>
  <si>
    <t>Charlotte Avenue and Russell Avenue - Construction</t>
  </si>
  <si>
    <t>Cardinal Drive, Stringtown to North Kentucky - Design</t>
  </si>
  <si>
    <t>Cardinal Drive, Stringtown to North Kentucky - Construction</t>
  </si>
  <si>
    <t>Franklin Street, Tekoppel to Schreeder - Design</t>
  </si>
  <si>
    <t>Franklin Street, Tekoppel to Schreeder - Construction</t>
  </si>
  <si>
    <t>South Evergreen Acres Neighborhood - Design</t>
  </si>
  <si>
    <t>South Evergreen Acres Neighborhood - Construction</t>
  </si>
  <si>
    <t>East Mill Road and Weaver Road - Design</t>
  </si>
  <si>
    <t>Poplar Grove Neighborhood, West of Addison - Design</t>
  </si>
  <si>
    <t>Poplar Grove Neighborhood, West of Addison - Construction</t>
  </si>
  <si>
    <t>Mount Vernon Road, Vaness Avenue to Harmony Way - Design</t>
  </si>
  <si>
    <t>East Mill Road and Weaver Road - Construction</t>
  </si>
  <si>
    <t>Indiana Street, Illinois Street, and Franklin Street - Design</t>
  </si>
  <si>
    <t>Indiana Street, Illinois Street, and Franklin Street - Construction</t>
  </si>
  <si>
    <t>Mount Vernon Road, Vaness Avenue to Harmony Way - Construction</t>
  </si>
  <si>
    <t>Broadway Phase II - Design</t>
  </si>
  <si>
    <t>Broadway Phase II - Construction</t>
  </si>
  <si>
    <t>North Ballard Neighborhood - Design</t>
  </si>
  <si>
    <t>North Ballard Neighborhood - Construction</t>
  </si>
  <si>
    <t>Mill Road, West of St Joseph - Design</t>
  </si>
  <si>
    <t>Mill Road, West of St Joseph - Construction</t>
  </si>
  <si>
    <t>Moffett Lane, Browning Road, and Viehe Drive - Design</t>
  </si>
  <si>
    <t>Moffett Lane, Browning Road, and Viehe Drive - Construction</t>
  </si>
  <si>
    <t>Downtown Area Between Martin Luther King Jr Blvd and Morton Avenue, North of Walnut - Design</t>
  </si>
  <si>
    <t>Downtown Area Between Martin Luther King Jr Blvd and Morton Avenue, North of Walnut - Construction</t>
  </si>
  <si>
    <t>Governor Street, Canal to Delaware - Design</t>
  </si>
  <si>
    <t>Governor Street, Canal to Delaware - Construction</t>
  </si>
  <si>
    <t>Dump Truck Replacement</t>
  </si>
  <si>
    <t>Backhoe Replacement</t>
  </si>
  <si>
    <t>Autoflush Devices</t>
  </si>
  <si>
    <t>New Hydrants</t>
  </si>
  <si>
    <t>Resetters</t>
  </si>
  <si>
    <t>Utilities Power Operating Equipment</t>
  </si>
  <si>
    <t>Filter Bed Rehab</t>
  </si>
  <si>
    <t>Annual Residential Meters</t>
  </si>
  <si>
    <t>Annual Industrial Meters</t>
  </si>
  <si>
    <t>2022</t>
  </si>
  <si>
    <t>(SRF Bonds)</t>
  </si>
  <si>
    <t>Phase IV</t>
  </si>
  <si>
    <t>Phase V</t>
  </si>
  <si>
    <t>Phase IV (5)</t>
  </si>
  <si>
    <t>Phase V (6)</t>
  </si>
  <si>
    <r>
      <t>Volume Charge</t>
    </r>
    <r>
      <rPr>
        <sz val="12"/>
        <rFont val="Times New Roman"/>
        <family val="1"/>
      </rPr>
      <t xml:space="preserve">  </t>
    </r>
  </si>
  <si>
    <t>(In addition to monthly service charge)</t>
  </si>
  <si>
    <t>Less accumulated depreciation at 9/30/20 (Unaudited)</t>
  </si>
  <si>
    <t>* Per Indiana Department of Local Government Finance ("DLGF") 2020 pay 2021.</t>
  </si>
  <si>
    <t>Road Relocates:</t>
  </si>
  <si>
    <t>Engineering:</t>
  </si>
  <si>
    <t>Mercury/TSS Treatment process</t>
  </si>
  <si>
    <t>Divided by 5 years</t>
  </si>
  <si>
    <t>Planning:</t>
  </si>
  <si>
    <t xml:space="preserve">             Totals Carried Forward</t>
  </si>
  <si>
    <t xml:space="preserve">                         Net annual operating capital</t>
  </si>
  <si>
    <t xml:space="preserve">             Less proposed SRF bond funding</t>
  </si>
  <si>
    <t xml:space="preserve">             Less proposed revenue bond funding</t>
  </si>
  <si>
    <t>Adjustment 13 - Additional Operating and Maintenance Expenses - Sewer</t>
  </si>
  <si>
    <t>Advanced Network Contract (annual 3% increase) (9013-431050)</t>
  </si>
  <si>
    <t>Subtotal</t>
  </si>
  <si>
    <t>Declining</t>
  </si>
  <si>
    <t>Forward</t>
  </si>
  <si>
    <t>Looking Test</t>
  </si>
  <si>
    <t>Customer Count as of 11/25/2020</t>
  </si>
  <si>
    <t>General CPI</t>
  </si>
  <si>
    <t>Medical</t>
  </si>
  <si>
    <t>Life Insurance</t>
  </si>
  <si>
    <t>Professional Services</t>
  </si>
  <si>
    <t xml:space="preserve">Maintenance </t>
  </si>
  <si>
    <t>Supplies - Tools/hardware</t>
  </si>
  <si>
    <t>Rent &amp; Shelter</t>
  </si>
  <si>
    <t>Property and Casualty Insurance</t>
  </si>
  <si>
    <t>Salaries and Wages</t>
  </si>
  <si>
    <t>Assumes a 1.44% annual increase based on the average increase for union employees from 2013 - 2021.</t>
  </si>
  <si>
    <t>Electricity</t>
  </si>
  <si>
    <t>Supplies - Office supplies/Station</t>
  </si>
  <si>
    <t>Employees</t>
  </si>
  <si>
    <t>Inflationary</t>
  </si>
  <si>
    <t>Plus additional employees added</t>
  </si>
  <si>
    <t>Adjustment for</t>
  </si>
  <si>
    <t>Open Market</t>
  </si>
  <si>
    <t>SRF Pooled Financing</t>
  </si>
  <si>
    <t>SCHEDULE OF PROPROSED COMBINED BOND AMORTIZATION</t>
  </si>
  <si>
    <t>See pro forma tank maintenance</t>
  </si>
  <si>
    <t>general expenses, per utility's approved 2020 and 2021 budget adjusted for one staff addition in 2022.</t>
  </si>
  <si>
    <t>at the current rates and charges per information provided by utility personnel.</t>
  </si>
  <si>
    <t>Assumes the following percentage reduction:</t>
  </si>
  <si>
    <t>(b) Phase III rates were effective beginning January 1, 2021.</t>
  </si>
  <si>
    <t xml:space="preserve">  the 3-year historical average from 2017-2019 (0.56%).</t>
  </si>
  <si>
    <t>Principal payable on January 1st, beginning January 1, 2036.</t>
  </si>
  <si>
    <t>Redemption of revenue bonds</t>
  </si>
  <si>
    <t>Proceeds from refunding revenue bonds</t>
  </si>
  <si>
    <t>Net cash from noncapital financing activities</t>
  </si>
  <si>
    <t>Series 2014B Bonds and the Series 2016B Bonds. The Series 2013C and 2016A Bonds each have cash</t>
  </si>
  <si>
    <t>funded debt service reserve requirements.  The balance of the account related to the Series 2013C</t>
  </si>
  <si>
    <t>Bonds shall equal $1,561,314 when fully funded. The balance of the account related to the 2016A Bonds</t>
  </si>
  <si>
    <t>shall equal $3,605,161 and was funded at closing on the bonds.</t>
  </si>
  <si>
    <t>($3,006,000) and a debt service reserve surety policy ($3,007,423.14).</t>
  </si>
  <si>
    <t xml:space="preserve"> is normally reserved at all times to provide for annual capital replacements and improvements.</t>
  </si>
  <si>
    <t>No minimum balance required per the bond resolution. However, an amount equal to one year's annual depreciation expense</t>
  </si>
  <si>
    <t xml:space="preserve">COVID </t>
  </si>
  <si>
    <t>Usage (B)</t>
  </si>
  <si>
    <t>Industrial - Normalization adjustment already accounted for in adjustment number 7.</t>
  </si>
  <si>
    <t xml:space="preserve">(B) </t>
  </si>
  <si>
    <t>Less increase calculated in adjustment #6 below</t>
  </si>
  <si>
    <t xml:space="preserve">     Reduction in revenues from declining usage</t>
  </si>
  <si>
    <t>Assumes a 2.54% annual increase based on the average increase from 1988-2019.</t>
  </si>
  <si>
    <t>Assumes a 3.26% annual increase based on the average increase from 1988-2019.</t>
  </si>
  <si>
    <t>Assumes a 6.33% annual increase based on the average increase from 2012-2019.</t>
  </si>
  <si>
    <t>Assumes a 3.20% annual increase based on the average increase from 1990-2019.</t>
  </si>
  <si>
    <t>Assumes a 4.77% annual increase based on the average increase from 1988-2019.</t>
  </si>
  <si>
    <t>Assumes a 1.79% annual increase based on the average increase from 1988-2019.</t>
  </si>
  <si>
    <t>Assumes a 4.70% annual increase based on the average increase from 1988-2019.</t>
  </si>
  <si>
    <t>Assumes a -0.27% annual increase based on the average increase from 1997-2019.</t>
  </si>
  <si>
    <t>Assumes a 2.63% annual increase based on the average increase from 2003-2019.</t>
  </si>
  <si>
    <t>Assumes a -0.96% annual increase based on the average increase from 1988-2019.</t>
  </si>
  <si>
    <t>Assumes a 2.95% annual increase based on the average increase from 1988-2019.</t>
  </si>
  <si>
    <t>Assumes a 0.95% annual increase based on the average increase from 1988-2019.</t>
  </si>
  <si>
    <t>(--------------------------------In Dollars--------------------------------)</t>
  </si>
  <si>
    <t xml:space="preserve">Capitalized </t>
  </si>
  <si>
    <t>(-----------------------------In Dollars-----------------------------)</t>
  </si>
  <si>
    <t>Adjustment (5) Cont'd</t>
  </si>
  <si>
    <t>Adjustment (7)</t>
  </si>
  <si>
    <t>Minimum Balance Recommended</t>
  </si>
  <si>
    <t>Note: The 2021 Refunding Bonds advance refunded the 2013C and the 2014B Bonds on February 25, 2021.</t>
  </si>
  <si>
    <t>2013C Bonds (refunded on February 25, 2021)</t>
  </si>
  <si>
    <t xml:space="preserve">GASB 89 for financial reporting periods after December 15, 2019, no longer allowed interest costs incurred before the end of the </t>
  </si>
  <si>
    <t xml:space="preserve">construction period to be capitalized as a costs of the project and should be expensed in period incurred. </t>
  </si>
  <si>
    <t xml:space="preserve"> is disbursed to the Sewage Works.</t>
  </si>
  <si>
    <t xml:space="preserve">   Inside City (c)</t>
  </si>
  <si>
    <t xml:space="preserve">   Outside City (c)</t>
  </si>
  <si>
    <t xml:space="preserve">   Flat rate sprinklers (d)</t>
  </si>
  <si>
    <t>Forfeited discounts (e)</t>
  </si>
  <si>
    <t>(e) Assumes forfeited discounts are normalized post COVID-19. Calculation is based on normalized collections multiplied by</t>
  </si>
  <si>
    <t>(d) Billed on an annual basis - billed February 2020.</t>
  </si>
  <si>
    <t xml:space="preserve">(c) The billing system is still step up with customers categorized as Inside or Outside even though there is no </t>
  </si>
  <si>
    <t xml:space="preserve">  differential in rates. </t>
  </si>
  <si>
    <t>The Sewage Works pays for 75% of the City/County IT Contract through the sewer utility portion of general expenses.</t>
  </si>
  <si>
    <t>Temporary Meter Deposit</t>
  </si>
  <si>
    <t>Average annual debt service for the 5 bond years ending January 1, 2031.</t>
  </si>
  <si>
    <t>* Assumed based on NIC of SRF OM Issuance (October 2022).</t>
  </si>
  <si>
    <t>Capitalized Interest - OM</t>
  </si>
  <si>
    <t>Capitalized Interest - SRF</t>
  </si>
  <si>
    <t>New Water Treatment Plant:</t>
  </si>
  <si>
    <t>Net Position - Adjustment (4)</t>
  </si>
  <si>
    <t>Includes the reimbursement of the IT contract from the City and the County. 75% of the reimbursement received by the Waterworks District</t>
  </si>
  <si>
    <t>Less pension account funding</t>
  </si>
  <si>
    <t>Advanced Network 2021 budget - Business Liaison Services</t>
  </si>
  <si>
    <t>Plus proposed improvement projects - (2022 - 2026)</t>
  </si>
  <si>
    <t>Times pro forma 2021 corporate tax rate (divided by $100) *</t>
  </si>
  <si>
    <t>2022 Bonds - OM</t>
  </si>
  <si>
    <t>2022 Bonds - SRF</t>
  </si>
  <si>
    <t>To reflect the annual funding of the debt service reserve requirement for the proposed bonds.</t>
  </si>
  <si>
    <t>Phase I*</t>
  </si>
  <si>
    <t>Required annual transfer to the debt service reserve - 2022 OM Bonds</t>
  </si>
  <si>
    <t>Required annual transfer to the debt service reserve - 2022 SRF Bonds</t>
  </si>
  <si>
    <t>Less prior phase amounts</t>
  </si>
  <si>
    <t>Less prior year funding amount</t>
  </si>
  <si>
    <t>Phase V*</t>
  </si>
  <si>
    <t>Less: adjustment to exclude non-recurring items</t>
  </si>
  <si>
    <t>*Phase V is based on the proposed maximum annual combined debt service.</t>
  </si>
  <si>
    <t>All other cash expenses</t>
  </si>
  <si>
    <t>Adjustment 14 - Forward Adjustments</t>
  </si>
  <si>
    <t>BLS Inflationary Adjustment</t>
  </si>
  <si>
    <t>Reference</t>
  </si>
  <si>
    <t>* Phase I assumes 6 monthly transfers on the proposed 2022 Open Market Bonds and 3 months of Transfers on the proposed 2022 SRF Bonds.</t>
  </si>
  <si>
    <t>Plus additional revenues from the City/County IT reimbursement</t>
  </si>
  <si>
    <t>Phase II - V</t>
  </si>
  <si>
    <t>COVID Percentage</t>
  </si>
  <si>
    <t>Times factor for two months</t>
  </si>
  <si>
    <t>(Subject to the attached letter dated April 20, 2021)</t>
  </si>
  <si>
    <t>Reduction in revenues from declining usage **</t>
  </si>
  <si>
    <t>Reduction in revenues from declining usage**</t>
  </si>
  <si>
    <t>commercial and public authority.</t>
  </si>
  <si>
    <t>Less base period expense</t>
  </si>
  <si>
    <t>To adjust base period expense to reflect salary budget for 2021 adopted by the Utility Board.</t>
  </si>
  <si>
    <t>FORWARD LOOKING TEST YEAR ANNUAL CASH OPERATING EXPENSES</t>
  </si>
  <si>
    <t>Total Cash Operating Expenses</t>
  </si>
  <si>
    <t>F-TY</t>
  </si>
  <si>
    <t xml:space="preserve">To adjust the base period for the marketing communication contract for public outreach and communications </t>
  </si>
  <si>
    <t>Less base period expense (Fire &amp; Rain contract replaced by Element Three)</t>
  </si>
  <si>
    <t>To adjust the base period for one time marketing, website and public relations contract fee,</t>
  </si>
  <si>
    <t>To adjust the base period for the renewed printing/billing/electronic payments contract for EWSU, per utility management</t>
  </si>
  <si>
    <t>Lest base period amount</t>
  </si>
  <si>
    <t>To adjust the base period for the customer engagement and analytics on a mobile platform contract for EWSU,</t>
  </si>
  <si>
    <t>Less base period amount</t>
  </si>
  <si>
    <t>To adjust the base period to move the Advanced Network contract for GIS Services from 9001 to 9013,</t>
  </si>
  <si>
    <t>Less base period amount (27 pays)</t>
  </si>
  <si>
    <t>To adjust the base year for 12 months of the Advanced Network contract for ANCS Managed Services,</t>
  </si>
  <si>
    <t>Less base period amount (13 payments)</t>
  </si>
  <si>
    <t>To adjust the base period to exclude services provided by WFIE, LLC for EDW APP Launch Campaign which is</t>
  </si>
  <si>
    <t xml:space="preserve">To adjust the base period for the measurement and verification services per the Guaranteed Performance Contract </t>
  </si>
  <si>
    <t>On call water modeling services (per Deputy Director - Engineering)</t>
  </si>
  <si>
    <t>To adjust the base period for GIS editing services. (Frontier Geospatial)</t>
  </si>
  <si>
    <t>To adjust the base period to normalize Utility Receipts Tax ("URT") expense.</t>
  </si>
  <si>
    <t>* Calculated by dividing the base period bad debt expense by the residential and commercial revenues.</t>
  </si>
  <si>
    <t>To adjust the base period to include the increase in the annual vehicle lease payments.</t>
  </si>
  <si>
    <t>To adjust the base period for the Engineering and Planning Department to reflect an increase to contractual services</t>
  </si>
  <si>
    <t>To adjust the base year to allow for periodic maintenance on the pumps, filter media, water intake structure,</t>
  </si>
  <si>
    <t>Times: Bad debt % for the base period *</t>
  </si>
  <si>
    <t>To adjust the base period to include the increase in the annual office space rental payments (Professional Plaza)</t>
  </si>
  <si>
    <t>Base Period</t>
  </si>
  <si>
    <t>Annualized revenue</t>
  </si>
  <si>
    <t>Total base period revenue</t>
  </si>
  <si>
    <t>Less amount for 2021</t>
  </si>
  <si>
    <t>Less amount for 2020</t>
  </si>
  <si>
    <t>Less base period fire protection service revenues</t>
  </si>
  <si>
    <t>To adjust the base period fire protection revenues to reflect the current number of connections</t>
  </si>
  <si>
    <t>To adjust the base period metered operating revenues for a full year of the Phase II 12.60% rate increase first billed</t>
  </si>
  <si>
    <t xml:space="preserve">FORWARD LOOKING TEST YEAR ANNUAL REVENUE REQUIREMENTS </t>
  </si>
  <si>
    <t>Forward Looking Test Year</t>
  </si>
  <si>
    <t>Less base period amount (see page 35) and phase I &amp; II</t>
  </si>
  <si>
    <t>Phase I is based on the debt service payments on the outstanding and proposed bonds for the bond year ending January 1, 2023.</t>
  </si>
  <si>
    <t>Phase III is based on the debt service payments on the outstanding and proposed bonds for the bond year ending January 1, 2025.</t>
  </si>
  <si>
    <t>Phase IV is based on the debt service payments on the outstanding and proposed bonds for the bond year ending January 1, 2026.</t>
  </si>
  <si>
    <t>Phase V is based on the maximum annual combined debt service payments on the outstanding and proposed bonds.</t>
  </si>
  <si>
    <t>To normalize base period other nonoperating income to exclude non-recurring nonoperating income.</t>
  </si>
  <si>
    <t>Base period other nonoperating income</t>
  </si>
  <si>
    <t>Nonoperating Income</t>
  </si>
  <si>
    <t>Normalized operating revenues for Phases I, II, III, IV and V calculated as follows:</t>
  </si>
  <si>
    <t>Less prior base period and prior phases</t>
  </si>
  <si>
    <t>FORWARD LOOKING TEST YEAR FINANCIAL INFORMATION</t>
  </si>
  <si>
    <t>Adjustment to normalize base period revenues for the effects of COVID on base period operating revenues for the months of March through September of 2020.</t>
  </si>
  <si>
    <t xml:space="preserve">Base year reduction due to declining usage as shown on page 18. Phase II adjustment based on the aggregate ratio of 2.25% for the residential, </t>
  </si>
  <si>
    <t>Residential - (2.5%)</t>
  </si>
  <si>
    <t>Commercial - (1.8%)</t>
  </si>
  <si>
    <t>Public Authority - (2.0%)</t>
  </si>
  <si>
    <t>Phase II is based on the debt service payments on the outstanding and proposed bonds for the bond year ending January 1, 2024.</t>
  </si>
  <si>
    <t>Phase I nonoperating income</t>
  </si>
  <si>
    <t>To adjust the test year for the reimbursement from the sewer utility for its portion of shared billing</t>
  </si>
  <si>
    <t>Adjustment 12</t>
  </si>
  <si>
    <t xml:space="preserve">The sewer portion of general expenses has been adjusted for the additional employees added during the forward test year period. A portion of their salaries and wages </t>
  </si>
  <si>
    <t>and benefits will be reimbursed to the Water Utility.</t>
  </si>
  <si>
    <t>effective on April 1, 2023.</t>
  </si>
  <si>
    <t>effective on April 1, 2024.</t>
  </si>
  <si>
    <t>effective on April 1, 2025.</t>
  </si>
  <si>
    <t>effective on April 1, 2026.</t>
  </si>
  <si>
    <t>users added to the system from the beginning of the historic base period (based on billing records).</t>
  </si>
  <si>
    <t>users removed from the system from the beginning of the historic base period (based on billing records).</t>
  </si>
  <si>
    <t>Before Inflation</t>
  </si>
  <si>
    <t>To adjust the Test Year Before Inflation cash operating expenses for the historical inflation as reported by the Bureau of Labor Statistics ("BLS").</t>
  </si>
  <si>
    <t>Test year before inflation sewer and water - on call modeling services</t>
  </si>
  <si>
    <t>Test year before inflation sewer - on-call sewer inspections</t>
  </si>
  <si>
    <t>Test year before inflation sewer and water - facility locating services</t>
  </si>
  <si>
    <t xml:space="preserve">Test year before inflation - sewer basin modeling/calibration </t>
  </si>
  <si>
    <t>Test year before inflation - large diameter inspections</t>
  </si>
  <si>
    <t>Test year before inflation 2021 lease payment</t>
  </si>
  <si>
    <t>Test year before inflation revenues subject to URT</t>
  </si>
  <si>
    <t>Test year before inflation URT expense</t>
  </si>
  <si>
    <t>Test year before inflation amount</t>
  </si>
  <si>
    <t>Test year before inflation one time contract expense for Element Three</t>
  </si>
  <si>
    <t>Test year before inflation contract for Element Three</t>
  </si>
  <si>
    <t>Test year before inflation period teamster's scholarship fund expense</t>
  </si>
  <si>
    <t>Test year before inflation workman's compensation expense</t>
  </si>
  <si>
    <t>Test year before inflation annual health and life insurance</t>
  </si>
  <si>
    <t>Test year before inflation PERF expense</t>
  </si>
  <si>
    <t>Test year before inflation salaries and wages expense</t>
  </si>
  <si>
    <t>Test year before inflation FICA expense</t>
  </si>
  <si>
    <t>Test year before inflation payroll expense</t>
  </si>
  <si>
    <t xml:space="preserve">To adjust base period FICA expense to reflect the test year before inflation salaries and wages expense. </t>
  </si>
  <si>
    <t>To adjust base period PERF expense to reflect the test year before inflation salaries and wages expense at the</t>
  </si>
  <si>
    <t>To adjust the base period to reflect the test year before inflation health and life insurance expense adjusted for the additional</t>
  </si>
  <si>
    <t xml:space="preserve">To adjust the base period to reflect the test year before inflation workman's compensation adjusted for the additional employees, </t>
  </si>
  <si>
    <t>To adjust the base period to reflect the test year before inflation teamster's scholarship fund expense, per the teamster's contract</t>
  </si>
  <si>
    <t>To adjust the base period to reflect the test year before inflation contractual services expense, per the contractual service</t>
  </si>
  <si>
    <t>Test year before inflation fire protection service revenues</t>
  </si>
  <si>
    <t>Test year before inflation sewer utility reimbursement to water for shared costs</t>
  </si>
  <si>
    <t>Before</t>
  </si>
  <si>
    <t>To adjust the base period for the Duane Giles Consulting LLC contract.</t>
  </si>
  <si>
    <t>To adjust the base period for the credit card convince fees billed by First Billing.</t>
  </si>
  <si>
    <t>To adjust the base period for the Innovyze contract, per management.</t>
  </si>
  <si>
    <t>To adjust the base period for the asset management development assistance program. (Arcadis U.S. Inc.)</t>
  </si>
  <si>
    <t xml:space="preserve">      base period rates (average bill calculated assuming 5/8" meter).</t>
  </si>
  <si>
    <t>To adjust the base period for growth in commercial and industrial customers added during the base period that are</t>
  </si>
  <si>
    <t>Program Management Planning</t>
  </si>
  <si>
    <t>CES/RPR - Road Relocation Projects/Program Management Planning</t>
  </si>
  <si>
    <t>See "Accounting Workpapers Book 1, pages 6 - 19."</t>
  </si>
  <si>
    <t>See "Accounting Workpapers Book 1, pages 20 - 24."</t>
  </si>
  <si>
    <t>See "Accounting Workpapers Book 1, pages 25 - 26."</t>
  </si>
  <si>
    <t>See "Accounting Workpapers Book 1, pages 37 - 48."</t>
  </si>
  <si>
    <t>See "Accounting Workpapers Book 1, pages 49 - 54."</t>
  </si>
  <si>
    <t>See "Accounting Workpapers Book 1, pages 55 - 58."</t>
  </si>
  <si>
    <t>See "Accounting Workpapers Book 1, pages 59 - 79."</t>
  </si>
  <si>
    <t>See "Accounting Workpapers Book 1, page 80 - 117."</t>
  </si>
  <si>
    <t>See "Accounting Workpapers Book 1, pages 118 - 142."</t>
  </si>
  <si>
    <t>See "Accounting Workpapers Book 1, pages 143 - 144."</t>
  </si>
  <si>
    <t>See "Accounting Workpapers Book 1, pages 145 - 146."</t>
  </si>
  <si>
    <t>See "Accounting Workpapers Book 1, pages 147 - 151."</t>
  </si>
  <si>
    <t>See "Accounting Workpapers Book 1, pages 152 - 176."</t>
  </si>
  <si>
    <t>See "Accounting Workpapers Book 1, pages 177 - 191."</t>
  </si>
  <si>
    <t>See "Accounting Workpapers Book 2, pages 194 - 198."</t>
  </si>
  <si>
    <t>See "Accounting Workpapers Book 2, pages 199 - 215."</t>
  </si>
  <si>
    <t>See "Accounting Workpapers Book 2, pages 216 - 219."</t>
  </si>
  <si>
    <t>See "Accounting Workpapers Book 2, pages 220 - 222."</t>
  </si>
  <si>
    <t>See "Accounting Workpapers Book 2, pages 223 - 228."</t>
  </si>
  <si>
    <t>See "Accounting Workpapers Book 2, pages 229 - 231."</t>
  </si>
  <si>
    <t>See "Accounting Workpapers Book 2, pages 232 - 233."</t>
  </si>
  <si>
    <t>See "Accounting Workpapers Book 2, pages 234 - 237."</t>
  </si>
  <si>
    <t>To adjust the base period for adjustment to bad debt expense for the normalization of metered revenue, see page 18.</t>
  </si>
  <si>
    <t>To adjust the base period residential revenues to normalize for the estimated financial effects of approximately 792</t>
  </si>
  <si>
    <t>(b) Estimated monthly bill assuming average residential consumption of 3,379 gallons priced at</t>
  </si>
  <si>
    <t>To adjust the base period commercial revenues to normalize for the estimated financial effects of approximately 30</t>
  </si>
  <si>
    <t>Estimated monthly bill assuming average commercial consumption of 38,950 gallons priced at base period</t>
  </si>
  <si>
    <t>To adjust the base period public authority revenues to normalize for the estimated financial effects of approximately 3</t>
  </si>
  <si>
    <t>Estimated monthly bill assuming average public authority consumption of 97,643 gallons priced at base period</t>
  </si>
  <si>
    <t>Monthly Bill (Presently $39.94 for 5,000 Gallons)</t>
  </si>
  <si>
    <t>See ''Forward Looking Test Year Annual Cash Operating Expenses'' pages 11 to 17.</t>
  </si>
  <si>
    <t>See Explanation of Adjustments, pages 12 to 17.</t>
  </si>
  <si>
    <t>City of Evansville</t>
  </si>
  <si>
    <t>Workpaper DLB-1</t>
  </si>
  <si>
    <t>Cause No. 45545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</si>
</sst>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mm/dd/yy"/>
    <numFmt numFmtId="166" formatCode="0.0%"/>
    <numFmt numFmtId="167" formatCode="_(&quot;$&quot;* #,##0_);_(&quot;$&quot;* \(#,##0\);_(&quot;$&quot;* &quot;-&quot;??_);_(@_)"/>
    <numFmt numFmtId="168" formatCode="#,##0.000_);\(#,##0.000\)"/>
    <numFmt numFmtId="169" formatCode="#,##0.0000_);\(#,##0.0000\)"/>
    <numFmt numFmtId="170" formatCode="&quot;$&quot;#,##0"/>
    <numFmt numFmtId="171" formatCode="&quot;$&quot;#,##0.00"/>
    <numFmt numFmtId="172" formatCode="_(* #,##0.000_);_(* \(#,##0.000\);_(* &quot;-&quot;??_);_(@_)"/>
    <numFmt numFmtId="173" formatCode="0_)"/>
    <numFmt numFmtId="174" formatCode="_(* #,##0_);_(* \(#,##0\);_(* &quot;-&quot;??_);_(@_)"/>
    <numFmt numFmtId="175" formatCode="#,##0.0000"/>
    <numFmt numFmtId="176" formatCode="0.0"/>
    <numFmt numFmtId="177" formatCode="0.00000000"/>
    <numFmt numFmtId="178" formatCode="_(* #,##0.000000_);_(* \(#,##0.000000\);_(* &quot;-&quot;??_);_(@_)"/>
    <numFmt numFmtId="179" formatCode="[$-409]mmmm\ d\,\ yyyy;@"/>
    <numFmt numFmtId="180" formatCode="0.0000_);\(0.0000\)"/>
    <numFmt numFmtId="181" formatCode="#,##0.00000_);\(#,##0.00000\)"/>
    <numFmt numFmtId="182" formatCode="[$-409]mmm\-yy;@"/>
    <numFmt numFmtId="183" formatCode="mm/dd/yy;@"/>
    <numFmt numFmtId="184" formatCode="0.000%"/>
    <numFmt numFmtId="185" formatCode="#,##0.000"/>
    <numFmt numFmtId="186" formatCode="#,##0.00000000000_);\(#,##0.00000000000\)"/>
    <numFmt numFmtId="187" formatCode="&quot;$&quot;#,##0.000_);\(&quot;$&quot;#,##0.000\)"/>
    <numFmt numFmtId="188" formatCode="0.000"/>
    <numFmt numFmtId="189" formatCode="&quot;$&quot;#,##0.0_);\(&quot;$&quot;#,##0.0\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sz val="12"/>
      <name val="Arial"/>
      <family val="2"/>
    </font>
    <font>
      <b/>
      <i/>
      <u/>
      <sz val="12"/>
      <name val="Times New Roman"/>
      <family val="1"/>
    </font>
    <font>
      <sz val="8"/>
      <name val="Arial"/>
      <family val="2"/>
    </font>
    <font>
      <u val="double"/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12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1"/>
      <color rgb="FF000000"/>
      <name val="Calibri"/>
      <family val="2"/>
      <scheme val="minor"/>
    </font>
    <font>
      <b/>
      <u/>
      <sz val="11"/>
      <color theme="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b/>
      <sz val="22"/>
      <name val="Times New Roman"/>
      <family val="1"/>
    </font>
    <font>
      <sz val="10"/>
      <name val="Arial"/>
      <family val="2"/>
    </font>
    <font>
      <u/>
      <sz val="11"/>
      <color theme="1"/>
      <name val="Times New Roman"/>
      <family val="1"/>
    </font>
    <font>
      <sz val="11"/>
      <color theme="0"/>
      <name val="Times New Roman"/>
      <family val="1"/>
    </font>
    <font>
      <sz val="10"/>
      <name val="Courier"/>
      <family val="3"/>
    </font>
    <font>
      <sz val="10"/>
      <color rgb="FFFF0000"/>
      <name val="Arial"/>
      <family val="2"/>
    </font>
    <font>
      <sz val="11"/>
      <color rgb="FF000000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u/>
      <sz val="1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i/>
      <sz val="11"/>
      <name val="Times New Roman"/>
      <family val="1"/>
    </font>
    <font>
      <u val="singleAccounting"/>
      <sz val="11"/>
      <name val="Times New Roman"/>
      <family val="1"/>
    </font>
    <font>
      <u val="doubleAccounting"/>
      <sz val="11"/>
      <name val="Times New Roman"/>
      <family val="1"/>
    </font>
    <font>
      <u val="singleAccounting"/>
      <sz val="12"/>
      <name val="Times New Roman"/>
      <family val="1"/>
    </font>
    <font>
      <b/>
      <i/>
      <sz val="11"/>
      <color theme="1"/>
      <name val="Times New Roman"/>
      <family val="1"/>
    </font>
    <font>
      <sz val="11"/>
      <color theme="0" tint="-0.34998626667073579"/>
      <name val="Times New Roman"/>
      <family val="1"/>
    </font>
    <font>
      <b/>
      <u/>
      <sz val="11"/>
      <color theme="0" tint="-0.34998626667073579"/>
      <name val="Times New Roman"/>
      <family val="1"/>
    </font>
    <font>
      <b/>
      <sz val="11"/>
      <color theme="0" tint="-0.34998626667073579"/>
      <name val="Times New Roman"/>
      <family val="1"/>
    </font>
    <font>
      <sz val="12"/>
      <color theme="0" tint="-0.34998626667073579"/>
      <name val="Times New Roman"/>
      <family val="1"/>
    </font>
    <font>
      <sz val="11"/>
      <color theme="0" tint="-0.34998626667073579"/>
      <name val="Calibri"/>
      <family val="2"/>
      <scheme val="minor"/>
    </font>
    <font>
      <sz val="10"/>
      <color theme="0" tint="-0.3499862666707357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</borders>
  <cellStyleXfs count="92">
    <xf numFmtId="179" fontId="0" fillId="0" borderId="0"/>
    <xf numFmtId="0" fontId="13" fillId="0" borderId="0"/>
    <xf numFmtId="0" fontId="8" fillId="0" borderId="0"/>
    <xf numFmtId="0" fontId="29" fillId="0" borderId="0"/>
    <xf numFmtId="43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4" fillId="0" borderId="0"/>
    <xf numFmtId="0" fontId="8" fillId="0" borderId="0"/>
    <xf numFmtId="0" fontId="39" fillId="0" borderId="0"/>
    <xf numFmtId="9" fontId="4" fillId="0" borderId="0" applyFont="0" applyFill="0" applyBorder="0" applyAlignment="0" applyProtection="0"/>
    <xf numFmtId="0" fontId="8" fillId="0" borderId="6" applyNumberFormat="0" applyFont="0" applyFill="0" applyAlignment="0" applyProtection="0"/>
    <xf numFmtId="9" fontId="4" fillId="0" borderId="0" applyFont="0" applyFill="0" applyBorder="0" applyAlignment="0" applyProtection="0"/>
    <xf numFmtId="179" fontId="8" fillId="0" borderId="0"/>
    <xf numFmtId="44" fontId="41" fillId="0" borderId="0" applyFont="0" applyFill="0" applyBorder="0" applyAlignment="0" applyProtection="0"/>
    <xf numFmtId="179" fontId="8" fillId="0" borderId="0"/>
    <xf numFmtId="0" fontId="9" fillId="0" borderId="0"/>
    <xf numFmtId="43" fontId="3" fillId="0" borderId="0" applyFont="0" applyFill="0" applyBorder="0" applyAlignment="0" applyProtection="0"/>
    <xf numFmtId="0" fontId="3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179" fontId="8" fillId="0" borderId="0"/>
    <xf numFmtId="0" fontId="2" fillId="0" borderId="0"/>
    <xf numFmtId="43" fontId="29" fillId="0" borderId="0" applyFont="0" applyFill="0" applyBorder="0" applyAlignment="0" applyProtection="0"/>
    <xf numFmtId="39" fontId="44" fillId="0" borderId="0"/>
    <xf numFmtId="0" fontId="8" fillId="0" borderId="0"/>
    <xf numFmtId="37" fontId="44" fillId="0" borderId="0"/>
    <xf numFmtId="0" fontId="9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" fillId="0" borderId="0"/>
    <xf numFmtId="179" fontId="47" fillId="0" borderId="0"/>
    <xf numFmtId="0" fontId="50" fillId="0" borderId="0"/>
    <xf numFmtId="0" fontId="50" fillId="0" borderId="0"/>
    <xf numFmtId="43" fontId="1" fillId="0" borderId="0" applyFont="0" applyFill="0" applyBorder="0" applyAlignment="0" applyProtection="0"/>
    <xf numFmtId="0" fontId="51" fillId="0" borderId="0"/>
    <xf numFmtId="0" fontId="9" fillId="0" borderId="0"/>
    <xf numFmtId="42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79" fontId="8" fillId="0" borderId="0"/>
    <xf numFmtId="0" fontId="51" fillId="0" borderId="0"/>
    <xf numFmtId="0" fontId="1" fillId="0" borderId="0"/>
    <xf numFmtId="0" fontId="51" fillId="0" borderId="0"/>
    <xf numFmtId="0" fontId="8" fillId="0" borderId="0"/>
    <xf numFmtId="179" fontId="8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8" fillId="0" borderId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79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37" fontId="44" fillId="0" borderId="0"/>
    <xf numFmtId="0" fontId="1" fillId="0" borderId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1487">
    <xf numFmtId="179" fontId="0" fillId="0" borderId="0" xfId="0"/>
    <xf numFmtId="0" fontId="11" fillId="0" borderId="0" xfId="0" applyNumberFormat="1" applyFont="1" applyAlignment="1">
      <alignment horizontal="centerContinuous"/>
    </xf>
    <xf numFmtId="0" fontId="9" fillId="0" borderId="0" xfId="0" applyNumberFormat="1" applyFont="1"/>
    <xf numFmtId="0" fontId="9" fillId="0" borderId="0" xfId="0" applyNumberFormat="1" applyFont="1" applyAlignment="1">
      <alignment horizontal="centerContinuous"/>
    </xf>
    <xf numFmtId="0" fontId="10" fillId="0" borderId="0" xfId="0" applyNumberFormat="1" applyFont="1" applyAlignment="1">
      <alignment horizontal="centerContinuous"/>
    </xf>
    <xf numFmtId="179" fontId="9" fillId="0" borderId="6" xfId="0" applyFont="1" applyFill="1" applyBorder="1"/>
    <xf numFmtId="7" fontId="9" fillId="0" borderId="17" xfId="0" applyNumberFormat="1" applyFont="1" applyBorder="1" applyAlignment="1"/>
    <xf numFmtId="179" fontId="9" fillId="0" borderId="8" xfId="0" applyFont="1" applyFill="1" applyBorder="1"/>
    <xf numFmtId="179" fontId="9" fillId="0" borderId="1" xfId="0" applyFont="1" applyFill="1" applyBorder="1"/>
    <xf numFmtId="179" fontId="9" fillId="0" borderId="15" xfId="0" applyFont="1" applyFill="1" applyBorder="1"/>
    <xf numFmtId="179" fontId="9" fillId="0" borderId="14" xfId="0" applyFont="1" applyFill="1" applyBorder="1"/>
    <xf numFmtId="3" fontId="9" fillId="0" borderId="1" xfId="0" applyNumberFormat="1" applyFont="1" applyFill="1" applyBorder="1"/>
    <xf numFmtId="0" fontId="11" fillId="0" borderId="0" xfId="0" applyNumberFormat="1" applyFont="1" applyAlignment="1">
      <alignment horizontal="center"/>
    </xf>
    <xf numFmtId="0" fontId="9" fillId="0" borderId="0" xfId="0" applyNumberFormat="1" applyFont="1"/>
    <xf numFmtId="179" fontId="9" fillId="0" borderId="0" xfId="0" applyFont="1"/>
    <xf numFmtId="14" fontId="9" fillId="0" borderId="0" xfId="0" applyNumberFormat="1" applyFont="1"/>
    <xf numFmtId="37" fontId="9" fillId="0" borderId="0" xfId="0" applyNumberFormat="1" applyFont="1"/>
    <xf numFmtId="179" fontId="9" fillId="0" borderId="0" xfId="0" quotePrefix="1" applyFont="1"/>
    <xf numFmtId="179" fontId="9" fillId="0" borderId="1" xfId="0" applyFont="1" applyBorder="1"/>
    <xf numFmtId="179" fontId="10" fillId="0" borderId="0" xfId="0" applyFont="1" applyAlignment="1"/>
    <xf numFmtId="171" fontId="9" fillId="0" borderId="0" xfId="0" applyNumberFormat="1" applyFont="1" applyFill="1" applyAlignment="1">
      <alignment horizontal="centerContinuous"/>
    </xf>
    <xf numFmtId="179" fontId="12" fillId="0" borderId="0" xfId="0" applyFont="1" applyFill="1" applyAlignment="1">
      <alignment horizontal="centerContinuous"/>
    </xf>
    <xf numFmtId="3" fontId="9" fillId="0" borderId="0" xfId="0" applyNumberFormat="1" applyFont="1" applyFill="1"/>
    <xf numFmtId="175" fontId="9" fillId="0" borderId="0" xfId="0" applyNumberFormat="1" applyFont="1" applyFill="1" applyBorder="1"/>
    <xf numFmtId="179" fontId="10" fillId="0" borderId="0" xfId="0" applyFont="1" applyFill="1" applyAlignment="1"/>
    <xf numFmtId="179" fontId="9" fillId="0" borderId="0" xfId="0" quotePrefix="1" applyFont="1" applyFill="1" applyAlignment="1"/>
    <xf numFmtId="179" fontId="10" fillId="0" borderId="0" xfId="0" applyFont="1" applyBorder="1"/>
    <xf numFmtId="41" fontId="9" fillId="3" borderId="0" xfId="0" applyNumberFormat="1" applyFont="1" applyFill="1"/>
    <xf numFmtId="43" fontId="20" fillId="0" borderId="0" xfId="0" applyNumberFormat="1" applyFont="1"/>
    <xf numFmtId="179" fontId="9" fillId="0" borderId="0" xfId="0" applyFont="1" applyAlignment="1"/>
    <xf numFmtId="179" fontId="10" fillId="0" borderId="0" xfId="0" applyFont="1" applyAlignment="1">
      <alignment horizontal="centerContinuous"/>
    </xf>
    <xf numFmtId="42" fontId="9" fillId="0" borderId="0" xfId="0" applyNumberFormat="1" applyFont="1"/>
    <xf numFmtId="5" fontId="9" fillId="0" borderId="0" xfId="0" applyNumberFormat="1" applyFont="1" applyAlignment="1">
      <alignment horizontal="center"/>
    </xf>
    <xf numFmtId="179" fontId="9" fillId="0" borderId="0" xfId="0" applyFont="1" applyAlignment="1">
      <alignment horizontal="left"/>
    </xf>
    <xf numFmtId="179" fontId="9" fillId="0" borderId="0" xfId="0" quotePrefix="1" applyFont="1" applyAlignment="1">
      <alignment horizontal="centerContinuous"/>
    </xf>
    <xf numFmtId="179" fontId="10" fillId="0" borderId="0" xfId="0" quotePrefix="1" applyFont="1" applyAlignment="1">
      <alignment horizontal="centerContinuous"/>
    </xf>
    <xf numFmtId="179" fontId="9" fillId="0" borderId="0" xfId="0" applyFont="1" applyBorder="1" applyAlignment="1">
      <alignment horizontal="centerContinuous"/>
    </xf>
    <xf numFmtId="166" fontId="9" fillId="0" borderId="1" xfId="0" applyNumberFormat="1" applyFont="1" applyFill="1" applyBorder="1" applyAlignment="1"/>
    <xf numFmtId="14" fontId="20" fillId="0" borderId="1" xfId="0" applyNumberFormat="1" applyFont="1" applyBorder="1" applyAlignment="1">
      <alignment horizontal="center"/>
    </xf>
    <xf numFmtId="179" fontId="20" fillId="0" borderId="0" xfId="0" applyFont="1" applyFill="1"/>
    <xf numFmtId="3" fontId="20" fillId="0" borderId="0" xfId="0" applyNumberFormat="1" applyFont="1" applyFill="1"/>
    <xf numFmtId="179" fontId="10" fillId="0" borderId="0" xfId="0" applyFont="1" applyFill="1" applyAlignment="1">
      <alignment horizontal="centerContinuous"/>
    </xf>
    <xf numFmtId="3" fontId="20" fillId="0" borderId="0" xfId="0" applyNumberFormat="1" applyFont="1" applyFill="1" applyBorder="1"/>
    <xf numFmtId="37" fontId="9" fillId="0" borderId="0" xfId="0" applyNumberFormat="1" applyFont="1" applyFill="1" applyBorder="1" applyAlignment="1">
      <alignment horizontal="center" wrapText="1"/>
    </xf>
    <xf numFmtId="166" fontId="20" fillId="0" borderId="0" xfId="0" applyNumberFormat="1" applyFont="1" applyFill="1"/>
    <xf numFmtId="179" fontId="16" fillId="0" borderId="0" xfId="0" applyFont="1" applyFill="1" applyBorder="1"/>
    <xf numFmtId="37" fontId="16" fillId="0" borderId="0" xfId="0" applyNumberFormat="1" applyFont="1" applyFill="1" applyBorder="1"/>
    <xf numFmtId="179" fontId="9" fillId="0" borderId="0" xfId="0" applyFont="1" applyBorder="1" applyAlignment="1"/>
    <xf numFmtId="165" fontId="9" fillId="0" borderId="0" xfId="0" applyNumberFormat="1" applyFont="1" applyAlignment="1">
      <alignment horizontal="center"/>
    </xf>
    <xf numFmtId="39" fontId="9" fillId="0" borderId="0" xfId="0" applyNumberFormat="1" applyFont="1" applyBorder="1" applyAlignment="1"/>
    <xf numFmtId="39" fontId="9" fillId="0" borderId="1" xfId="0" applyNumberFormat="1" applyFont="1" applyBorder="1"/>
    <xf numFmtId="179" fontId="9" fillId="0" borderId="0" xfId="0" applyFont="1" applyAlignment="1">
      <alignment horizontal="right"/>
    </xf>
    <xf numFmtId="44" fontId="9" fillId="0" borderId="0" xfId="0" applyNumberFormat="1" applyFont="1"/>
    <xf numFmtId="179" fontId="9" fillId="0" borderId="4" xfId="0" applyFont="1" applyBorder="1"/>
    <xf numFmtId="7" fontId="9" fillId="0" borderId="1" xfId="0" applyNumberFormat="1" applyFont="1" applyBorder="1"/>
    <xf numFmtId="0" fontId="9" fillId="0" borderId="0" xfId="0" applyNumberFormat="1" applyFont="1"/>
    <xf numFmtId="43" fontId="9" fillId="3" borderId="0" xfId="0" applyNumberFormat="1" applyFont="1" applyFill="1"/>
    <xf numFmtId="39" fontId="9" fillId="0" borderId="0" xfId="0" applyNumberFormat="1" applyFont="1" applyFill="1" applyAlignment="1">
      <alignment horizontal="centerContinuous"/>
    </xf>
    <xf numFmtId="0" fontId="20" fillId="0" borderId="0" xfId="0" applyNumberFormat="1" applyFont="1" applyAlignment="1">
      <alignment horizontal="left"/>
    </xf>
    <xf numFmtId="0" fontId="20" fillId="0" borderId="0" xfId="0" applyNumberFormat="1" applyFont="1" applyAlignment="1">
      <alignment horizontal="center"/>
    </xf>
    <xf numFmtId="179" fontId="9" fillId="3" borderId="0" xfId="0" applyFont="1" applyFill="1" applyBorder="1" applyAlignment="1">
      <alignment horizontal="center"/>
    </xf>
    <xf numFmtId="179" fontId="9" fillId="0" borderId="0" xfId="0" applyFont="1" applyFill="1" applyBorder="1" applyAlignment="1">
      <alignment horizontal="center"/>
    </xf>
    <xf numFmtId="0" fontId="12" fillId="0" borderId="0" xfId="0" applyNumberFormat="1" applyFont="1" applyFill="1" applyAlignment="1">
      <alignment horizontal="centerContinuous"/>
    </xf>
    <xf numFmtId="0" fontId="12" fillId="0" borderId="0" xfId="0" applyNumberFormat="1" applyFont="1" applyFill="1" applyBorder="1" applyAlignment="1">
      <alignment horizontal="centerContinuous"/>
    </xf>
    <xf numFmtId="0" fontId="10" fillId="0" borderId="0" xfId="0" applyNumberFormat="1" applyFont="1" applyFill="1" applyAlignment="1">
      <alignment horizontal="centerContinuous"/>
    </xf>
    <xf numFmtId="37" fontId="10" fillId="0" borderId="0" xfId="0" applyNumberFormat="1" applyFont="1" applyFill="1" applyAlignment="1">
      <alignment horizontal="centerContinuous"/>
    </xf>
    <xf numFmtId="0" fontId="11" fillId="0" borderId="0" xfId="0" applyNumberFormat="1" applyFont="1" applyFill="1" applyAlignment="1">
      <alignment horizontal="centerContinuous"/>
    </xf>
    <xf numFmtId="0" fontId="10" fillId="0" borderId="0" xfId="0" applyNumberFormat="1" applyFont="1" applyFill="1"/>
    <xf numFmtId="171" fontId="12" fillId="0" borderId="0" xfId="0" applyNumberFormat="1" applyFont="1" applyFill="1" applyAlignment="1">
      <alignment horizontal="centerContinuous"/>
    </xf>
    <xf numFmtId="5" fontId="10" fillId="0" borderId="0" xfId="0" applyNumberFormat="1" applyFont="1" applyFill="1"/>
    <xf numFmtId="10" fontId="9" fillId="0" borderId="0" xfId="0" applyNumberFormat="1" applyFont="1" applyFill="1"/>
    <xf numFmtId="3" fontId="9" fillId="0" borderId="0" xfId="0" applyNumberFormat="1" applyFont="1" applyFill="1" applyAlignment="1">
      <alignment horizontal="center" wrapText="1"/>
    </xf>
    <xf numFmtId="3" fontId="9" fillId="0" borderId="1" xfId="0" applyNumberFormat="1" applyFont="1" applyFill="1" applyBorder="1" applyAlignment="1">
      <alignment horizontal="center" wrapText="1"/>
    </xf>
    <xf numFmtId="3" fontId="9" fillId="0" borderId="5" xfId="0" applyNumberFormat="1" applyFont="1" applyFill="1" applyBorder="1"/>
    <xf numFmtId="179" fontId="12" fillId="0" borderId="0" xfId="0" applyFont="1" applyFill="1" applyBorder="1" applyAlignment="1"/>
    <xf numFmtId="179" fontId="9" fillId="0" borderId="0" xfId="0" quotePrefix="1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left"/>
    </xf>
    <xf numFmtId="9" fontId="9" fillId="0" borderId="0" xfId="0" applyNumberFormat="1" applyFont="1" applyFill="1" applyBorder="1" applyAlignment="1"/>
    <xf numFmtId="3" fontId="9" fillId="0" borderId="0" xfId="0" applyNumberFormat="1" applyFont="1" applyFill="1" applyAlignment="1">
      <alignment horizontal="centerContinuous"/>
    </xf>
    <xf numFmtId="10" fontId="9" fillId="0" borderId="0" xfId="0" applyNumberFormat="1" applyFont="1" applyFill="1" applyAlignment="1"/>
    <xf numFmtId="37" fontId="10" fillId="0" borderId="0" xfId="0" applyNumberFormat="1" applyFont="1" applyFill="1" applyBorder="1" applyAlignment="1">
      <alignment horizontal="center"/>
    </xf>
    <xf numFmtId="179" fontId="12" fillId="0" borderId="0" xfId="0" applyNumberFormat="1" applyFont="1" applyFill="1" applyAlignment="1">
      <alignment horizontal="centerContinuous"/>
    </xf>
    <xf numFmtId="3" fontId="12" fillId="0" borderId="0" xfId="0" applyNumberFormat="1" applyFont="1" applyFill="1" applyAlignment="1">
      <alignment horizontal="centerContinuous"/>
    </xf>
    <xf numFmtId="3" fontId="12" fillId="0" borderId="0" xfId="0" applyNumberFormat="1" applyFont="1" applyFill="1" applyBorder="1" applyAlignment="1">
      <alignment horizontal="centerContinuous"/>
    </xf>
    <xf numFmtId="3" fontId="12" fillId="0" borderId="0" xfId="0" applyNumberFormat="1" applyFont="1" applyFill="1" applyAlignment="1">
      <alignment horizontal="center"/>
    </xf>
    <xf numFmtId="179" fontId="12" fillId="0" borderId="0" xfId="0" applyNumberFormat="1" applyFont="1" applyFill="1" applyBorder="1" applyAlignment="1">
      <alignment horizontal="centerContinuous"/>
    </xf>
    <xf numFmtId="3" fontId="9" fillId="0" borderId="0" xfId="0" applyNumberFormat="1" applyFont="1" applyFill="1" applyAlignment="1"/>
    <xf numFmtId="3" fontId="9" fillId="0" borderId="0" xfId="0" applyNumberFormat="1" applyFont="1" applyFill="1" applyBorder="1"/>
    <xf numFmtId="3" fontId="12" fillId="0" borderId="0" xfId="0" applyNumberFormat="1" applyFont="1" applyFill="1" applyAlignment="1">
      <alignment horizontal="left"/>
    </xf>
    <xf numFmtId="3" fontId="9" fillId="0" borderId="0" xfId="0" applyNumberFormat="1" applyFont="1" applyFill="1" applyBorder="1" applyAlignment="1">
      <alignment horizontal="center"/>
    </xf>
    <xf numFmtId="179" fontId="10" fillId="0" borderId="0" xfId="0" applyNumberFormat="1" applyFont="1" applyFill="1" applyAlignment="1"/>
    <xf numFmtId="179" fontId="9" fillId="0" borderId="0" xfId="0" applyNumberFormat="1" applyFont="1" applyFill="1" applyAlignment="1">
      <alignment horizontal="center"/>
    </xf>
    <xf numFmtId="3" fontId="9" fillId="0" borderId="0" xfId="0" quotePrefix="1" applyNumberFormat="1" applyFont="1" applyFill="1" applyAlignment="1">
      <alignment horizontal="left"/>
    </xf>
    <xf numFmtId="4" fontId="9" fillId="0" borderId="0" xfId="0" applyNumberFormat="1" applyFont="1" applyFill="1" applyBorder="1"/>
    <xf numFmtId="3" fontId="9" fillId="0" borderId="0" xfId="0" applyNumberFormat="1" applyFont="1" applyFill="1" applyAlignment="1">
      <alignment horizontal="left"/>
    </xf>
    <xf numFmtId="171" fontId="9" fillId="0" borderId="0" xfId="0" applyNumberFormat="1" applyFont="1" applyFill="1"/>
    <xf numFmtId="174" fontId="9" fillId="0" borderId="0" xfId="0" applyNumberFormat="1" applyFont="1" applyFill="1" applyBorder="1" applyAlignment="1"/>
    <xf numFmtId="3" fontId="9" fillId="0" borderId="6" xfId="0" applyNumberFormat="1" applyFont="1" applyFill="1" applyBorder="1"/>
    <xf numFmtId="179" fontId="9" fillId="0" borderId="3" xfId="0" applyFont="1" applyFill="1" applyBorder="1" applyAlignment="1"/>
    <xf numFmtId="171" fontId="9" fillId="0" borderId="0" xfId="0" applyNumberFormat="1" applyFont="1" applyFill="1" applyBorder="1"/>
    <xf numFmtId="1" fontId="9" fillId="0" borderId="0" xfId="0" applyNumberFormat="1" applyFont="1" applyFill="1" applyBorder="1" applyAlignment="1"/>
    <xf numFmtId="2" fontId="9" fillId="0" borderId="0" xfId="0" applyNumberFormat="1" applyFont="1" applyFill="1" applyBorder="1" applyAlignment="1"/>
    <xf numFmtId="4" fontId="9" fillId="0" borderId="0" xfId="0" applyNumberFormat="1" applyFont="1" applyFill="1"/>
    <xf numFmtId="174" fontId="9" fillId="0" borderId="1" xfId="0" applyNumberFormat="1" applyFont="1" applyFill="1" applyBorder="1" applyAlignment="1"/>
    <xf numFmtId="179" fontId="15" fillId="0" borderId="0" xfId="0" applyFont="1" applyFill="1" applyBorder="1" applyAlignment="1">
      <alignment horizontal="centerContinuous"/>
    </xf>
    <xf numFmtId="49" fontId="9" fillId="0" borderId="0" xfId="0" quotePrefix="1" applyNumberFormat="1" applyFont="1" applyFill="1" applyAlignment="1">
      <alignment horizontal="center"/>
    </xf>
    <xf numFmtId="179" fontId="9" fillId="0" borderId="1" xfId="0" applyFont="1" applyFill="1" applyBorder="1" applyAlignment="1"/>
    <xf numFmtId="179" fontId="9" fillId="0" borderId="3" xfId="0" applyFont="1" applyFill="1" applyBorder="1" applyAlignment="1">
      <alignment horizontal="center"/>
    </xf>
    <xf numFmtId="179" fontId="9" fillId="0" borderId="3" xfId="0" applyFont="1" applyFill="1" applyBorder="1"/>
    <xf numFmtId="16" fontId="9" fillId="0" borderId="0" xfId="0" quotePrefix="1" applyNumberFormat="1" applyFont="1" applyFill="1"/>
    <xf numFmtId="1" fontId="15" fillId="0" borderId="0" xfId="0" quotePrefix="1" applyNumberFormat="1" applyFont="1" applyFill="1" applyBorder="1" applyAlignment="1">
      <alignment horizontal="center"/>
    </xf>
    <xf numFmtId="179" fontId="13" fillId="0" borderId="0" xfId="0" applyFont="1" applyFill="1" applyBorder="1" applyAlignment="1">
      <alignment horizontal="centerContinuous"/>
    </xf>
    <xf numFmtId="7" fontId="9" fillId="0" borderId="1" xfId="0" applyNumberFormat="1" applyFont="1" applyFill="1" applyBorder="1"/>
    <xf numFmtId="179" fontId="9" fillId="0" borderId="0" xfId="0" applyNumberFormat="1" applyFont="1" applyFill="1" applyAlignment="1"/>
    <xf numFmtId="179" fontId="12" fillId="0" borderId="0" xfId="0" applyFont="1" applyFill="1" applyAlignment="1"/>
    <xf numFmtId="178" fontId="9" fillId="0" borderId="0" xfId="0" applyNumberFormat="1" applyFont="1" applyFill="1" applyBorder="1"/>
    <xf numFmtId="166" fontId="9" fillId="0" borderId="0" xfId="0" applyNumberFormat="1" applyFont="1" applyFill="1" applyBorder="1"/>
    <xf numFmtId="179" fontId="11" fillId="0" borderId="0" xfId="0" applyFont="1" applyFill="1" applyAlignment="1"/>
    <xf numFmtId="165" fontId="9" fillId="3" borderId="0" xfId="0" applyNumberFormat="1" applyFont="1" applyFill="1" applyAlignment="1">
      <alignment horizontal="center"/>
    </xf>
    <xf numFmtId="179" fontId="9" fillId="3" borderId="0" xfId="0" applyFont="1" applyFill="1"/>
    <xf numFmtId="4" fontId="12" fillId="0" borderId="0" xfId="0" applyNumberFormat="1" applyFont="1" applyFill="1" applyAlignment="1">
      <alignment horizontal="centerContinuous"/>
    </xf>
    <xf numFmtId="4" fontId="9" fillId="0" borderId="0" xfId="0" applyNumberFormat="1" applyFont="1" applyFill="1" applyBorder="1" applyAlignment="1">
      <alignment horizontal="centerContinuous"/>
    </xf>
    <xf numFmtId="43" fontId="9" fillId="0" borderId="0" xfId="0" applyNumberFormat="1" applyFont="1" applyBorder="1"/>
    <xf numFmtId="179" fontId="9" fillId="0" borderId="0" xfId="0" quotePrefix="1" applyFont="1" applyFill="1" applyBorder="1" applyAlignment="1"/>
    <xf numFmtId="5" fontId="9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/>
    <xf numFmtId="0" fontId="9" fillId="0" borderId="0" xfId="0" quotePrefix="1" applyNumberFormat="1" applyFont="1" applyFill="1" applyBorder="1"/>
    <xf numFmtId="0" fontId="9" fillId="0" borderId="0" xfId="0" quotePrefix="1" applyNumberFormat="1" applyFont="1" applyFill="1"/>
    <xf numFmtId="0" fontId="10" fillId="0" borderId="0" xfId="0" applyNumberFormat="1" applyFont="1" applyFill="1" applyBorder="1"/>
    <xf numFmtId="0" fontId="12" fillId="0" borderId="0" xfId="0" applyNumberFormat="1" applyFont="1" applyFill="1"/>
    <xf numFmtId="0" fontId="9" fillId="0" borderId="0" xfId="0" quotePrefix="1" applyNumberFormat="1" applyFont="1" applyFill="1" applyAlignment="1">
      <alignment horizontal="left"/>
    </xf>
    <xf numFmtId="5" fontId="10" fillId="0" borderId="0" xfId="0" applyNumberFormat="1" applyFont="1" applyFill="1" applyBorder="1"/>
    <xf numFmtId="37" fontId="9" fillId="0" borderId="0" xfId="0" applyNumberFormat="1" applyFont="1" applyFill="1" applyAlignment="1">
      <alignment horizontal="left"/>
    </xf>
    <xf numFmtId="0" fontId="20" fillId="0" borderId="0" xfId="0" applyNumberFormat="1" applyFont="1" applyFill="1"/>
    <xf numFmtId="179" fontId="9" fillId="0" borderId="1" xfId="0" applyFont="1" applyFill="1" applyBorder="1" applyAlignment="1">
      <alignment horizontal="centerContinuous"/>
    </xf>
    <xf numFmtId="179" fontId="9" fillId="0" borderId="0" xfId="0" quotePrefix="1" applyFont="1" applyAlignment="1">
      <alignment horizontal="center"/>
    </xf>
    <xf numFmtId="179" fontId="11" fillId="0" borderId="0" xfId="0" applyFont="1" applyFill="1" applyAlignment="1">
      <alignment horizontal="centerContinuous"/>
    </xf>
    <xf numFmtId="7" fontId="9" fillId="0" borderId="0" xfId="0" applyNumberFormat="1" applyFont="1" applyBorder="1" applyAlignment="1"/>
    <xf numFmtId="0" fontId="20" fillId="3" borderId="0" xfId="0" applyNumberFormat="1" applyFont="1" applyFill="1"/>
    <xf numFmtId="179" fontId="20" fillId="0" borderId="0" xfId="0" applyFont="1" applyFill="1" applyAlignment="1"/>
    <xf numFmtId="179" fontId="20" fillId="0" borderId="0" xfId="0" applyFont="1" applyFill="1" applyAlignment="1">
      <alignment horizontal="centerContinuous"/>
    </xf>
    <xf numFmtId="0" fontId="9" fillId="0" borderId="0" xfId="0" quotePrefix="1" applyNumberFormat="1" applyFont="1" applyFill="1" applyAlignment="1">
      <alignment horizontal="center"/>
    </xf>
    <xf numFmtId="7" fontId="9" fillId="0" borderId="0" xfId="0" applyNumberFormat="1" applyFont="1"/>
    <xf numFmtId="7" fontId="9" fillId="0" borderId="2" xfId="0" applyNumberFormat="1" applyFont="1" applyBorder="1"/>
    <xf numFmtId="39" fontId="9" fillId="0" borderId="0" xfId="0" applyNumberFormat="1" applyFont="1" applyBorder="1"/>
    <xf numFmtId="179" fontId="12" fillId="0" borderId="0" xfId="0" applyFont="1" applyFill="1"/>
    <xf numFmtId="179" fontId="9" fillId="0" borderId="0" xfId="0" applyFont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3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>
      <alignment horizontal="center"/>
    </xf>
    <xf numFmtId="37" fontId="9" fillId="0" borderId="0" xfId="0" applyNumberFormat="1" applyFont="1" applyFill="1" applyAlignment="1">
      <alignment horizontal="right"/>
    </xf>
    <xf numFmtId="174" fontId="9" fillId="0" borderId="1" xfId="0" applyNumberFormat="1" applyFont="1" applyFill="1" applyBorder="1"/>
    <xf numFmtId="37" fontId="9" fillId="0" borderId="0" xfId="0" quotePrefix="1" applyNumberFormat="1" applyFont="1" applyFill="1"/>
    <xf numFmtId="7" fontId="9" fillId="3" borderId="0" xfId="0" applyNumberFormat="1" applyFont="1" applyFill="1" applyBorder="1"/>
    <xf numFmtId="37" fontId="12" fillId="0" borderId="0" xfId="0" applyNumberFormat="1" applyFont="1" applyFill="1" applyBorder="1"/>
    <xf numFmtId="7" fontId="9" fillId="0" borderId="0" xfId="0" applyNumberFormat="1" applyFont="1" applyBorder="1"/>
    <xf numFmtId="10" fontId="9" fillId="0" borderId="0" xfId="0" applyNumberFormat="1" applyFont="1" applyFill="1" applyBorder="1" applyAlignment="1">
      <alignment horizontal="center"/>
    </xf>
    <xf numFmtId="7" fontId="9" fillId="3" borderId="0" xfId="0" applyNumberFormat="1" applyFont="1" applyFill="1"/>
    <xf numFmtId="37" fontId="12" fillId="0" borderId="0" xfId="0" applyNumberFormat="1" applyFont="1" applyFill="1"/>
    <xf numFmtId="166" fontId="20" fillId="0" borderId="0" xfId="0" applyNumberFormat="1" applyFont="1" applyFill="1" applyBorder="1" applyAlignment="1"/>
    <xf numFmtId="179" fontId="11" fillId="0" borderId="0" xfId="0" applyFont="1" applyFill="1" applyBorder="1" applyAlignment="1"/>
    <xf numFmtId="179" fontId="20" fillId="0" borderId="0" xfId="0" applyFont="1" applyFill="1" applyBorder="1" applyAlignment="1"/>
    <xf numFmtId="179" fontId="10" fillId="0" borderId="0" xfId="0" applyFont="1" applyFill="1" applyBorder="1" applyAlignment="1"/>
    <xf numFmtId="39" fontId="9" fillId="0" borderId="0" xfId="0" applyNumberFormat="1" applyFont="1" applyFill="1" applyAlignment="1"/>
    <xf numFmtId="166" fontId="20" fillId="0" borderId="0" xfId="0" applyNumberFormat="1" applyFont="1" applyFill="1" applyBorder="1"/>
    <xf numFmtId="179" fontId="11" fillId="0" borderId="0" xfId="0" applyFont="1" applyFill="1" applyBorder="1" applyAlignment="1">
      <alignment horizontal="center"/>
    </xf>
    <xf numFmtId="179" fontId="10" fillId="0" borderId="0" xfId="0" applyFont="1" applyFill="1" applyBorder="1" applyAlignment="1">
      <alignment horizontal="center"/>
    </xf>
    <xf numFmtId="174" fontId="9" fillId="0" borderId="0" xfId="0" applyNumberFormat="1" applyFont="1" applyFill="1" applyBorder="1" applyAlignment="1">
      <alignment horizontal="center"/>
    </xf>
    <xf numFmtId="7" fontId="9" fillId="0" borderId="0" xfId="0" applyNumberFormat="1" applyFont="1" applyFill="1" applyAlignment="1"/>
    <xf numFmtId="7" fontId="9" fillId="0" borderId="0" xfId="0" applyNumberFormat="1" applyFont="1" applyFill="1" applyBorder="1" applyAlignment="1"/>
    <xf numFmtId="179" fontId="9" fillId="0" borderId="0" xfId="0" quotePrefix="1" applyFont="1" applyFill="1"/>
    <xf numFmtId="3" fontId="9" fillId="0" borderId="0" xfId="0" applyNumberFormat="1" applyFont="1" applyFill="1" applyAlignment="1">
      <alignment horizontal="center"/>
    </xf>
    <xf numFmtId="179" fontId="9" fillId="0" borderId="0" xfId="0" applyFont="1" applyFill="1" applyBorder="1" applyAlignment="1"/>
    <xf numFmtId="179" fontId="9" fillId="0" borderId="0" xfId="0" applyFont="1" applyAlignment="1">
      <alignment horizontal="centerContinuous"/>
    </xf>
    <xf numFmtId="179" fontId="9" fillId="0" borderId="0" xfId="0" applyFont="1" applyFill="1" applyAlignment="1">
      <alignment horizontal="centerContinuous"/>
    </xf>
    <xf numFmtId="43" fontId="9" fillId="0" borderId="0" xfId="0" applyNumberFormat="1" applyFont="1" applyAlignment="1">
      <alignment horizontal="centerContinuous"/>
    </xf>
    <xf numFmtId="179" fontId="0" fillId="0" borderId="0" xfId="0" applyFill="1"/>
    <xf numFmtId="179" fontId="9" fillId="0" borderId="0" xfId="0" applyFont="1" applyFill="1" applyBorder="1" applyAlignment="1">
      <alignment horizontal="centerContinuous"/>
    </xf>
    <xf numFmtId="179" fontId="9" fillId="0" borderId="0" xfId="0" applyFont="1" applyFill="1" applyAlignment="1"/>
    <xf numFmtId="166" fontId="9" fillId="0" borderId="0" xfId="0" applyNumberFormat="1" applyFont="1" applyFill="1" applyBorder="1" applyAlignment="1"/>
    <xf numFmtId="179" fontId="20" fillId="0" borderId="0" xfId="0" applyFont="1" applyFill="1" applyBorder="1" applyAlignment="1">
      <alignment horizontal="center"/>
    </xf>
    <xf numFmtId="5" fontId="20" fillId="0" borderId="0" xfId="0" applyNumberFormat="1" applyFont="1" applyFill="1" applyBorder="1"/>
    <xf numFmtId="179" fontId="20" fillId="0" borderId="0" xfId="0" applyFont="1" applyFill="1" applyBorder="1"/>
    <xf numFmtId="179" fontId="9" fillId="0" borderId="0" xfId="0" quotePrefix="1" applyFont="1" applyFill="1" applyAlignment="1">
      <alignment horizontal="center"/>
    </xf>
    <xf numFmtId="42" fontId="9" fillId="0" borderId="0" xfId="0" applyNumberFormat="1" applyFont="1" applyFill="1"/>
    <xf numFmtId="179" fontId="9" fillId="0" borderId="0" xfId="0" quotePrefix="1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43" fontId="9" fillId="0" borderId="0" xfId="0" applyNumberFormat="1" applyFont="1" applyFill="1" applyAlignment="1">
      <alignment horizontal="centerContinuous"/>
    </xf>
    <xf numFmtId="37" fontId="9" fillId="0" borderId="0" xfId="0" applyNumberFormat="1" applyFont="1" applyFill="1" applyBorder="1" applyAlignment="1">
      <alignment horizontal="center"/>
    </xf>
    <xf numFmtId="179" fontId="10" fillId="0" borderId="0" xfId="0" applyFont="1" applyFill="1" applyBorder="1" applyAlignment="1">
      <alignment horizontal="centerContinuous"/>
    </xf>
    <xf numFmtId="37" fontId="10" fillId="0" borderId="0" xfId="0" applyNumberFormat="1" applyFont="1" applyFill="1" applyBorder="1" applyAlignment="1">
      <alignment horizontal="centerContinuous"/>
    </xf>
    <xf numFmtId="179" fontId="11" fillId="0" borderId="0" xfId="0" applyNumberFormat="1" applyFont="1" applyFill="1" applyAlignment="1">
      <alignment horizontal="centerContinuous"/>
    </xf>
    <xf numFmtId="1" fontId="9" fillId="0" borderId="0" xfId="0" applyNumberFormat="1" applyFont="1" applyFill="1" applyAlignment="1">
      <alignment horizontal="centerContinuous"/>
    </xf>
    <xf numFmtId="37" fontId="9" fillId="0" borderId="0" xfId="0" applyNumberFormat="1" applyFont="1" applyBorder="1" applyAlignment="1"/>
    <xf numFmtId="179" fontId="10" fillId="0" borderId="0" xfId="0" quotePrefix="1" applyNumberFormat="1" applyFont="1" applyFill="1" applyAlignment="1">
      <alignment horizontal="centerContinuous"/>
    </xf>
    <xf numFmtId="179" fontId="9" fillId="0" borderId="1" xfId="0" quotePrefix="1" applyFont="1" applyFill="1" applyBorder="1" applyAlignment="1">
      <alignment horizontal="center"/>
    </xf>
    <xf numFmtId="7" fontId="9" fillId="0" borderId="0" xfId="0" applyNumberFormat="1" applyFont="1" applyFill="1" applyBorder="1" applyAlignment="1">
      <alignment horizontal="centerContinuous"/>
    </xf>
    <xf numFmtId="39" fontId="9" fillId="0" borderId="0" xfId="0" applyNumberFormat="1" applyFont="1" applyFill="1" applyBorder="1" applyAlignment="1"/>
    <xf numFmtId="39" fontId="9" fillId="0" borderId="0" xfId="0" applyNumberFormat="1" applyFont="1" applyFill="1" applyBorder="1" applyAlignment="1">
      <alignment horizontal="centerContinuous"/>
    </xf>
    <xf numFmtId="0" fontId="8" fillId="0" borderId="0" xfId="0" applyNumberFormat="1" applyFont="1" applyFill="1"/>
    <xf numFmtId="37" fontId="9" fillId="0" borderId="0" xfId="0" applyNumberFormat="1" applyFont="1" applyFill="1" applyAlignment="1"/>
    <xf numFmtId="37" fontId="9" fillId="0" borderId="0" xfId="0" applyNumberFormat="1" applyFont="1" applyFill="1" applyBorder="1" applyAlignment="1"/>
    <xf numFmtId="0" fontId="12" fillId="0" borderId="0" xfId="0" applyNumberFormat="1" applyFont="1" applyFill="1" applyAlignment="1"/>
    <xf numFmtId="0" fontId="9" fillId="0" borderId="0" xfId="0" applyNumberFormat="1" applyFont="1" applyFill="1" applyBorder="1" applyAlignment="1">
      <alignment horizontal="centerContinuous"/>
    </xf>
    <xf numFmtId="5" fontId="9" fillId="0" borderId="2" xfId="0" applyNumberFormat="1" applyFont="1" applyFill="1" applyBorder="1" applyAlignment="1"/>
    <xf numFmtId="37" fontId="9" fillId="0" borderId="1" xfId="0" applyNumberFormat="1" applyFont="1" applyFill="1" applyBorder="1" applyAlignment="1"/>
    <xf numFmtId="37" fontId="9" fillId="0" borderId="0" xfId="0" quotePrefix="1" applyNumberFormat="1" applyFont="1" applyFill="1" applyBorder="1" applyAlignment="1">
      <alignment horizontal="center"/>
    </xf>
    <xf numFmtId="5" fontId="9" fillId="0" borderId="0" xfId="0" applyNumberFormat="1" applyFont="1" applyFill="1" applyAlignment="1"/>
    <xf numFmtId="0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Fill="1" applyBorder="1" applyAlignment="1"/>
    <xf numFmtId="9" fontId="9" fillId="0" borderId="0" xfId="0" applyNumberFormat="1" applyFont="1" applyFill="1" applyBorder="1"/>
    <xf numFmtId="179" fontId="9" fillId="0" borderId="0" xfId="0" quotePrefix="1" applyFont="1" applyFill="1" applyBorder="1"/>
    <xf numFmtId="37" fontId="10" fillId="0" borderId="0" xfId="0" applyNumberFormat="1" applyFont="1" applyFill="1"/>
    <xf numFmtId="7" fontId="9" fillId="0" borderId="0" xfId="0" applyNumberFormat="1" applyFont="1" applyFill="1"/>
    <xf numFmtId="169" fontId="9" fillId="0" borderId="0" xfId="0" applyNumberFormat="1" applyFont="1" applyFill="1"/>
    <xf numFmtId="10" fontId="9" fillId="0" borderId="2" xfId="0" applyNumberFormat="1" applyFont="1" applyFill="1" applyBorder="1"/>
    <xf numFmtId="37" fontId="9" fillId="0" borderId="0" xfId="0" quotePrefix="1" applyNumberFormat="1" applyFont="1" applyFill="1" applyAlignment="1">
      <alignment horizontal="center"/>
    </xf>
    <xf numFmtId="39" fontId="9" fillId="0" borderId="0" xfId="0" applyNumberFormat="1" applyFont="1"/>
    <xf numFmtId="179" fontId="11" fillId="0" borderId="0" xfId="0" applyFont="1" applyAlignment="1">
      <alignment horizontal="centerContinuous"/>
    </xf>
    <xf numFmtId="39" fontId="9" fillId="3" borderId="0" xfId="0" applyNumberFormat="1" applyFont="1" applyFill="1" applyBorder="1"/>
    <xf numFmtId="39" fontId="9" fillId="3" borderId="0" xfId="0" applyNumberFormat="1" applyFont="1" applyFill="1"/>
    <xf numFmtId="179" fontId="9" fillId="0" borderId="0" xfId="0" applyFont="1"/>
    <xf numFmtId="179" fontId="9" fillId="0" borderId="0" xfId="0" applyFont="1" applyBorder="1"/>
    <xf numFmtId="37" fontId="9" fillId="0" borderId="0" xfId="0" applyNumberFormat="1" applyFont="1" applyFill="1" applyBorder="1" applyAlignment="1">
      <alignment horizontal="centerContinuous"/>
    </xf>
    <xf numFmtId="5" fontId="9" fillId="0" borderId="2" xfId="0" applyNumberFormat="1" applyFont="1" applyFill="1" applyBorder="1"/>
    <xf numFmtId="41" fontId="9" fillId="0" borderId="0" xfId="0" applyNumberFormat="1" applyFont="1"/>
    <xf numFmtId="42" fontId="9" fillId="0" borderId="0" xfId="0" applyNumberFormat="1" applyFont="1" applyBorder="1"/>
    <xf numFmtId="0" fontId="9" fillId="0" borderId="0" xfId="0" applyNumberFormat="1" applyFont="1" applyFill="1" applyBorder="1"/>
    <xf numFmtId="43" fontId="20" fillId="0" borderId="0" xfId="0" applyNumberFormat="1" applyFont="1" applyFill="1"/>
    <xf numFmtId="179" fontId="9" fillId="0" borderId="0" xfId="0" applyFont="1" applyAlignment="1">
      <alignment horizontal="center"/>
    </xf>
    <xf numFmtId="179" fontId="9" fillId="0" borderId="1" xfId="0" applyFont="1" applyBorder="1" applyAlignment="1">
      <alignment horizontal="center"/>
    </xf>
    <xf numFmtId="37" fontId="9" fillId="0" borderId="0" xfId="0" quotePrefix="1" applyNumberFormat="1" applyFont="1" applyAlignment="1">
      <alignment horizontal="center"/>
    </xf>
    <xf numFmtId="44" fontId="9" fillId="0" borderId="0" xfId="0" applyNumberFormat="1" applyFont="1" applyFill="1" applyBorder="1" applyAlignment="1"/>
    <xf numFmtId="0" fontId="20" fillId="0" borderId="0" xfId="0" applyNumberFormat="1" applyFont="1" applyFill="1" applyAlignment="1">
      <alignment horizontal="left"/>
    </xf>
    <xf numFmtId="167" fontId="20" fillId="0" borderId="0" xfId="0" applyNumberFormat="1" applyFont="1"/>
    <xf numFmtId="7" fontId="9" fillId="0" borderId="16" xfId="0" applyNumberFormat="1" applyFont="1" applyBorder="1"/>
    <xf numFmtId="179" fontId="20" fillId="0" borderId="0" xfId="0" applyNumberFormat="1" applyFont="1"/>
    <xf numFmtId="0" fontId="9" fillId="0" borderId="0" xfId="0" applyNumberFormat="1" applyFont="1" applyAlignment="1">
      <alignment horizontal="center"/>
    </xf>
    <xf numFmtId="0" fontId="7" fillId="0" borderId="0" xfId="0" applyNumberFormat="1" applyFont="1"/>
    <xf numFmtId="0" fontId="7" fillId="0" borderId="0" xfId="0" applyNumberFormat="1" applyFont="1" applyAlignment="1">
      <alignment horizontal="center"/>
    </xf>
    <xf numFmtId="43" fontId="0" fillId="0" borderId="0" xfId="0" applyNumberFormat="1" applyFont="1"/>
    <xf numFmtId="0" fontId="7" fillId="0" borderId="0" xfId="0" applyNumberFormat="1" applyFont="1" applyFill="1"/>
    <xf numFmtId="43" fontId="0" fillId="3" borderId="0" xfId="0" applyNumberFormat="1" applyFont="1" applyFill="1"/>
    <xf numFmtId="0" fontId="7" fillId="3" borderId="0" xfId="0" applyNumberFormat="1" applyFont="1" applyFill="1"/>
    <xf numFmtId="43" fontId="7" fillId="0" borderId="0" xfId="0" applyNumberFormat="1" applyFont="1"/>
    <xf numFmtId="37" fontId="20" fillId="0" borderId="0" xfId="0" applyNumberFormat="1" applyFont="1" applyAlignment="1">
      <alignment horizontal="centerContinuous"/>
    </xf>
    <xf numFmtId="37" fontId="20" fillId="0" borderId="0" xfId="0" applyNumberFormat="1" applyFont="1" applyBorder="1" applyAlignment="1">
      <alignment horizontal="centerContinuous"/>
    </xf>
    <xf numFmtId="0" fontId="7" fillId="0" borderId="0" xfId="0" applyNumberFormat="1" applyFont="1" applyAlignment="1">
      <alignment horizontal="centerContinuous"/>
    </xf>
    <xf numFmtId="37" fontId="22" fillId="0" borderId="0" xfId="0" applyNumberFormat="1" applyFont="1" applyAlignment="1">
      <alignment horizontal="centerContinuous"/>
    </xf>
    <xf numFmtId="179" fontId="22" fillId="0" borderId="0" xfId="0" applyNumberFormat="1" applyFont="1" applyAlignment="1">
      <alignment horizontal="center"/>
    </xf>
    <xf numFmtId="179" fontId="22" fillId="0" borderId="0" xfId="0" applyNumberFormat="1" applyFont="1" applyBorder="1" applyAlignment="1">
      <alignment horizontal="center"/>
    </xf>
    <xf numFmtId="0" fontId="9" fillId="0" borderId="0" xfId="0" quotePrefix="1" applyNumberFormat="1" applyFont="1" applyFill="1" applyBorder="1" applyAlignment="1">
      <alignment horizontal="center"/>
    </xf>
    <xf numFmtId="179" fontId="22" fillId="0" borderId="0" xfId="0" applyNumberFormat="1" applyFont="1" applyFill="1" applyBorder="1" applyAlignment="1">
      <alignment horizontal="center"/>
    </xf>
    <xf numFmtId="37" fontId="9" fillId="0" borderId="0" xfId="0" applyNumberFormat="1" applyFont="1" applyAlignment="1"/>
    <xf numFmtId="41" fontId="7" fillId="0" borderId="0" xfId="0" applyNumberFormat="1" applyFont="1"/>
    <xf numFmtId="37" fontId="20" fillId="0" borderId="3" xfId="0" applyNumberFormat="1" applyFont="1" applyBorder="1"/>
    <xf numFmtId="179" fontId="20" fillId="0" borderId="0" xfId="0" applyNumberFormat="1" applyFont="1" applyFill="1" applyBorder="1"/>
    <xf numFmtId="174" fontId="0" fillId="0" borderId="0" xfId="0" applyNumberFormat="1" applyFont="1"/>
    <xf numFmtId="0" fontId="7" fillId="0" borderId="0" xfId="0" applyNumberFormat="1" applyFont="1" applyBorder="1"/>
    <xf numFmtId="37" fontId="7" fillId="0" borderId="0" xfId="0" applyNumberFormat="1" applyFont="1"/>
    <xf numFmtId="5" fontId="20" fillId="0" borderId="16" xfId="0" applyNumberFormat="1" applyFont="1" applyFill="1" applyBorder="1"/>
    <xf numFmtId="5" fontId="7" fillId="0" borderId="0" xfId="0" applyNumberFormat="1" applyFont="1"/>
    <xf numFmtId="167" fontId="20" fillId="0" borderId="0" xfId="0" applyNumberFormat="1" applyFont="1" applyBorder="1"/>
    <xf numFmtId="167" fontId="20" fillId="0" borderId="0" xfId="0" applyNumberFormat="1" applyFont="1" applyFill="1"/>
    <xf numFmtId="167" fontId="20" fillId="0" borderId="3" xfId="0" applyNumberFormat="1" applyFont="1" applyBorder="1"/>
    <xf numFmtId="167" fontId="20" fillId="0" borderId="3" xfId="0" applyNumberFormat="1" applyFont="1" applyFill="1" applyBorder="1"/>
    <xf numFmtId="0" fontId="20" fillId="0" borderId="0" xfId="0" applyNumberFormat="1" applyFont="1" applyAlignment="1">
      <alignment horizontal="centerContinuous"/>
    </xf>
    <xf numFmtId="0" fontId="20" fillId="0" borderId="0" xfId="0" applyNumberFormat="1" applyFont="1" applyFill="1" applyAlignment="1">
      <alignment horizontal="centerContinuous"/>
    </xf>
    <xf numFmtId="0" fontId="20" fillId="0" borderId="0" xfId="0" applyNumberFormat="1" applyFont="1"/>
    <xf numFmtId="0" fontId="10" fillId="0" borderId="0" xfId="0" applyNumberFormat="1" applyFont="1" applyFill="1" applyAlignment="1">
      <alignment horizontal="center"/>
    </xf>
    <xf numFmtId="179" fontId="22" fillId="0" borderId="0" xfId="0" applyNumberFormat="1" applyFont="1" applyAlignment="1">
      <alignment horizontal="centerContinuous"/>
    </xf>
    <xf numFmtId="179" fontId="22" fillId="0" borderId="0" xfId="0" applyNumberFormat="1" applyFont="1" applyBorder="1" applyAlignment="1">
      <alignment horizontal="centerContinuous"/>
    </xf>
    <xf numFmtId="37" fontId="22" fillId="0" borderId="0" xfId="0" applyNumberFormat="1" applyFont="1" applyBorder="1" applyAlignment="1">
      <alignment horizontal="centerContinuous"/>
    </xf>
    <xf numFmtId="179" fontId="23" fillId="0" borderId="0" xfId="0" applyNumberFormat="1" applyFont="1" applyAlignment="1">
      <alignment horizontal="centerContinuous"/>
    </xf>
    <xf numFmtId="9" fontId="0" fillId="0" borderId="0" xfId="0" applyNumberFormat="1" applyFont="1"/>
    <xf numFmtId="37" fontId="20" fillId="0" borderId="0" xfId="0" applyNumberFormat="1" applyFont="1" applyBorder="1"/>
    <xf numFmtId="37" fontId="20" fillId="0" borderId="0" xfId="0" applyNumberFormat="1" applyFont="1"/>
    <xf numFmtId="179" fontId="20" fillId="0" borderId="0" xfId="0" applyNumberFormat="1" applyFont="1" applyBorder="1"/>
    <xf numFmtId="0" fontId="9" fillId="0" borderId="0" xfId="0" applyNumberFormat="1" applyFont="1" applyFill="1" applyAlignment="1">
      <alignment horizontal="centerContinuous"/>
    </xf>
    <xf numFmtId="14" fontId="20" fillId="0" borderId="0" xfId="0" applyNumberFormat="1" applyFont="1" applyBorder="1" applyAlignment="1">
      <alignment horizontal="center"/>
    </xf>
    <xf numFmtId="0" fontId="9" fillId="0" borderId="0" xfId="0" applyNumberFormat="1" applyFont="1"/>
    <xf numFmtId="0" fontId="7" fillId="0" borderId="0" xfId="0" applyNumberFormat="1" applyFont="1" applyBorder="1" applyAlignment="1">
      <alignment horizontal="center"/>
    </xf>
    <xf numFmtId="5" fontId="20" fillId="0" borderId="0" xfId="0" applyNumberFormat="1" applyFont="1"/>
    <xf numFmtId="5" fontId="20" fillId="0" borderId="0" xfId="0" applyNumberFormat="1" applyFont="1" applyBorder="1" applyAlignment="1"/>
    <xf numFmtId="5" fontId="20" fillId="0" borderId="0" xfId="0" applyNumberFormat="1" applyFont="1" applyFill="1"/>
    <xf numFmtId="174" fontId="9" fillId="0" borderId="0" xfId="0" applyNumberFormat="1" applyFont="1" applyFill="1"/>
    <xf numFmtId="5" fontId="7" fillId="0" borderId="0" xfId="0" applyNumberFormat="1" applyFont="1" applyBorder="1"/>
    <xf numFmtId="37" fontId="20" fillId="0" borderId="0" xfId="0" applyNumberFormat="1" applyFont="1" applyFill="1"/>
    <xf numFmtId="41" fontId="7" fillId="0" borderId="0" xfId="0" applyNumberFormat="1" applyFont="1" applyBorder="1"/>
    <xf numFmtId="37" fontId="7" fillId="0" borderId="0" xfId="0" applyNumberFormat="1" applyFont="1" applyBorder="1"/>
    <xf numFmtId="179" fontId="20" fillId="0" borderId="0" xfId="0" applyNumberFormat="1" applyFont="1" applyFill="1"/>
    <xf numFmtId="37" fontId="9" fillId="3" borderId="0" xfId="0" applyNumberFormat="1" applyFont="1" applyFill="1" applyBorder="1"/>
    <xf numFmtId="37" fontId="7" fillId="3" borderId="0" xfId="0" applyNumberFormat="1" applyFont="1" applyFill="1" applyBorder="1"/>
    <xf numFmtId="5" fontId="7" fillId="3" borderId="0" xfId="0" applyNumberFormat="1" applyFont="1" applyFill="1" applyBorder="1"/>
    <xf numFmtId="37" fontId="20" fillId="0" borderId="1" xfId="0" applyNumberFormat="1" applyFont="1" applyFill="1" applyBorder="1"/>
    <xf numFmtId="37" fontId="20" fillId="0" borderId="3" xfId="0" applyNumberFormat="1" applyFont="1" applyFill="1" applyBorder="1"/>
    <xf numFmtId="37" fontId="20" fillId="0" borderId="0" xfId="0" applyNumberFormat="1" applyFont="1" applyFill="1" applyBorder="1"/>
    <xf numFmtId="173" fontId="9" fillId="0" borderId="0" xfId="0" applyNumberFormat="1" applyFont="1" applyFill="1" applyAlignment="1" applyProtection="1">
      <alignment horizontal="left"/>
    </xf>
    <xf numFmtId="37" fontId="7" fillId="0" borderId="0" xfId="0" applyNumberFormat="1" applyFont="1" applyBorder="1"/>
    <xf numFmtId="5" fontId="7" fillId="0" borderId="0" xfId="0" applyNumberFormat="1" applyFont="1" applyBorder="1"/>
    <xf numFmtId="179" fontId="20" fillId="0" borderId="3" xfId="0" applyNumberFormat="1" applyFont="1" applyFill="1" applyBorder="1"/>
    <xf numFmtId="179" fontId="7" fillId="0" borderId="0" xfId="0" applyNumberFormat="1" applyFont="1" applyBorder="1"/>
    <xf numFmtId="0" fontId="9" fillId="0" borderId="0" xfId="0" applyNumberFormat="1" applyFont="1"/>
    <xf numFmtId="37" fontId="20" fillId="0" borderId="1" xfId="0" applyNumberFormat="1" applyFont="1" applyBorder="1"/>
    <xf numFmtId="37" fontId="9" fillId="0" borderId="0" xfId="0" applyNumberFormat="1" applyFont="1"/>
    <xf numFmtId="41" fontId="20" fillId="0" borderId="0" xfId="0" applyNumberFormat="1" applyFont="1" applyBorder="1"/>
    <xf numFmtId="41" fontId="20" fillId="0" borderId="1" xfId="0" applyNumberFormat="1" applyFont="1" applyBorder="1"/>
    <xf numFmtId="41" fontId="20" fillId="0" borderId="3" xfId="0" applyNumberFormat="1" applyFont="1" applyBorder="1"/>
    <xf numFmtId="179" fontId="20" fillId="0" borderId="3" xfId="0" applyNumberFormat="1" applyFont="1" applyBorder="1"/>
    <xf numFmtId="5" fontId="20" fillId="0" borderId="16" xfId="0" applyNumberFormat="1" applyFont="1" applyBorder="1"/>
    <xf numFmtId="5" fontId="20" fillId="0" borderId="0" xfId="0" applyNumberFormat="1" applyFont="1" applyBorder="1"/>
    <xf numFmtId="0" fontId="7" fillId="0" borderId="0" xfId="0" applyNumberFormat="1" applyFont="1"/>
    <xf numFmtId="37" fontId="20" fillId="3" borderId="0" xfId="0" applyNumberFormat="1" applyFont="1" applyFill="1"/>
    <xf numFmtId="37" fontId="9" fillId="0" borderId="0" xfId="0" applyNumberFormat="1" applyFont="1" applyFill="1" applyAlignment="1">
      <alignment horizontal="centerContinuous"/>
    </xf>
    <xf numFmtId="179" fontId="10" fillId="0" borderId="0" xfId="0" applyNumberFormat="1" applyFont="1" applyAlignment="1">
      <alignment horizontal="center"/>
    </xf>
    <xf numFmtId="37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/>
    <xf numFmtId="0" fontId="20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/>
    <xf numFmtId="179" fontId="9" fillId="0" borderId="0" xfId="0" applyNumberFormat="1" applyFont="1" applyBorder="1" applyAlignment="1"/>
    <xf numFmtId="6" fontId="9" fillId="0" borderId="0" xfId="0" applyNumberFormat="1" applyFont="1" applyFill="1"/>
    <xf numFmtId="37" fontId="10" fillId="0" borderId="0" xfId="0" applyNumberFormat="1" applyFont="1"/>
    <xf numFmtId="179" fontId="20" fillId="0" borderId="0" xfId="0" applyNumberFormat="1" applyFont="1"/>
    <xf numFmtId="41" fontId="9" fillId="0" borderId="1" xfId="0" applyNumberFormat="1" applyFont="1" applyBorder="1"/>
    <xf numFmtId="41" fontId="9" fillId="0" borderId="0" xfId="0" applyNumberFormat="1" applyFont="1" applyBorder="1"/>
    <xf numFmtId="41" fontId="9" fillId="0" borderId="3" xfId="0" applyNumberFormat="1" applyFont="1" applyBorder="1"/>
    <xf numFmtId="179" fontId="20" fillId="0" borderId="0" xfId="0" applyNumberFormat="1" applyFont="1" applyAlignment="1">
      <alignment horizontal="centerContinuous"/>
    </xf>
    <xf numFmtId="179" fontId="10" fillId="0" borderId="0" xfId="0" applyNumberFormat="1" applyFont="1" applyAlignment="1">
      <alignment horizontal="centerContinuous" wrapText="1"/>
    </xf>
    <xf numFmtId="179" fontId="9" fillId="0" borderId="0" xfId="0" applyNumberFormat="1" applyFont="1" applyAlignment="1">
      <alignment horizontal="centerContinuous" wrapText="1"/>
    </xf>
    <xf numFmtId="6" fontId="9" fillId="0" borderId="16" xfId="0" applyNumberFormat="1" applyFont="1" applyFill="1" applyBorder="1"/>
    <xf numFmtId="6" fontId="9" fillId="0" borderId="0" xfId="0" applyNumberFormat="1" applyFont="1" applyFill="1" applyBorder="1"/>
    <xf numFmtId="5" fontId="9" fillId="2" borderId="0" xfId="0" applyNumberFormat="1" applyFont="1" applyFill="1" applyBorder="1"/>
    <xf numFmtId="179" fontId="10" fillId="0" borderId="0" xfId="0" applyNumberFormat="1" applyFont="1" applyAlignment="1">
      <alignment horizontal="centerContinuous"/>
    </xf>
    <xf numFmtId="179" fontId="9" fillId="0" borderId="0" xfId="0" applyNumberFormat="1" applyFont="1" applyFill="1" applyAlignment="1">
      <alignment horizontal="centerContinuous"/>
    </xf>
    <xf numFmtId="179" fontId="9" fillId="0" borderId="0" xfId="0" applyNumberFormat="1" applyFont="1" applyFill="1" applyBorder="1" applyAlignment="1">
      <alignment horizontal="centerContinuous"/>
    </xf>
    <xf numFmtId="179" fontId="9" fillId="0" borderId="0" xfId="0" applyNumberFormat="1" applyFont="1"/>
    <xf numFmtId="37" fontId="9" fillId="0" borderId="0" xfId="0" applyNumberFormat="1" applyFont="1" applyFill="1"/>
    <xf numFmtId="179" fontId="20" fillId="0" borderId="0" xfId="0" applyNumberFormat="1" applyFont="1" applyFill="1"/>
    <xf numFmtId="37" fontId="9" fillId="0" borderId="0" xfId="0" applyNumberFormat="1" applyFont="1" applyFill="1" applyBorder="1"/>
    <xf numFmtId="37" fontId="9" fillId="0" borderId="0" xfId="0" applyNumberFormat="1" applyFont="1" applyBorder="1" applyAlignment="1">
      <alignment horizontal="center"/>
    </xf>
    <xf numFmtId="179" fontId="9" fillId="0" borderId="0" xfId="0" applyNumberFormat="1" applyFont="1" applyBorder="1"/>
    <xf numFmtId="179" fontId="9" fillId="0" borderId="0" xfId="0" applyNumberFormat="1" applyFont="1" applyFill="1" applyBorder="1" applyAlignment="1"/>
    <xf numFmtId="164" fontId="9" fillId="0" borderId="1" xfId="0" quotePrefix="1" applyNumberFormat="1" applyFont="1" applyFill="1" applyBorder="1" applyAlignment="1">
      <alignment horizontal="center"/>
    </xf>
    <xf numFmtId="164" fontId="9" fillId="0" borderId="0" xfId="0" quotePrefix="1" applyNumberFormat="1" applyFont="1" applyFill="1" applyBorder="1" applyAlignment="1">
      <alignment horizontal="center"/>
    </xf>
    <xf numFmtId="179" fontId="9" fillId="0" borderId="0" xfId="0" applyNumberFormat="1" applyFont="1" applyFill="1" applyBorder="1"/>
    <xf numFmtId="5" fontId="9" fillId="0" borderId="0" xfId="0" applyNumberFormat="1" applyFont="1" applyFill="1" applyBorder="1"/>
    <xf numFmtId="42" fontId="9" fillId="0" borderId="0" xfId="0" applyNumberFormat="1" applyFont="1" applyFill="1" applyBorder="1"/>
    <xf numFmtId="179" fontId="9" fillId="0" borderId="3" xfId="0" applyNumberFormat="1" applyFont="1" applyFill="1" applyBorder="1"/>
    <xf numFmtId="173" fontId="9" fillId="0" borderId="0" xfId="0" applyNumberFormat="1" applyFont="1" applyFill="1" applyAlignment="1" applyProtection="1">
      <alignment horizontal="left"/>
    </xf>
    <xf numFmtId="41" fontId="9" fillId="0" borderId="0" xfId="0" applyNumberFormat="1" applyFont="1" applyFill="1"/>
    <xf numFmtId="37" fontId="9" fillId="0" borderId="1" xfId="0" applyNumberFormat="1" applyFont="1" applyFill="1" applyBorder="1"/>
    <xf numFmtId="41" fontId="9" fillId="0" borderId="0" xfId="0" applyNumberFormat="1" applyFont="1" applyFill="1" applyBorder="1"/>
    <xf numFmtId="37" fontId="9" fillId="0" borderId="3" xfId="0" applyNumberFormat="1" applyFont="1" applyFill="1" applyBorder="1"/>
    <xf numFmtId="5" fontId="9" fillId="0" borderId="3" xfId="0" applyNumberFormat="1" applyFont="1" applyFill="1" applyBorder="1"/>
    <xf numFmtId="43" fontId="9" fillId="0" borderId="0" xfId="0" applyNumberFormat="1" applyFont="1" applyFill="1"/>
    <xf numFmtId="43" fontId="9" fillId="0" borderId="0" xfId="0" applyNumberFormat="1" applyFont="1" applyFill="1" applyBorder="1" applyAlignment="1"/>
    <xf numFmtId="43" fontId="9" fillId="0" borderId="0" xfId="0" applyNumberFormat="1" applyFont="1" applyFill="1" applyAlignment="1"/>
    <xf numFmtId="5" fontId="9" fillId="0" borderId="0" xfId="0" applyNumberFormat="1" applyFont="1" applyFill="1" applyBorder="1" applyAlignment="1">
      <alignment horizontal="centerContinuous"/>
    </xf>
    <xf numFmtId="39" fontId="9" fillId="0" borderId="0" xfId="0" applyNumberFormat="1" applyFont="1" applyFill="1"/>
    <xf numFmtId="39" fontId="9" fillId="0" borderId="0" xfId="0" applyNumberFormat="1" applyFont="1" applyFill="1" applyBorder="1"/>
    <xf numFmtId="5" fontId="9" fillId="0" borderId="0" xfId="0" applyNumberFormat="1" applyFont="1" applyFill="1"/>
    <xf numFmtId="5" fontId="9" fillId="0" borderId="16" xfId="0" applyNumberFormat="1" applyFont="1" applyFill="1" applyBorder="1"/>
    <xf numFmtId="7" fontId="9" fillId="0" borderId="0" xfId="0" applyNumberFormat="1" applyFont="1" applyBorder="1"/>
    <xf numFmtId="7" fontId="9" fillId="0" borderId="0" xfId="0" applyNumberFormat="1" applyFont="1" applyFill="1" applyBorder="1"/>
    <xf numFmtId="179" fontId="9" fillId="0" borderId="0" xfId="0" applyNumberFormat="1" applyFont="1" applyAlignment="1">
      <alignment horizontal="center"/>
    </xf>
    <xf numFmtId="37" fontId="10" fillId="0" borderId="0" xfId="0" applyNumberFormat="1" applyFont="1" applyAlignment="1">
      <alignment horizontal="centerContinuous"/>
    </xf>
    <xf numFmtId="179" fontId="9" fillId="0" borderId="0" xfId="0" applyNumberFormat="1" applyFont="1" applyAlignment="1">
      <alignment horizontal="centerContinuous"/>
    </xf>
    <xf numFmtId="179" fontId="10" fillId="0" borderId="0" xfId="0" applyNumberFormat="1" applyFont="1" applyFill="1" applyAlignment="1">
      <alignment horizontal="centerContinuous"/>
    </xf>
    <xf numFmtId="179" fontId="9" fillId="0" borderId="3" xfId="0" applyFont="1" applyBorder="1" applyAlignment="1">
      <alignment horizontal="center"/>
    </xf>
    <xf numFmtId="5" fontId="9" fillId="0" borderId="0" xfId="0" applyNumberFormat="1" applyFont="1"/>
    <xf numFmtId="179" fontId="9" fillId="0" borderId="3" xfId="0" applyFont="1" applyBorder="1"/>
    <xf numFmtId="165" fontId="9" fillId="0" borderId="0" xfId="0" applyNumberFormat="1" applyFont="1" applyAlignment="1">
      <alignment horizontal="center"/>
    </xf>
    <xf numFmtId="7" fontId="9" fillId="0" borderId="0" xfId="0" applyNumberFormat="1" applyFont="1" applyAlignment="1"/>
    <xf numFmtId="0" fontId="9" fillId="0" borderId="0" xfId="0" applyNumberFormat="1" applyFont="1"/>
    <xf numFmtId="0" fontId="9" fillId="0" borderId="0" xfId="0" applyNumberFormat="1" applyFont="1" applyAlignment="1"/>
    <xf numFmtId="37" fontId="9" fillId="0" borderId="0" xfId="0" applyNumberFormat="1" applyFont="1" applyAlignment="1">
      <alignment horizontal="centerContinuous"/>
    </xf>
    <xf numFmtId="179" fontId="9" fillId="0" borderId="0" xfId="0" applyFont="1" applyAlignment="1">
      <alignment horizontal="centerContinuous"/>
    </xf>
    <xf numFmtId="0" fontId="9" fillId="0" borderId="0" xfId="0" applyNumberFormat="1" applyFont="1" applyBorder="1" applyAlignment="1">
      <alignment horizontal="centerContinuous"/>
    </xf>
    <xf numFmtId="37" fontId="9" fillId="0" borderId="0" xfId="0" applyNumberFormat="1" applyFont="1" applyBorder="1" applyAlignment="1">
      <alignment horizontal="centerContinuous"/>
    </xf>
    <xf numFmtId="179" fontId="9" fillId="0" borderId="0" xfId="0" applyFont="1"/>
    <xf numFmtId="179" fontId="12" fillId="0" borderId="0" xfId="0" applyFont="1"/>
    <xf numFmtId="7" fontId="9" fillId="0" borderId="0" xfId="0" applyNumberFormat="1" applyFont="1"/>
    <xf numFmtId="43" fontId="9" fillId="0" borderId="0" xfId="0" applyNumberFormat="1" applyFont="1"/>
    <xf numFmtId="7" fontId="10" fillId="0" borderId="0" xfId="0" applyNumberFormat="1" applyFont="1" applyBorder="1"/>
    <xf numFmtId="0" fontId="20" fillId="0" borderId="0" xfId="0" applyNumberFormat="1" applyFont="1" applyBorder="1"/>
    <xf numFmtId="1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Border="1"/>
    <xf numFmtId="5" fontId="9" fillId="0" borderId="0" xfId="0" applyNumberFormat="1" applyFont="1"/>
    <xf numFmtId="37" fontId="9" fillId="0" borderId="0" xfId="0" applyNumberFormat="1" applyFont="1"/>
    <xf numFmtId="37" fontId="10" fillId="0" borderId="0" xfId="0" applyNumberFormat="1" applyFont="1" applyBorder="1"/>
    <xf numFmtId="179" fontId="9" fillId="0" borderId="0" xfId="0" applyFont="1" applyFill="1"/>
    <xf numFmtId="37" fontId="9" fillId="3" borderId="0" xfId="0" applyNumberFormat="1" applyFont="1" applyFill="1"/>
    <xf numFmtId="179" fontId="9" fillId="3" borderId="0" xfId="0" applyFont="1" applyFill="1" applyBorder="1"/>
    <xf numFmtId="39" fontId="9" fillId="0" borderId="0" xfId="0" applyNumberFormat="1" applyFont="1" applyBorder="1"/>
    <xf numFmtId="5" fontId="9" fillId="0" borderId="0" xfId="0" applyNumberFormat="1" applyFont="1" applyBorder="1"/>
    <xf numFmtId="43" fontId="9" fillId="0" borderId="0" xfId="0" applyNumberFormat="1" applyFont="1" applyBorder="1"/>
    <xf numFmtId="37" fontId="10" fillId="0" borderId="0" xfId="0" applyNumberFormat="1" applyFont="1" applyFill="1" applyBorder="1"/>
    <xf numFmtId="37" fontId="21" fillId="0" borderId="0" xfId="0" applyNumberFormat="1" applyFont="1"/>
    <xf numFmtId="0" fontId="21" fillId="0" borderId="0" xfId="0" quotePrefix="1" applyNumberFormat="1" applyFont="1"/>
    <xf numFmtId="0" fontId="9" fillId="0" borderId="0" xfId="0" applyNumberFormat="1" applyFont="1" applyAlignment="1">
      <alignment horizontal="center"/>
    </xf>
    <xf numFmtId="0" fontId="10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/>
    <xf numFmtId="179" fontId="9" fillId="0" borderId="0" xfId="0" applyNumberFormat="1" applyFont="1" applyFill="1" applyBorder="1" applyAlignment="1">
      <alignment horizontal="center"/>
    </xf>
    <xf numFmtId="43" fontId="9" fillId="0" borderId="0" xfId="0" applyNumberFormat="1" applyFont="1" applyFill="1" applyAlignment="1">
      <alignment horizontal="center"/>
    </xf>
    <xf numFmtId="39" fontId="9" fillId="0" borderId="0" xfId="0" applyNumberFormat="1" applyFont="1"/>
    <xf numFmtId="3" fontId="12" fillId="0" borderId="0" xfId="0" applyNumberFormat="1" applyFont="1" applyFill="1" applyBorder="1" applyAlignment="1">
      <alignment horizontal="center"/>
    </xf>
    <xf numFmtId="179" fontId="9" fillId="0" borderId="0" xfId="0" applyNumberFormat="1" applyFont="1" applyFill="1" applyBorder="1" applyAlignment="1">
      <alignment horizontal="center" wrapText="1"/>
    </xf>
    <xf numFmtId="5" fontId="9" fillId="0" borderId="0" xfId="0" quotePrefix="1" applyNumberFormat="1" applyFont="1" applyFill="1" applyBorder="1"/>
    <xf numFmtId="179" fontId="12" fillId="0" borderId="0" xfId="0" applyNumberFormat="1" applyFont="1" applyFill="1" applyBorder="1" applyAlignment="1">
      <alignment horizontal="center"/>
    </xf>
    <xf numFmtId="171" fontId="9" fillId="0" borderId="0" xfId="0" applyNumberFormat="1" applyFont="1" applyFill="1" applyBorder="1" applyAlignment="1">
      <alignment horizontal="center"/>
    </xf>
    <xf numFmtId="179" fontId="9" fillId="0" borderId="0" xfId="0" applyFont="1"/>
    <xf numFmtId="179" fontId="9" fillId="0" borderId="0" xfId="0" applyFont="1" applyAlignment="1">
      <alignment horizontal="centerContinuous"/>
    </xf>
    <xf numFmtId="179" fontId="9" fillId="0" borderId="0" xfId="0" applyFont="1" applyBorder="1" applyAlignment="1">
      <alignment horizontal="center"/>
    </xf>
    <xf numFmtId="179" fontId="9" fillId="0" borderId="0" xfId="0" applyFont="1" applyBorder="1" applyAlignment="1"/>
    <xf numFmtId="179" fontId="9" fillId="0" borderId="0" xfId="0" applyFont="1" applyAlignment="1"/>
    <xf numFmtId="37" fontId="9" fillId="0" borderId="0" xfId="0" applyNumberFormat="1" applyFont="1" applyAlignment="1"/>
    <xf numFmtId="37" fontId="9" fillId="0" borderId="0" xfId="0" applyNumberFormat="1" applyFont="1" applyBorder="1" applyAlignment="1"/>
    <xf numFmtId="39" fontId="9" fillId="0" borderId="0" xfId="0" applyNumberFormat="1" applyFont="1" applyBorder="1" applyAlignment="1"/>
    <xf numFmtId="7" fontId="9" fillId="0" borderId="0" xfId="0" applyNumberFormat="1" applyFont="1" applyBorder="1" applyAlignment="1"/>
    <xf numFmtId="0" fontId="20" fillId="0" borderId="0" xfId="0" applyNumberFormat="1" applyFont="1" applyAlignment="1">
      <alignment horizontal="centerContinuous"/>
    </xf>
    <xf numFmtId="0" fontId="20" fillId="0" borderId="0" xfId="0" applyNumberFormat="1" applyFont="1"/>
    <xf numFmtId="10" fontId="9" fillId="0" borderId="0" xfId="0" applyNumberFormat="1" applyFont="1" applyFill="1" applyBorder="1"/>
    <xf numFmtId="169" fontId="9" fillId="0" borderId="0" xfId="0" applyNumberFormat="1" applyFont="1" applyFill="1" applyBorder="1"/>
    <xf numFmtId="179" fontId="9" fillId="0" borderId="0" xfId="0" applyFont="1" applyBorder="1"/>
    <xf numFmtId="179" fontId="9" fillId="0" borderId="0" xfId="0" applyFont="1" applyFill="1" applyBorder="1"/>
    <xf numFmtId="37" fontId="9" fillId="0" borderId="0" xfId="0" applyNumberFormat="1" applyFont="1" applyBorder="1"/>
    <xf numFmtId="179" fontId="9" fillId="0" borderId="1" xfId="0" applyFont="1" applyBorder="1" applyAlignment="1">
      <alignment horizontal="center"/>
    </xf>
    <xf numFmtId="179" fontId="9" fillId="0" borderId="0" xfId="0" applyFont="1" applyAlignment="1">
      <alignment horizontal="center"/>
    </xf>
    <xf numFmtId="0" fontId="21" fillId="0" borderId="0" xfId="0" applyNumberFormat="1" applyFont="1" applyFill="1" applyBorder="1"/>
    <xf numFmtId="0" fontId="21" fillId="0" borderId="0" xfId="0" quotePrefix="1" applyNumberFormat="1" applyFont="1" applyAlignment="1">
      <alignment horizontal="center"/>
    </xf>
    <xf numFmtId="41" fontId="9" fillId="0" borderId="0" xfId="0" applyNumberFormat="1" applyFont="1" applyFill="1" applyBorder="1" applyAlignment="1">
      <alignment horizontal="center"/>
    </xf>
    <xf numFmtId="179" fontId="20" fillId="0" borderId="0" xfId="0" applyFont="1" applyFill="1" applyAlignment="1">
      <alignment horizontal="right"/>
    </xf>
    <xf numFmtId="3" fontId="9" fillId="0" borderId="3" xfId="0" applyNumberFormat="1" applyFont="1" applyFill="1" applyBorder="1"/>
    <xf numFmtId="0" fontId="9" fillId="0" borderId="1" xfId="0" applyNumberFormat="1" applyFont="1" applyBorder="1" applyAlignment="1">
      <alignment horizontal="center"/>
    </xf>
    <xf numFmtId="0" fontId="7" fillId="0" borderId="0" xfId="0" applyNumberFormat="1" applyFont="1"/>
    <xf numFmtId="0" fontId="20" fillId="0" borderId="1" xfId="0" applyNumberFormat="1" applyFont="1" applyBorder="1" applyAlignment="1">
      <alignment horizontal="center"/>
    </xf>
    <xf numFmtId="41" fontId="9" fillId="0" borderId="0" xfId="0" applyNumberFormat="1" applyFont="1" applyFill="1"/>
    <xf numFmtId="37" fontId="9" fillId="0" borderId="0" xfId="0" applyNumberFormat="1" applyFont="1" applyFill="1"/>
    <xf numFmtId="41" fontId="20" fillId="0" borderId="0" xfId="0" applyNumberFormat="1" applyFont="1" applyFill="1"/>
    <xf numFmtId="41" fontId="9" fillId="0" borderId="0" xfId="0" applyNumberFormat="1" applyFont="1" applyFill="1"/>
    <xf numFmtId="41" fontId="9" fillId="0" borderId="0" xfId="0" applyNumberFormat="1" applyFont="1" applyFill="1"/>
    <xf numFmtId="41" fontId="9" fillId="0" borderId="0" xfId="0" applyNumberFormat="1" applyFont="1" applyFill="1"/>
    <xf numFmtId="5" fontId="9" fillId="0" borderId="0" xfId="0" applyNumberFormat="1" applyFont="1" applyFill="1"/>
    <xf numFmtId="37" fontId="20" fillId="0" borderId="0" xfId="0" applyNumberFormat="1" applyFont="1" applyFill="1" applyBorder="1"/>
    <xf numFmtId="5" fontId="9" fillId="0" borderId="0" xfId="0" applyNumberFormat="1" applyFont="1" applyFill="1"/>
    <xf numFmtId="5" fontId="9" fillId="0" borderId="0" xfId="0" applyNumberFormat="1" applyFont="1" applyFill="1"/>
    <xf numFmtId="43" fontId="9" fillId="0" borderId="0" xfId="0" applyNumberFormat="1" applyFont="1" applyFill="1" applyBorder="1"/>
    <xf numFmtId="5" fontId="9" fillId="0" borderId="0" xfId="0" applyNumberFormat="1" applyFont="1" applyFill="1"/>
    <xf numFmtId="37" fontId="9" fillId="0" borderId="1" xfId="0" applyNumberFormat="1" applyFont="1" applyBorder="1"/>
    <xf numFmtId="174" fontId="9" fillId="0" borderId="0" xfId="0" applyNumberFormat="1" applyFont="1" applyFill="1" applyBorder="1"/>
    <xf numFmtId="37" fontId="9" fillId="0" borderId="3" xfId="0" applyNumberFormat="1" applyFont="1" applyFill="1" applyBorder="1"/>
    <xf numFmtId="41" fontId="9" fillId="0" borderId="1" xfId="0" applyNumberFormat="1" applyFont="1" applyFill="1" applyBorder="1"/>
    <xf numFmtId="41" fontId="9" fillId="0" borderId="0" xfId="0" applyNumberFormat="1" applyFont="1" applyFill="1"/>
    <xf numFmtId="5" fontId="9" fillId="0" borderId="0" xfId="0" applyNumberFormat="1" applyFont="1" applyFill="1" applyBorder="1"/>
    <xf numFmtId="179" fontId="9" fillId="0" borderId="0" xfId="0" applyNumberFormat="1" applyFont="1" applyFill="1"/>
    <xf numFmtId="41" fontId="9" fillId="0" borderId="3" xfId="0" applyNumberFormat="1" applyFont="1" applyFill="1" applyBorder="1"/>
    <xf numFmtId="37" fontId="9" fillId="0" borderId="0" xfId="0" applyNumberFormat="1" applyFont="1"/>
    <xf numFmtId="37" fontId="9" fillId="0" borderId="1" xfId="0" applyNumberFormat="1" applyFont="1" applyFill="1" applyBorder="1"/>
    <xf numFmtId="179" fontId="9" fillId="0" borderId="0" xfId="0" applyNumberFormat="1" applyFont="1" applyFill="1" applyBorder="1"/>
    <xf numFmtId="165" fontId="9" fillId="0" borderId="0" xfId="0" applyNumberFormat="1" applyFont="1" applyFill="1" applyAlignment="1">
      <alignment horizontal="center"/>
    </xf>
    <xf numFmtId="37" fontId="9" fillId="0" borderId="0" xfId="0" applyNumberFormat="1" applyFont="1" applyFill="1"/>
    <xf numFmtId="41" fontId="9" fillId="0" borderId="0" xfId="0" applyNumberFormat="1" applyFont="1" applyBorder="1"/>
    <xf numFmtId="41" fontId="9" fillId="0" borderId="1" xfId="0" applyNumberFormat="1" applyFont="1" applyBorder="1"/>
    <xf numFmtId="41" fontId="9" fillId="0" borderId="0" xfId="0" applyNumberFormat="1" applyFont="1" applyFill="1" applyBorder="1"/>
    <xf numFmtId="179" fontId="9" fillId="0" borderId="3" xfId="0" applyNumberFormat="1" applyFont="1" applyFill="1" applyBorder="1"/>
    <xf numFmtId="37" fontId="9" fillId="0" borderId="0" xfId="0" applyNumberFormat="1" applyFont="1" applyFill="1" applyBorder="1"/>
    <xf numFmtId="37" fontId="9" fillId="0" borderId="0" xfId="0" applyNumberFormat="1" applyFont="1" applyFill="1"/>
    <xf numFmtId="43" fontId="10" fillId="3" borderId="0" xfId="0" applyNumberFormat="1" applyFont="1" applyFill="1"/>
    <xf numFmtId="3" fontId="9" fillId="0" borderId="5" xfId="0" applyNumberFormat="1" applyFont="1" applyFill="1" applyBorder="1" applyAlignment="1">
      <alignment horizontal="center"/>
    </xf>
    <xf numFmtId="5" fontId="9" fillId="0" borderId="17" xfId="0" applyNumberFormat="1" applyFont="1" applyFill="1" applyBorder="1"/>
    <xf numFmtId="174" fontId="9" fillId="0" borderId="0" xfId="0" applyNumberFormat="1" applyFont="1" applyFill="1"/>
    <xf numFmtId="39" fontId="10" fillId="0" borderId="0" xfId="0" applyNumberFormat="1" applyFont="1" applyFill="1" applyBorder="1"/>
    <xf numFmtId="3" fontId="19" fillId="0" borderId="0" xfId="0" applyNumberFormat="1" applyFont="1" applyFill="1" applyBorder="1"/>
    <xf numFmtId="7" fontId="9" fillId="0" borderId="17" xfId="0" applyNumberFormat="1" applyFont="1" applyBorder="1"/>
    <xf numFmtId="179" fontId="10" fillId="0" borderId="0" xfId="0" applyFont="1" applyFill="1" applyBorder="1"/>
    <xf numFmtId="10" fontId="9" fillId="0" borderId="0" xfId="0" applyNumberFormat="1" applyFont="1" applyFill="1" applyAlignment="1">
      <alignment horizontal="center"/>
    </xf>
    <xf numFmtId="37" fontId="9" fillId="0" borderId="17" xfId="0" applyNumberFormat="1" applyFont="1" applyFill="1" applyBorder="1"/>
    <xf numFmtId="184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centerContinuous"/>
    </xf>
    <xf numFmtId="179" fontId="11" fillId="0" borderId="0" xfId="0" applyFont="1" applyFill="1" applyBorder="1" applyAlignment="1">
      <alignment horizontal="centerContinuous"/>
    </xf>
    <xf numFmtId="179" fontId="12" fillId="0" borderId="0" xfId="0" applyFont="1" applyFill="1" applyBorder="1" applyAlignment="1">
      <alignment horizontal="centerContinuous"/>
    </xf>
    <xf numFmtId="1" fontId="9" fillId="0" borderId="0" xfId="0" applyNumberFormat="1" applyFont="1" applyFill="1" applyBorder="1" applyAlignment="1">
      <alignment horizontal="centerContinuous"/>
    </xf>
    <xf numFmtId="179" fontId="9" fillId="0" borderId="0" xfId="0" applyFont="1" applyFill="1" applyBorder="1" applyAlignment="1">
      <alignment horizontal="right"/>
    </xf>
    <xf numFmtId="177" fontId="9" fillId="0" borderId="0" xfId="0" applyNumberFormat="1" applyFont="1" applyFill="1" applyBorder="1"/>
    <xf numFmtId="179" fontId="12" fillId="0" borderId="0" xfId="0" applyFont="1" applyFill="1" applyBorder="1"/>
    <xf numFmtId="37" fontId="12" fillId="0" borderId="0" xfId="0" applyNumberFormat="1" applyFont="1" applyFill="1" applyBorder="1" applyAlignment="1">
      <alignment horizontal="center"/>
    </xf>
    <xf numFmtId="5" fontId="9" fillId="0" borderId="16" xfId="0" applyNumberFormat="1" applyFont="1" applyFill="1" applyBorder="1" applyAlignment="1"/>
    <xf numFmtId="7" fontId="9" fillId="0" borderId="17" xfId="0" applyNumberFormat="1" applyFont="1" applyFill="1" applyBorder="1" applyAlignment="1"/>
    <xf numFmtId="179" fontId="0" fillId="0" borderId="0" xfId="0" applyFill="1" applyBorder="1" applyAlignment="1">
      <alignment horizontal="centerContinuous"/>
    </xf>
    <xf numFmtId="164" fontId="15" fillId="0" borderId="0" xfId="0" quotePrefix="1" applyNumberFormat="1" applyFont="1" applyFill="1" applyBorder="1" applyAlignment="1">
      <alignment horizontal="center"/>
    </xf>
    <xf numFmtId="179" fontId="8" fillId="0" borderId="0" xfId="0" applyFont="1" applyFill="1"/>
    <xf numFmtId="16" fontId="20" fillId="0" borderId="0" xfId="0" applyNumberFormat="1" applyFont="1" applyFill="1" applyAlignment="1">
      <alignment horizontal="center"/>
    </xf>
    <xf numFmtId="179" fontId="8" fillId="0" borderId="0" xfId="0" applyFont="1" applyFill="1" applyBorder="1"/>
    <xf numFmtId="16" fontId="20" fillId="0" borderId="0" xfId="0" applyNumberFormat="1" applyFont="1" applyFill="1" applyAlignment="1">
      <alignment horizontal="centerContinuous"/>
    </xf>
    <xf numFmtId="1" fontId="20" fillId="0" borderId="0" xfId="0" applyNumberFormat="1" applyFont="1" applyFill="1" applyAlignment="1">
      <alignment horizontal="centerContinuous"/>
    </xf>
    <xf numFmtId="171" fontId="10" fillId="0" borderId="0" xfId="0" applyNumberFormat="1" applyFont="1" applyFill="1" applyAlignment="1">
      <alignment horizontal="centerContinuous"/>
    </xf>
    <xf numFmtId="171" fontId="9" fillId="0" borderId="0" xfId="0" applyNumberFormat="1" applyFont="1" applyFill="1" applyBorder="1" applyAlignment="1">
      <alignment horizontal="centerContinuous"/>
    </xf>
    <xf numFmtId="171" fontId="11" fillId="0" borderId="0" xfId="0" applyNumberFormat="1" applyFont="1" applyFill="1" applyAlignment="1">
      <alignment horizontal="centerContinuous"/>
    </xf>
    <xf numFmtId="37" fontId="20" fillId="3" borderId="0" xfId="0" applyNumberFormat="1" applyFont="1" applyFill="1" applyBorder="1"/>
    <xf numFmtId="43" fontId="9" fillId="0" borderId="0" xfId="4" applyFont="1" applyFill="1"/>
    <xf numFmtId="43" fontId="9" fillId="0" borderId="1" xfId="4" applyFont="1" applyFill="1" applyBorder="1"/>
    <xf numFmtId="43" fontId="9" fillId="0" borderId="0" xfId="4" applyFont="1" applyFill="1" applyBorder="1"/>
    <xf numFmtId="165" fontId="9" fillId="0" borderId="1" xfId="0" applyNumberFormat="1" applyFont="1" applyFill="1" applyBorder="1" applyAlignment="1">
      <alignment horizontal="center"/>
    </xf>
    <xf numFmtId="0" fontId="10" fillId="0" borderId="0" xfId="0" quotePrefix="1" applyNumberFormat="1" applyFont="1" applyFill="1" applyAlignment="1">
      <alignment horizontal="centerContinuous"/>
    </xf>
    <xf numFmtId="49" fontId="9" fillId="0" borderId="0" xfId="0" applyNumberFormat="1" applyFont="1" applyFill="1" applyAlignment="1">
      <alignment horizontal="center"/>
    </xf>
    <xf numFmtId="37" fontId="12" fillId="0" borderId="0" xfId="0" applyNumberFormat="1" applyFont="1" applyFill="1" applyAlignment="1">
      <alignment horizontal="centerContinuous"/>
    </xf>
    <xf numFmtId="14" fontId="9" fillId="0" borderId="0" xfId="0" applyNumberFormat="1" applyFont="1" applyFill="1" applyBorder="1" applyAlignment="1">
      <alignment horizontal="center"/>
    </xf>
    <xf numFmtId="5" fontId="9" fillId="0" borderId="0" xfId="0" applyNumberFormat="1" applyFont="1" applyFill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37" fontId="9" fillId="0" borderId="1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center" wrapText="1"/>
    </xf>
    <xf numFmtId="44" fontId="9" fillId="0" borderId="0" xfId="26" applyFont="1" applyFill="1" applyBorder="1"/>
    <xf numFmtId="5" fontId="9" fillId="0" borderId="0" xfId="26" applyNumberFormat="1" applyFont="1" applyFill="1"/>
    <xf numFmtId="37" fontId="9" fillId="0" borderId="0" xfId="26" applyNumberFormat="1" applyFont="1" applyFill="1"/>
    <xf numFmtId="37" fontId="9" fillId="0" borderId="1" xfId="26" applyNumberFormat="1" applyFont="1" applyFill="1" applyBorder="1"/>
    <xf numFmtId="10" fontId="7" fillId="0" borderId="0" xfId="5" applyNumberFormat="1" applyFont="1"/>
    <xf numFmtId="37" fontId="9" fillId="0" borderId="0" xfId="0" applyNumberFormat="1" applyFont="1" applyFill="1" applyAlignment="1">
      <alignment horizontal="center"/>
    </xf>
    <xf numFmtId="0" fontId="7" fillId="0" borderId="0" xfId="0" applyNumberFormat="1" applyFont="1"/>
    <xf numFmtId="0" fontId="20" fillId="0" borderId="1" xfId="0" applyNumberFormat="1" applyFont="1" applyBorder="1" applyAlignment="1">
      <alignment horizontal="center"/>
    </xf>
    <xf numFmtId="9" fontId="0" fillId="0" borderId="0" xfId="0" applyNumberFormat="1" applyFont="1" applyFill="1"/>
    <xf numFmtId="174" fontId="0" fillId="0" borderId="0" xfId="0" applyNumberFormat="1" applyFont="1" applyFill="1"/>
    <xf numFmtId="5" fontId="7" fillId="0" borderId="0" xfId="0" applyNumberFormat="1" applyFont="1" applyFill="1"/>
    <xf numFmtId="5" fontId="9" fillId="2" borderId="0" xfId="0" applyNumberFormat="1" applyFont="1" applyFill="1" applyBorder="1" applyAlignment="1">
      <alignment horizontal="center"/>
    </xf>
    <xf numFmtId="0" fontId="20" fillId="0" borderId="0" xfId="0" applyNumberFormat="1" applyFont="1" applyAlignment="1">
      <alignment horizontal="center"/>
    </xf>
    <xf numFmtId="37" fontId="9" fillId="0" borderId="0" xfId="0" applyNumberFormat="1" applyFont="1" applyFill="1" applyAlignment="1">
      <alignment horizontal="center"/>
    </xf>
    <xf numFmtId="179" fontId="9" fillId="0" borderId="1" xfId="0" applyFont="1" applyBorder="1" applyAlignment="1">
      <alignment horizontal="center"/>
    </xf>
    <xf numFmtId="179" fontId="9" fillId="0" borderId="0" xfId="0" applyFont="1" applyAlignment="1">
      <alignment horizontal="center"/>
    </xf>
    <xf numFmtId="0" fontId="9" fillId="0" borderId="1" xfId="0" quotePrefix="1" applyNumberFormat="1" applyFont="1" applyFill="1" applyBorder="1" applyAlignment="1">
      <alignment horizontal="center"/>
    </xf>
    <xf numFmtId="41" fontId="20" fillId="0" borderId="3" xfId="0" applyNumberFormat="1" applyFont="1" applyFill="1" applyBorder="1"/>
    <xf numFmtId="37" fontId="10" fillId="0" borderId="0" xfId="27" applyNumberFormat="1" applyFont="1" applyFill="1" applyAlignment="1">
      <alignment horizontal="centerContinuous"/>
    </xf>
    <xf numFmtId="179" fontId="9" fillId="0" borderId="0" xfId="27" applyNumberFormat="1" applyFont="1" applyFill="1" applyAlignment="1">
      <alignment horizontal="centerContinuous"/>
    </xf>
    <xf numFmtId="179" fontId="9" fillId="0" borderId="0" xfId="27" applyNumberFormat="1" applyFont="1" applyFill="1" applyAlignment="1"/>
    <xf numFmtId="39" fontId="9" fillId="0" borderId="0" xfId="27" applyNumberFormat="1" applyFont="1" applyFill="1"/>
    <xf numFmtId="179" fontId="9" fillId="0" borderId="0" xfId="27" applyFont="1" applyFill="1"/>
    <xf numFmtId="0" fontId="10" fillId="0" borderId="0" xfId="27" applyNumberFormat="1" applyFont="1" applyAlignment="1"/>
    <xf numFmtId="0" fontId="11" fillId="0" borderId="0" xfId="27" applyNumberFormat="1" applyFont="1" applyAlignment="1">
      <alignment horizontal="right"/>
    </xf>
    <xf numFmtId="179" fontId="9" fillId="0" borderId="0" xfId="27" applyFont="1" applyFill="1" applyBorder="1"/>
    <xf numFmtId="179" fontId="11" fillId="0" borderId="0" xfId="27" applyNumberFormat="1" applyFont="1" applyFill="1" applyAlignment="1">
      <alignment horizontal="centerContinuous"/>
    </xf>
    <xf numFmtId="179" fontId="12" fillId="0" borderId="0" xfId="27" applyNumberFormat="1" applyFont="1" applyFill="1" applyAlignment="1">
      <alignment horizontal="centerContinuous"/>
    </xf>
    <xf numFmtId="37" fontId="9" fillId="0" borderId="0" xfId="27" applyNumberFormat="1" applyFont="1" applyFill="1" applyBorder="1"/>
    <xf numFmtId="179" fontId="10" fillId="0" borderId="0" xfId="27" applyNumberFormat="1" applyFont="1" applyFill="1" applyAlignment="1">
      <alignment horizontal="centerContinuous"/>
    </xf>
    <xf numFmtId="179" fontId="9" fillId="0" borderId="1" xfId="27" applyFont="1" applyFill="1" applyBorder="1" applyAlignment="1">
      <alignment horizontal="centerContinuous"/>
    </xf>
    <xf numFmtId="179" fontId="9" fillId="0" borderId="0" xfId="27" applyFont="1" applyFill="1" applyBorder="1" applyAlignment="1">
      <alignment horizontal="centerContinuous"/>
    </xf>
    <xf numFmtId="179" fontId="9" fillId="0" borderId="0" xfId="27" applyFont="1" applyFill="1" applyAlignment="1">
      <alignment horizontal="center"/>
    </xf>
    <xf numFmtId="179" fontId="9" fillId="0" borderId="0" xfId="27" applyFont="1" applyFill="1" applyAlignment="1"/>
    <xf numFmtId="179" fontId="9" fillId="0" borderId="0" xfId="27" applyFont="1" applyFill="1" applyBorder="1" applyAlignment="1">
      <alignment horizontal="center"/>
    </xf>
    <xf numFmtId="179" fontId="9" fillId="0" borderId="1" xfId="27" applyFont="1" applyFill="1" applyBorder="1" applyAlignment="1">
      <alignment horizontal="center"/>
    </xf>
    <xf numFmtId="170" fontId="9" fillId="0" borderId="0" xfId="27" applyNumberFormat="1" applyFont="1" applyFill="1" applyAlignment="1"/>
    <xf numFmtId="5" fontId="9" fillId="0" borderId="0" xfId="27" applyNumberFormat="1" applyFont="1" applyFill="1" applyBorder="1"/>
    <xf numFmtId="179" fontId="9" fillId="0" borderId="0" xfId="27" applyFont="1" applyFill="1" applyBorder="1" applyAlignment="1"/>
    <xf numFmtId="179" fontId="9" fillId="0" borderId="0" xfId="27" applyNumberFormat="1" applyFont="1" applyFill="1" applyBorder="1" applyAlignment="1">
      <alignment horizontal="centerContinuous"/>
    </xf>
    <xf numFmtId="170" fontId="9" fillId="0" borderId="0" xfId="27" applyNumberFormat="1" applyFont="1" applyFill="1" applyAlignment="1">
      <alignment horizontal="centerContinuous"/>
    </xf>
    <xf numFmtId="165" fontId="9" fillId="0" borderId="0" xfId="27" applyNumberFormat="1" applyFont="1" applyFill="1" applyAlignment="1">
      <alignment horizontal="center"/>
    </xf>
    <xf numFmtId="5" fontId="9" fillId="0" borderId="0" xfId="27" applyNumberFormat="1" applyFont="1" applyFill="1" applyAlignment="1"/>
    <xf numFmtId="37" fontId="9" fillId="0" borderId="0" xfId="27" applyNumberFormat="1" applyFont="1" applyFill="1" applyAlignment="1"/>
    <xf numFmtId="172" fontId="9" fillId="0" borderId="0" xfId="27" applyNumberFormat="1" applyFont="1" applyFill="1" applyAlignment="1">
      <alignment horizontal="center"/>
    </xf>
    <xf numFmtId="7" fontId="9" fillId="0" borderId="0" xfId="27" applyNumberFormat="1" applyFont="1" applyFill="1" applyAlignment="1"/>
    <xf numFmtId="39" fontId="9" fillId="0" borderId="0" xfId="27" applyNumberFormat="1" applyFont="1" applyFill="1" applyAlignment="1"/>
    <xf numFmtId="39" fontId="9" fillId="0" borderId="0" xfId="27" applyNumberFormat="1" applyFont="1" applyFill="1" applyBorder="1" applyAlignment="1">
      <alignment horizontal="center"/>
    </xf>
    <xf numFmtId="169" fontId="9" fillId="0" borderId="0" xfId="27" applyNumberFormat="1" applyFont="1" applyFill="1" applyBorder="1"/>
    <xf numFmtId="180" fontId="9" fillId="0" borderId="0" xfId="27" quotePrefix="1" applyNumberFormat="1" applyFont="1" applyFill="1" applyBorder="1" applyAlignment="1">
      <alignment horizontal="center"/>
    </xf>
    <xf numFmtId="43" fontId="9" fillId="0" borderId="0" xfId="27" applyNumberFormat="1" applyFont="1" applyFill="1" applyAlignment="1">
      <alignment horizontal="center"/>
    </xf>
    <xf numFmtId="37" fontId="9" fillId="0" borderId="0" xfId="27" applyNumberFormat="1" applyFont="1" applyFill="1" applyBorder="1" applyAlignment="1"/>
    <xf numFmtId="39" fontId="9" fillId="0" borderId="0" xfId="27" applyNumberFormat="1" applyFont="1" applyFill="1" applyBorder="1"/>
    <xf numFmtId="37" fontId="9" fillId="0" borderId="0" xfId="27" quotePrefix="1" applyNumberFormat="1" applyFont="1" applyFill="1" applyBorder="1" applyAlignment="1"/>
    <xf numFmtId="39" fontId="9" fillId="0" borderId="0" xfId="27" applyNumberFormat="1" applyFont="1" applyFill="1" applyBorder="1" applyAlignment="1"/>
    <xf numFmtId="165" fontId="9" fillId="0" borderId="0" xfId="27" applyNumberFormat="1" applyFont="1" applyFill="1" applyAlignment="1"/>
    <xf numFmtId="37" fontId="9" fillId="0" borderId="3" xfId="27" applyNumberFormat="1" applyFont="1" applyFill="1" applyBorder="1" applyAlignment="1"/>
    <xf numFmtId="168" fontId="9" fillId="0" borderId="0" xfId="27" applyNumberFormat="1" applyFont="1" applyFill="1" applyAlignment="1"/>
    <xf numFmtId="39" fontId="9" fillId="0" borderId="3" xfId="27" applyNumberFormat="1" applyFont="1" applyFill="1" applyBorder="1" applyAlignment="1"/>
    <xf numFmtId="3" fontId="9" fillId="0" borderId="0" xfId="27" applyNumberFormat="1" applyFont="1" applyFill="1" applyAlignment="1">
      <alignment horizontal="center"/>
    </xf>
    <xf numFmtId="5" fontId="9" fillId="0" borderId="17" xfId="27" applyNumberFormat="1" applyFont="1" applyFill="1" applyBorder="1" applyAlignment="1"/>
    <xf numFmtId="5" fontId="9" fillId="0" borderId="0" xfId="27" applyNumberFormat="1" applyFont="1" applyFill="1" applyBorder="1" applyAlignment="1"/>
    <xf numFmtId="7" fontId="9" fillId="0" borderId="17" xfId="27" applyNumberFormat="1" applyFont="1" applyFill="1" applyBorder="1" applyAlignment="1"/>
    <xf numFmtId="7" fontId="9" fillId="0" borderId="0" xfId="27" applyNumberFormat="1" applyFont="1" applyFill="1" applyBorder="1" applyAlignment="1"/>
    <xf numFmtId="3" fontId="9" fillId="0" borderId="0" xfId="27" applyNumberFormat="1" applyFont="1" applyFill="1" applyAlignment="1">
      <alignment horizontal="centerContinuous"/>
    </xf>
    <xf numFmtId="179" fontId="9" fillId="0" borderId="0" xfId="27" applyFont="1" applyFill="1" applyAlignment="1">
      <alignment horizontal="centerContinuous"/>
    </xf>
    <xf numFmtId="37" fontId="9" fillId="0" borderId="0" xfId="27" applyNumberFormat="1" applyFont="1" applyFill="1" applyBorder="1" applyAlignment="1">
      <alignment horizontal="centerContinuous"/>
    </xf>
    <xf numFmtId="39" fontId="9" fillId="0" borderId="0" xfId="27" applyNumberFormat="1" applyFont="1" applyFill="1" applyBorder="1" applyAlignment="1">
      <alignment horizontal="centerContinuous"/>
    </xf>
    <xf numFmtId="7" fontId="9" fillId="0" borderId="0" xfId="27" applyNumberFormat="1" applyFont="1" applyFill="1" applyBorder="1" applyAlignment="1">
      <alignment horizontal="centerContinuous"/>
    </xf>
    <xf numFmtId="3" fontId="9" fillId="0" borderId="0" xfId="27" quotePrefix="1" applyNumberFormat="1" applyFont="1" applyFill="1" applyAlignment="1">
      <alignment horizontal="left"/>
    </xf>
    <xf numFmtId="39" fontId="9" fillId="0" borderId="0" xfId="27" applyNumberFormat="1" applyFont="1" applyFill="1" applyAlignment="1">
      <alignment horizontal="centerContinuous"/>
    </xf>
    <xf numFmtId="3" fontId="9" fillId="0" borderId="0" xfId="27" applyNumberFormat="1" applyFont="1" applyFill="1" applyBorder="1" applyAlignment="1">
      <alignment horizontal="left"/>
    </xf>
    <xf numFmtId="179" fontId="9" fillId="0" borderId="0" xfId="27" quotePrefix="1" applyFont="1" applyFill="1" applyBorder="1" applyAlignment="1"/>
    <xf numFmtId="37" fontId="9" fillId="0" borderId="0" xfId="27" applyNumberFormat="1" applyFont="1" applyFill="1" applyAlignment="1">
      <alignment horizontal="centerContinuous"/>
    </xf>
    <xf numFmtId="179" fontId="9" fillId="0" borderId="0" xfId="0" applyFont="1" applyAlignment="1">
      <alignment horizontal="center"/>
    </xf>
    <xf numFmtId="37" fontId="9" fillId="6" borderId="0" xfId="0" applyNumberFormat="1" applyFont="1" applyFill="1" applyBorder="1"/>
    <xf numFmtId="43" fontId="20" fillId="0" borderId="0" xfId="4" applyFont="1" applyFill="1"/>
    <xf numFmtId="43" fontId="9" fillId="0" borderId="2" xfId="4" applyFont="1" applyFill="1" applyBorder="1"/>
    <xf numFmtId="174" fontId="9" fillId="0" borderId="0" xfId="4" applyNumberFormat="1" applyFont="1" applyFill="1"/>
    <xf numFmtId="174" fontId="0" fillId="0" borderId="0" xfId="0" applyNumberFormat="1" applyFont="1" applyAlignment="1">
      <alignment horizontal="centerContinuous"/>
    </xf>
    <xf numFmtId="43" fontId="0" fillId="0" borderId="0" xfId="0" applyNumberFormat="1" applyFont="1" applyAlignment="1">
      <alignment horizontal="centerContinuous"/>
    </xf>
    <xf numFmtId="43" fontId="9" fillId="0" borderId="0" xfId="4" applyFont="1" applyFill="1" applyAlignment="1"/>
    <xf numFmtId="5" fontId="10" fillId="0" borderId="0" xfId="0" applyNumberFormat="1" applyFont="1" applyFill="1" applyBorder="1" applyAlignment="1"/>
    <xf numFmtId="1" fontId="20" fillId="0" borderId="0" xfId="0" applyNumberFormat="1" applyFont="1" applyFill="1" applyBorder="1" applyAlignment="1">
      <alignment horizontal="center"/>
    </xf>
    <xf numFmtId="0" fontId="21" fillId="0" borderId="0" xfId="33" applyNumberFormat="1" applyFont="1"/>
    <xf numFmtId="171" fontId="21" fillId="0" borderId="0" xfId="33" applyNumberFormat="1" applyFont="1" applyBorder="1" applyAlignment="1">
      <alignment horizontal="center"/>
    </xf>
    <xf numFmtId="171" fontId="21" fillId="0" borderId="0" xfId="33" applyNumberFormat="1" applyFont="1" applyFill="1" applyAlignment="1">
      <alignment horizontal="center"/>
    </xf>
    <xf numFmtId="171" fontId="21" fillId="0" borderId="0" xfId="33" applyNumberFormat="1" applyFont="1" applyFill="1" applyBorder="1" applyAlignment="1">
      <alignment horizontal="center"/>
    </xf>
    <xf numFmtId="0" fontId="21" fillId="0" borderId="0" xfId="33" applyNumberFormat="1" applyFont="1" applyBorder="1" applyAlignment="1">
      <alignment wrapText="1"/>
    </xf>
    <xf numFmtId="0" fontId="21" fillId="0" borderId="0" xfId="33" applyNumberFormat="1" applyFont="1" applyAlignment="1"/>
    <xf numFmtId="0" fontId="21" fillId="0" borderId="0" xfId="33" quotePrefix="1" applyNumberFormat="1" applyFont="1" applyAlignment="1"/>
    <xf numFmtId="0" fontId="21" fillId="0" borderId="0" xfId="33" applyNumberFormat="1" applyFont="1" applyAlignment="1">
      <alignment horizontal="centerContinuous"/>
    </xf>
    <xf numFmtId="171" fontId="21" fillId="0" borderId="0" xfId="33" applyNumberFormat="1" applyFont="1" applyBorder="1" applyAlignment="1">
      <alignment horizontal="centerContinuous"/>
    </xf>
    <xf numFmtId="171" fontId="21" fillId="0" borderId="0" xfId="33" applyNumberFormat="1" applyFont="1" applyFill="1" applyAlignment="1">
      <alignment horizontal="centerContinuous"/>
    </xf>
    <xf numFmtId="171" fontId="21" fillId="0" borderId="0" xfId="33" applyNumberFormat="1" applyFont="1" applyFill="1" applyBorder="1" applyAlignment="1">
      <alignment horizontal="centerContinuous"/>
    </xf>
    <xf numFmtId="0" fontId="21" fillId="0" borderId="0" xfId="33" applyNumberFormat="1" applyFont="1" applyBorder="1" applyAlignment="1">
      <alignment horizontal="centerContinuous"/>
    </xf>
    <xf numFmtId="37" fontId="21" fillId="0" borderId="0" xfId="33" applyNumberFormat="1" applyFont="1" applyAlignment="1">
      <alignment horizontal="centerContinuous"/>
    </xf>
    <xf numFmtId="0" fontId="24" fillId="0" borderId="0" xfId="33" applyNumberFormat="1" applyFont="1" applyAlignment="1"/>
    <xf numFmtId="5" fontId="21" fillId="0" borderId="17" xfId="33" applyNumberFormat="1" applyFont="1" applyFill="1" applyBorder="1" applyAlignment="1"/>
    <xf numFmtId="37" fontId="21" fillId="0" borderId="1" xfId="33" applyNumberFormat="1" applyFont="1" applyFill="1" applyBorder="1" applyAlignment="1"/>
    <xf numFmtId="37" fontId="21" fillId="0" borderId="0" xfId="33" applyNumberFormat="1" applyFont="1" applyBorder="1" applyAlignment="1">
      <alignment horizontal="center"/>
    </xf>
    <xf numFmtId="37" fontId="21" fillId="0" borderId="0" xfId="33" applyNumberFormat="1" applyFont="1" applyFill="1" applyAlignment="1">
      <alignment horizontal="center"/>
    </xf>
    <xf numFmtId="37" fontId="21" fillId="0" borderId="0" xfId="33" applyNumberFormat="1" applyFont="1" applyFill="1" applyAlignment="1">
      <alignment horizontal="right"/>
    </xf>
    <xf numFmtId="37" fontId="21" fillId="0" borderId="0" xfId="33" applyNumberFormat="1" applyFont="1" applyFill="1" applyBorder="1" applyAlignment="1">
      <alignment horizontal="right"/>
    </xf>
    <xf numFmtId="5" fontId="21" fillId="0" borderId="0" xfId="33" applyNumberFormat="1" applyFont="1" applyFill="1" applyAlignment="1">
      <alignment horizontal="right"/>
    </xf>
    <xf numFmtId="5" fontId="21" fillId="0" borderId="0" xfId="33" applyNumberFormat="1" applyFont="1" applyBorder="1" applyAlignment="1">
      <alignment horizontal="center"/>
    </xf>
    <xf numFmtId="5" fontId="21" fillId="0" borderId="0" xfId="33" applyNumberFormat="1" applyFont="1" applyFill="1" applyAlignment="1">
      <alignment horizontal="center"/>
    </xf>
    <xf numFmtId="5" fontId="21" fillId="0" borderId="0" xfId="33" applyNumberFormat="1" applyFont="1" applyFill="1" applyBorder="1" applyAlignment="1">
      <alignment horizontal="right"/>
    </xf>
    <xf numFmtId="0" fontId="42" fillId="0" borderId="0" xfId="33" quotePrefix="1" applyNumberFormat="1" applyFont="1" applyAlignment="1"/>
    <xf numFmtId="0" fontId="21" fillId="0" borderId="0" xfId="33" applyNumberFormat="1" applyFont="1" applyBorder="1"/>
    <xf numFmtId="0" fontId="21" fillId="0" borderId="0" xfId="33" applyNumberFormat="1" applyFont="1" applyBorder="1" applyAlignment="1"/>
    <xf numFmtId="170" fontId="21" fillId="0" borderId="0" xfId="33" applyNumberFormat="1" applyFont="1" applyBorder="1" applyAlignment="1">
      <alignment horizontal="center"/>
    </xf>
    <xf numFmtId="170" fontId="21" fillId="0" borderId="0" xfId="33" applyNumberFormat="1" applyFont="1" applyBorder="1" applyAlignment="1"/>
    <xf numFmtId="170" fontId="21" fillId="0" borderId="0" xfId="33" applyNumberFormat="1" applyFont="1" applyFill="1" applyBorder="1" applyAlignment="1"/>
    <xf numFmtId="170" fontId="21" fillId="0" borderId="0" xfId="33" applyNumberFormat="1" applyFont="1" applyBorder="1"/>
    <xf numFmtId="0" fontId="24" fillId="0" borderId="0" xfId="33" applyNumberFormat="1" applyFont="1" applyBorder="1" applyAlignment="1"/>
    <xf numFmtId="5" fontId="21" fillId="0" borderId="0" xfId="33" applyNumberFormat="1" applyFont="1" applyBorder="1" applyAlignment="1"/>
    <xf numFmtId="5" fontId="21" fillId="0" borderId="0" xfId="33" applyNumberFormat="1" applyFont="1" applyFill="1" applyBorder="1" applyAlignment="1"/>
    <xf numFmtId="5" fontId="43" fillId="0" borderId="0" xfId="33" applyNumberFormat="1" applyFont="1" applyFill="1" applyBorder="1" applyAlignment="1"/>
    <xf numFmtId="170" fontId="43" fillId="0" borderId="0" xfId="33" applyNumberFormat="1" applyFont="1" applyFill="1" applyBorder="1" applyAlignment="1"/>
    <xf numFmtId="171" fontId="43" fillId="0" borderId="0" xfId="33" applyNumberFormat="1" applyFont="1" applyFill="1" applyBorder="1" applyAlignment="1">
      <alignment horizontal="center"/>
    </xf>
    <xf numFmtId="0" fontId="21" fillId="0" borderId="0" xfId="33" applyNumberFormat="1" applyFont="1" applyFill="1" applyBorder="1"/>
    <xf numFmtId="3" fontId="21" fillId="0" borderId="0" xfId="33" applyNumberFormat="1" applyFont="1" applyFill="1" applyBorder="1" applyAlignment="1"/>
    <xf numFmtId="37" fontId="21" fillId="0" borderId="0" xfId="33" applyNumberFormat="1" applyFont="1" applyFill="1" applyBorder="1" applyAlignment="1"/>
    <xf numFmtId="41" fontId="21" fillId="0" borderId="0" xfId="33" applyNumberFormat="1" applyFont="1" applyFill="1" applyBorder="1" applyAlignment="1"/>
    <xf numFmtId="37" fontId="9" fillId="0" borderId="0" xfId="33" applyNumberFormat="1" applyFont="1" applyBorder="1" applyAlignment="1">
      <alignment horizontal="left"/>
    </xf>
    <xf numFmtId="170" fontId="21" fillId="0" borderId="0" xfId="33" applyNumberFormat="1" applyFont="1" applyFill="1" applyBorder="1" applyAlignment="1">
      <alignment horizontal="center"/>
    </xf>
    <xf numFmtId="0" fontId="21" fillId="0" borderId="0" xfId="33" applyNumberFormat="1" applyFont="1" applyFill="1"/>
    <xf numFmtId="0" fontId="9" fillId="0" borderId="0" xfId="33" applyNumberFormat="1" applyFont="1" applyFill="1"/>
    <xf numFmtId="0" fontId="21" fillId="0" borderId="0" xfId="33" applyNumberFormat="1" applyFont="1" applyFill="1" applyBorder="1" applyAlignment="1">
      <alignment wrapText="1"/>
    </xf>
    <xf numFmtId="0" fontId="31" fillId="0" borderId="0" xfId="33" applyNumberFormat="1" applyFont="1" applyFill="1" applyBorder="1" applyAlignment="1">
      <alignment horizontal="left" vertical="center" wrapText="1"/>
    </xf>
    <xf numFmtId="0" fontId="21" fillId="0" borderId="0" xfId="33" applyNumberFormat="1" applyFont="1" applyFill="1" applyBorder="1" applyAlignment="1"/>
    <xf numFmtId="37" fontId="21" fillId="0" borderId="0" xfId="33" applyNumberFormat="1" applyFont="1" applyFill="1" applyAlignment="1"/>
    <xf numFmtId="0" fontId="31" fillId="0" borderId="0" xfId="33" applyNumberFormat="1" applyFont="1" applyFill="1"/>
    <xf numFmtId="37" fontId="31" fillId="0" borderId="0" xfId="33" applyNumberFormat="1" applyFont="1" applyFill="1" applyBorder="1" applyAlignment="1"/>
    <xf numFmtId="37" fontId="31" fillId="0" borderId="0" xfId="33" applyNumberFormat="1" applyFont="1" applyFill="1" applyAlignment="1"/>
    <xf numFmtId="171" fontId="31" fillId="0" borderId="0" xfId="33" applyNumberFormat="1" applyFont="1" applyFill="1" applyAlignment="1">
      <alignment horizontal="center"/>
    </xf>
    <xf numFmtId="0" fontId="31" fillId="0" borderId="0" xfId="33" applyNumberFormat="1" applyFont="1" applyFill="1" applyBorder="1" applyAlignment="1">
      <alignment wrapText="1"/>
    </xf>
    <xf numFmtId="0" fontId="31" fillId="0" borderId="0" xfId="33" applyNumberFormat="1" applyFont="1" applyFill="1" applyBorder="1" applyAlignment="1">
      <alignment horizontal="left" vertical="center"/>
    </xf>
    <xf numFmtId="5" fontId="21" fillId="0" borderId="0" xfId="33" applyNumberFormat="1" applyFont="1" applyFill="1" applyAlignment="1"/>
    <xf numFmtId="37" fontId="21" fillId="0" borderId="0" xfId="33" applyNumberFormat="1" applyFont="1" applyBorder="1" applyAlignment="1"/>
    <xf numFmtId="174" fontId="21" fillId="0" borderId="0" xfId="34" applyNumberFormat="1" applyFont="1"/>
    <xf numFmtId="0" fontId="31" fillId="5" borderId="0" xfId="33" applyNumberFormat="1" applyFont="1" applyFill="1" applyBorder="1" applyAlignment="1">
      <alignment horizontal="left" vertical="center" wrapText="1"/>
    </xf>
    <xf numFmtId="3" fontId="31" fillId="0" borderId="0" xfId="33" applyNumberFormat="1" applyFont="1" applyFill="1" applyBorder="1" applyAlignment="1">
      <alignment horizontal="left" vertical="center" wrapText="1"/>
    </xf>
    <xf numFmtId="0" fontId="31" fillId="0" borderId="0" xfId="33" quotePrefix="1" applyNumberFormat="1" applyFont="1" applyFill="1" applyBorder="1" applyAlignment="1">
      <alignment horizontal="left" vertical="center"/>
    </xf>
    <xf numFmtId="0" fontId="31" fillId="0" borderId="0" xfId="33" applyNumberFormat="1" applyFont="1" applyFill="1" applyBorder="1" applyAlignment="1">
      <alignment vertical="center" wrapText="1"/>
    </xf>
    <xf numFmtId="0" fontId="31" fillId="0" borderId="0" xfId="33" applyNumberFormat="1" applyFont="1" applyFill="1" applyBorder="1" applyAlignment="1"/>
    <xf numFmtId="49" fontId="31" fillId="0" borderId="0" xfId="33" quotePrefix="1" applyNumberFormat="1" applyFont="1" applyFill="1" applyBorder="1" applyAlignment="1">
      <alignment horizontal="left" vertical="center" wrapText="1"/>
    </xf>
    <xf numFmtId="37" fontId="21" fillId="0" borderId="0" xfId="33" applyNumberFormat="1" applyFont="1" applyBorder="1" applyAlignment="1">
      <alignment horizontal="centerContinuous"/>
    </xf>
    <xf numFmtId="37" fontId="21" fillId="0" borderId="0" xfId="33" applyNumberFormat="1" applyFont="1" applyFill="1" applyAlignment="1">
      <alignment horizontal="centerContinuous"/>
    </xf>
    <xf numFmtId="0" fontId="31" fillId="0" borderId="0" xfId="33" quotePrefix="1" applyNumberFormat="1" applyFont="1" applyFill="1" applyBorder="1" applyAlignment="1">
      <alignment horizontal="centerContinuous" vertical="center"/>
    </xf>
    <xf numFmtId="1" fontId="24" fillId="0" borderId="17" xfId="33" applyNumberFormat="1" applyFont="1" applyBorder="1" applyAlignment="1">
      <alignment horizontal="center"/>
    </xf>
    <xf numFmtId="1" fontId="24" fillId="0" borderId="0" xfId="33" applyNumberFormat="1" applyFont="1" applyBorder="1" applyAlignment="1">
      <alignment horizontal="center"/>
    </xf>
    <xf numFmtId="1" fontId="24" fillId="0" borderId="17" xfId="33" applyNumberFormat="1" applyFont="1" applyFill="1" applyBorder="1" applyAlignment="1">
      <alignment horizontal="center"/>
    </xf>
    <xf numFmtId="1" fontId="24" fillId="0" borderId="0" xfId="33" applyNumberFormat="1" applyFont="1" applyFill="1" applyBorder="1" applyAlignment="1">
      <alignment horizontal="center"/>
    </xf>
    <xf numFmtId="0" fontId="24" fillId="0" borderId="0" xfId="33" applyNumberFormat="1" applyFont="1" applyBorder="1" applyAlignment="1">
      <alignment wrapText="1"/>
    </xf>
    <xf numFmtId="0" fontId="24" fillId="0" borderId="17" xfId="33" applyNumberFormat="1" applyFont="1" applyBorder="1" applyAlignment="1">
      <alignment horizontal="center"/>
    </xf>
    <xf numFmtId="0" fontId="24" fillId="0" borderId="0" xfId="33" applyNumberFormat="1" applyFont="1" applyFill="1" applyBorder="1" applyAlignment="1">
      <alignment horizontal="centerContinuous"/>
    </xf>
    <xf numFmtId="0" fontId="30" fillId="0" borderId="0" xfId="33" applyNumberFormat="1" applyFont="1" applyFill="1" applyBorder="1" applyAlignment="1">
      <alignment horizontal="centerContinuous"/>
    </xf>
    <xf numFmtId="37" fontId="24" fillId="0" borderId="0" xfId="33" applyNumberFormat="1" applyFont="1" applyBorder="1" applyAlignment="1">
      <alignment horizontal="centerContinuous"/>
    </xf>
    <xf numFmtId="37" fontId="31" fillId="0" borderId="0" xfId="33" quotePrefix="1" applyNumberFormat="1" applyFont="1" applyFill="1" applyBorder="1" applyAlignment="1">
      <alignment horizontal="centerContinuous" vertical="center"/>
    </xf>
    <xf numFmtId="170" fontId="21" fillId="0" borderId="0" xfId="33" applyNumberFormat="1" applyFont="1" applyAlignment="1"/>
    <xf numFmtId="170" fontId="21" fillId="0" borderId="0" xfId="33" applyNumberFormat="1" applyFont="1" applyFill="1" applyAlignment="1"/>
    <xf numFmtId="39" fontId="21" fillId="0" borderId="0" xfId="33" applyNumberFormat="1" applyFont="1" applyFill="1" applyBorder="1" applyAlignment="1"/>
    <xf numFmtId="3" fontId="31" fillId="0" borderId="0" xfId="33" quotePrefix="1" applyNumberFormat="1" applyFont="1" applyFill="1" applyBorder="1" applyAlignment="1">
      <alignment horizontal="left" vertical="center" wrapText="1"/>
    </xf>
    <xf numFmtId="7" fontId="21" fillId="0" borderId="0" xfId="33" applyNumberFormat="1" applyFont="1" applyFill="1" applyAlignment="1"/>
    <xf numFmtId="7" fontId="21" fillId="0" borderId="0" xfId="33" applyNumberFormat="1" applyFont="1" applyFill="1" applyAlignment="1">
      <alignment horizontal="center"/>
    </xf>
    <xf numFmtId="7" fontId="21" fillId="0" borderId="0" xfId="33" applyNumberFormat="1" applyFont="1" applyFill="1" applyBorder="1" applyAlignment="1">
      <alignment horizontal="center"/>
    </xf>
    <xf numFmtId="7" fontId="21" fillId="0" borderId="0" xfId="34" applyNumberFormat="1" applyFont="1"/>
    <xf numFmtId="7" fontId="21" fillId="0" borderId="0" xfId="33" applyNumberFormat="1" applyFont="1" applyFill="1"/>
    <xf numFmtId="0" fontId="24" fillId="0" borderId="0" xfId="33" applyNumberFormat="1" applyFont="1" applyBorder="1" applyAlignment="1">
      <alignment horizontal="center"/>
    </xf>
    <xf numFmtId="0" fontId="21" fillId="0" borderId="0" xfId="33" applyNumberFormat="1" applyFont="1" applyFill="1" applyBorder="1" applyAlignment="1">
      <alignment horizontal="centerContinuous"/>
    </xf>
    <xf numFmtId="0" fontId="21" fillId="0" borderId="0" xfId="34" applyFont="1" applyFill="1" applyBorder="1" applyAlignment="1">
      <alignment wrapText="1"/>
    </xf>
    <xf numFmtId="7" fontId="21" fillId="0" borderId="0" xfId="33" applyNumberFormat="1" applyFont="1" applyFill="1" applyAlignment="1">
      <alignment horizontal="centerContinuous"/>
    </xf>
    <xf numFmtId="0" fontId="21" fillId="0" borderId="0" xfId="33" applyNumberFormat="1" applyFont="1" applyBorder="1" applyAlignment="1">
      <alignment horizontal="centerContinuous" wrapText="1"/>
    </xf>
    <xf numFmtId="7" fontId="21" fillId="0" borderId="0" xfId="33" applyNumberFormat="1" applyFont="1" applyFill="1" applyBorder="1" applyAlignment="1"/>
    <xf numFmtId="0" fontId="33" fillId="0" borderId="0" xfId="33" applyNumberFormat="1" applyFont="1" applyAlignment="1">
      <alignment horizontal="centerContinuous"/>
    </xf>
    <xf numFmtId="0" fontId="32" fillId="0" borderId="0" xfId="33" applyNumberFormat="1" applyFont="1" applyAlignment="1">
      <alignment horizontal="centerContinuous"/>
    </xf>
    <xf numFmtId="0" fontId="24" fillId="0" borderId="0" xfId="33" applyNumberFormat="1" applyFont="1" applyAlignment="1">
      <alignment horizontal="centerContinuous"/>
    </xf>
    <xf numFmtId="179" fontId="0" fillId="0" borderId="0" xfId="0" applyFill="1" applyBorder="1"/>
    <xf numFmtId="43" fontId="9" fillId="0" borderId="0" xfId="4" applyFont="1" applyFill="1" applyBorder="1" applyAlignment="1">
      <alignment horizontal="center"/>
    </xf>
    <xf numFmtId="0" fontId="21" fillId="0" borderId="0" xfId="34" applyFont="1" applyFill="1" applyBorder="1" applyAlignment="1">
      <alignment horizontal="left" vertical="center" wrapText="1"/>
    </xf>
    <xf numFmtId="5" fontId="21" fillId="0" borderId="0" xfId="33" applyNumberFormat="1" applyFont="1" applyFill="1" applyBorder="1" applyAlignment="1">
      <alignment horizontal="center"/>
    </xf>
    <xf numFmtId="0" fontId="24" fillId="0" borderId="1" xfId="33" applyNumberFormat="1" applyFont="1" applyBorder="1" applyAlignment="1">
      <alignment horizontal="center"/>
    </xf>
    <xf numFmtId="1" fontId="24" fillId="0" borderId="1" xfId="33" applyNumberFormat="1" applyFont="1" applyFill="1" applyBorder="1" applyAlignment="1">
      <alignment horizontal="center"/>
    </xf>
    <xf numFmtId="1" fontId="24" fillId="0" borderId="1" xfId="33" applyNumberFormat="1" applyFont="1" applyBorder="1" applyAlignment="1">
      <alignment horizontal="center"/>
    </xf>
    <xf numFmtId="0" fontId="30" fillId="0" borderId="0" xfId="33" applyNumberFormat="1" applyFont="1" applyAlignment="1">
      <alignment horizontal="left"/>
    </xf>
    <xf numFmtId="0" fontId="30" fillId="0" borderId="0" xfId="33" applyNumberFormat="1" applyFont="1"/>
    <xf numFmtId="10" fontId="9" fillId="0" borderId="0" xfId="5" applyNumberFormat="1" applyFont="1" applyFill="1" applyAlignment="1">
      <alignment horizontal="center"/>
    </xf>
    <xf numFmtId="0" fontId="7" fillId="0" borderId="0" xfId="0" applyNumberFormat="1" applyFont="1"/>
    <xf numFmtId="7" fontId="9" fillId="0" borderId="17" xfId="0" applyNumberFormat="1" applyFont="1" applyFill="1" applyBorder="1"/>
    <xf numFmtId="39" fontId="9" fillId="0" borderId="1" xfId="0" applyNumberFormat="1" applyFont="1" applyFill="1" applyBorder="1"/>
    <xf numFmtId="5" fontId="20" fillId="0" borderId="0" xfId="0" applyNumberFormat="1" applyFont="1" applyFill="1" applyBorder="1" applyAlignment="1"/>
    <xf numFmtId="171" fontId="9" fillId="0" borderId="0" xfId="0" applyNumberFormat="1" applyFont="1" applyFill="1" applyBorder="1" applyAlignment="1"/>
    <xf numFmtId="0" fontId="10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0" fontId="12" fillId="0" borderId="0" xfId="0" applyNumberFormat="1" applyFont="1" applyFill="1" applyBorder="1" applyAlignment="1"/>
    <xf numFmtId="179" fontId="12" fillId="0" borderId="0" xfId="0" applyFont="1" applyFill="1" applyBorder="1" applyAlignment="1">
      <alignment horizontal="center"/>
    </xf>
    <xf numFmtId="179" fontId="9" fillId="0" borderId="0" xfId="0" applyFont="1" applyFill="1" applyAlignment="1">
      <alignment horizontal="left"/>
    </xf>
    <xf numFmtId="44" fontId="9" fillId="0" borderId="0" xfId="26" applyFont="1" applyFill="1"/>
    <xf numFmtId="37" fontId="9" fillId="0" borderId="0" xfId="37" applyNumberFormat="1" applyFont="1" applyFill="1"/>
    <xf numFmtId="0" fontId="9" fillId="0" borderId="0" xfId="37" applyFont="1" applyFill="1" applyBorder="1" applyAlignment="1">
      <alignment horizontal="center"/>
    </xf>
    <xf numFmtId="37" fontId="9" fillId="0" borderId="0" xfId="37" applyNumberFormat="1" applyFont="1" applyFill="1" applyBorder="1"/>
    <xf numFmtId="39" fontId="45" fillId="0" borderId="0" xfId="36" applyFont="1" applyFill="1" applyBorder="1"/>
    <xf numFmtId="0" fontId="9" fillId="0" borderId="0" xfId="37" applyFont="1" applyFill="1" applyBorder="1"/>
    <xf numFmtId="10" fontId="9" fillId="0" borderId="0" xfId="5" applyNumberFormat="1" applyFont="1" applyFill="1" applyBorder="1"/>
    <xf numFmtId="37" fontId="9" fillId="0" borderId="0" xfId="37" applyNumberFormat="1" applyFont="1" applyFill="1" applyBorder="1" applyAlignment="1">
      <alignment horizontal="right"/>
    </xf>
    <xf numFmtId="169" fontId="9" fillId="0" borderId="1" xfId="0" applyNumberFormat="1" applyFont="1" applyFill="1" applyBorder="1"/>
    <xf numFmtId="0" fontId="22" fillId="0" borderId="0" xfId="0" applyNumberFormat="1" applyFont="1" applyAlignment="1">
      <alignment horizontal="center"/>
    </xf>
    <xf numFmtId="37" fontId="21" fillId="0" borderId="0" xfId="33" applyNumberFormat="1" applyFont="1" applyFill="1" applyBorder="1"/>
    <xf numFmtId="5" fontId="21" fillId="0" borderId="1" xfId="33" applyNumberFormat="1" applyFont="1" applyFill="1" applyBorder="1" applyAlignment="1">
      <alignment horizontal="right"/>
    </xf>
    <xf numFmtId="5" fontId="21" fillId="0" borderId="0" xfId="33" applyNumberFormat="1" applyFont="1" applyFill="1" applyBorder="1"/>
    <xf numFmtId="0" fontId="21" fillId="0" borderId="0" xfId="34" applyFont="1" applyFill="1" applyBorder="1" applyAlignment="1">
      <alignment horizontal="left" wrapText="1"/>
    </xf>
    <xf numFmtId="0" fontId="20" fillId="0" borderId="0" xfId="0" quotePrefix="1" applyNumberFormat="1" applyFont="1"/>
    <xf numFmtId="179" fontId="20" fillId="0" borderId="0" xfId="0" quotePrefix="1" applyNumberFormat="1" applyFont="1" applyAlignment="1">
      <alignment horizontal="center"/>
    </xf>
    <xf numFmtId="37" fontId="9" fillId="0" borderId="0" xfId="0" quotePrefix="1" applyNumberFormat="1" applyFont="1" applyFill="1" applyBorder="1"/>
    <xf numFmtId="0" fontId="24" fillId="0" borderId="0" xfId="33" applyNumberFormat="1" applyFont="1"/>
    <xf numFmtId="7" fontId="21" fillId="0" borderId="0" xfId="33" quotePrefix="1" applyNumberFormat="1" applyFont="1" applyFill="1" applyAlignment="1"/>
    <xf numFmtId="43" fontId="9" fillId="0" borderId="0" xfId="4" applyFont="1"/>
    <xf numFmtId="5" fontId="9" fillId="0" borderId="0" xfId="4" applyNumberFormat="1" applyFont="1" applyFill="1"/>
    <xf numFmtId="179" fontId="31" fillId="0" borderId="0" xfId="0" applyFont="1" applyFill="1" applyBorder="1"/>
    <xf numFmtId="7" fontId="21" fillId="0" borderId="0" xfId="33" quotePrefix="1" applyNumberFormat="1" applyFont="1" applyFill="1" applyAlignment="1">
      <alignment horizontal="left"/>
    </xf>
    <xf numFmtId="7" fontId="21" fillId="0" borderId="0" xfId="33" quotePrefix="1" applyNumberFormat="1" applyFont="1" applyFill="1" applyBorder="1" applyAlignment="1">
      <alignment horizontal="left"/>
    </xf>
    <xf numFmtId="176" fontId="24" fillId="0" borderId="0" xfId="33" applyNumberFormat="1" applyFont="1" applyFill="1" applyBorder="1" applyAlignment="1">
      <alignment horizontal="left"/>
    </xf>
    <xf numFmtId="176" fontId="21" fillId="0" borderId="0" xfId="33" quotePrefix="1" applyNumberFormat="1" applyFont="1" applyFill="1" applyBorder="1" applyAlignment="1">
      <alignment horizontal="left"/>
    </xf>
    <xf numFmtId="176" fontId="21" fillId="0" borderId="0" xfId="33" applyNumberFormat="1" applyFont="1" applyFill="1" applyBorder="1" applyAlignment="1">
      <alignment horizontal="left"/>
    </xf>
    <xf numFmtId="176" fontId="21" fillId="0" borderId="0" xfId="33" applyNumberFormat="1" applyFont="1" applyAlignment="1">
      <alignment horizontal="left"/>
    </xf>
    <xf numFmtId="7" fontId="21" fillId="0" borderId="0" xfId="33" applyNumberFormat="1" applyFont="1" applyFill="1" applyAlignment="1">
      <alignment horizontal="left"/>
    </xf>
    <xf numFmtId="37" fontId="21" fillId="0" borderId="0" xfId="33" applyNumberFormat="1" applyFont="1" applyFill="1" applyAlignment="1">
      <alignment horizontal="left"/>
    </xf>
    <xf numFmtId="0" fontId="21" fillId="0" borderId="0" xfId="33" applyNumberFormat="1" applyFont="1" applyAlignment="1">
      <alignment horizontal="left"/>
    </xf>
    <xf numFmtId="43" fontId="31" fillId="0" borderId="0" xfId="4" applyFont="1"/>
    <xf numFmtId="5" fontId="9" fillId="0" borderId="0" xfId="26" applyNumberFormat="1" applyFont="1" applyFill="1" applyBorder="1"/>
    <xf numFmtId="43" fontId="21" fillId="0" borderId="0" xfId="4" applyFont="1" applyFill="1" applyBorder="1" applyAlignment="1"/>
    <xf numFmtId="0" fontId="30" fillId="0" borderId="0" xfId="33" applyNumberFormat="1" applyFont="1" applyFill="1" applyBorder="1" applyAlignment="1"/>
    <xf numFmtId="43" fontId="21" fillId="0" borderId="0" xfId="4" applyFont="1" applyFill="1" applyAlignment="1">
      <alignment horizontal="right"/>
    </xf>
    <xf numFmtId="37" fontId="21" fillId="0" borderId="1" xfId="33" applyNumberFormat="1" applyFont="1" applyFill="1" applyBorder="1" applyAlignment="1">
      <alignment horizontal="right"/>
    </xf>
    <xf numFmtId="5" fontId="21" fillId="0" borderId="17" xfId="33" applyNumberFormat="1" applyFont="1" applyFill="1" applyBorder="1" applyAlignment="1">
      <alignment horizontal="right"/>
    </xf>
    <xf numFmtId="0" fontId="21" fillId="0" borderId="0" xfId="33" applyNumberFormat="1" applyFont="1" applyFill="1" applyBorder="1" applyAlignment="1">
      <alignment horizontal="center"/>
    </xf>
    <xf numFmtId="49" fontId="46" fillId="0" borderId="0" xfId="0" applyNumberFormat="1" applyFont="1" applyAlignment="1"/>
    <xf numFmtId="0" fontId="21" fillId="0" borderId="0" xfId="33" applyNumberFormat="1" applyFont="1" applyFill="1" applyBorder="1" applyAlignment="1">
      <alignment horizontal="right"/>
    </xf>
    <xf numFmtId="37" fontId="46" fillId="0" borderId="0" xfId="0" applyNumberFormat="1" applyFont="1"/>
    <xf numFmtId="37" fontId="21" fillId="0" borderId="0" xfId="33" applyNumberFormat="1" applyFont="1" applyFill="1" applyBorder="1" applyAlignment="1">
      <alignment horizontal="center"/>
    </xf>
    <xf numFmtId="7" fontId="21" fillId="0" borderId="1" xfId="33" applyNumberFormat="1" applyFont="1" applyFill="1" applyBorder="1" applyAlignment="1">
      <alignment horizontal="center"/>
    </xf>
    <xf numFmtId="179" fontId="9" fillId="0" borderId="0" xfId="33" applyFont="1" applyFill="1" applyBorder="1"/>
    <xf numFmtId="37" fontId="9" fillId="0" borderId="0" xfId="33" applyNumberFormat="1" applyFont="1" applyBorder="1"/>
    <xf numFmtId="0" fontId="21" fillId="0" borderId="0" xfId="33" applyNumberFormat="1" applyFont="1" applyFill="1" applyBorder="1" applyAlignment="1">
      <alignment horizontal="center"/>
    </xf>
    <xf numFmtId="49" fontId="46" fillId="0" borderId="0" xfId="0" applyNumberFormat="1" applyFont="1" applyFill="1" applyAlignment="1"/>
    <xf numFmtId="37" fontId="21" fillId="0" borderId="0" xfId="0" applyNumberFormat="1" applyFont="1" applyFill="1"/>
    <xf numFmtId="37" fontId="46" fillId="0" borderId="0" xfId="0" applyNumberFormat="1" applyFont="1" applyFill="1"/>
    <xf numFmtId="43" fontId="9" fillId="0" borderId="0" xfId="4" applyFont="1" applyFill="1" applyBorder="1" applyAlignment="1"/>
    <xf numFmtId="5" fontId="9" fillId="0" borderId="17" xfId="0" applyNumberFormat="1" applyFont="1" applyFill="1" applyBorder="1" applyAlignment="1"/>
    <xf numFmtId="43" fontId="0" fillId="0" borderId="0" xfId="35" applyFont="1" applyFill="1" applyBorder="1"/>
    <xf numFmtId="0" fontId="9" fillId="0" borderId="0" xfId="33" quotePrefix="1" applyNumberFormat="1" applyFont="1" applyFill="1" applyBorder="1"/>
    <xf numFmtId="0" fontId="9" fillId="0" borderId="0" xfId="33" applyNumberFormat="1" applyFont="1" applyFill="1" applyBorder="1"/>
    <xf numFmtId="0" fontId="12" fillId="0" borderId="0" xfId="33" applyNumberFormat="1" applyFont="1" applyFill="1" applyBorder="1"/>
    <xf numFmtId="179" fontId="9" fillId="0" borderId="0" xfId="33" applyFont="1" applyFill="1" applyAlignment="1"/>
    <xf numFmtId="0" fontId="10" fillId="0" borderId="0" xfId="0" applyNumberFormat="1" applyFont="1" applyFill="1" applyBorder="1" applyAlignment="1">
      <alignment horizontal="centerContinuous"/>
    </xf>
    <xf numFmtId="0" fontId="21" fillId="0" borderId="0" xfId="33" applyNumberFormat="1" applyFont="1" applyFill="1" applyBorder="1" applyAlignment="1">
      <alignment horizontal="center"/>
    </xf>
    <xf numFmtId="43" fontId="31" fillId="0" borderId="0" xfId="35" applyFont="1" applyFill="1" applyBorder="1"/>
    <xf numFmtId="179" fontId="31" fillId="0" borderId="0" xfId="0" applyFont="1" applyFill="1" applyBorder="1" applyAlignment="1">
      <alignment horizontal="center"/>
    </xf>
    <xf numFmtId="14" fontId="31" fillId="0" borderId="0" xfId="0" applyNumberFormat="1" applyFont="1" applyFill="1" applyBorder="1" applyAlignment="1">
      <alignment horizontal="center"/>
    </xf>
    <xf numFmtId="183" fontId="31" fillId="0" borderId="0" xfId="0" applyNumberFormat="1" applyFont="1" applyFill="1" applyBorder="1" applyAlignment="1">
      <alignment horizontal="center"/>
    </xf>
    <xf numFmtId="179" fontId="31" fillId="0" borderId="0" xfId="0" applyFont="1" applyFill="1" applyBorder="1" applyAlignment="1">
      <alignment horizontal="left"/>
    </xf>
    <xf numFmtId="0" fontId="31" fillId="0" borderId="0" xfId="33" quotePrefix="1" applyNumberFormat="1" applyFont="1" applyFill="1" applyBorder="1" applyAlignment="1">
      <alignment vertical="center"/>
    </xf>
    <xf numFmtId="43" fontId="31" fillId="0" borderId="0" xfId="9" applyFont="1" applyFill="1" applyBorder="1" applyAlignment="1">
      <alignment horizontal="center"/>
    </xf>
    <xf numFmtId="174" fontId="9" fillId="0" borderId="0" xfId="4" applyNumberFormat="1" applyFont="1" applyFill="1" applyBorder="1"/>
    <xf numFmtId="171" fontId="21" fillId="0" borderId="0" xfId="33" quotePrefix="1" applyNumberFormat="1" applyFont="1" applyFill="1" applyAlignment="1">
      <alignment horizontal="left"/>
    </xf>
    <xf numFmtId="37" fontId="9" fillId="0" borderId="0" xfId="0" quotePrefix="1" applyNumberFormat="1" applyFont="1" applyFill="1" applyBorder="1" applyAlignment="1"/>
    <xf numFmtId="5" fontId="9" fillId="0" borderId="0" xfId="1" applyNumberFormat="1" applyFont="1" applyFill="1" applyBorder="1" applyAlignment="1"/>
    <xf numFmtId="37" fontId="9" fillId="0" borderId="0" xfId="2" applyNumberFormat="1" applyFont="1" applyFill="1" applyBorder="1"/>
    <xf numFmtId="0" fontId="9" fillId="0" borderId="0" xfId="2" applyFont="1" applyFill="1" applyBorder="1" applyAlignment="1"/>
    <xf numFmtId="0" fontId="9" fillId="0" borderId="0" xfId="0" quotePrefix="1" applyNumberFormat="1" applyFont="1" applyFill="1" applyAlignment="1"/>
    <xf numFmtId="5" fontId="9" fillId="0" borderId="0" xfId="26" applyNumberFormat="1" applyFont="1" applyFill="1" applyAlignment="1">
      <alignment horizontal="right"/>
    </xf>
    <xf numFmtId="0" fontId="21" fillId="0" borderId="0" xfId="33" applyNumberFormat="1" applyFont="1" applyFill="1" applyBorder="1" applyAlignment="1">
      <alignment horizontal="centerContinuous" wrapText="1"/>
    </xf>
    <xf numFmtId="185" fontId="9" fillId="0" borderId="0" xfId="0" applyNumberFormat="1" applyFont="1" applyFill="1" applyBorder="1"/>
    <xf numFmtId="0" fontId="9" fillId="0" borderId="1" xfId="0" applyNumberFormat="1" applyFont="1" applyBorder="1" applyAlignment="1">
      <alignment horizontal="center"/>
    </xf>
    <xf numFmtId="167" fontId="20" fillId="0" borderId="0" xfId="42" applyNumberFormat="1" applyFont="1" applyFill="1"/>
    <xf numFmtId="0" fontId="7" fillId="0" borderId="0" xfId="0" applyNumberFormat="1" applyFont="1"/>
    <xf numFmtId="37" fontId="9" fillId="0" borderId="0" xfId="47" applyNumberFormat="1" applyFont="1"/>
    <xf numFmtId="43" fontId="9" fillId="0" borderId="0" xfId="9" applyFont="1"/>
    <xf numFmtId="3" fontId="9" fillId="0" borderId="0" xfId="51" applyNumberFormat="1" applyFont="1" applyAlignment="1">
      <alignment horizontal="centerContinuous"/>
    </xf>
    <xf numFmtId="167" fontId="20" fillId="0" borderId="0" xfId="53" applyNumberFormat="1" applyFont="1" applyFill="1"/>
    <xf numFmtId="0" fontId="9" fillId="0" borderId="0" xfId="0" applyNumberFormat="1" applyFont="1" applyAlignment="1">
      <alignment horizontal="center"/>
    </xf>
    <xf numFmtId="179" fontId="9" fillId="0" borderId="1" xfId="0" applyFont="1" applyBorder="1" applyAlignment="1">
      <alignment horizontal="center"/>
    </xf>
    <xf numFmtId="37" fontId="10" fillId="0" borderId="0" xfId="51" applyNumberFormat="1" applyFont="1" applyAlignment="1">
      <alignment horizontal="centerContinuous"/>
    </xf>
    <xf numFmtId="37" fontId="10" fillId="0" borderId="0" xfId="51" applyNumberFormat="1" applyFont="1" applyAlignment="1"/>
    <xf numFmtId="179" fontId="9" fillId="0" borderId="0" xfId="51" applyFont="1" applyAlignment="1">
      <alignment horizontal="left"/>
    </xf>
    <xf numFmtId="179" fontId="9" fillId="0" borderId="0" xfId="51" applyFont="1"/>
    <xf numFmtId="39" fontId="10" fillId="0" borderId="0" xfId="51" applyNumberFormat="1" applyFont="1"/>
    <xf numFmtId="39" fontId="9" fillId="0" borderId="0" xfId="51" applyNumberFormat="1" applyFont="1"/>
    <xf numFmtId="0" fontId="9" fillId="0" borderId="0" xfId="55" applyFont="1" applyAlignment="1">
      <alignment horizontal="left"/>
    </xf>
    <xf numFmtId="0" fontId="10" fillId="0" borderId="0" xfId="56" applyNumberFormat="1" applyFont="1"/>
    <xf numFmtId="179" fontId="9" fillId="0" borderId="0" xfId="51" applyFont="1" applyAlignment="1">
      <alignment horizontal="centerContinuous"/>
    </xf>
    <xf numFmtId="0" fontId="11" fillId="0" borderId="0" xfId="56" applyNumberFormat="1" applyFont="1" applyAlignment="1">
      <alignment horizontal="right"/>
    </xf>
    <xf numFmtId="179" fontId="9" fillId="0" borderId="0" xfId="51" applyFont="1" applyAlignment="1"/>
    <xf numFmtId="14" fontId="9" fillId="0" borderId="0" xfId="51" applyNumberFormat="1" applyFont="1"/>
    <xf numFmtId="179" fontId="11" fillId="0" borderId="0" xfId="51" applyFont="1" applyAlignment="1">
      <alignment horizontal="centerContinuous"/>
    </xf>
    <xf numFmtId="179" fontId="11" fillId="0" borderId="0" xfId="51" applyFont="1" applyAlignment="1"/>
    <xf numFmtId="37" fontId="9" fillId="0" borderId="0" xfId="51" applyNumberFormat="1" applyFont="1"/>
    <xf numFmtId="179" fontId="10" fillId="0" borderId="0" xfId="51" applyFont="1" applyAlignment="1">
      <alignment horizontal="centerContinuous"/>
    </xf>
    <xf numFmtId="179" fontId="10" fillId="0" borderId="0" xfId="51" applyFont="1" applyAlignment="1"/>
    <xf numFmtId="179" fontId="9" fillId="0" borderId="0" xfId="51" applyFont="1" applyAlignment="1">
      <alignment horizontal="center"/>
    </xf>
    <xf numFmtId="179" fontId="10" fillId="0" borderId="0" xfId="51" applyFont="1" applyAlignment="1">
      <alignment horizontal="center"/>
    </xf>
    <xf numFmtId="5" fontId="9" fillId="0" borderId="0" xfId="51" applyNumberFormat="1" applyFont="1"/>
    <xf numFmtId="179" fontId="9" fillId="0" borderId="1" xfId="51" applyFont="1" applyBorder="1" applyAlignment="1">
      <alignment horizontal="centerContinuous"/>
    </xf>
    <xf numFmtId="179" fontId="9" fillId="0" borderId="1" xfId="51" applyFont="1" applyBorder="1" applyAlignment="1">
      <alignment horizontal="center"/>
    </xf>
    <xf numFmtId="170" fontId="9" fillId="0" borderId="0" xfId="51" applyNumberFormat="1" applyFont="1"/>
    <xf numFmtId="170" fontId="9" fillId="0" borderId="0" xfId="51" applyNumberFormat="1" applyFont="1" applyAlignment="1">
      <alignment horizontal="centerContinuous"/>
    </xf>
    <xf numFmtId="179" fontId="9" fillId="0" borderId="0" xfId="51" quotePrefix="1" applyFont="1" applyAlignment="1">
      <alignment horizontal="centerContinuous"/>
    </xf>
    <xf numFmtId="39" fontId="9" fillId="0" borderId="0" xfId="51" applyNumberFormat="1" applyFont="1" applyAlignment="1">
      <alignment horizontal="left"/>
    </xf>
    <xf numFmtId="165" fontId="9" fillId="0" borderId="0" xfId="51" applyNumberFormat="1" applyFont="1" applyAlignment="1">
      <alignment horizontal="center"/>
    </xf>
    <xf numFmtId="172" fontId="9" fillId="0" borderId="0" xfId="51" applyNumberFormat="1" applyFont="1" applyAlignment="1">
      <alignment horizontal="center"/>
    </xf>
    <xf numFmtId="7" fontId="9" fillId="0" borderId="0" xfId="51" applyNumberFormat="1" applyFont="1"/>
    <xf numFmtId="39" fontId="9" fillId="0" borderId="0" xfId="51" applyNumberFormat="1" applyFont="1" applyAlignment="1"/>
    <xf numFmtId="43" fontId="9" fillId="0" borderId="0" xfId="40" applyFont="1"/>
    <xf numFmtId="7" fontId="9" fillId="0" borderId="0" xfId="40" applyNumberFormat="1" applyFont="1"/>
    <xf numFmtId="39" fontId="9" fillId="0" borderId="0" xfId="51" quotePrefix="1" applyNumberFormat="1" applyFont="1" applyAlignment="1"/>
    <xf numFmtId="171" fontId="9" fillId="0" borderId="0" xfId="51" applyNumberFormat="1" applyFont="1"/>
    <xf numFmtId="37" fontId="9" fillId="0" borderId="0" xfId="51" quotePrefix="1" applyNumberFormat="1" applyFont="1" applyAlignment="1">
      <alignment horizontal="center"/>
    </xf>
    <xf numFmtId="165" fontId="9" fillId="0" borderId="0" xfId="51" applyNumberFormat="1" applyFont="1"/>
    <xf numFmtId="37" fontId="9" fillId="0" borderId="3" xfId="51" applyNumberFormat="1" applyFont="1" applyBorder="1"/>
    <xf numFmtId="168" fontId="9" fillId="0" borderId="0" xfId="51" applyNumberFormat="1" applyFont="1"/>
    <xf numFmtId="39" fontId="9" fillId="0" borderId="3" xfId="51" applyNumberFormat="1" applyFont="1" applyBorder="1"/>
    <xf numFmtId="3" fontId="9" fillId="0" borderId="0" xfId="51" applyNumberFormat="1" applyFont="1" applyAlignment="1">
      <alignment horizontal="center"/>
    </xf>
    <xf numFmtId="5" fontId="9" fillId="0" borderId="17" xfId="51" applyNumberFormat="1" applyFont="1" applyBorder="1"/>
    <xf numFmtId="7" fontId="9" fillId="0" borderId="17" xfId="51" applyNumberFormat="1" applyFont="1" applyBorder="1"/>
    <xf numFmtId="37" fontId="9" fillId="0" borderId="0" xfId="51" applyNumberFormat="1" applyFont="1" applyAlignment="1">
      <alignment horizontal="centerContinuous"/>
    </xf>
    <xf numFmtId="39" fontId="9" fillId="0" borderId="0" xfId="51" applyNumberFormat="1" applyFont="1" applyAlignment="1">
      <alignment horizontal="centerContinuous"/>
    </xf>
    <xf numFmtId="7" fontId="9" fillId="0" borderId="0" xfId="51" applyNumberFormat="1" applyFont="1" applyAlignment="1">
      <alignment horizontal="centerContinuous"/>
    </xf>
    <xf numFmtId="179" fontId="9" fillId="0" borderId="0" xfId="51" quotePrefix="1" applyFont="1"/>
    <xf numFmtId="0" fontId="9" fillId="0" borderId="0" xfId="51" quotePrefix="1" applyNumberFormat="1" applyFont="1" applyAlignment="1">
      <alignment horizontal="centerContinuous"/>
    </xf>
    <xf numFmtId="0" fontId="9" fillId="0" borderId="0" xfId="51" quotePrefix="1" applyNumberFormat="1" applyFont="1" applyAlignment="1"/>
    <xf numFmtId="5" fontId="9" fillId="0" borderId="0" xfId="40" applyNumberFormat="1" applyFont="1"/>
    <xf numFmtId="179" fontId="9" fillId="0" borderId="0" xfId="51" applyNumberFormat="1" applyFont="1" applyFill="1" applyAlignment="1">
      <alignment horizontal="centerContinuous"/>
    </xf>
    <xf numFmtId="179" fontId="9" fillId="0" borderId="0" xfId="51" applyNumberFormat="1" applyFont="1" applyFill="1" applyAlignment="1"/>
    <xf numFmtId="39" fontId="10" fillId="0" borderId="0" xfId="51" applyNumberFormat="1" applyFont="1" applyFill="1"/>
    <xf numFmtId="39" fontId="9" fillId="0" borderId="0" xfId="51" applyNumberFormat="1" applyFont="1" applyFill="1" applyBorder="1"/>
    <xf numFmtId="0" fontId="9" fillId="0" borderId="0" xfId="55" applyFont="1" applyBorder="1" applyAlignment="1">
      <alignment horizontal="left"/>
    </xf>
    <xf numFmtId="179" fontId="9" fillId="0" borderId="0" xfId="51" applyFont="1" applyFill="1" applyBorder="1"/>
    <xf numFmtId="179" fontId="9" fillId="0" borderId="0" xfId="51" applyFont="1" applyFill="1"/>
    <xf numFmtId="0" fontId="10" fillId="0" borderId="0" xfId="25" applyNumberFormat="1" applyFont="1" applyAlignment="1"/>
    <xf numFmtId="0" fontId="17" fillId="0" borderId="0" xfId="25" applyNumberFormat="1" applyFont="1" applyAlignment="1">
      <alignment horizontal="center"/>
    </xf>
    <xf numFmtId="179" fontId="17" fillId="0" borderId="0" xfId="51" applyNumberFormat="1" applyFont="1" applyFill="1" applyAlignment="1">
      <alignment horizontal="right"/>
    </xf>
    <xf numFmtId="14" fontId="9" fillId="0" borderId="0" xfId="51" applyNumberFormat="1" applyFont="1" applyFill="1"/>
    <xf numFmtId="39" fontId="9" fillId="0" borderId="0" xfId="51" applyNumberFormat="1" applyFont="1" applyFill="1"/>
    <xf numFmtId="37" fontId="9" fillId="0" borderId="0" xfId="51" applyNumberFormat="1" applyFont="1" applyFill="1" applyBorder="1"/>
    <xf numFmtId="0" fontId="9" fillId="0" borderId="0" xfId="57" applyFont="1" applyFill="1" applyBorder="1"/>
    <xf numFmtId="0" fontId="9" fillId="0" borderId="0" xfId="57" applyFont="1" applyFill="1" applyBorder="1" applyAlignment="1">
      <alignment horizontal="centerContinuous"/>
    </xf>
    <xf numFmtId="179" fontId="9" fillId="0" borderId="0" xfId="51" applyFont="1" applyFill="1" applyBorder="1" applyAlignment="1">
      <alignment horizontal="centerContinuous"/>
    </xf>
    <xf numFmtId="9" fontId="9" fillId="0" borderId="0" xfId="57" applyNumberFormat="1" applyFont="1" applyFill="1" applyBorder="1" applyAlignment="1">
      <alignment horizontal="center"/>
    </xf>
    <xf numFmtId="0" fontId="9" fillId="0" borderId="0" xfId="57" applyFont="1" applyFill="1" applyBorder="1" applyAlignment="1">
      <alignment horizontal="center"/>
    </xf>
    <xf numFmtId="179" fontId="10" fillId="0" borderId="0" xfId="51" applyNumberFormat="1" applyFont="1" applyFill="1" applyAlignment="1">
      <alignment horizontal="center"/>
    </xf>
    <xf numFmtId="179" fontId="9" fillId="0" borderId="0" xfId="51" applyFont="1" applyFill="1" applyAlignment="1">
      <alignment horizontal="center"/>
    </xf>
    <xf numFmtId="179" fontId="9" fillId="0" borderId="0" xfId="51" applyFont="1" applyFill="1" applyAlignment="1"/>
    <xf numFmtId="179" fontId="9" fillId="0" borderId="0" xfId="51" applyFont="1" applyFill="1" applyBorder="1" applyAlignment="1">
      <alignment horizontal="center"/>
    </xf>
    <xf numFmtId="179" fontId="9" fillId="0" borderId="1" xfId="51" applyFont="1" applyFill="1" applyBorder="1" applyAlignment="1">
      <alignment horizontal="centerContinuous"/>
    </xf>
    <xf numFmtId="179" fontId="9" fillId="0" borderId="1" xfId="51" applyFont="1" applyFill="1" applyBorder="1" applyAlignment="1">
      <alignment horizontal="center"/>
    </xf>
    <xf numFmtId="179" fontId="9" fillId="0" borderId="7" xfId="51" applyFont="1" applyFill="1" applyBorder="1" applyAlignment="1">
      <alignment horizontal="center"/>
    </xf>
    <xf numFmtId="170" fontId="9" fillId="0" borderId="0" xfId="51" applyNumberFormat="1" applyFont="1" applyFill="1" applyAlignment="1"/>
    <xf numFmtId="179" fontId="9" fillId="0" borderId="0" xfId="51" applyNumberFormat="1" applyFont="1" applyFill="1" applyBorder="1" applyAlignment="1"/>
    <xf numFmtId="179" fontId="9" fillId="0" borderId="0" xfId="51" applyFont="1" applyFill="1" applyBorder="1" applyAlignment="1"/>
    <xf numFmtId="179" fontId="9" fillId="0" borderId="0" xfId="51" applyNumberFormat="1" applyFont="1" applyFill="1" applyBorder="1" applyAlignment="1">
      <alignment horizontal="centerContinuous"/>
    </xf>
    <xf numFmtId="170" fontId="9" fillId="0" borderId="0" xfId="51" applyNumberFormat="1" applyFont="1" applyFill="1" applyAlignment="1">
      <alignment horizontal="centerContinuous"/>
    </xf>
    <xf numFmtId="39" fontId="9" fillId="0" borderId="0" xfId="51" applyNumberFormat="1" applyFont="1" applyFill="1" applyBorder="1" applyAlignment="1">
      <alignment horizontal="center"/>
    </xf>
    <xf numFmtId="165" fontId="9" fillId="0" borderId="0" xfId="51" applyNumberFormat="1" applyFont="1" applyFill="1" applyAlignment="1">
      <alignment horizontal="center"/>
    </xf>
    <xf numFmtId="5" fontId="9" fillId="0" borderId="0" xfId="51" applyNumberFormat="1" applyFont="1" applyFill="1" applyAlignment="1"/>
    <xf numFmtId="37" fontId="9" fillId="0" borderId="0" xfId="51" applyNumberFormat="1" applyFont="1" applyFill="1" applyAlignment="1"/>
    <xf numFmtId="172" fontId="9" fillId="0" borderId="0" xfId="51" applyNumberFormat="1" applyFont="1" applyFill="1" applyAlignment="1">
      <alignment horizontal="center"/>
    </xf>
    <xf numFmtId="7" fontId="9" fillId="0" borderId="0" xfId="51" applyNumberFormat="1" applyFont="1" applyFill="1" applyAlignment="1"/>
    <xf numFmtId="39" fontId="9" fillId="0" borderId="0" xfId="51" applyNumberFormat="1" applyFont="1" applyFill="1" applyAlignment="1"/>
    <xf numFmtId="39" fontId="9" fillId="0" borderId="0" xfId="51" applyNumberFormat="1" applyFont="1" applyFill="1" applyBorder="1" applyAlignment="1"/>
    <xf numFmtId="169" fontId="9" fillId="0" borderId="0" xfId="51" applyNumberFormat="1" applyFont="1" applyFill="1" applyBorder="1"/>
    <xf numFmtId="180" fontId="9" fillId="0" borderId="0" xfId="51" applyNumberFormat="1" applyFont="1" applyFill="1" applyBorder="1"/>
    <xf numFmtId="43" fontId="9" fillId="0" borderId="0" xfId="51" applyNumberFormat="1" applyFont="1" applyFill="1" applyAlignment="1">
      <alignment horizontal="center"/>
    </xf>
    <xf numFmtId="7" fontId="9" fillId="0" borderId="0" xfId="51" applyNumberFormat="1" applyFont="1" applyFill="1" applyBorder="1" applyAlignment="1"/>
    <xf numFmtId="10" fontId="9" fillId="0" borderId="0" xfId="51" applyNumberFormat="1" applyFont="1" applyFill="1" applyBorder="1" applyAlignment="1">
      <alignment horizontal="center"/>
    </xf>
    <xf numFmtId="7" fontId="9" fillId="0" borderId="0" xfId="27" applyNumberFormat="1" applyFont="1" applyAlignment="1"/>
    <xf numFmtId="37" fontId="9" fillId="0" borderId="0" xfId="51" applyNumberFormat="1" applyFont="1" applyFill="1" applyBorder="1" applyAlignment="1"/>
    <xf numFmtId="2" fontId="9" fillId="0" borderId="0" xfId="51" applyNumberFormat="1" applyFont="1" applyFill="1" applyBorder="1"/>
    <xf numFmtId="5" fontId="9" fillId="0" borderId="0" xfId="27" applyNumberFormat="1" applyFont="1" applyBorder="1" applyAlignment="1"/>
    <xf numFmtId="7" fontId="9" fillId="0" borderId="0" xfId="46" applyNumberFormat="1" applyFont="1" applyFill="1" applyBorder="1"/>
    <xf numFmtId="39" fontId="9" fillId="0" borderId="0" xfId="51" quotePrefix="1" applyNumberFormat="1" applyFont="1" applyFill="1" applyBorder="1" applyAlignment="1">
      <alignment horizontal="center"/>
    </xf>
    <xf numFmtId="168" fontId="9" fillId="0" borderId="0" xfId="51" applyNumberFormat="1" applyFont="1" applyFill="1" applyAlignment="1"/>
    <xf numFmtId="44" fontId="9" fillId="0" borderId="0" xfId="46" applyNumberFormat="1" applyFont="1" applyFill="1" applyBorder="1"/>
    <xf numFmtId="186" fontId="9" fillId="0" borderId="0" xfId="51" applyNumberFormat="1" applyFont="1" applyFill="1" applyBorder="1"/>
    <xf numFmtId="39" fontId="9" fillId="0" borderId="1" xfId="51" applyNumberFormat="1" applyFont="1" applyFill="1" applyBorder="1" applyAlignment="1"/>
    <xf numFmtId="165" fontId="9" fillId="0" borderId="0" xfId="51" applyNumberFormat="1" applyFont="1" applyFill="1" applyAlignment="1"/>
    <xf numFmtId="37" fontId="9" fillId="0" borderId="3" xfId="51" applyNumberFormat="1" applyFont="1" applyFill="1" applyBorder="1" applyAlignment="1"/>
    <xf numFmtId="39" fontId="9" fillId="0" borderId="3" xfId="51" applyNumberFormat="1" applyFont="1" applyFill="1" applyBorder="1" applyAlignment="1"/>
    <xf numFmtId="3" fontId="9" fillId="0" borderId="0" xfId="51" applyNumberFormat="1" applyFont="1" applyFill="1" applyAlignment="1">
      <alignment horizontal="left" indent="1"/>
    </xf>
    <xf numFmtId="5" fontId="9" fillId="0" borderId="17" xfId="27" applyNumberFormat="1" applyFont="1" applyBorder="1" applyAlignment="1"/>
    <xf numFmtId="7" fontId="9" fillId="0" borderId="0" xfId="27" applyNumberFormat="1" applyFont="1" applyBorder="1" applyAlignment="1"/>
    <xf numFmtId="7" fontId="9" fillId="0" borderId="17" xfId="27" applyNumberFormat="1" applyFont="1" applyBorder="1" applyAlignment="1"/>
    <xf numFmtId="7" fontId="9" fillId="0" borderId="17" xfId="51" applyNumberFormat="1" applyFont="1" applyFill="1" applyBorder="1" applyAlignment="1"/>
    <xf numFmtId="43" fontId="9" fillId="0" borderId="0" xfId="40" applyFont="1" applyFill="1" applyBorder="1"/>
    <xf numFmtId="3" fontId="9" fillId="0" borderId="0" xfId="51" applyNumberFormat="1" applyFont="1" applyFill="1" applyAlignment="1">
      <alignment horizontal="center"/>
    </xf>
    <xf numFmtId="5" fontId="9" fillId="0" borderId="0" xfId="51" applyNumberFormat="1" applyFont="1" applyFill="1" applyBorder="1" applyAlignment="1"/>
    <xf numFmtId="7" fontId="9" fillId="0" borderId="0" xfId="51" quotePrefix="1" applyNumberFormat="1" applyFont="1" applyFill="1" applyBorder="1" applyAlignment="1"/>
    <xf numFmtId="3" fontId="9" fillId="0" borderId="0" xfId="51" applyNumberFormat="1" applyFont="1" applyFill="1" applyAlignment="1">
      <alignment horizontal="left"/>
    </xf>
    <xf numFmtId="165" fontId="9" fillId="0" borderId="0" xfId="51" quotePrefix="1" applyNumberFormat="1" applyFont="1" applyFill="1" applyAlignment="1">
      <alignment horizontal="left" indent="2"/>
    </xf>
    <xf numFmtId="165" fontId="9" fillId="0" borderId="0" xfId="51" quotePrefix="1" applyNumberFormat="1" applyFont="1" applyFill="1" applyAlignment="1">
      <alignment horizontal="left"/>
    </xf>
    <xf numFmtId="39" fontId="9" fillId="0" borderId="0" xfId="51" applyNumberFormat="1" applyFont="1" applyFill="1" applyBorder="1" applyAlignment="1">
      <alignment horizontal="centerContinuous"/>
    </xf>
    <xf numFmtId="179" fontId="10" fillId="0" borderId="0" xfId="51" applyNumberFormat="1" applyFont="1" applyFill="1" applyBorder="1" applyAlignment="1">
      <alignment horizontal="centerContinuous"/>
    </xf>
    <xf numFmtId="179" fontId="17" fillId="0" borderId="0" xfId="51" applyNumberFormat="1" applyFont="1" applyFill="1" applyBorder="1" applyAlignment="1">
      <alignment horizontal="right"/>
    </xf>
    <xf numFmtId="179" fontId="10" fillId="0" borderId="0" xfId="51" applyNumberFormat="1" applyFont="1" applyFill="1" applyBorder="1" applyAlignment="1"/>
    <xf numFmtId="170" fontId="9" fillId="0" borderId="0" xfId="51" applyNumberFormat="1" applyFont="1" applyFill="1" applyBorder="1" applyAlignment="1"/>
    <xf numFmtId="3" fontId="9" fillId="0" borderId="0" xfId="51" applyNumberFormat="1" applyFont="1" applyFill="1" applyBorder="1" applyAlignment="1">
      <alignment horizontal="centerContinuous"/>
    </xf>
    <xf numFmtId="3" fontId="9" fillId="0" borderId="0" xfId="51" applyNumberFormat="1" applyFont="1" applyFill="1" applyBorder="1" applyAlignment="1">
      <alignment horizontal="left"/>
    </xf>
    <xf numFmtId="5" fontId="9" fillId="0" borderId="0" xfId="51" applyNumberFormat="1" applyFont="1" applyFill="1" applyBorder="1" applyAlignment="1">
      <alignment horizontal="right"/>
    </xf>
    <xf numFmtId="165" fontId="9" fillId="0" borderId="0" xfId="51" applyNumberFormat="1" applyFont="1" applyFill="1" applyBorder="1" applyAlignment="1">
      <alignment horizontal="center"/>
    </xf>
    <xf numFmtId="172" fontId="9" fillId="0" borderId="0" xfId="51" applyNumberFormat="1" applyFont="1" applyFill="1" applyBorder="1" applyAlignment="1">
      <alignment horizontal="center"/>
    </xf>
    <xf numFmtId="174" fontId="9" fillId="0" borderId="0" xfId="51" applyNumberFormat="1" applyFont="1" applyFill="1" applyBorder="1"/>
    <xf numFmtId="43" fontId="9" fillId="0" borderId="0" xfId="51" applyNumberFormat="1" applyFont="1" applyFill="1" applyBorder="1"/>
    <xf numFmtId="43" fontId="9" fillId="0" borderId="0" xfId="51" applyNumberFormat="1" applyFont="1" applyFill="1" applyBorder="1" applyAlignment="1">
      <alignment horizontal="center"/>
    </xf>
    <xf numFmtId="165" fontId="9" fillId="0" borderId="0" xfId="51" quotePrefix="1" applyNumberFormat="1" applyFont="1" applyFill="1" applyBorder="1" applyAlignment="1">
      <alignment horizontal="left"/>
    </xf>
    <xf numFmtId="37" fontId="9" fillId="0" borderId="0" xfId="51" applyNumberFormat="1" applyFont="1" applyFill="1" applyBorder="1" applyAlignment="1">
      <alignment horizontal="center"/>
    </xf>
    <xf numFmtId="0" fontId="9" fillId="0" borderId="0" xfId="51" applyNumberFormat="1" applyFont="1" applyFill="1" applyBorder="1" applyAlignment="1">
      <alignment horizontal="center"/>
    </xf>
    <xf numFmtId="5" fontId="9" fillId="0" borderId="0" xfId="40" applyNumberFormat="1" applyFont="1" applyFill="1" applyBorder="1" applyAlignment="1"/>
    <xf numFmtId="5" fontId="9" fillId="0" borderId="0" xfId="40" applyNumberFormat="1" applyFont="1" applyFill="1" applyBorder="1"/>
    <xf numFmtId="43" fontId="9" fillId="0" borderId="0" xfId="40" applyFont="1" applyFill="1"/>
    <xf numFmtId="179" fontId="9" fillId="0" borderId="0" xfId="51" applyNumberFormat="1" applyFont="1" applyFill="1" applyAlignment="1">
      <alignment horizontal="center"/>
    </xf>
    <xf numFmtId="179" fontId="10" fillId="0" borderId="0" xfId="51" applyNumberFormat="1" applyFont="1" applyFill="1" applyAlignment="1">
      <alignment horizontal="centerContinuous"/>
    </xf>
    <xf numFmtId="5" fontId="9" fillId="0" borderId="0" xfId="57" applyNumberFormat="1" applyFont="1" applyFill="1" applyBorder="1"/>
    <xf numFmtId="5" fontId="10" fillId="0" borderId="0" xfId="57" applyNumberFormat="1" applyFont="1" applyFill="1" applyBorder="1"/>
    <xf numFmtId="187" fontId="9" fillId="0" borderId="0" xfId="51" applyNumberFormat="1" applyFont="1" applyFill="1" applyAlignment="1"/>
    <xf numFmtId="37" fontId="9" fillId="0" borderId="0" xfId="51" applyNumberFormat="1" applyFont="1" applyFill="1" applyBorder="1" applyAlignment="1">
      <alignment horizontal="centerContinuous"/>
    </xf>
    <xf numFmtId="39" fontId="9" fillId="0" borderId="0" xfId="51" applyNumberFormat="1" applyFont="1" applyFill="1" applyAlignment="1">
      <alignment horizontal="centerContinuous"/>
    </xf>
    <xf numFmtId="39" fontId="9" fillId="0" borderId="0" xfId="51" quotePrefix="1" applyNumberFormat="1" applyFont="1"/>
    <xf numFmtId="37" fontId="9" fillId="0" borderId="0" xfId="51" quotePrefix="1" applyNumberFormat="1" applyFont="1"/>
    <xf numFmtId="0" fontId="7" fillId="0" borderId="0" xfId="0" applyNumberFormat="1" applyFont="1"/>
    <xf numFmtId="43" fontId="10" fillId="0" borderId="0" xfId="0" applyNumberFormat="1" applyFont="1" applyFill="1"/>
    <xf numFmtId="179" fontId="20" fillId="3" borderId="0" xfId="0" applyNumberFormat="1" applyFont="1" applyFill="1"/>
    <xf numFmtId="41" fontId="20" fillId="3" borderId="0" xfId="0" applyNumberFormat="1" applyFont="1" applyFill="1" applyBorder="1"/>
    <xf numFmtId="0" fontId="20" fillId="0" borderId="0" xfId="0" applyNumberFormat="1" applyFont="1" applyFill="1" applyBorder="1"/>
    <xf numFmtId="3" fontId="21" fillId="0" borderId="0" xfId="0" quotePrefix="1" applyNumberFormat="1" applyFont="1" applyAlignment="1">
      <alignment horizontal="center"/>
    </xf>
    <xf numFmtId="3" fontId="0" fillId="0" borderId="0" xfId="0" applyNumberFormat="1" applyFont="1" applyFill="1"/>
    <xf numFmtId="3" fontId="21" fillId="0" borderId="0" xfId="0" applyNumberFormat="1" applyFont="1" applyFill="1" applyAlignment="1">
      <alignment horizontal="center"/>
    </xf>
    <xf numFmtId="3" fontId="7" fillId="0" borderId="0" xfId="0" applyNumberFormat="1" applyFont="1"/>
    <xf numFmtId="174" fontId="0" fillId="3" borderId="0" xfId="0" applyNumberFormat="1" applyFont="1" applyFill="1"/>
    <xf numFmtId="43" fontId="9" fillId="0" borderId="1" xfId="4" applyFont="1" applyFill="1" applyBorder="1" applyAlignment="1"/>
    <xf numFmtId="179" fontId="40" fillId="0" borderId="0" xfId="0" applyFont="1" applyFill="1" applyAlignment="1">
      <alignment horizontal="centerContinuous"/>
    </xf>
    <xf numFmtId="179" fontId="9" fillId="0" borderId="1" xfId="0" applyFont="1" applyBorder="1" applyAlignment="1">
      <alignment horizontal="center"/>
    </xf>
    <xf numFmtId="179" fontId="10" fillId="0" borderId="0" xfId="51" applyFont="1" applyAlignment="1">
      <alignment horizontal="center"/>
    </xf>
    <xf numFmtId="179" fontId="9" fillId="0" borderId="0" xfId="51" applyFont="1" applyAlignment="1">
      <alignment horizontal="center"/>
    </xf>
    <xf numFmtId="0" fontId="9" fillId="0" borderId="0" xfId="0" applyNumberFormat="1" applyFont="1" applyAlignment="1">
      <alignment horizontal="center"/>
    </xf>
    <xf numFmtId="5" fontId="9" fillId="0" borderId="0" xfId="27" applyNumberFormat="1" applyFont="1"/>
    <xf numFmtId="7" fontId="9" fillId="0" borderId="0" xfId="27" applyNumberFormat="1" applyFont="1"/>
    <xf numFmtId="179" fontId="9" fillId="0" borderId="0" xfId="27" applyFont="1" applyAlignment="1">
      <alignment horizontal="centerContinuous"/>
    </xf>
    <xf numFmtId="0" fontId="9" fillId="0" borderId="0" xfId="51" applyNumberFormat="1" applyFont="1"/>
    <xf numFmtId="174" fontId="9" fillId="0" borderId="0" xfId="60" applyNumberFormat="1" applyFont="1"/>
    <xf numFmtId="0" fontId="9" fillId="0" borderId="0" xfId="51" quotePrefix="1" applyNumberFormat="1" applyFont="1"/>
    <xf numFmtId="179" fontId="10" fillId="0" borderId="0" xfId="0" applyNumberFormat="1" applyFont="1" applyFill="1" applyAlignment="1">
      <alignment horizontal="center"/>
    </xf>
    <xf numFmtId="44" fontId="9" fillId="0" borderId="0" xfId="26" applyFont="1" applyFill="1" applyBorder="1" applyAlignment="1"/>
    <xf numFmtId="37" fontId="9" fillId="0" borderId="0" xfId="0" applyNumberFormat="1" applyFont="1" applyAlignment="1">
      <alignment horizontal="center"/>
    </xf>
    <xf numFmtId="179" fontId="10" fillId="0" borderId="0" xfId="0" applyFont="1" applyFill="1" applyAlignment="1">
      <alignment horizontal="center"/>
    </xf>
    <xf numFmtId="179" fontId="9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37" fontId="9" fillId="0" borderId="0" xfId="0" applyNumberFormat="1" applyFont="1" applyFill="1" applyAlignment="1">
      <alignment horizontal="center"/>
    </xf>
    <xf numFmtId="179" fontId="9" fillId="0" borderId="0" xfId="0" applyFont="1" applyAlignment="1">
      <alignment horizontal="center"/>
    </xf>
    <xf numFmtId="179" fontId="10" fillId="0" borderId="0" xfId="0" applyNumberFormat="1" applyFont="1" applyFill="1" applyBorder="1" applyAlignment="1">
      <alignment horizontal="center"/>
    </xf>
    <xf numFmtId="43" fontId="9" fillId="0" borderId="0" xfId="9" applyFont="1" applyFill="1"/>
    <xf numFmtId="43" fontId="9" fillId="0" borderId="0" xfId="9" applyFont="1" applyFill="1" applyBorder="1"/>
    <xf numFmtId="179" fontId="9" fillId="0" borderId="9" xfId="0" applyFont="1" applyFill="1" applyBorder="1"/>
    <xf numFmtId="179" fontId="9" fillId="0" borderId="9" xfId="0" applyFont="1" applyBorder="1"/>
    <xf numFmtId="42" fontId="9" fillId="0" borderId="9" xfId="0" applyNumberFormat="1" applyFont="1" applyBorder="1"/>
    <xf numFmtId="179" fontId="9" fillId="0" borderId="0" xfId="61" applyFont="1"/>
    <xf numFmtId="37" fontId="9" fillId="0" borderId="0" xfId="61" applyNumberFormat="1" applyFont="1"/>
    <xf numFmtId="179" fontId="9" fillId="0" borderId="0" xfId="61" applyFont="1" applyFill="1"/>
    <xf numFmtId="5" fontId="9" fillId="0" borderId="9" xfId="0" applyNumberFormat="1" applyFont="1" applyFill="1" applyBorder="1"/>
    <xf numFmtId="179" fontId="12" fillId="0" borderId="0" xfId="61" applyFont="1"/>
    <xf numFmtId="37" fontId="12" fillId="0" borderId="0" xfId="61" applyNumberFormat="1" applyFont="1"/>
    <xf numFmtId="5" fontId="9" fillId="0" borderId="0" xfId="61" applyNumberFormat="1" applyFont="1"/>
    <xf numFmtId="37" fontId="9" fillId="0" borderId="0" xfId="61" applyNumberFormat="1" applyFont="1" applyBorder="1"/>
    <xf numFmtId="37" fontId="9" fillId="0" borderId="1" xfId="61" applyNumberFormat="1" applyFont="1" applyBorder="1"/>
    <xf numFmtId="5" fontId="9" fillId="0" borderId="17" xfId="61" applyNumberFormat="1" applyFont="1" applyBorder="1"/>
    <xf numFmtId="7" fontId="9" fillId="0" borderId="0" xfId="9" applyNumberFormat="1" applyFont="1" applyFill="1" applyBorder="1"/>
    <xf numFmtId="43" fontId="9" fillId="0" borderId="0" xfId="9" applyFont="1" applyFill="1" applyBorder="1" applyAlignment="1">
      <alignment horizontal="center"/>
    </xf>
    <xf numFmtId="10" fontId="9" fillId="0" borderId="0" xfId="31" applyNumberFormat="1" applyFont="1" applyFill="1" applyBorder="1"/>
    <xf numFmtId="37" fontId="9" fillId="0" borderId="0" xfId="0" applyNumberFormat="1" applyFont="1" applyFill="1" applyBorder="1" applyAlignment="1">
      <alignment horizontal="left"/>
    </xf>
    <xf numFmtId="5" fontId="12" fillId="0" borderId="0" xfId="0" applyNumberFormat="1" applyFont="1" applyFill="1" applyBorder="1" applyAlignment="1">
      <alignment horizontal="center"/>
    </xf>
    <xf numFmtId="179" fontId="12" fillId="0" borderId="0" xfId="0" quotePrefix="1" applyFont="1" applyFill="1" applyBorder="1" applyAlignment="1"/>
    <xf numFmtId="37" fontId="9" fillId="0" borderId="0" xfId="0" applyNumberFormat="1" applyFont="1" applyFill="1"/>
    <xf numFmtId="37" fontId="9" fillId="0" borderId="1" xfId="0" applyNumberFormat="1" applyFont="1" applyFill="1" applyBorder="1"/>
    <xf numFmtId="179" fontId="9" fillId="0" borderId="0" xfId="33" applyFont="1" applyFill="1"/>
    <xf numFmtId="179" fontId="9" fillId="0" borderId="0" xfId="0" applyFont="1" applyFill="1"/>
    <xf numFmtId="5" fontId="9" fillId="0" borderId="0" xfId="0" applyNumberFormat="1" applyFont="1" applyFill="1"/>
    <xf numFmtId="0" fontId="9" fillId="0" borderId="0" xfId="0" applyNumberFormat="1" applyFont="1" applyFill="1"/>
    <xf numFmtId="179" fontId="9" fillId="0" borderId="1" xfId="0" applyFont="1" applyBorder="1" applyAlignment="1">
      <alignment horizontal="center"/>
    </xf>
    <xf numFmtId="179" fontId="9" fillId="0" borderId="0" xfId="0" applyFont="1" applyAlignment="1">
      <alignment horizontal="center"/>
    </xf>
    <xf numFmtId="39" fontId="9" fillId="0" borderId="0" xfId="0" applyNumberFormat="1" applyFont="1" applyAlignment="1">
      <alignment horizontal="right"/>
    </xf>
    <xf numFmtId="39" fontId="9" fillId="0" borderId="0" xfId="0" applyNumberFormat="1" applyFont="1" applyFill="1" applyAlignment="1">
      <alignment horizontal="right"/>
    </xf>
    <xf numFmtId="39" fontId="9" fillId="0" borderId="0" xfId="0" applyNumberFormat="1" applyFont="1" applyFill="1" applyBorder="1" applyAlignment="1">
      <alignment horizontal="right"/>
    </xf>
    <xf numFmtId="39" fontId="9" fillId="0" borderId="0" xfId="0" applyNumberFormat="1" applyFont="1" applyBorder="1" applyAlignment="1">
      <alignment horizontal="right"/>
    </xf>
    <xf numFmtId="43" fontId="9" fillId="0" borderId="0" xfId="4" applyFont="1" applyAlignment="1">
      <alignment horizontal="right"/>
    </xf>
    <xf numFmtId="43" fontId="9" fillId="0" borderId="0" xfId="4" applyFont="1" applyFill="1" applyBorder="1" applyAlignment="1">
      <alignment horizontal="right"/>
    </xf>
    <xf numFmtId="43" fontId="9" fillId="0" borderId="0" xfId="4" applyFont="1" applyBorder="1" applyAlignment="1">
      <alignment horizontal="right"/>
    </xf>
    <xf numFmtId="43" fontId="9" fillId="0" borderId="0" xfId="4" applyFont="1" applyFill="1" applyAlignment="1">
      <alignment horizontal="right"/>
    </xf>
    <xf numFmtId="7" fontId="9" fillId="0" borderId="0" xfId="0" applyNumberFormat="1" applyFont="1" applyAlignment="1">
      <alignment horizontal="right"/>
    </xf>
    <xf numFmtId="5" fontId="9" fillId="0" borderId="0" xfId="0" applyNumberFormat="1" applyFont="1" applyFill="1" applyBorder="1" applyAlignment="1">
      <alignment horizontal="right"/>
    </xf>
    <xf numFmtId="7" fontId="9" fillId="0" borderId="0" xfId="0" applyNumberFormat="1" applyFont="1" applyFill="1" applyAlignment="1">
      <alignment horizontal="centerContinuous"/>
    </xf>
    <xf numFmtId="174" fontId="9" fillId="0" borderId="0" xfId="9" applyNumberFormat="1" applyFont="1" applyFill="1" applyBorder="1" applyAlignment="1"/>
    <xf numFmtId="174" fontId="9" fillId="0" borderId="1" xfId="9" applyNumberFormat="1" applyFont="1" applyFill="1" applyBorder="1" applyAlignment="1"/>
    <xf numFmtId="179" fontId="9" fillId="0" borderId="0" xfId="0" applyFont="1" applyFill="1" applyAlignment="1">
      <alignment horizontal="center"/>
    </xf>
    <xf numFmtId="179" fontId="9" fillId="0" borderId="1" xfId="0" applyFont="1" applyFill="1" applyBorder="1" applyAlignment="1">
      <alignment horizontal="center"/>
    </xf>
    <xf numFmtId="179" fontId="9" fillId="0" borderId="0" xfId="0" applyFont="1" applyAlignment="1">
      <alignment horizontal="center"/>
    </xf>
    <xf numFmtId="0" fontId="21" fillId="0" borderId="0" xfId="33" applyNumberFormat="1" applyFont="1" applyFill="1" applyBorder="1" applyAlignment="1">
      <alignment horizontal="center"/>
    </xf>
    <xf numFmtId="0" fontId="10" fillId="0" borderId="0" xfId="57" applyFont="1" applyAlignment="1">
      <alignment horizontal="centerContinuous"/>
    </xf>
    <xf numFmtId="0" fontId="10" fillId="0" borderId="0" xfId="57" applyFont="1" applyAlignment="1">
      <alignment horizontal="center"/>
    </xf>
    <xf numFmtId="0" fontId="9" fillId="0" borderId="0" xfId="57" applyFont="1"/>
    <xf numFmtId="0" fontId="9" fillId="0" borderId="0" xfId="57" applyFont="1" applyAlignment="1">
      <alignment horizontal="centerContinuous"/>
    </xf>
    <xf numFmtId="174" fontId="9" fillId="0" borderId="0" xfId="57" applyNumberFormat="1" applyFont="1" applyAlignment="1">
      <alignment horizontal="centerContinuous"/>
    </xf>
    <xf numFmtId="0" fontId="17" fillId="0" borderId="0" xfId="57" applyFont="1" applyAlignment="1">
      <alignment horizontal="centerContinuous"/>
    </xf>
    <xf numFmtId="174" fontId="9" fillId="0" borderId="0" xfId="57" applyNumberFormat="1" applyFont="1"/>
    <xf numFmtId="0" fontId="11" fillId="0" borderId="0" xfId="57" applyFont="1" applyAlignment="1">
      <alignment horizontal="centerContinuous"/>
    </xf>
    <xf numFmtId="0" fontId="11" fillId="0" borderId="0" xfId="57" applyFont="1" applyAlignment="1">
      <alignment horizontal="center"/>
    </xf>
    <xf numFmtId="174" fontId="9" fillId="0" borderId="0" xfId="57" applyNumberFormat="1" applyFont="1" applyAlignment="1">
      <alignment horizontal="center"/>
    </xf>
    <xf numFmtId="0" fontId="12" fillId="0" borderId="0" xfId="57" applyFont="1"/>
    <xf numFmtId="174" fontId="9" fillId="0" borderId="1" xfId="57" applyNumberFormat="1" applyFont="1" applyBorder="1" applyAlignment="1">
      <alignment horizontal="center"/>
    </xf>
    <xf numFmtId="5" fontId="9" fillId="0" borderId="0" xfId="57" applyNumberFormat="1" applyFont="1"/>
    <xf numFmtId="37" fontId="9" fillId="0" borderId="0" xfId="57" applyNumberFormat="1" applyFont="1"/>
    <xf numFmtId="37" fontId="9" fillId="0" borderId="3" xfId="57" applyNumberFormat="1" applyFont="1" applyBorder="1"/>
    <xf numFmtId="37" fontId="9" fillId="0" borderId="1" xfId="57" applyNumberFormat="1" applyFont="1" applyBorder="1"/>
    <xf numFmtId="43" fontId="9" fillId="0" borderId="0" xfId="57" applyNumberFormat="1" applyFont="1"/>
    <xf numFmtId="5" fontId="9" fillId="0" borderId="17" xfId="57" applyNumberFormat="1" applyFont="1" applyBorder="1"/>
    <xf numFmtId="0" fontId="9" fillId="0" borderId="0" xfId="57" applyFont="1" applyAlignment="1">
      <alignment horizontal="center"/>
    </xf>
    <xf numFmtId="0" fontId="33" fillId="0" borderId="0" xfId="57" applyFont="1" applyAlignment="1">
      <alignment horizontal="centerContinuous"/>
    </xf>
    <xf numFmtId="0" fontId="21" fillId="0" borderId="0" xfId="57" applyFont="1"/>
    <xf numFmtId="0" fontId="52" fillId="0" borderId="0" xfId="57" applyFont="1" applyAlignment="1">
      <alignment horizontal="centerContinuous"/>
    </xf>
    <xf numFmtId="0" fontId="21" fillId="0" borderId="0" xfId="57" applyFont="1" applyAlignment="1">
      <alignment horizontal="centerContinuous"/>
    </xf>
    <xf numFmtId="0" fontId="32" fillId="0" borderId="0" xfId="57" applyFont="1" applyAlignment="1">
      <alignment horizontal="centerContinuous"/>
    </xf>
    <xf numFmtId="2" fontId="21" fillId="0" borderId="0" xfId="57" applyNumberFormat="1" applyFont="1"/>
    <xf numFmtId="0" fontId="33" fillId="0" borderId="0" xfId="57" applyFont="1"/>
    <xf numFmtId="0" fontId="31" fillId="0" borderId="0" xfId="57" applyFont="1" applyAlignment="1">
      <alignment horizontal="centerContinuous"/>
    </xf>
    <xf numFmtId="37" fontId="31" fillId="0" borderId="0" xfId="57" applyNumberFormat="1" applyFont="1"/>
    <xf numFmtId="0" fontId="31" fillId="0" borderId="0" xfId="57" applyFont="1" applyAlignment="1">
      <alignment horizontal="center"/>
    </xf>
    <xf numFmtId="0" fontId="49" fillId="0" borderId="0" xfId="57" applyFont="1" applyAlignment="1">
      <alignment horizontal="center"/>
    </xf>
    <xf numFmtId="0" fontId="21" fillId="0" borderId="0" xfId="57" applyFont="1" applyAlignment="1">
      <alignment horizontal="center"/>
    </xf>
    <xf numFmtId="0" fontId="31" fillId="0" borderId="1" xfId="57" applyFont="1" applyBorder="1" applyAlignment="1">
      <alignment horizontal="center"/>
    </xf>
    <xf numFmtId="0" fontId="21" fillId="0" borderId="1" xfId="57" applyFont="1" applyBorder="1" applyAlignment="1">
      <alignment horizontal="center"/>
    </xf>
    <xf numFmtId="7" fontId="21" fillId="0" borderId="0" xfId="57" applyNumberFormat="1" applyFont="1"/>
    <xf numFmtId="0" fontId="31" fillId="0" borderId="0" xfId="57" applyFont="1"/>
    <xf numFmtId="0" fontId="31" fillId="0" borderId="0" xfId="57" quotePrefix="1" applyFont="1" applyAlignment="1">
      <alignment horizontal="center"/>
    </xf>
    <xf numFmtId="14" fontId="31" fillId="0" borderId="0" xfId="57" applyNumberFormat="1" applyFont="1" applyAlignment="1">
      <alignment horizontal="center"/>
    </xf>
    <xf numFmtId="5" fontId="31" fillId="0" borderId="0" xfId="57" applyNumberFormat="1" applyFont="1"/>
    <xf numFmtId="174" fontId="31" fillId="0" borderId="0" xfId="57" applyNumberFormat="1" applyFont="1"/>
    <xf numFmtId="10" fontId="31" fillId="0" borderId="0" xfId="57" applyNumberFormat="1" applyFont="1" applyAlignment="1">
      <alignment horizontal="center"/>
    </xf>
    <xf numFmtId="7" fontId="31" fillId="0" borderId="0" xfId="57" applyNumberFormat="1" applyFont="1"/>
    <xf numFmtId="37" fontId="31" fillId="0" borderId="0" xfId="57" quotePrefix="1" applyNumberFormat="1" applyFont="1"/>
    <xf numFmtId="39" fontId="31" fillId="0" borderId="0" xfId="57" applyNumberFormat="1" applyFont="1"/>
    <xf numFmtId="168" fontId="31" fillId="0" borderId="0" xfId="57" applyNumberFormat="1" applyFont="1" applyAlignment="1">
      <alignment horizontal="center"/>
    </xf>
    <xf numFmtId="168" fontId="31" fillId="0" borderId="0" xfId="57" applyNumberFormat="1" applyFont="1"/>
    <xf numFmtId="39" fontId="31" fillId="0" borderId="1" xfId="57" applyNumberFormat="1" applyFont="1" applyBorder="1"/>
    <xf numFmtId="14" fontId="31" fillId="0" borderId="0" xfId="57" applyNumberFormat="1" applyFont="1"/>
    <xf numFmtId="174" fontId="31" fillId="0" borderId="3" xfId="57" applyNumberFormat="1" applyFont="1" applyBorder="1"/>
    <xf numFmtId="10" fontId="31" fillId="0" borderId="0" xfId="57" applyNumberFormat="1" applyFont="1"/>
    <xf numFmtId="0" fontId="53" fillId="0" borderId="0" xfId="57" applyFont="1"/>
    <xf numFmtId="14" fontId="31" fillId="0" borderId="0" xfId="57" applyNumberFormat="1" applyFont="1" applyAlignment="1">
      <alignment horizontal="center" vertical="center"/>
    </xf>
    <xf numFmtId="0" fontId="31" fillId="0" borderId="0" xfId="57" applyFont="1" applyAlignment="1">
      <alignment vertical="center"/>
    </xf>
    <xf numFmtId="5" fontId="31" fillId="0" borderId="17" xfId="57" applyNumberFormat="1" applyFont="1" applyBorder="1" applyAlignment="1">
      <alignment vertical="center"/>
    </xf>
    <xf numFmtId="167" fontId="54" fillId="0" borderId="0" xfId="57" applyNumberFormat="1" applyFont="1" applyAlignment="1">
      <alignment vertical="center"/>
    </xf>
    <xf numFmtId="7" fontId="31" fillId="0" borderId="17" xfId="57" applyNumberFormat="1" applyFont="1" applyBorder="1" applyAlignment="1">
      <alignment vertical="center"/>
    </xf>
    <xf numFmtId="7" fontId="54" fillId="0" borderId="0" xfId="57" applyNumberFormat="1" applyFont="1" applyAlignment="1">
      <alignment vertical="center"/>
    </xf>
    <xf numFmtId="5" fontId="31" fillId="0" borderId="0" xfId="57" applyNumberFormat="1" applyFont="1" applyAlignment="1">
      <alignment vertical="center"/>
    </xf>
    <xf numFmtId="43" fontId="31" fillId="0" borderId="0" xfId="57" applyNumberFormat="1" applyFont="1"/>
    <xf numFmtId="1" fontId="31" fillId="0" borderId="0" xfId="57" quotePrefix="1" applyNumberFormat="1" applyFont="1" applyAlignment="1">
      <alignment horizontal="centerContinuous"/>
    </xf>
    <xf numFmtId="0" fontId="31" fillId="0" borderId="0" xfId="57" quotePrefix="1" applyFont="1" applyAlignment="1">
      <alignment horizontal="centerContinuous"/>
    </xf>
    <xf numFmtId="0" fontId="31" fillId="0" borderId="0" xfId="57" quotePrefix="1" applyFont="1"/>
    <xf numFmtId="0" fontId="52" fillId="0" borderId="0" xfId="57" applyFont="1" applyAlignment="1">
      <alignment horizontal="right"/>
    </xf>
    <xf numFmtId="0" fontId="52" fillId="0" borderId="0" xfId="57" applyFont="1" applyAlignment="1">
      <alignment horizontal="center"/>
    </xf>
    <xf numFmtId="5" fontId="31" fillId="0" borderId="1" xfId="57" applyNumberFormat="1" applyFont="1" applyBorder="1"/>
    <xf numFmtId="0" fontId="24" fillId="0" borderId="0" xfId="57" applyFont="1" applyAlignment="1">
      <alignment horizontal="center"/>
    </xf>
    <xf numFmtId="43" fontId="21" fillId="0" borderId="0" xfId="57" applyNumberFormat="1" applyFont="1"/>
    <xf numFmtId="174" fontId="9" fillId="0" borderId="0" xfId="57" applyNumberFormat="1" applyFont="1" applyBorder="1" applyAlignment="1">
      <alignment horizontal="center"/>
    </xf>
    <xf numFmtId="39" fontId="9" fillId="0" borderId="1" xfId="0" applyNumberFormat="1" applyFont="1" applyFill="1" applyBorder="1" applyAlignment="1">
      <alignment horizontal="right"/>
    </xf>
    <xf numFmtId="5" fontId="9" fillId="0" borderId="0" xfId="37" applyNumberFormat="1" applyFont="1" applyFill="1" applyBorder="1"/>
    <xf numFmtId="43" fontId="9" fillId="0" borderId="0" xfId="4" applyFont="1" applyBorder="1"/>
    <xf numFmtId="0" fontId="21" fillId="0" borderId="0" xfId="57" applyFont="1" applyBorder="1"/>
    <xf numFmtId="7" fontId="21" fillId="0" borderId="0" xfId="33" applyNumberFormat="1" applyFont="1" applyFill="1" applyBorder="1" applyAlignment="1">
      <alignment horizontal="centerContinuous"/>
    </xf>
    <xf numFmtId="7" fontId="21" fillId="0" borderId="0" xfId="33" applyNumberFormat="1" applyFont="1" applyFill="1" applyBorder="1" applyAlignment="1">
      <alignment horizontal="right"/>
    </xf>
    <xf numFmtId="37" fontId="21" fillId="0" borderId="1" xfId="33" applyNumberFormat="1" applyFont="1" applyFill="1" applyBorder="1" applyAlignment="1">
      <alignment horizontal="centerContinuous"/>
    </xf>
    <xf numFmtId="37" fontId="21" fillId="0" borderId="1" xfId="33" applyNumberFormat="1" applyFont="1" applyFill="1" applyBorder="1"/>
    <xf numFmtId="37" fontId="21" fillId="0" borderId="0" xfId="4" applyNumberFormat="1" applyFont="1" applyFill="1" applyAlignment="1">
      <alignment horizontal="right"/>
    </xf>
    <xf numFmtId="37" fontId="46" fillId="0" borderId="0" xfId="0" applyNumberFormat="1" applyFont="1" applyBorder="1"/>
    <xf numFmtId="5" fontId="21" fillId="0" borderId="17" xfId="0" applyNumberFormat="1" applyFont="1" applyBorder="1"/>
    <xf numFmtId="37" fontId="31" fillId="0" borderId="1" xfId="57" applyNumberFormat="1" applyFont="1" applyBorder="1"/>
    <xf numFmtId="174" fontId="9" fillId="0" borderId="0" xfId="4" applyNumberFormat="1" applyFont="1" applyBorder="1"/>
    <xf numFmtId="39" fontId="9" fillId="2" borderId="0" xfId="0" applyNumberFormat="1" applyFont="1" applyFill="1" applyBorder="1"/>
    <xf numFmtId="7" fontId="9" fillId="3" borderId="0" xfId="26" applyNumberFormat="1" applyFont="1" applyFill="1" applyBorder="1"/>
    <xf numFmtId="43" fontId="9" fillId="0" borderId="1" xfId="9" applyFont="1" applyBorder="1"/>
    <xf numFmtId="179" fontId="9" fillId="0" borderId="1" xfId="0" applyFont="1" applyFill="1" applyBorder="1" applyAlignment="1">
      <alignment horizontal="center"/>
    </xf>
    <xf numFmtId="179" fontId="9" fillId="0" borderId="1" xfId="0" applyNumberFormat="1" applyFont="1" applyFill="1" applyBorder="1" applyAlignment="1">
      <alignment horizontal="center"/>
    </xf>
    <xf numFmtId="1" fontId="9" fillId="0" borderId="0" xfId="0" applyNumberFormat="1" applyFont="1" applyFill="1" applyAlignment="1">
      <alignment horizontal="center"/>
    </xf>
    <xf numFmtId="179" fontId="9" fillId="0" borderId="0" xfId="0" applyFont="1" applyFill="1" applyAlignment="1">
      <alignment horizontal="center"/>
    </xf>
    <xf numFmtId="179" fontId="10" fillId="0" borderId="0" xfId="0" applyFont="1" applyFill="1" applyAlignment="1">
      <alignment horizontal="center"/>
    </xf>
    <xf numFmtId="179" fontId="11" fillId="0" borderId="0" xfId="0" applyFont="1" applyFill="1" applyAlignment="1">
      <alignment horizontal="center"/>
    </xf>
    <xf numFmtId="179" fontId="12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37" fontId="9" fillId="0" borderId="0" xfId="0" applyNumberFormat="1" applyFont="1" applyFill="1" applyAlignment="1">
      <alignment horizontal="center"/>
    </xf>
    <xf numFmtId="37" fontId="11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179" fontId="20" fillId="0" borderId="0" xfId="0" applyNumberFormat="1" applyFont="1" applyAlignment="1">
      <alignment horizontal="center"/>
    </xf>
    <xf numFmtId="3" fontId="9" fillId="0" borderId="0" xfId="51" applyNumberFormat="1" applyFont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14" fontId="20" fillId="0" borderId="1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/>
    </xf>
    <xf numFmtId="7" fontId="19" fillId="0" borderId="0" xfId="0" applyNumberFormat="1" applyFont="1" applyFill="1" applyBorder="1"/>
    <xf numFmtId="179" fontId="12" fillId="0" borderId="0" xfId="0" applyFont="1" applyFill="1" applyAlignment="1">
      <alignment horizontal="left"/>
    </xf>
    <xf numFmtId="7" fontId="10" fillId="0" borderId="0" xfId="0" applyNumberFormat="1" applyFont="1" applyFill="1" applyAlignment="1">
      <alignment horizontal="centerContinuous"/>
    </xf>
    <xf numFmtId="179" fontId="10" fillId="0" borderId="0" xfId="0" quotePrefix="1" applyNumberFormat="1" applyFont="1" applyFill="1" applyAlignment="1">
      <alignment horizontal="center"/>
    </xf>
    <xf numFmtId="14" fontId="9" fillId="0" borderId="0" xfId="0" applyNumberFormat="1" applyFont="1" applyFill="1" applyAlignment="1">
      <alignment horizontal="center" wrapText="1"/>
    </xf>
    <xf numFmtId="9" fontId="9" fillId="0" borderId="3" xfId="5" quotePrefix="1" applyFont="1" applyFill="1" applyBorder="1" applyAlignment="1">
      <alignment horizontal="center"/>
    </xf>
    <xf numFmtId="10" fontId="9" fillId="0" borderId="5" xfId="0" quotePrefix="1" applyNumberFormat="1" applyFont="1" applyFill="1" applyBorder="1" applyAlignment="1">
      <alignment horizontal="center"/>
    </xf>
    <xf numFmtId="3" fontId="12" fillId="0" borderId="0" xfId="0" applyNumberFormat="1" applyFont="1" applyFill="1" applyAlignment="1"/>
    <xf numFmtId="166" fontId="9" fillId="0" borderId="0" xfId="0" applyNumberFormat="1" applyFont="1" applyFill="1" applyBorder="1" applyAlignment="1">
      <alignment horizontal="center"/>
    </xf>
    <xf numFmtId="179" fontId="15" fillId="0" borderId="0" xfId="0" applyFont="1" applyFill="1" applyBorder="1"/>
    <xf numFmtId="164" fontId="9" fillId="0" borderId="0" xfId="0" applyNumberFormat="1" applyFont="1" applyFill="1" applyBorder="1" applyAlignment="1"/>
    <xf numFmtId="10" fontId="9" fillId="0" borderId="0" xfId="0" applyNumberFormat="1" applyFont="1" applyFill="1" applyBorder="1" applyAlignment="1"/>
    <xf numFmtId="3" fontId="9" fillId="0" borderId="0" xfId="0" quotePrefix="1" applyNumberFormat="1" applyFont="1" applyFill="1" applyBorder="1" applyAlignment="1">
      <alignment horizontal="left"/>
    </xf>
    <xf numFmtId="3" fontId="9" fillId="0" borderId="1" xfId="0" quotePrefix="1" applyNumberFormat="1" applyFont="1" applyFill="1" applyBorder="1" applyAlignment="1">
      <alignment horizontal="left"/>
    </xf>
    <xf numFmtId="179" fontId="9" fillId="0" borderId="0" xfId="25" applyFont="1" applyFill="1" applyAlignment="1"/>
    <xf numFmtId="179" fontId="9" fillId="0" borderId="0" xfId="0" applyFont="1" applyFill="1" applyBorder="1" applyAlignment="1">
      <alignment horizontal="left"/>
    </xf>
    <xf numFmtId="179" fontId="12" fillId="0" borderId="0" xfId="0" applyFont="1" applyFill="1" applyBorder="1" applyAlignment="1">
      <alignment horizontal="left"/>
    </xf>
    <xf numFmtId="5" fontId="9" fillId="0" borderId="1" xfId="0" applyNumberFormat="1" applyFont="1" applyFill="1" applyBorder="1" applyAlignment="1">
      <alignment horizontal="center"/>
    </xf>
    <xf numFmtId="179" fontId="8" fillId="0" borderId="3" xfId="0" applyFont="1" applyFill="1" applyBorder="1"/>
    <xf numFmtId="0" fontId="5" fillId="0" borderId="0" xfId="0" applyNumberFormat="1" applyFont="1" applyFill="1" applyBorder="1"/>
    <xf numFmtId="0" fontId="48" fillId="0" borderId="0" xfId="19" applyFont="1" applyFill="1"/>
    <xf numFmtId="182" fontId="9" fillId="0" borderId="0" xfId="0" applyNumberFormat="1" applyFont="1" applyFill="1"/>
    <xf numFmtId="7" fontId="48" fillId="0" borderId="0" xfId="0" applyNumberFormat="1" applyFont="1" applyFill="1" applyBorder="1"/>
    <xf numFmtId="39" fontId="48" fillId="0" borderId="0" xfId="0" applyNumberFormat="1" applyFont="1" applyFill="1" applyBorder="1"/>
    <xf numFmtId="16" fontId="20" fillId="0" borderId="3" xfId="0" applyNumberFormat="1" applyFont="1" applyFill="1" applyBorder="1" applyAlignment="1">
      <alignment horizontal="center"/>
    </xf>
    <xf numFmtId="7" fontId="20" fillId="0" borderId="16" xfId="0" applyNumberFormat="1" applyFont="1" applyFill="1" applyBorder="1" applyAlignment="1"/>
    <xf numFmtId="14" fontId="9" fillId="0" borderId="1" xfId="0" applyNumberFormat="1" applyFont="1" applyFill="1" applyBorder="1" applyAlignment="1">
      <alignment horizontal="center" wrapText="1"/>
    </xf>
    <xf numFmtId="41" fontId="9" fillId="0" borderId="0" xfId="39" applyNumberFormat="1" applyFill="1" applyProtection="1">
      <protection locked="0"/>
    </xf>
    <xf numFmtId="39" fontId="9" fillId="0" borderId="0" xfId="20" applyNumberFormat="1" applyFont="1" applyFill="1"/>
    <xf numFmtId="5" fontId="9" fillId="0" borderId="0" xfId="39" applyNumberFormat="1" applyFill="1" applyProtection="1">
      <protection locked="0"/>
    </xf>
    <xf numFmtId="39" fontId="9" fillId="0" borderId="0" xfId="20" quotePrefix="1" applyNumberFormat="1" applyFont="1" applyFill="1"/>
    <xf numFmtId="41" fontId="9" fillId="0" borderId="1" xfId="39" applyNumberFormat="1" applyFill="1" applyBorder="1" applyProtection="1">
      <protection locked="0"/>
    </xf>
    <xf numFmtId="5" fontId="9" fillId="0" borderId="17" xfId="0" applyNumberFormat="1" applyFont="1" applyFill="1" applyBorder="1" applyAlignment="1">
      <alignment horizontal="right"/>
    </xf>
    <xf numFmtId="44" fontId="9" fillId="0" borderId="0" xfId="26" applyFont="1" applyFill="1" applyAlignment="1">
      <alignment horizontal="right"/>
    </xf>
    <xf numFmtId="3" fontId="9" fillId="0" borderId="0" xfId="0" quotePrefix="1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 wrapText="1"/>
    </xf>
    <xf numFmtId="179" fontId="9" fillId="0" borderId="0" xfId="0" applyFont="1" applyFill="1" applyAlignment="1">
      <alignment horizontal="center" wrapText="1"/>
    </xf>
    <xf numFmtId="179" fontId="9" fillId="0" borderId="0" xfId="0" applyNumberFormat="1" applyFont="1" applyFill="1" applyAlignment="1">
      <alignment horizontal="center" wrapText="1"/>
    </xf>
    <xf numFmtId="166" fontId="9" fillId="0" borderId="5" xfId="0" quotePrefix="1" applyNumberFormat="1" applyFont="1" applyFill="1" applyBorder="1" applyAlignment="1">
      <alignment horizontal="center"/>
    </xf>
    <xf numFmtId="179" fontId="9" fillId="0" borderId="5" xfId="0" quotePrefix="1" applyFont="1" applyFill="1" applyBorder="1" applyAlignment="1">
      <alignment horizontal="center"/>
    </xf>
    <xf numFmtId="5" fontId="9" fillId="0" borderId="0" xfId="0" applyNumberFormat="1" applyFont="1" applyFill="1" applyAlignment="1">
      <alignment horizontal="left"/>
    </xf>
    <xf numFmtId="2" fontId="9" fillId="0" borderId="0" xfId="0" applyNumberFormat="1" applyFont="1" applyFill="1" applyAlignment="1"/>
    <xf numFmtId="179" fontId="11" fillId="0" borderId="0" xfId="0" applyNumberFormat="1" applyFont="1" applyFill="1" applyBorder="1" applyAlignment="1">
      <alignment horizontal="center"/>
    </xf>
    <xf numFmtId="179" fontId="12" fillId="0" borderId="0" xfId="0" applyNumberFormat="1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left"/>
    </xf>
    <xf numFmtId="170" fontId="9" fillId="0" borderId="0" xfId="0" applyNumberFormat="1" applyFont="1" applyFill="1" applyBorder="1"/>
    <xf numFmtId="176" fontId="9" fillId="0" borderId="0" xfId="0" applyNumberFormat="1" applyFont="1" applyFill="1" applyBorder="1" applyAlignment="1"/>
    <xf numFmtId="171" fontId="10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71" fontId="12" fillId="0" borderId="0" xfId="0" applyNumberFormat="1" applyFont="1" applyFill="1" applyBorder="1" applyAlignment="1">
      <alignment horizontal="center"/>
    </xf>
    <xf numFmtId="179" fontId="16" fillId="0" borderId="0" xfId="0" applyFont="1" applyFill="1"/>
    <xf numFmtId="37" fontId="16" fillId="0" borderId="0" xfId="0" applyNumberFormat="1" applyFont="1" applyFill="1"/>
    <xf numFmtId="179" fontId="16" fillId="0" borderId="0" xfId="0" applyNumberFormat="1" applyFont="1" applyFill="1" applyAlignment="1">
      <alignment horizontal="centerContinuous"/>
    </xf>
    <xf numFmtId="179" fontId="11" fillId="0" borderId="0" xfId="0" applyNumberFormat="1" applyFont="1" applyFill="1" applyAlignment="1"/>
    <xf numFmtId="179" fontId="9" fillId="0" borderId="0" xfId="0" applyFont="1" applyFill="1" applyAlignment="1">
      <alignment horizontal="right"/>
    </xf>
    <xf numFmtId="39" fontId="16" fillId="0" borderId="0" xfId="0" applyNumberFormat="1" applyFont="1" applyFill="1"/>
    <xf numFmtId="174" fontId="9" fillId="0" borderId="0" xfId="9" applyNumberFormat="1" applyFont="1" applyFill="1" applyBorder="1"/>
    <xf numFmtId="174" fontId="9" fillId="0" borderId="1" xfId="9" applyNumberFormat="1" applyFont="1" applyFill="1" applyBorder="1"/>
    <xf numFmtId="7" fontId="16" fillId="0" borderId="0" xfId="0" applyNumberFormat="1" applyFont="1" applyFill="1" applyAlignment="1">
      <alignment horizontal="centerContinuous"/>
    </xf>
    <xf numFmtId="7" fontId="11" fillId="0" borderId="0" xfId="0" applyNumberFormat="1" applyFont="1" applyFill="1" applyAlignment="1">
      <alignment horizontal="centerContinuous"/>
    </xf>
    <xf numFmtId="37" fontId="9" fillId="0" borderId="0" xfId="4" applyNumberFormat="1" applyFont="1" applyFill="1" applyBorder="1"/>
    <xf numFmtId="0" fontId="33" fillId="0" borderId="0" xfId="57" applyFont="1" applyAlignment="1">
      <alignment horizontal="right"/>
    </xf>
    <xf numFmtId="0" fontId="17" fillId="0" borderId="0" xfId="0" applyNumberFormat="1" applyFont="1" applyFill="1" applyAlignment="1">
      <alignment horizontal="centerContinuous"/>
    </xf>
    <xf numFmtId="10" fontId="10" fillId="0" borderId="13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2" fontId="9" fillId="0" borderId="0" xfId="0" quotePrefix="1" applyNumberFormat="1" applyFont="1" applyFill="1"/>
    <xf numFmtId="10" fontId="10" fillId="0" borderId="13" xfId="0" applyNumberFormat="1" applyFont="1" applyFill="1" applyBorder="1"/>
    <xf numFmtId="10" fontId="10" fillId="0" borderId="0" xfId="0" applyNumberFormat="1" applyFont="1" applyFill="1" applyBorder="1"/>
    <xf numFmtId="10" fontId="10" fillId="0" borderId="10" xfId="0" applyNumberFormat="1" applyFont="1" applyFill="1" applyBorder="1"/>
    <xf numFmtId="10" fontId="10" fillId="0" borderId="11" xfId="0" applyNumberFormat="1" applyFont="1" applyFill="1" applyBorder="1"/>
    <xf numFmtId="10" fontId="10" fillId="0" borderId="12" xfId="0" applyNumberFormat="1" applyFont="1" applyFill="1" applyBorder="1"/>
    <xf numFmtId="43" fontId="9" fillId="0" borderId="0" xfId="0" applyNumberFormat="1" applyFont="1" applyFill="1" applyAlignment="1">
      <alignment horizontal="right"/>
    </xf>
    <xf numFmtId="179" fontId="20" fillId="0" borderId="1" xfId="0" applyNumberFormat="1" applyFont="1" applyFill="1" applyBorder="1" applyAlignment="1">
      <alignment horizontal="center"/>
    </xf>
    <xf numFmtId="14" fontId="20" fillId="0" borderId="0" xfId="0" applyNumberFormat="1" applyFont="1" applyFill="1" applyBorder="1" applyAlignment="1"/>
    <xf numFmtId="41" fontId="9" fillId="0" borderId="0" xfId="0" applyNumberFormat="1" applyFont="1" applyFill="1" applyAlignment="1">
      <alignment horizontal="center"/>
    </xf>
    <xf numFmtId="179" fontId="20" fillId="0" borderId="0" xfId="0" quotePrefix="1" applyNumberFormat="1" applyFont="1" applyFill="1" applyAlignment="1">
      <alignment horizontal="center"/>
    </xf>
    <xf numFmtId="37" fontId="20" fillId="0" borderId="0" xfId="0" applyNumberFormat="1" applyFont="1" applyFill="1" applyAlignment="1"/>
    <xf numFmtId="165" fontId="9" fillId="0" borderId="0" xfId="51" quotePrefix="1" applyNumberFormat="1" applyFont="1" applyFill="1" applyAlignment="1"/>
    <xf numFmtId="0" fontId="9" fillId="0" borderId="0" xfId="51" applyNumberFormat="1" applyFont="1" applyFill="1" applyBorder="1" applyAlignment="1">
      <alignment horizontal="centerContinuous"/>
    </xf>
    <xf numFmtId="0" fontId="9" fillId="0" borderId="0" xfId="51" applyNumberFormat="1" applyFont="1" applyAlignment="1">
      <alignment horizontal="centerContinuous"/>
    </xf>
    <xf numFmtId="0" fontId="9" fillId="0" borderId="0" xfId="51" applyNumberFormat="1" applyFont="1" applyAlignment="1"/>
    <xf numFmtId="2" fontId="9" fillId="0" borderId="0" xfId="51" applyNumberFormat="1" applyFont="1" applyBorder="1"/>
    <xf numFmtId="179" fontId="9" fillId="0" borderId="0" xfId="51" applyFont="1" applyBorder="1"/>
    <xf numFmtId="179" fontId="9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Border="1" applyAlignment="1">
      <alignment horizontal="right"/>
    </xf>
    <xf numFmtId="39" fontId="31" fillId="0" borderId="0" xfId="57" applyNumberFormat="1" applyFont="1" applyAlignment="1">
      <alignment horizontal="center"/>
    </xf>
    <xf numFmtId="188" fontId="31" fillId="0" borderId="0" xfId="57" applyNumberFormat="1" applyFont="1" applyAlignment="1">
      <alignment horizontal="right"/>
    </xf>
    <xf numFmtId="188" fontId="31" fillId="0" borderId="0" xfId="57" applyNumberFormat="1" applyFont="1" applyAlignment="1"/>
    <xf numFmtId="174" fontId="9" fillId="0" borderId="0" xfId="9" applyNumberFormat="1" applyFont="1" applyFill="1"/>
    <xf numFmtId="5" fontId="9" fillId="0" borderId="0" xfId="61" applyNumberFormat="1" applyFont="1" applyBorder="1"/>
    <xf numFmtId="0" fontId="31" fillId="0" borderId="0" xfId="57" applyFont="1" applyAlignment="1">
      <alignment horizontal="center"/>
    </xf>
    <xf numFmtId="0" fontId="52" fillId="0" borderId="0" xfId="57" applyFont="1" applyAlignment="1">
      <alignment horizontal="center"/>
    </xf>
    <xf numFmtId="179" fontId="9" fillId="0" borderId="1" xfId="0" applyFont="1" applyFill="1" applyBorder="1" applyAlignment="1">
      <alignment horizontal="center"/>
    </xf>
    <xf numFmtId="37" fontId="9" fillId="0" borderId="0" xfId="0" applyNumberFormat="1" applyFont="1" applyFill="1" applyAlignment="1">
      <alignment horizontal="center"/>
    </xf>
    <xf numFmtId="0" fontId="7" fillId="0" borderId="0" xfId="0" applyNumberFormat="1" applyFont="1"/>
    <xf numFmtId="0" fontId="20" fillId="0" borderId="0" xfId="0" applyNumberFormat="1" applyFont="1" applyAlignment="1">
      <alignment horizontal="center"/>
    </xf>
    <xf numFmtId="0" fontId="31" fillId="0" borderId="0" xfId="57" applyFont="1" applyBorder="1" applyAlignment="1">
      <alignment horizontal="center"/>
    </xf>
    <xf numFmtId="174" fontId="31" fillId="0" borderId="0" xfId="57" applyNumberFormat="1" applyFont="1" applyBorder="1"/>
    <xf numFmtId="7" fontId="31" fillId="0" borderId="0" xfId="57" applyNumberFormat="1" applyFont="1" applyBorder="1" applyAlignment="1">
      <alignment vertical="center"/>
    </xf>
    <xf numFmtId="44" fontId="31" fillId="0" borderId="0" xfId="26" applyFont="1"/>
    <xf numFmtId="39" fontId="31" fillId="0" borderId="0" xfId="57" applyNumberFormat="1" applyFont="1" applyBorder="1"/>
    <xf numFmtId="5" fontId="31" fillId="0" borderId="0" xfId="57" applyNumberFormat="1" applyFont="1" applyBorder="1"/>
    <xf numFmtId="44" fontId="9" fillId="0" borderId="0" xfId="26" applyFont="1" applyAlignment="1">
      <alignment horizontal="right"/>
    </xf>
    <xf numFmtId="0" fontId="56" fillId="0" borderId="0" xfId="57" applyFont="1" applyAlignment="1">
      <alignment horizontal="right"/>
    </xf>
    <xf numFmtId="41" fontId="20" fillId="0" borderId="0" xfId="0" applyNumberFormat="1" applyFont="1" applyFill="1" applyBorder="1"/>
    <xf numFmtId="3" fontId="9" fillId="0" borderId="0" xfId="0" quotePrefix="1" applyNumberFormat="1" applyFont="1" applyFill="1" applyBorder="1"/>
    <xf numFmtId="164" fontId="20" fillId="0" borderId="0" xfId="0" quotePrefix="1" applyNumberFormat="1" applyFont="1" applyAlignment="1">
      <alignment horizontal="center"/>
    </xf>
    <xf numFmtId="174" fontId="9" fillId="0" borderId="0" xfId="0" quotePrefix="1" applyNumberFormat="1" applyFont="1" applyFill="1" applyAlignment="1">
      <alignment horizontal="center"/>
    </xf>
    <xf numFmtId="179" fontId="20" fillId="0" borderId="0" xfId="0" quotePrefix="1" applyNumberFormat="1" applyFont="1" applyAlignment="1">
      <alignment horizontal="left"/>
    </xf>
    <xf numFmtId="179" fontId="9" fillId="0" borderId="0" xfId="0" quotePrefix="1" applyFont="1" applyFill="1" applyAlignment="1">
      <alignment horizontal="left"/>
    </xf>
    <xf numFmtId="0" fontId="12" fillId="0" borderId="0" xfId="0" applyNumberFormat="1" applyFont="1" applyFill="1" applyAlignment="1">
      <alignment horizontal="left"/>
    </xf>
    <xf numFmtId="37" fontId="9" fillId="0" borderId="1" xfId="0" applyNumberFormat="1" applyFont="1" applyFill="1" applyBorder="1" applyAlignment="1">
      <alignment horizontal="center"/>
    </xf>
    <xf numFmtId="179" fontId="12" fillId="0" borderId="0" xfId="0" applyFont="1" applyFill="1" applyAlignment="1">
      <alignment horizontal="center"/>
    </xf>
    <xf numFmtId="37" fontId="9" fillId="0" borderId="0" xfId="26" applyNumberFormat="1" applyFont="1" applyFill="1" applyBorder="1"/>
    <xf numFmtId="0" fontId="10" fillId="0" borderId="0" xfId="0" quotePrefix="1" applyNumberFormat="1" applyFont="1" applyFill="1" applyAlignment="1">
      <alignment horizontal="center"/>
    </xf>
    <xf numFmtId="174" fontId="9" fillId="0" borderId="1" xfId="4" applyNumberFormat="1" applyFont="1" applyFill="1" applyBorder="1"/>
    <xf numFmtId="9" fontId="9" fillId="0" borderId="0" xfId="5" applyFont="1" applyFill="1" applyBorder="1" applyAlignment="1"/>
    <xf numFmtId="10" fontId="9" fillId="0" borderId="0" xfId="5" applyNumberFormat="1" applyFont="1" applyFill="1" applyBorder="1" applyAlignment="1"/>
    <xf numFmtId="43" fontId="21" fillId="0" borderId="0" xfId="4" applyFont="1" applyBorder="1"/>
    <xf numFmtId="43" fontId="21" fillId="0" borderId="0" xfId="33" applyNumberFormat="1" applyFont="1" applyBorder="1"/>
    <xf numFmtId="37" fontId="21" fillId="3" borderId="0" xfId="33" applyNumberFormat="1" applyFont="1" applyFill="1" applyBorder="1" applyAlignment="1">
      <alignment horizontal="right"/>
    </xf>
    <xf numFmtId="0" fontId="24" fillId="0" borderId="0" xfId="33" applyNumberFormat="1" applyFont="1" applyBorder="1"/>
    <xf numFmtId="179" fontId="9" fillId="0" borderId="1" xfId="0" applyNumberFormat="1" applyFont="1" applyFill="1" applyBorder="1" applyAlignment="1">
      <alignment horizontal="center"/>
    </xf>
    <xf numFmtId="37" fontId="9" fillId="0" borderId="0" xfId="0" applyNumberFormat="1" applyFont="1" applyFill="1" applyAlignment="1">
      <alignment horizontal="center"/>
    </xf>
    <xf numFmtId="179" fontId="9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37" fontId="12" fillId="0" borderId="0" xfId="0" applyNumberFormat="1" applyFont="1" applyFill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184" fontId="9" fillId="0" borderId="1" xfId="0" applyNumberFormat="1" applyFont="1" applyFill="1" applyBorder="1"/>
    <xf numFmtId="37" fontId="9" fillId="0" borderId="1" xfId="4" applyNumberFormat="1" applyFont="1" applyFill="1" applyBorder="1"/>
    <xf numFmtId="37" fontId="9" fillId="0" borderId="0" xfId="4" applyNumberFormat="1" applyFont="1" applyFill="1" applyBorder="1" applyAlignment="1">
      <alignment horizontal="right"/>
    </xf>
    <xf numFmtId="43" fontId="9" fillId="0" borderId="1" xfId="4" applyFont="1" applyFill="1" applyBorder="1" applyAlignment="1">
      <alignment horizontal="right"/>
    </xf>
    <xf numFmtId="37" fontId="9" fillId="0" borderId="1" xfId="4" applyNumberFormat="1" applyFont="1" applyFill="1" applyBorder="1" applyAlignment="1">
      <alignment horizontal="right"/>
    </xf>
    <xf numFmtId="5" fontId="9" fillId="0" borderId="2" xfId="26" applyNumberFormat="1" applyFont="1" applyFill="1" applyBorder="1"/>
    <xf numFmtId="44" fontId="9" fillId="0" borderId="2" xfId="26" applyFont="1" applyFill="1" applyBorder="1"/>
    <xf numFmtId="5" fontId="10" fillId="0" borderId="0" xfId="0" applyNumberFormat="1" applyFont="1" applyFill="1" applyBorder="1" applyAlignment="1">
      <alignment horizontal="centerContinuous"/>
    </xf>
    <xf numFmtId="174" fontId="9" fillId="0" borderId="1" xfId="4" applyNumberFormat="1" applyFont="1" applyFill="1" applyBorder="1" applyAlignment="1">
      <alignment horizontal="right"/>
    </xf>
    <xf numFmtId="0" fontId="10" fillId="0" borderId="0" xfId="0" quotePrefix="1" applyNumberFormat="1" applyFont="1" applyFill="1" applyBorder="1" applyAlignment="1"/>
    <xf numFmtId="10" fontId="10" fillId="0" borderId="0" xfId="0" applyNumberFormat="1" applyFont="1" applyFill="1" applyBorder="1" applyAlignment="1"/>
    <xf numFmtId="49" fontId="9" fillId="0" borderId="0" xfId="0" quotePrefix="1" applyNumberFormat="1" applyFont="1" applyFill="1" applyBorder="1" applyAlignment="1">
      <alignment horizontal="center"/>
    </xf>
    <xf numFmtId="0" fontId="0" fillId="0" borderId="0" xfId="0" applyNumberFormat="1" applyFont="1" applyFill="1" applyBorder="1"/>
    <xf numFmtId="37" fontId="11" fillId="0" borderId="0" xfId="0" applyNumberFormat="1" applyFont="1" applyFill="1" applyBorder="1" applyAlignment="1">
      <alignment horizontal="centerContinuous"/>
    </xf>
    <xf numFmtId="0" fontId="10" fillId="0" borderId="0" xfId="0" quotePrefix="1" applyNumberFormat="1" applyFont="1" applyFill="1" applyBorder="1" applyAlignment="1">
      <alignment horizontal="centerContinuous"/>
    </xf>
    <xf numFmtId="49" fontId="9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Continuous"/>
    </xf>
    <xf numFmtId="179" fontId="9" fillId="0" borderId="0" xfId="0" applyFont="1" applyFill="1" applyAlignment="1">
      <alignment horizontal="center"/>
    </xf>
    <xf numFmtId="0" fontId="9" fillId="0" borderId="1" xfId="0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179" fontId="9" fillId="0" borderId="0" xfId="0" applyFont="1" applyFill="1" applyAlignment="1">
      <alignment horizontal="center"/>
    </xf>
    <xf numFmtId="179" fontId="9" fillId="0" borderId="0" xfId="0" applyFont="1" applyFill="1" applyAlignment="1">
      <alignment horizontal="center"/>
    </xf>
    <xf numFmtId="0" fontId="9" fillId="0" borderId="0" xfId="0" applyNumberFormat="1" applyFont="1" applyFill="1" applyAlignment="1">
      <alignment horizontal="center"/>
    </xf>
    <xf numFmtId="179" fontId="25" fillId="0" borderId="0" xfId="0" applyFont="1" applyFill="1" applyBorder="1" applyAlignment="1">
      <alignment horizontal="left"/>
    </xf>
    <xf numFmtId="43" fontId="9" fillId="0" borderId="0" xfId="0" applyNumberFormat="1" applyFont="1" applyFill="1" applyBorder="1" applyAlignment="1">
      <alignment horizontal="center"/>
    </xf>
    <xf numFmtId="37" fontId="9" fillId="0" borderId="0" xfId="37" applyNumberFormat="1" applyFont="1" applyFill="1" applyBorder="1" applyAlignment="1">
      <alignment horizontal="center"/>
    </xf>
    <xf numFmtId="37" fontId="9" fillId="0" borderId="0" xfId="0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/>
    </xf>
    <xf numFmtId="37" fontId="9" fillId="0" borderId="0" xfId="57" applyNumberFormat="1" applyFont="1" applyBorder="1"/>
    <xf numFmtId="0" fontId="9" fillId="0" borderId="0" xfId="57" applyFont="1" applyBorder="1"/>
    <xf numFmtId="0" fontId="12" fillId="0" borderId="0" xfId="57" applyFont="1" applyBorder="1" applyAlignment="1">
      <alignment horizontal="center"/>
    </xf>
    <xf numFmtId="37" fontId="10" fillId="0" borderId="0" xfId="57" applyNumberFormat="1" applyFont="1" applyBorder="1"/>
    <xf numFmtId="5" fontId="9" fillId="0" borderId="0" xfId="57" applyNumberFormat="1" applyFont="1" applyBorder="1"/>
    <xf numFmtId="0" fontId="10" fillId="0" borderId="0" xfId="57" applyFont="1" applyBorder="1" applyAlignment="1">
      <alignment horizontal="right"/>
    </xf>
    <xf numFmtId="7" fontId="9" fillId="0" borderId="0" xfId="57" applyNumberFormat="1" applyFont="1" applyBorder="1"/>
    <xf numFmtId="0" fontId="10" fillId="0" borderId="0" xfId="57" applyFont="1" applyBorder="1"/>
    <xf numFmtId="189" fontId="9" fillId="0" borderId="0" xfId="57" applyNumberFormat="1" applyFont="1" applyBorder="1"/>
    <xf numFmtId="37" fontId="9" fillId="0" borderId="0" xfId="57" applyNumberFormat="1" applyFont="1" applyBorder="1" applyAlignment="1">
      <alignment horizontal="center"/>
    </xf>
    <xf numFmtId="37" fontId="10" fillId="0" borderId="0" xfId="57" applyNumberFormat="1" applyFont="1" applyBorder="1" applyAlignment="1">
      <alignment horizontal="center"/>
    </xf>
    <xf numFmtId="37" fontId="10" fillId="0" borderId="0" xfId="57" applyNumberFormat="1" applyFont="1" applyBorder="1" applyAlignment="1">
      <alignment horizontal="left"/>
    </xf>
    <xf numFmtId="5" fontId="10" fillId="0" borderId="0" xfId="57" applyNumberFormat="1" applyFont="1" applyBorder="1" applyAlignment="1">
      <alignment horizontal="left"/>
    </xf>
    <xf numFmtId="8" fontId="9" fillId="0" borderId="0" xfId="57" applyNumberFormat="1" applyFont="1" applyBorder="1"/>
    <xf numFmtId="174" fontId="10" fillId="0" borderId="0" xfId="57" applyNumberFormat="1" applyFont="1" applyBorder="1" applyAlignment="1">
      <alignment horizontal="left"/>
    </xf>
    <xf numFmtId="0" fontId="42" fillId="0" borderId="0" xfId="33" applyNumberFormat="1" applyFont="1" applyBorder="1"/>
    <xf numFmtId="0" fontId="21" fillId="0" borderId="0" xfId="33" applyNumberFormat="1" applyFont="1" applyBorder="1" applyAlignment="1">
      <alignment horizontal="left"/>
    </xf>
    <xf numFmtId="0" fontId="24" fillId="0" borderId="0" xfId="33" applyNumberFormat="1" applyFont="1" applyFill="1" applyBorder="1"/>
    <xf numFmtId="0" fontId="21" fillId="4" borderId="0" xfId="33" applyNumberFormat="1" applyFont="1" applyFill="1" applyBorder="1"/>
    <xf numFmtId="0" fontId="9" fillId="3" borderId="0" xfId="33" applyNumberFormat="1" applyFont="1" applyFill="1" applyBorder="1"/>
    <xf numFmtId="37" fontId="21" fillId="0" borderId="0" xfId="33" applyNumberFormat="1" applyFont="1" applyBorder="1"/>
    <xf numFmtId="5" fontId="21" fillId="0" borderId="0" xfId="33" applyNumberFormat="1" applyFont="1" applyBorder="1"/>
    <xf numFmtId="0" fontId="9" fillId="0" borderId="0" xfId="33" applyNumberFormat="1" applyFont="1" applyBorder="1"/>
    <xf numFmtId="0" fontId="21" fillId="3" borderId="0" xfId="33" applyNumberFormat="1" applyFont="1" applyFill="1" applyBorder="1"/>
    <xf numFmtId="0" fontId="31" fillId="0" borderId="0" xfId="33" applyNumberFormat="1" applyFont="1" applyBorder="1"/>
    <xf numFmtId="0" fontId="31" fillId="0" borderId="0" xfId="33" applyNumberFormat="1" applyFont="1" applyFill="1" applyBorder="1"/>
    <xf numFmtId="37" fontId="24" fillId="0" borderId="0" xfId="33" applyNumberFormat="1" applyFont="1" applyFill="1" applyBorder="1" applyAlignment="1"/>
    <xf numFmtId="171" fontId="21" fillId="0" borderId="0" xfId="33" applyNumberFormat="1" applyFont="1" applyBorder="1"/>
    <xf numFmtId="37" fontId="21" fillId="0" borderId="0" xfId="33" applyNumberFormat="1" applyFont="1" applyFill="1" applyBorder="1" applyAlignment="1">
      <alignment horizontal="centerContinuous"/>
    </xf>
    <xf numFmtId="37" fontId="9" fillId="0" borderId="0" xfId="19" applyNumberFormat="1" applyFont="1" applyFill="1" applyBorder="1"/>
    <xf numFmtId="3" fontId="10" fillId="0" borderId="0" xfId="0" applyNumberFormat="1" applyFont="1" applyFill="1" applyBorder="1"/>
    <xf numFmtId="37" fontId="10" fillId="0" borderId="0" xfId="0" applyNumberFormat="1" applyFont="1" applyFill="1" applyBorder="1" applyAlignment="1">
      <alignment horizontal="left"/>
    </xf>
    <xf numFmtId="44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/>
    <xf numFmtId="37" fontId="9" fillId="0" borderId="0" xfId="55" applyNumberFormat="1" applyFont="1" applyFill="1" applyBorder="1"/>
    <xf numFmtId="174" fontId="20" fillId="0" borderId="0" xfId="0" applyNumberFormat="1" applyFont="1" applyFill="1" applyBorder="1" applyAlignment="1"/>
    <xf numFmtId="176" fontId="9" fillId="0" borderId="0" xfId="0" applyNumberFormat="1" applyFont="1" applyFill="1" applyBorder="1" applyAlignment="1">
      <alignment horizontal="center"/>
    </xf>
    <xf numFmtId="174" fontId="6" fillId="0" borderId="0" xfId="0" applyNumberFormat="1" applyFont="1" applyFill="1" applyBorder="1"/>
    <xf numFmtId="9" fontId="12" fillId="0" borderId="0" xfId="5" applyFont="1" applyFill="1" applyBorder="1" applyAlignment="1">
      <alignment horizontal="center"/>
    </xf>
    <xf numFmtId="7" fontId="19" fillId="0" borderId="0" xfId="0" applyNumberFormat="1" applyFont="1" applyFill="1" applyBorder="1" applyAlignment="1"/>
    <xf numFmtId="0" fontId="29" fillId="0" borderId="0" xfId="0" applyNumberFormat="1" applyFont="1" applyFill="1" applyBorder="1"/>
    <xf numFmtId="43" fontId="29" fillId="0" borderId="0" xfId="0" applyNumberFormat="1" applyFont="1" applyFill="1" applyBorder="1"/>
    <xf numFmtId="0" fontId="0" fillId="0" borderId="0" xfId="0" applyNumberFormat="1" applyFill="1" applyBorder="1"/>
    <xf numFmtId="182" fontId="9" fillId="0" borderId="0" xfId="0" applyNumberFormat="1" applyFont="1" applyFill="1" applyBorder="1"/>
    <xf numFmtId="179" fontId="9" fillId="0" borderId="0" xfId="0" quotePrefix="1" applyNumberFormat="1" applyFont="1" applyBorder="1" applyAlignment="1">
      <alignment horizontal="center"/>
    </xf>
    <xf numFmtId="2" fontId="20" fillId="0" borderId="0" xfId="0" applyNumberFormat="1" applyFont="1" applyBorder="1"/>
    <xf numFmtId="39" fontId="10" fillId="0" borderId="0" xfId="27" applyNumberFormat="1" applyFont="1" applyFill="1" applyBorder="1"/>
    <xf numFmtId="14" fontId="9" fillId="0" borderId="0" xfId="27" applyNumberFormat="1" applyFont="1" applyFill="1" applyBorder="1"/>
    <xf numFmtId="9" fontId="9" fillId="0" borderId="0" xfId="27" applyNumberFormat="1" applyFont="1" applyFill="1" applyBorder="1" applyAlignment="1">
      <alignment horizontal="center"/>
    </xf>
    <xf numFmtId="5" fontId="10" fillId="0" borderId="0" xfId="27" applyNumberFormat="1" applyFont="1" applyFill="1" applyBorder="1"/>
    <xf numFmtId="43" fontId="9" fillId="0" borderId="0" xfId="27" applyNumberFormat="1" applyFont="1" applyFill="1" applyBorder="1"/>
    <xf numFmtId="2" fontId="9" fillId="0" borderId="0" xfId="27" applyNumberFormat="1" applyFont="1" applyFill="1" applyBorder="1"/>
    <xf numFmtId="10" fontId="9" fillId="0" borderId="0" xfId="27" applyNumberFormat="1" applyFont="1" applyFill="1" applyBorder="1" applyAlignment="1">
      <alignment horizontal="center"/>
    </xf>
    <xf numFmtId="180" fontId="9" fillId="0" borderId="0" xfId="27" applyNumberFormat="1" applyFont="1" applyFill="1" applyBorder="1"/>
    <xf numFmtId="39" fontId="9" fillId="0" borderId="0" xfId="27" applyNumberFormat="1" applyFont="1" applyFill="1" applyBorder="1" applyAlignment="1">
      <alignment horizontal="right"/>
    </xf>
    <xf numFmtId="39" fontId="10" fillId="0" borderId="0" xfId="51" applyNumberFormat="1" applyFont="1" applyFill="1" applyBorder="1"/>
    <xf numFmtId="14" fontId="9" fillId="0" borderId="0" xfId="51" applyNumberFormat="1" applyFont="1" applyFill="1" applyBorder="1"/>
    <xf numFmtId="179" fontId="9" fillId="0" borderId="0" xfId="51" applyFont="1" applyBorder="1" applyAlignment="1">
      <alignment horizontal="left"/>
    </xf>
    <xf numFmtId="39" fontId="10" fillId="0" borderId="0" xfId="51" applyNumberFormat="1" applyFont="1" applyBorder="1"/>
    <xf numFmtId="39" fontId="9" fillId="0" borderId="0" xfId="51" applyNumberFormat="1" applyFont="1" applyBorder="1"/>
    <xf numFmtId="14" fontId="9" fillId="0" borderId="0" xfId="51" applyNumberFormat="1" applyFont="1" applyBorder="1"/>
    <xf numFmtId="37" fontId="9" fillId="0" borderId="0" xfId="51" applyNumberFormat="1" applyFont="1" applyBorder="1"/>
    <xf numFmtId="179" fontId="9" fillId="0" borderId="0" xfId="51" applyFont="1" applyBorder="1" applyAlignment="1">
      <alignment horizontal="centerContinuous"/>
    </xf>
    <xf numFmtId="9" fontId="9" fillId="0" borderId="0" xfId="51" applyNumberFormat="1" applyFont="1" applyBorder="1" applyAlignment="1">
      <alignment horizontal="center"/>
    </xf>
    <xf numFmtId="179" fontId="9" fillId="0" borderId="0" xfId="51" applyFont="1" applyBorder="1" applyAlignment="1">
      <alignment horizontal="center"/>
    </xf>
    <xf numFmtId="5" fontId="9" fillId="0" borderId="0" xfId="51" applyNumberFormat="1" applyFont="1" applyBorder="1"/>
    <xf numFmtId="5" fontId="10" fillId="0" borderId="0" xfId="51" applyNumberFormat="1" applyFont="1" applyBorder="1"/>
    <xf numFmtId="43" fontId="9" fillId="0" borderId="0" xfId="51" applyNumberFormat="1" applyFont="1" applyBorder="1" applyAlignment="1">
      <alignment horizontal="center"/>
    </xf>
    <xf numFmtId="0" fontId="9" fillId="0" borderId="0" xfId="51" applyNumberFormat="1" applyFont="1" applyBorder="1" applyAlignment="1">
      <alignment horizontal="center"/>
    </xf>
    <xf numFmtId="39" fontId="9" fillId="0" borderId="0" xfId="51" applyNumberFormat="1" applyFont="1" applyBorder="1" applyAlignment="1">
      <alignment horizontal="left"/>
    </xf>
    <xf numFmtId="169" fontId="9" fillId="0" borderId="0" xfId="51" applyNumberFormat="1" applyFont="1" applyBorder="1"/>
    <xf numFmtId="43" fontId="9" fillId="0" borderId="0" xfId="40" applyFont="1" applyBorder="1"/>
    <xf numFmtId="43" fontId="9" fillId="0" borderId="0" xfId="51" applyNumberFormat="1" applyFont="1" applyBorder="1"/>
    <xf numFmtId="180" fontId="9" fillId="0" borderId="0" xfId="51" applyNumberFormat="1" applyFont="1" applyBorder="1"/>
    <xf numFmtId="14" fontId="9" fillId="0" borderId="0" xfId="51" applyNumberFormat="1" applyFont="1" applyBorder="1" applyAlignment="1">
      <alignment horizontal="center"/>
    </xf>
    <xf numFmtId="7" fontId="9" fillId="0" borderId="0" xfId="40" applyNumberFormat="1" applyFont="1" applyBorder="1"/>
    <xf numFmtId="7" fontId="9" fillId="0" borderId="0" xfId="51" applyNumberFormat="1" applyFont="1" applyBorder="1"/>
    <xf numFmtId="171" fontId="9" fillId="0" borderId="0" xfId="51" applyNumberFormat="1" applyFont="1" applyBorder="1"/>
    <xf numFmtId="39" fontId="9" fillId="0" borderId="0" xfId="51" applyNumberFormat="1" applyFont="1" applyBorder="1" applyAlignment="1"/>
    <xf numFmtId="165" fontId="9" fillId="0" borderId="0" xfId="51" applyNumberFormat="1" applyFont="1" applyBorder="1"/>
    <xf numFmtId="44" fontId="9" fillId="0" borderId="0" xfId="41" applyFont="1" applyBorder="1"/>
    <xf numFmtId="5" fontId="9" fillId="0" borderId="0" xfId="40" applyNumberFormat="1" applyFont="1" applyBorder="1"/>
    <xf numFmtId="37" fontId="10" fillId="0" borderId="0" xfId="51" applyNumberFormat="1" applyFont="1" applyBorder="1"/>
    <xf numFmtId="179" fontId="11" fillId="0" borderId="0" xfId="51" applyFont="1" applyBorder="1"/>
    <xf numFmtId="179" fontId="10" fillId="0" borderId="0" xfId="51" applyFont="1" applyBorder="1"/>
    <xf numFmtId="39" fontId="9" fillId="0" borderId="0" xfId="51" applyNumberFormat="1" applyFont="1" applyBorder="1" applyAlignment="1">
      <alignment horizontal="center"/>
    </xf>
    <xf numFmtId="10" fontId="9" fillId="0" borderId="0" xfId="59" applyNumberFormat="1" applyFont="1" applyBorder="1" applyAlignment="1">
      <alignment horizontal="left"/>
    </xf>
    <xf numFmtId="0" fontId="9" fillId="0" borderId="0" xfId="51" applyNumberFormat="1" applyFont="1" applyBorder="1"/>
    <xf numFmtId="43" fontId="9" fillId="0" borderId="0" xfId="60" applyFont="1" applyBorder="1"/>
    <xf numFmtId="39" fontId="9" fillId="0" borderId="0" xfId="51" quotePrefix="1" applyNumberFormat="1" applyFont="1" applyBorder="1"/>
    <xf numFmtId="0" fontId="9" fillId="0" borderId="0" xfId="51" quotePrefix="1" applyNumberFormat="1" applyFont="1" applyBorder="1"/>
    <xf numFmtId="2" fontId="21" fillId="0" borderId="0" xfId="57" applyNumberFormat="1" applyFont="1" applyBorder="1"/>
    <xf numFmtId="7" fontId="21" fillId="0" borderId="0" xfId="57" applyNumberFormat="1" applyFont="1" applyBorder="1"/>
    <xf numFmtId="14" fontId="21" fillId="0" borderId="0" xfId="57" applyNumberFormat="1" applyFont="1" applyBorder="1"/>
    <xf numFmtId="0" fontId="21" fillId="0" borderId="0" xfId="57" applyFont="1" applyBorder="1" applyAlignment="1">
      <alignment horizontal="center"/>
    </xf>
    <xf numFmtId="10" fontId="21" fillId="0" borderId="0" xfId="57" applyNumberFormat="1" applyFont="1" applyBorder="1"/>
    <xf numFmtId="39" fontId="21" fillId="0" borderId="0" xfId="57" applyNumberFormat="1" applyFont="1" applyBorder="1"/>
    <xf numFmtId="4" fontId="21" fillId="0" borderId="0" xfId="57" applyNumberFormat="1" applyFont="1" applyBorder="1"/>
    <xf numFmtId="14" fontId="21" fillId="0" borderId="0" xfId="57" applyNumberFormat="1" applyFont="1" applyBorder="1" applyAlignment="1">
      <alignment horizontal="right"/>
    </xf>
    <xf numFmtId="0" fontId="57" fillId="0" borderId="0" xfId="57" applyFont="1"/>
    <xf numFmtId="14" fontId="57" fillId="0" borderId="0" xfId="57" applyNumberFormat="1" applyFont="1"/>
    <xf numFmtId="2" fontId="57" fillId="0" borderId="0" xfId="57" applyNumberFormat="1" applyFont="1"/>
    <xf numFmtId="0" fontId="58" fillId="0" borderId="0" xfId="57" applyFont="1"/>
    <xf numFmtId="0" fontId="59" fillId="0" borderId="0" xfId="57" applyFont="1"/>
    <xf numFmtId="37" fontId="31" fillId="0" borderId="0" xfId="57" quotePrefix="1" applyNumberFormat="1" applyFont="1" applyBorder="1"/>
    <xf numFmtId="37" fontId="31" fillId="0" borderId="0" xfId="57" applyNumberFormat="1" applyFont="1" applyBorder="1"/>
    <xf numFmtId="43" fontId="21" fillId="0" borderId="0" xfId="57" applyNumberFormat="1" applyFont="1" applyBorder="1"/>
    <xf numFmtId="5" fontId="21" fillId="0" borderId="0" xfId="57" applyNumberFormat="1" applyFont="1" applyBorder="1"/>
    <xf numFmtId="179" fontId="10" fillId="0" borderId="0" xfId="0" applyNumberFormat="1" applyFont="1" applyFill="1" applyBorder="1" applyAlignment="1"/>
    <xf numFmtId="39" fontId="16" fillId="0" borderId="0" xfId="0" applyNumberFormat="1" applyFont="1" applyFill="1" applyBorder="1"/>
    <xf numFmtId="179" fontId="12" fillId="0" borderId="0" xfId="0" applyFont="1" applyFill="1" applyBorder="1" applyAlignment="1">
      <alignment horizontal="right"/>
    </xf>
    <xf numFmtId="42" fontId="9" fillId="0" borderId="0" xfId="0" applyNumberFormat="1" applyFont="1" applyFill="1" applyBorder="1" applyAlignment="1">
      <alignment horizontal="right"/>
    </xf>
    <xf numFmtId="42" fontId="9" fillId="0" borderId="0" xfId="31" applyNumberFormat="1" applyFont="1" applyFill="1" applyBorder="1" applyAlignment="1">
      <alignment horizontal="center"/>
    </xf>
    <xf numFmtId="10" fontId="9" fillId="0" borderId="0" xfId="31" applyNumberFormat="1" applyFont="1" applyFill="1" applyBorder="1" applyAlignment="1">
      <alignment horizontal="center"/>
    </xf>
    <xf numFmtId="37" fontId="9" fillId="0" borderId="0" xfId="9" applyNumberFormat="1" applyFont="1" applyFill="1" applyBorder="1" applyAlignment="1">
      <alignment horizontal="right"/>
    </xf>
    <xf numFmtId="10" fontId="9" fillId="0" borderId="0" xfId="0" applyNumberFormat="1" applyFont="1" applyFill="1" applyBorder="1" applyAlignment="1">
      <alignment horizontal="right"/>
    </xf>
    <xf numFmtId="179" fontId="11" fillId="0" borderId="0" xfId="0" applyFont="1" applyFill="1" applyBorder="1"/>
    <xf numFmtId="5" fontId="9" fillId="0" borderId="0" xfId="9" applyNumberFormat="1" applyFont="1" applyFill="1" applyBorder="1"/>
    <xf numFmtId="174" fontId="55" fillId="0" borderId="0" xfId="9" applyNumberFormat="1" applyFont="1" applyFill="1" applyBorder="1"/>
    <xf numFmtId="4" fontId="12" fillId="0" borderId="0" xfId="0" applyNumberFormat="1" applyFont="1" applyFill="1" applyBorder="1" applyAlignment="1">
      <alignment horizontal="left"/>
    </xf>
    <xf numFmtId="0" fontId="9" fillId="0" borderId="0" xfId="37" applyFont="1" applyFill="1" applyBorder="1" applyAlignment="1"/>
    <xf numFmtId="164" fontId="9" fillId="0" borderId="0" xfId="37" applyNumberFormat="1" applyFont="1" applyFill="1" applyBorder="1" applyAlignment="1">
      <alignment horizontal="center"/>
    </xf>
    <xf numFmtId="37" fontId="9" fillId="0" borderId="0" xfId="38" quotePrefix="1" applyFont="1" applyFill="1" applyBorder="1" applyAlignment="1">
      <alignment horizontal="center"/>
    </xf>
    <xf numFmtId="37" fontId="9" fillId="0" borderId="0" xfId="38" applyFont="1" applyFill="1" applyBorder="1" applyAlignment="1">
      <alignment horizontal="center"/>
    </xf>
    <xf numFmtId="181" fontId="9" fillId="0" borderId="0" xfId="0" applyNumberFormat="1" applyFont="1" applyFill="1" applyBorder="1"/>
    <xf numFmtId="171" fontId="12" fillId="0" borderId="0" xfId="0" applyNumberFormat="1" applyFont="1" applyFill="1" applyBorder="1" applyAlignment="1">
      <alignment horizontal="centerContinuous"/>
    </xf>
    <xf numFmtId="179" fontId="60" fillId="0" borderId="0" xfId="0" applyFont="1" applyFill="1" applyAlignment="1"/>
    <xf numFmtId="5" fontId="60" fillId="0" borderId="0" xfId="0" applyNumberFormat="1" applyFont="1" applyFill="1"/>
    <xf numFmtId="166" fontId="60" fillId="0" borderId="0" xfId="5" applyNumberFormat="1" applyFont="1" applyFill="1" applyAlignment="1"/>
    <xf numFmtId="37" fontId="60" fillId="0" borderId="0" xfId="0" applyNumberFormat="1" applyFont="1" applyFill="1"/>
    <xf numFmtId="37" fontId="60" fillId="0" borderId="0" xfId="0" applyNumberFormat="1" applyFont="1" applyFill="1" applyBorder="1"/>
    <xf numFmtId="179" fontId="60" fillId="0" borderId="0" xfId="0" applyFont="1" applyFill="1" applyBorder="1" applyAlignment="1"/>
    <xf numFmtId="174" fontId="9" fillId="0" borderId="0" xfId="68" applyNumberFormat="1" applyFont="1" applyFill="1"/>
    <xf numFmtId="0" fontId="11" fillId="0" borderId="0" xfId="0" applyNumberFormat="1" applyFont="1" applyFill="1" applyBorder="1" applyAlignment="1">
      <alignment horizontal="center"/>
    </xf>
    <xf numFmtId="37" fontId="12" fillId="0" borderId="0" xfId="0" applyNumberFormat="1" applyFont="1" applyFill="1" applyBorder="1" applyAlignment="1">
      <alignment horizontal="centerContinuous"/>
    </xf>
    <xf numFmtId="37" fontId="11" fillId="0" borderId="0" xfId="0" applyNumberFormat="1" applyFont="1" applyFill="1" applyBorder="1" applyAlignment="1">
      <alignment horizontal="center"/>
    </xf>
    <xf numFmtId="5" fontId="9" fillId="0" borderId="0" xfId="26" applyNumberFormat="1" applyFont="1" applyFill="1" applyBorder="1" applyAlignment="1">
      <alignment horizontal="right"/>
    </xf>
    <xf numFmtId="179" fontId="9" fillId="0" borderId="0" xfId="0" applyFont="1" applyBorder="1" applyAlignment="1">
      <alignment horizontal="right"/>
    </xf>
    <xf numFmtId="44" fontId="9" fillId="0" borderId="16" xfId="0" applyNumberFormat="1" applyFont="1" applyBorder="1"/>
    <xf numFmtId="1" fontId="9" fillId="0" borderId="0" xfId="0" applyNumberFormat="1" applyFont="1" applyFill="1" applyAlignment="1"/>
    <xf numFmtId="5" fontId="20" fillId="0" borderId="17" xfId="0" applyNumberFormat="1" applyFont="1" applyBorder="1"/>
    <xf numFmtId="0" fontId="61" fillId="0" borderId="0" xfId="0" applyNumberFormat="1" applyFont="1"/>
    <xf numFmtId="9" fontId="62" fillId="0" borderId="0" xfId="0" applyNumberFormat="1" applyFont="1"/>
    <xf numFmtId="37" fontId="61" fillId="0" borderId="0" xfId="0" applyNumberFormat="1" applyFont="1"/>
    <xf numFmtId="0" fontId="31" fillId="0" borderId="0" xfId="33" quotePrefix="1" applyNumberFormat="1" applyFont="1" applyFill="1" applyBorder="1" applyAlignment="1">
      <alignment horizontal="center" vertical="center"/>
    </xf>
    <xf numFmtId="0" fontId="21" fillId="0" borderId="0" xfId="33" applyNumberFormat="1" applyFont="1" applyAlignment="1">
      <alignment horizontal="center"/>
    </xf>
    <xf numFmtId="37" fontId="21" fillId="0" borderId="0" xfId="33" applyNumberFormat="1" applyFont="1" applyAlignment="1">
      <alignment horizontal="center"/>
    </xf>
    <xf numFmtId="0" fontId="21" fillId="0" borderId="0" xfId="33" applyNumberFormat="1" applyFont="1" applyFill="1" applyBorder="1" applyAlignment="1">
      <alignment horizontal="center"/>
    </xf>
    <xf numFmtId="0" fontId="31" fillId="0" borderId="0" xfId="57" applyFont="1" applyAlignment="1">
      <alignment horizontal="center"/>
    </xf>
    <xf numFmtId="14" fontId="31" fillId="0" borderId="0" xfId="57" applyNumberFormat="1" applyFont="1" applyAlignment="1">
      <alignment horizontal="center"/>
    </xf>
    <xf numFmtId="0" fontId="33" fillId="0" borderId="0" xfId="57" applyFont="1" applyAlignment="1">
      <alignment horizontal="center"/>
    </xf>
    <xf numFmtId="0" fontId="32" fillId="0" borderId="0" xfId="57" applyFont="1" applyAlignment="1">
      <alignment horizontal="center"/>
    </xf>
    <xf numFmtId="0" fontId="52" fillId="0" borderId="0" xfId="57" applyFont="1" applyAlignment="1">
      <alignment horizontal="center"/>
    </xf>
    <xf numFmtId="0" fontId="21" fillId="0" borderId="0" xfId="57" applyFont="1" applyAlignment="1">
      <alignment horizontal="center"/>
    </xf>
    <xf numFmtId="179" fontId="9" fillId="0" borderId="1" xfId="0" applyFont="1" applyBorder="1" applyAlignment="1">
      <alignment horizontal="center"/>
    </xf>
    <xf numFmtId="179" fontId="9" fillId="0" borderId="1" xfId="0" applyFont="1" applyFill="1" applyBorder="1" applyAlignment="1">
      <alignment horizontal="center"/>
    </xf>
    <xf numFmtId="179" fontId="9" fillId="0" borderId="0" xfId="0" applyFont="1" applyBorder="1" applyAlignment="1">
      <alignment horizontal="center"/>
    </xf>
    <xf numFmtId="37" fontId="9" fillId="0" borderId="0" xfId="0" applyNumberFormat="1" applyFont="1" applyFill="1" applyAlignment="1">
      <alignment horizontal="center"/>
    </xf>
    <xf numFmtId="179" fontId="10" fillId="0" borderId="0" xfId="0" applyFont="1" applyFill="1" applyAlignment="1">
      <alignment horizontal="center"/>
    </xf>
    <xf numFmtId="179" fontId="11" fillId="0" borderId="0" xfId="0" applyFont="1" applyFill="1" applyAlignment="1">
      <alignment horizontal="center"/>
    </xf>
    <xf numFmtId="179" fontId="9" fillId="0" borderId="0" xfId="0" applyFont="1" applyFill="1" applyBorder="1" applyAlignment="1">
      <alignment horizontal="center"/>
    </xf>
    <xf numFmtId="3" fontId="9" fillId="0" borderId="0" xfId="0" applyNumberFormat="1" applyFont="1" applyFill="1" applyBorder="1" applyAlignment="1">
      <alignment horizontal="center"/>
    </xf>
    <xf numFmtId="37" fontId="9" fillId="0" borderId="0" xfId="37" applyNumberFormat="1" applyFont="1" applyFill="1" applyBorder="1" applyAlignment="1">
      <alignment horizontal="center"/>
    </xf>
    <xf numFmtId="179" fontId="9" fillId="0" borderId="0" xfId="0" applyFont="1" applyFill="1" applyAlignment="1">
      <alignment horizontal="center"/>
    </xf>
    <xf numFmtId="0" fontId="9" fillId="0" borderId="0" xfId="37" applyFont="1" applyFill="1" applyBorder="1" applyAlignment="1">
      <alignment horizontal="center"/>
    </xf>
    <xf numFmtId="37" fontId="11" fillId="0" borderId="0" xfId="0" applyNumberFormat="1" applyFont="1" applyFill="1" applyAlignment="1">
      <alignment horizontal="center"/>
    </xf>
    <xf numFmtId="37" fontId="10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171" fontId="12" fillId="0" borderId="0" xfId="0" applyNumberFormat="1" applyFont="1" applyFill="1" applyAlignment="1">
      <alignment horizontal="center"/>
    </xf>
    <xf numFmtId="179" fontId="12" fillId="0" borderId="0" xfId="0" applyFont="1" applyFill="1" applyAlignment="1">
      <alignment horizontal="center"/>
    </xf>
    <xf numFmtId="179" fontId="10" fillId="0" borderId="0" xfId="0" applyNumberFormat="1" applyFont="1" applyFill="1" applyAlignment="1">
      <alignment horizontal="center"/>
    </xf>
    <xf numFmtId="37" fontId="12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0" fillId="0" borderId="0" xfId="0" applyNumberFormat="1" applyFont="1" applyFill="1" applyAlignment="1">
      <alignment horizontal="center"/>
    </xf>
    <xf numFmtId="37" fontId="9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Alignment="1">
      <alignment horizontal="center"/>
    </xf>
    <xf numFmtId="0" fontId="11" fillId="0" borderId="0" xfId="0" applyNumberFormat="1" applyFont="1" applyAlignment="1">
      <alignment horizontal="center"/>
    </xf>
    <xf numFmtId="0" fontId="9" fillId="0" borderId="1" xfId="0" applyNumberFormat="1" applyFont="1" applyBorder="1" applyAlignment="1">
      <alignment horizontal="center"/>
    </xf>
    <xf numFmtId="1" fontId="20" fillId="0" borderId="0" xfId="0" applyNumberFormat="1" applyFont="1" applyAlignment="1">
      <alignment horizontal="center"/>
    </xf>
    <xf numFmtId="179" fontId="23" fillId="0" borderId="0" xfId="0" applyNumberFormat="1" applyFont="1" applyAlignment="1">
      <alignment horizontal="center"/>
    </xf>
    <xf numFmtId="179" fontId="22" fillId="0" borderId="0" xfId="0" applyNumberFormat="1" applyFont="1" applyAlignment="1">
      <alignment horizontal="center"/>
    </xf>
    <xf numFmtId="179" fontId="20" fillId="0" borderId="0" xfId="0" applyNumberFormat="1" applyFont="1" applyAlignment="1">
      <alignment horizontal="center"/>
    </xf>
    <xf numFmtId="0" fontId="7" fillId="0" borderId="0" xfId="0" applyNumberFormat="1" applyFont="1"/>
    <xf numFmtId="0" fontId="20" fillId="0" borderId="0" xfId="0" applyNumberFormat="1" applyFont="1" applyAlignment="1">
      <alignment horizontal="center"/>
    </xf>
    <xf numFmtId="37" fontId="9" fillId="0" borderId="1" xfId="0" applyNumberFormat="1" applyFont="1" applyBorder="1" applyAlignment="1">
      <alignment horizontal="center"/>
    </xf>
    <xf numFmtId="179" fontId="10" fillId="0" borderId="0" xfId="0" applyNumberFormat="1" applyFont="1" applyAlignment="1">
      <alignment horizontal="center"/>
    </xf>
    <xf numFmtId="179" fontId="11" fillId="0" borderId="0" xfId="0" applyNumberFormat="1" applyFont="1" applyAlignment="1">
      <alignment horizontal="center"/>
    </xf>
    <xf numFmtId="179" fontId="20" fillId="0" borderId="1" xfId="0" applyFont="1" applyFill="1" applyBorder="1" applyAlignment="1">
      <alignment horizontal="center"/>
    </xf>
    <xf numFmtId="37" fontId="9" fillId="0" borderId="0" xfId="9" quotePrefix="1" applyNumberFormat="1" applyFont="1" applyFill="1" applyBorder="1" applyAlignment="1">
      <alignment horizontal="center"/>
    </xf>
    <xf numFmtId="3" fontId="9" fillId="0" borderId="0" xfId="27" applyNumberFormat="1" applyFont="1" applyFill="1" applyAlignment="1">
      <alignment horizontal="center"/>
    </xf>
    <xf numFmtId="37" fontId="9" fillId="0" borderId="0" xfId="51" applyNumberFormat="1" applyFont="1" applyFill="1" applyBorder="1" applyAlignment="1">
      <alignment horizontal="center"/>
    </xf>
    <xf numFmtId="37" fontId="10" fillId="0" borderId="0" xfId="51" applyNumberFormat="1" applyFont="1" applyFill="1" applyAlignment="1">
      <alignment horizontal="center"/>
    </xf>
    <xf numFmtId="179" fontId="11" fillId="0" borderId="0" xfId="51" applyNumberFormat="1" applyFont="1" applyFill="1" applyAlignment="1">
      <alignment horizontal="center"/>
    </xf>
    <xf numFmtId="179" fontId="10" fillId="0" borderId="0" xfId="51" applyNumberFormat="1" applyFont="1" applyFill="1" applyAlignment="1">
      <alignment horizontal="center"/>
    </xf>
    <xf numFmtId="179" fontId="9" fillId="0" borderId="0" xfId="51" applyNumberFormat="1" applyFont="1" applyFill="1" applyBorder="1" applyAlignment="1">
      <alignment horizontal="center"/>
    </xf>
    <xf numFmtId="43" fontId="9" fillId="0" borderId="0" xfId="51" applyNumberFormat="1" applyFont="1" applyFill="1" applyBorder="1" applyAlignment="1">
      <alignment horizontal="center"/>
    </xf>
    <xf numFmtId="0" fontId="9" fillId="0" borderId="0" xfId="51" applyNumberFormat="1" applyFont="1" applyFill="1" applyBorder="1" applyAlignment="1">
      <alignment horizontal="center"/>
    </xf>
    <xf numFmtId="37" fontId="10" fillId="0" borderId="0" xfId="51" applyNumberFormat="1" applyFont="1" applyFill="1" applyBorder="1" applyAlignment="1">
      <alignment horizontal="center"/>
    </xf>
    <xf numFmtId="179" fontId="11" fillId="0" borderId="0" xfId="51" applyNumberFormat="1" applyFont="1" applyFill="1" applyBorder="1" applyAlignment="1">
      <alignment horizontal="center"/>
    </xf>
    <xf numFmtId="179" fontId="10" fillId="0" borderId="0" xfId="51" applyFont="1" applyAlignment="1">
      <alignment horizontal="center"/>
    </xf>
    <xf numFmtId="37" fontId="10" fillId="0" borderId="0" xfId="51" applyNumberFormat="1" applyFont="1" applyAlignment="1">
      <alignment horizontal="center"/>
    </xf>
    <xf numFmtId="179" fontId="11" fillId="0" borderId="0" xfId="51" applyFont="1" applyAlignment="1">
      <alignment horizontal="center"/>
    </xf>
    <xf numFmtId="179" fontId="9" fillId="0" borderId="0" xfId="51" applyFont="1" applyAlignment="1">
      <alignment horizontal="center"/>
    </xf>
    <xf numFmtId="0" fontId="9" fillId="0" borderId="0" xfId="51" quotePrefix="1" applyNumberFormat="1" applyFont="1" applyAlignment="1">
      <alignment horizontal="center"/>
    </xf>
    <xf numFmtId="179" fontId="9" fillId="0" borderId="0" xfId="51" quotePrefix="1" applyFont="1" applyAlignment="1">
      <alignment horizontal="center"/>
    </xf>
    <xf numFmtId="3" fontId="9" fillId="0" borderId="0" xfId="51" applyNumberFormat="1" applyFont="1" applyAlignment="1">
      <alignment horizontal="center"/>
    </xf>
  </cellXfs>
  <cellStyles count="92">
    <cellStyle name="Comma" xfId="4" builtinId="3"/>
    <cellStyle name="Comma [0] 2" xfId="50" xr:uid="{00000000-0005-0000-0000-000001000000}"/>
    <cellStyle name="Comma 10" xfId="68" xr:uid="{00000000-0005-0000-0000-000002000000}"/>
    <cellStyle name="Comma 11" xfId="81" xr:uid="{00000000-0005-0000-0000-000003000000}"/>
    <cellStyle name="Comma 12" xfId="69" xr:uid="{00000000-0005-0000-0000-000004000000}"/>
    <cellStyle name="Comma 2" xfId="9" xr:uid="{00000000-0005-0000-0000-000005000000}"/>
    <cellStyle name="Comma 2 2" xfId="40" xr:uid="{00000000-0005-0000-0000-000006000000}"/>
    <cellStyle name="Comma 3" xfId="29" xr:uid="{00000000-0005-0000-0000-000007000000}"/>
    <cellStyle name="Comma 3 3" xfId="60" xr:uid="{00000000-0005-0000-0000-000008000000}"/>
    <cellStyle name="Comma 4" xfId="46" xr:uid="{00000000-0005-0000-0000-000009000000}"/>
    <cellStyle name="Comma 5" xfId="62" xr:uid="{00000000-0005-0000-0000-00000A000000}"/>
    <cellStyle name="Comma 6" xfId="71" xr:uid="{00000000-0005-0000-0000-00000B000000}"/>
    <cellStyle name="Comma 7" xfId="74" xr:uid="{00000000-0005-0000-0000-00000C000000}"/>
    <cellStyle name="Comma 8" xfId="35" xr:uid="{00000000-0005-0000-0000-00000D000000}"/>
    <cellStyle name="Comma 9" xfId="65" xr:uid="{00000000-0005-0000-0000-00000E000000}"/>
    <cellStyle name="Comma0" xfId="10" xr:uid="{00000000-0005-0000-0000-00000F000000}"/>
    <cellStyle name="Currency" xfId="26" builtinId="4"/>
    <cellStyle name="Currency [0] 2" xfId="49" xr:uid="{00000000-0005-0000-0000-000011000000}"/>
    <cellStyle name="Currency 10" xfId="86" xr:uid="{00000000-0005-0000-0000-000012000000}"/>
    <cellStyle name="Currency 11" xfId="87" xr:uid="{00000000-0005-0000-0000-000013000000}"/>
    <cellStyle name="Currency 12" xfId="91" xr:uid="{00000000-0005-0000-0000-000014000000}"/>
    <cellStyle name="Currency 2" xfId="11" xr:uid="{00000000-0005-0000-0000-000015000000}"/>
    <cellStyle name="Currency 2 2" xfId="12" xr:uid="{00000000-0005-0000-0000-000016000000}"/>
    <cellStyle name="Currency 2 2 2" xfId="64" xr:uid="{00000000-0005-0000-0000-000017000000}"/>
    <cellStyle name="Currency 2 3" xfId="41" xr:uid="{00000000-0005-0000-0000-000018000000}"/>
    <cellStyle name="Currency 3" xfId="13" xr:uid="{00000000-0005-0000-0000-000019000000}"/>
    <cellStyle name="Currency 4" xfId="7" xr:uid="{00000000-0005-0000-0000-00001A000000}"/>
    <cellStyle name="Currency 4 2" xfId="63" xr:uid="{00000000-0005-0000-0000-00001B000000}"/>
    <cellStyle name="Currency 5" xfId="67" xr:uid="{00000000-0005-0000-0000-00001C000000}"/>
    <cellStyle name="Currency 6" xfId="75" xr:uid="{00000000-0005-0000-0000-00001D000000}"/>
    <cellStyle name="Currency 7" xfId="83" xr:uid="{00000000-0005-0000-0000-00001E000000}"/>
    <cellStyle name="Currency 8" xfId="84" xr:uid="{00000000-0005-0000-0000-00001F000000}"/>
    <cellStyle name="Currency 9" xfId="85" xr:uid="{00000000-0005-0000-0000-000020000000}"/>
    <cellStyle name="Currency0" xfId="14" xr:uid="{00000000-0005-0000-0000-000021000000}"/>
    <cellStyle name="Date" xfId="15" xr:uid="{00000000-0005-0000-0000-000022000000}"/>
    <cellStyle name="Fixed" xfId="16" xr:uid="{00000000-0005-0000-0000-000023000000}"/>
    <cellStyle name="Heading 1 2" xfId="17" xr:uid="{00000000-0005-0000-0000-000024000000}"/>
    <cellStyle name="Heading 2 2" xfId="18" xr:uid="{00000000-0005-0000-0000-000025000000}"/>
    <cellStyle name="Normal" xfId="0" builtinId="0"/>
    <cellStyle name="Normal 10" xfId="37" xr:uid="{00000000-0005-0000-0000-000027000000}"/>
    <cellStyle name="Normal 10 2" xfId="27" xr:uid="{00000000-0005-0000-0000-000028000000}"/>
    <cellStyle name="Normal 11" xfId="44" xr:uid="{00000000-0005-0000-0000-000029000000}"/>
    <cellStyle name="Normal 11 2" xfId="77" xr:uid="{00000000-0005-0000-0000-00002A000000}"/>
    <cellStyle name="Normal 12" xfId="45" xr:uid="{00000000-0005-0000-0000-00002B000000}"/>
    <cellStyle name="Normal 12 2" xfId="78" xr:uid="{00000000-0005-0000-0000-00002C000000}"/>
    <cellStyle name="Normal 13" xfId="47" xr:uid="{00000000-0005-0000-0000-00002D000000}"/>
    <cellStyle name="Normal 13 2" xfId="57" xr:uid="{00000000-0005-0000-0000-00002E000000}"/>
    <cellStyle name="Normal 13 3" xfId="79" xr:uid="{00000000-0005-0000-0000-00002F000000}"/>
    <cellStyle name="Normal 14" xfId="39" xr:uid="{00000000-0005-0000-0000-000030000000}"/>
    <cellStyle name="Normal 15" xfId="52" xr:uid="{00000000-0005-0000-0000-000031000000}"/>
    <cellStyle name="Normal 15 2" xfId="80" xr:uid="{00000000-0005-0000-0000-000032000000}"/>
    <cellStyle name="Normal 16" xfId="54" xr:uid="{00000000-0005-0000-0000-000033000000}"/>
    <cellStyle name="Normal 16 2" xfId="82" xr:uid="{00000000-0005-0000-0000-000034000000}"/>
    <cellStyle name="Normal 19" xfId="61" xr:uid="{00000000-0005-0000-0000-000035000000}"/>
    <cellStyle name="Normal 2" xfId="19" xr:uid="{00000000-0005-0000-0000-000036000000}"/>
    <cellStyle name="Normal 2 2" xfId="33" xr:uid="{00000000-0005-0000-0000-000037000000}"/>
    <cellStyle name="Normal 2 2 2" xfId="34" xr:uid="{00000000-0005-0000-0000-000038000000}"/>
    <cellStyle name="Normal 2 2 2 2" xfId="73" xr:uid="{00000000-0005-0000-0000-000039000000}"/>
    <cellStyle name="Normal 2 3 2" xfId="55" xr:uid="{00000000-0005-0000-0000-00003A000000}"/>
    <cellStyle name="Normal 2 5" xfId="58" xr:uid="{00000000-0005-0000-0000-00003B000000}"/>
    <cellStyle name="Normal 3" xfId="20" xr:uid="{00000000-0005-0000-0000-00003C000000}"/>
    <cellStyle name="Normal 3 2" xfId="43" xr:uid="{00000000-0005-0000-0000-00003D000000}"/>
    <cellStyle name="Normal 3 2 2" xfId="76" xr:uid="{00000000-0005-0000-0000-00003E000000}"/>
    <cellStyle name="Normal 3 3" xfId="51" xr:uid="{00000000-0005-0000-0000-00003F000000}"/>
    <cellStyle name="Normal 4" xfId="21" xr:uid="{00000000-0005-0000-0000-000040000000}"/>
    <cellStyle name="Normal 4 2" xfId="48" xr:uid="{00000000-0005-0000-0000-000041000000}"/>
    <cellStyle name="Normal 4 2 2" xfId="88" xr:uid="{00000000-0005-0000-0000-000042000000}"/>
    <cellStyle name="Normal 5" xfId="6" xr:uid="{00000000-0005-0000-0000-000043000000}"/>
    <cellStyle name="Normal 5 2" xfId="53" xr:uid="{00000000-0005-0000-0000-000044000000}"/>
    <cellStyle name="Normal 6" xfId="25" xr:uid="{00000000-0005-0000-0000-000045000000}"/>
    <cellStyle name="Normal 6 2" xfId="56" xr:uid="{00000000-0005-0000-0000-000046000000}"/>
    <cellStyle name="Normal 7" xfId="30" xr:uid="{00000000-0005-0000-0000-000047000000}"/>
    <cellStyle name="Normal 7 2" xfId="70" xr:uid="{00000000-0005-0000-0000-000048000000}"/>
    <cellStyle name="Normal 7 3" xfId="89" xr:uid="{00000000-0005-0000-0000-000049000000}"/>
    <cellStyle name="Normal 73" xfId="2" xr:uid="{00000000-0005-0000-0000-00004A000000}"/>
    <cellStyle name="Normal 79" xfId="28" xr:uid="{00000000-0005-0000-0000-00004B000000}"/>
    <cellStyle name="Normal 8" xfId="42" xr:uid="{00000000-0005-0000-0000-00004C000000}"/>
    <cellStyle name="Normal 9" xfId="3" xr:uid="{00000000-0005-0000-0000-00004D000000}"/>
    <cellStyle name="Normal_Refuse WTB 063007 2" xfId="38" xr:uid="{00000000-0005-0000-0000-00004E000000}"/>
    <cellStyle name="Normal_Settlement 04 27 06" xfId="1" xr:uid="{00000000-0005-0000-0000-00004F000000}"/>
    <cellStyle name="Normal_WGTAX08" xfId="36" xr:uid="{00000000-0005-0000-0000-000050000000}"/>
    <cellStyle name="Percent" xfId="5" builtinId="5"/>
    <cellStyle name="Percent 2" xfId="22" xr:uid="{00000000-0005-0000-0000-000052000000}"/>
    <cellStyle name="Percent 2 2" xfId="31" xr:uid="{00000000-0005-0000-0000-000053000000}"/>
    <cellStyle name="Percent 2 3" xfId="66" xr:uid="{00000000-0005-0000-0000-000054000000}"/>
    <cellStyle name="Percent 3" xfId="8" xr:uid="{00000000-0005-0000-0000-000055000000}"/>
    <cellStyle name="Percent 4" xfId="24" xr:uid="{00000000-0005-0000-0000-000056000000}"/>
    <cellStyle name="Percent 4 2" xfId="59" xr:uid="{00000000-0005-0000-0000-000057000000}"/>
    <cellStyle name="Percent 5" xfId="32" xr:uid="{00000000-0005-0000-0000-000058000000}"/>
    <cellStyle name="Percent 5 2" xfId="72" xr:uid="{00000000-0005-0000-0000-000059000000}"/>
    <cellStyle name="Percent 6" xfId="90" xr:uid="{00000000-0005-0000-0000-00005A000000}"/>
    <cellStyle name="Total 2" xfId="23" xr:uid="{00000000-0005-0000-0000-00005B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9FF66"/>
      <color rgb="FF0000FF"/>
      <color rgb="FFC20E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11.xml"/><Relationship Id="rId47" Type="http://schemas.openxmlformats.org/officeDocument/2006/relationships/externalLink" Target="externalLinks/externalLink16.xml"/><Relationship Id="rId63" Type="http://schemas.openxmlformats.org/officeDocument/2006/relationships/externalLink" Target="externalLinks/externalLink32.xml"/><Relationship Id="rId68" Type="http://schemas.openxmlformats.org/officeDocument/2006/relationships/externalLink" Target="externalLinks/externalLink37.xml"/><Relationship Id="rId84" Type="http://schemas.openxmlformats.org/officeDocument/2006/relationships/customXml" Target="../customXml/item3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53" Type="http://schemas.openxmlformats.org/officeDocument/2006/relationships/externalLink" Target="externalLinks/externalLink22.xml"/><Relationship Id="rId58" Type="http://schemas.openxmlformats.org/officeDocument/2006/relationships/externalLink" Target="externalLinks/externalLink27.xml"/><Relationship Id="rId74" Type="http://schemas.openxmlformats.org/officeDocument/2006/relationships/externalLink" Target="externalLinks/externalLink43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0.xml"/><Relationship Id="rId82" Type="http://schemas.openxmlformats.org/officeDocument/2006/relationships/customXml" Target="../customXml/item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externalLink" Target="externalLinks/externalLink12.xml"/><Relationship Id="rId48" Type="http://schemas.openxmlformats.org/officeDocument/2006/relationships/externalLink" Target="externalLinks/externalLink17.xml"/><Relationship Id="rId56" Type="http://schemas.openxmlformats.org/officeDocument/2006/relationships/externalLink" Target="externalLinks/externalLink25.xml"/><Relationship Id="rId64" Type="http://schemas.openxmlformats.org/officeDocument/2006/relationships/externalLink" Target="externalLinks/externalLink33.xml"/><Relationship Id="rId69" Type="http://schemas.openxmlformats.org/officeDocument/2006/relationships/externalLink" Target="externalLinks/externalLink38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0.xml"/><Relationship Id="rId72" Type="http://schemas.openxmlformats.org/officeDocument/2006/relationships/externalLink" Target="externalLinks/externalLink41.xml"/><Relationship Id="rId80" Type="http://schemas.openxmlformats.org/officeDocument/2006/relationships/sheetMetadata" Target="metadata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46" Type="http://schemas.openxmlformats.org/officeDocument/2006/relationships/externalLink" Target="externalLinks/externalLink15.xml"/><Relationship Id="rId59" Type="http://schemas.openxmlformats.org/officeDocument/2006/relationships/externalLink" Target="externalLinks/externalLink28.xml"/><Relationship Id="rId67" Type="http://schemas.openxmlformats.org/officeDocument/2006/relationships/externalLink" Target="externalLinks/externalLink36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0.xml"/><Relationship Id="rId54" Type="http://schemas.openxmlformats.org/officeDocument/2006/relationships/externalLink" Target="externalLinks/externalLink23.xml"/><Relationship Id="rId62" Type="http://schemas.openxmlformats.org/officeDocument/2006/relationships/externalLink" Target="externalLinks/externalLink31.xml"/><Relationship Id="rId70" Type="http://schemas.openxmlformats.org/officeDocument/2006/relationships/externalLink" Target="externalLinks/externalLink39.xml"/><Relationship Id="rId75" Type="http://schemas.openxmlformats.org/officeDocument/2006/relationships/externalLink" Target="externalLinks/externalLink44.xml"/><Relationship Id="rId83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49" Type="http://schemas.openxmlformats.org/officeDocument/2006/relationships/externalLink" Target="externalLinks/externalLink18.xml"/><Relationship Id="rId57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3.xml"/><Relationship Id="rId52" Type="http://schemas.openxmlformats.org/officeDocument/2006/relationships/externalLink" Target="externalLinks/externalLink21.xml"/><Relationship Id="rId60" Type="http://schemas.openxmlformats.org/officeDocument/2006/relationships/externalLink" Target="externalLinks/externalLink29.xml"/><Relationship Id="rId65" Type="http://schemas.openxmlformats.org/officeDocument/2006/relationships/externalLink" Target="externalLinks/externalLink34.xml"/><Relationship Id="rId73" Type="http://schemas.openxmlformats.org/officeDocument/2006/relationships/externalLink" Target="externalLinks/externalLink42.xml"/><Relationship Id="rId78" Type="http://schemas.openxmlformats.org/officeDocument/2006/relationships/styles" Target="style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8.xml"/><Relationship Id="rId34" Type="http://schemas.openxmlformats.org/officeDocument/2006/relationships/externalLink" Target="externalLinks/externalLink3.xml"/><Relationship Id="rId50" Type="http://schemas.openxmlformats.org/officeDocument/2006/relationships/externalLink" Target="externalLinks/externalLink19.xml"/><Relationship Id="rId55" Type="http://schemas.openxmlformats.org/officeDocument/2006/relationships/externalLink" Target="externalLinks/externalLink24.xml"/><Relationship Id="rId76" Type="http://schemas.openxmlformats.org/officeDocument/2006/relationships/externalLink" Target="externalLinks/externalLink45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0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externalLink" Target="externalLinks/externalLink9.xml"/><Relationship Id="rId45" Type="http://schemas.openxmlformats.org/officeDocument/2006/relationships/externalLink" Target="externalLinks/externalLink14.xml"/><Relationship Id="rId66" Type="http://schemas.openxmlformats.org/officeDocument/2006/relationships/externalLink" Target="externalLinks/externalLink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7</xdr:col>
      <xdr:colOff>105130</xdr:colOff>
      <xdr:row>15</xdr:row>
      <xdr:rowOff>124000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BA386C-E909-45EE-8695-DA18ED2D1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0" y="1295400"/>
          <a:ext cx="2543530" cy="1257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Documents%20and%20Settings/aamspaugh/Local%20Settings/Temporary%20Internet%20Files/OLK1/IURC%20filing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w.Rate%20Study_5_31_05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Client/Greensburg%20Sewage/2005%20Rate%20Study/Presentations/Rate%20Study_4_5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Client/Dublin%20Water/2006%20Rate%20Study/Presentations/RatePres_032906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Documents%20and%20Settings/kagnew.000/My%20Documents/Terrerate/Presentation_june2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ient\Greensburg%20Sewage\2005%20Rate%20Study\Presentations\Rate%20Study_4_5_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Client/Dublin%20Water/2006%20Rate%20Study/Presentations/RatePres_032906.XLW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RCurtis\AppData\Roaming\Microsoft\Excel\Huntertown\Water\2011%20RevBonds\Acct%20Reports\Documents%20and%20Settings\aamspaugh\Local%20Settings\Temporary%20Internet%20Files\OLK1\IURC%20filing%2020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ient\Dublin%20Water\2006%20Rate%20Study\Presentations\RatePres_032906.XLW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RCurtis\AppData\Roaming\Microsoft\Excel\Huntertown\Water\2011%20RevBonds\Acct%20Reports\Client\Greensburg%20Sewage\2005%20Rate%20Study\Presentations\Rate%20Study_4_5_05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Client/Chandler%20Sewage%20IN/2009%20RevBonds/Working/Documents%20and%20Settings/kagnew.000/My%20Documents/Terrerate/Presentation_june2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g/Client/Greensburg%20Sewage/2005%20Rate%20Study/Presentations/Rate%20Study_4_5_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Client/Greensburg%20Sewage/2005%20Rate%20Study/Presentations/Rate%20Study_4_5_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Documents%20and%20Settings/kagnew.000/My%20Documents/Terrerate/Presentation_june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WORK/QE%20Deb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EWSU/DKHAYUM/WTR05/Water%20Year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Users/cskelton/AppData/Local/Microsoft/Windows/Temporary%20Internet%20Files/Content.Outlook/8N48HXOH/meter_data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Client/Sellersburg%20Sewer/2005%20MAS/063005%20FMR/Accounting%20Report/June%202005%20FMR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lient\Sellersburg%20Sewer\2005%20MAS\063005%20FMR\Accounting%20Report\June%202005%20FM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EWSU/JCameron/XLS/CONTRACT%20-%20HNTB%20Task%20Order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Documents%20and%20Settings/kagnew.000/My%20Documents/Muncie/COS%20April%2004AltI.XLW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Client\R-T\T\Tri-Lakes%20Sewage%20IN\2007%20RefBds\Working\RefBds%202007%20Rev%20Bonds%20418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Client/Fall%20Creek%20RWD/2003%20YE%20FMR/Accounting%20Report/YE%20Mgmt%20Rep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work\LINTON\WATER\WAT03F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EWSU/DKHAYUM/WTR07/2004WTRBOND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Users/bscruggs/AppData/Local/Temp/Water%20and%20Sewer%202018%20Budget%20Master%20as%20of%2010022017.xlsx_1030555/Water%20and%20Sewer%202018%20Budget%20Master%20as%20of%2010022017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urchase%20Order1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Client/Indianapolis%20IWC/2005%20Refunding/Attestation%20Reports/Cash%20Flow%20Verification%202005%20G/Cash%20Flow%20Verification_Series%20G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NTON%202004\SANITATION%20FS%20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Documents%20and%20Settings/chintz/Desktop/SPR-CABS%20SAMP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g/weblink7/Annual%20Information%202006BA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Documents%20and%20Settings/bcolton/Desktop/2002/Present%20Value/HEA%201001ss%20PV%20Aug%2028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MyFiles/Spencer/UnderConstruct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Program%20Files/Intuit/QuickBooks%202006/Components/Templates/QB%20Payroll%20Link%20for%20Accountants%20193e%20working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Client/Sellersburg%20Sewer/2006%20Rate%20analysis/Presentation/Sewer%20rate%20anal.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Client/Chandler%20Sewage%20IN/2009%20RevBonds/Working/clients%20c%20drive/Chandler%20Sewer/2006%20MAS/Sewer%20FMR%206.30.06/Gas%20City%20Sewer%20MAS%20-%20063005dcr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EWSU/DKHAYUM/CASHFS05/WaterJUNE%202005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kagnew\My%20Documents\Yorktown\2003\1q03%20Wate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cgonzalez\Local%20Settings\Temporary%20Internet%20Files\OLKEE\Plainfield\2006%20MAS\Bookkeeping%20and%20Reporting\Workpapers\YE%2004%20Sewer-WTB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Client/Ellettsville%20Water%20IN/2007%20Rates/Workpapers/2007%20Rates_072507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hedden\Desktop\Valpo\11222005\SAMPLE%20F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gov.sharepoint.com/Users/me20188/AppData/Local/Temp/AR%202021%20IURC%20Filing%20042021-%20FINAL_2112972/AR%202021%20IURC%20Filing%20042021-%20FINAL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Users/meschweiler/AppData/Local/Temp/LF%20Settlement%20Testimony%2044760%20Evansville%20Water%20v3%20081216.xlsx_769338/LF%20Settlement%20Testimony%2044760%20Evansville%20Water%20v3%20081216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Users/cetzler/AppData/Local/Temp/AR%202018%20Proj%20Report%20100918.xlsx_1417229/AR%202018%20Proj%20Report%20100918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akertilly-my.sharepoint.com/Users/jd22590/OneDrive%20-%20Baker%20Tilly%20US/Desktop/Evansville%20-%20RevBond%20&amp;%20IURC%20Case/Working%20File/Prior%20Period%20WP/CL%20Transfer%20Schedule%20-%202020%20Bon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WTB"/>
      <sheetName val="PFOE"/>
      <sheetName val="Pro Forma"/>
      <sheetName val="Pro Forma Adj"/>
      <sheetName val="Proj Cost"/>
      <sheetName val="Normalize Rev"/>
      <sheetName val="CIP"/>
      <sheetName val="Rev Req CIP"/>
      <sheetName val="Rev Req I"/>
      <sheetName val="Rates CIP"/>
      <sheetName val="Rates"/>
      <sheetName val="Comparison"/>
      <sheetName val="Flysheet"/>
      <sheetName val="Bal"/>
      <sheetName val="Inc"/>
      <sheetName val="SCF"/>
      <sheetName val="Min Bal"/>
      <sheetName val="Add Plant"/>
      <sheetName val="Worksheet"/>
      <sheetName val="Combined"/>
      <sheetName val="1987 RD Bonds"/>
      <sheetName val="1994 RD Bonds"/>
      <sheetName val="Adj Add Plant 2004"/>
      <sheetName val="Adj Add Plant 2003"/>
      <sheetName val="Adj Add Plant 2002"/>
      <sheetName val="Adj Add Plant 2001"/>
      <sheetName val="UP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POSEY TOWNSHIP WATER CORPORATION</v>
          </cell>
        </row>
        <row r="3">
          <cell r="A3" t="str">
            <v>PRO FORMA REVENUE REQUIREMENTS AND ANNUAL REVENUES</v>
          </cell>
        </row>
        <row r="4">
          <cell r="A4" t="str">
            <v>See Explanation of Adjustments, Page 9</v>
          </cell>
        </row>
        <row r="7">
          <cell r="G7" t="str">
            <v>12 Months</v>
          </cell>
        </row>
        <row r="8">
          <cell r="G8" t="str">
            <v>Ended</v>
          </cell>
          <cell r="M8" t="str">
            <v>Pro Forma</v>
          </cell>
        </row>
        <row r="9">
          <cell r="G9">
            <v>38656</v>
          </cell>
          <cell r="I9" t="str">
            <v>Adjustments</v>
          </cell>
          <cell r="K9" t="str">
            <v>Ref.</v>
          </cell>
          <cell r="M9">
            <v>2006</v>
          </cell>
        </row>
        <row r="10">
          <cell r="A10" t="str">
            <v>Annual Revenue Requirements:</v>
          </cell>
          <cell r="G10" t="str">
            <v>(Unaudited)</v>
          </cell>
        </row>
        <row r="12">
          <cell r="B12" t="str">
            <v xml:space="preserve">Operation and maintenance expense </v>
          </cell>
          <cell r="G12">
            <v>344011</v>
          </cell>
          <cell r="I12">
            <v>-26696</v>
          </cell>
          <cell r="K12">
            <v>-1</v>
          </cell>
          <cell r="M12">
            <v>317315</v>
          </cell>
        </row>
        <row r="14">
          <cell r="B14" t="str">
            <v>Debt service:</v>
          </cell>
        </row>
        <row r="15">
          <cell r="C15" t="str">
            <v>Outstanding debt</v>
          </cell>
        </row>
        <row r="16">
          <cell r="D16" t="str">
            <v xml:space="preserve">1987 Bonds </v>
          </cell>
          <cell r="G16">
            <v>25044</v>
          </cell>
          <cell r="K16">
            <v>-2</v>
          </cell>
          <cell r="M16">
            <v>25044</v>
          </cell>
        </row>
        <row r="17">
          <cell r="D17" t="str">
            <v xml:space="preserve">1994 Bonds </v>
          </cell>
          <cell r="G17">
            <v>77340</v>
          </cell>
          <cell r="K17">
            <v>-2</v>
          </cell>
          <cell r="M17">
            <v>77340</v>
          </cell>
        </row>
        <row r="19">
          <cell r="B19" t="str">
            <v>Debt service reserve:</v>
          </cell>
        </row>
        <row r="22">
          <cell r="B22" t="str">
            <v xml:space="preserve">Allowance for replacements and improvements </v>
          </cell>
        </row>
        <row r="23">
          <cell r="C23" t="str">
            <v>Average annual replacements</v>
          </cell>
          <cell r="G23">
            <v>35762</v>
          </cell>
          <cell r="I23">
            <v>-5173</v>
          </cell>
          <cell r="K23">
            <v>-3</v>
          </cell>
          <cell r="M23">
            <v>30589</v>
          </cell>
        </row>
        <row r="25">
          <cell r="D25" t="str">
            <v xml:space="preserve">     Total Revenue Requirements</v>
          </cell>
          <cell r="G25">
            <v>482157</v>
          </cell>
          <cell r="I25">
            <v>-31869</v>
          </cell>
          <cell r="M25">
            <v>450288</v>
          </cell>
        </row>
        <row r="27">
          <cell r="B27" t="str">
            <v>Less interest income</v>
          </cell>
          <cell r="G27">
            <v>-4813</v>
          </cell>
          <cell r="K27">
            <v>-4</v>
          </cell>
          <cell r="M27">
            <v>-4813</v>
          </cell>
        </row>
        <row r="28">
          <cell r="B28" t="str">
            <v xml:space="preserve">Less penalties </v>
          </cell>
          <cell r="G28">
            <v>-1448</v>
          </cell>
          <cell r="K28">
            <v>-4</v>
          </cell>
          <cell r="M28">
            <v>-1448</v>
          </cell>
        </row>
        <row r="29">
          <cell r="B29" t="str">
            <v xml:space="preserve">Less other income </v>
          </cell>
          <cell r="G29">
            <v>-8720</v>
          </cell>
          <cell r="K29">
            <v>-4</v>
          </cell>
          <cell r="M29">
            <v>-8720</v>
          </cell>
        </row>
        <row r="31">
          <cell r="D31" t="str">
            <v xml:space="preserve">     Total Net Revenue Requirements</v>
          </cell>
          <cell r="G31">
            <v>467176</v>
          </cell>
          <cell r="I31">
            <v>-31869</v>
          </cell>
          <cell r="M31">
            <v>435307</v>
          </cell>
        </row>
        <row r="33">
          <cell r="A33" t="str">
            <v>Available Revenues:</v>
          </cell>
        </row>
        <row r="35">
          <cell r="B35" t="str">
            <v xml:space="preserve">Metered sales </v>
          </cell>
          <cell r="G35">
            <v>362772</v>
          </cell>
          <cell r="I35">
            <v>6028</v>
          </cell>
          <cell r="K35">
            <v>-5</v>
          </cell>
          <cell r="M35">
            <v>368800</v>
          </cell>
        </row>
        <row r="36">
          <cell r="B36" t="str">
            <v>Additional revenues from tracker (7)</v>
          </cell>
          <cell r="I36">
            <v>10214</v>
          </cell>
          <cell r="K36">
            <v>-6</v>
          </cell>
          <cell r="M36">
            <v>10214</v>
          </cell>
        </row>
        <row r="38">
          <cell r="D38" t="str">
            <v xml:space="preserve">     Total Available Revenues</v>
          </cell>
          <cell r="G38">
            <v>362772</v>
          </cell>
          <cell r="I38">
            <v>16242</v>
          </cell>
          <cell r="M38">
            <v>379014</v>
          </cell>
        </row>
        <row r="40">
          <cell r="A40" t="str">
            <v>Additional Revenues Required</v>
          </cell>
          <cell r="G40">
            <v>104404</v>
          </cell>
          <cell r="I40">
            <v>-48111</v>
          </cell>
          <cell r="M40">
            <v>56293</v>
          </cell>
        </row>
        <row r="42">
          <cell r="A42" t="str">
            <v>Approximate Across-The-Board Increase</v>
          </cell>
        </row>
        <row r="43">
          <cell r="A43" t="str">
            <v xml:space="preserve">   In Present Rates and Charges</v>
          </cell>
          <cell r="M43">
            <v>0.14849999999999999</v>
          </cell>
        </row>
        <row r="45">
          <cell r="A45" t="str">
            <v>Resulting Approximate Average Residential Monthly Bill</v>
          </cell>
        </row>
        <row r="46">
          <cell r="A46" t="str">
            <v xml:space="preserve">  (Presently $22.39* based on 4,000 gallons)</v>
          </cell>
          <cell r="M46">
            <v>25.7</v>
          </cell>
        </row>
        <row r="49">
          <cell r="A49" t="str">
            <v>* Assumes a $0.13 per 1,000 gallons tracker is included.</v>
          </cell>
        </row>
        <row r="62">
          <cell r="A62" t="str">
            <v>(Continued on next page)</v>
          </cell>
        </row>
        <row r="64">
          <cell r="A64" t="str">
            <v>(Subject to the comments in the attached</v>
          </cell>
        </row>
        <row r="65">
          <cell r="A65" t="str">
            <v>letter dated January 16, 2006 of Umbaugh)</v>
          </cell>
        </row>
        <row r="67">
          <cell r="A67">
            <v>8</v>
          </cell>
        </row>
        <row r="68">
          <cell r="A68" t="str">
            <v>POSEY TOWNSHIP WATER CORPORATION</v>
          </cell>
        </row>
        <row r="69">
          <cell r="M69" t="str">
            <v>(Cont'd)</v>
          </cell>
        </row>
        <row r="70">
          <cell r="A70" t="str">
            <v>PRO FORMA REVENUE REQUIREMENTS AND ANNUAL REVENUES</v>
          </cell>
        </row>
        <row r="71">
          <cell r="A71" t="str">
            <v>Explanation of Adjustments</v>
          </cell>
        </row>
        <row r="74">
          <cell r="A74">
            <v>-1</v>
          </cell>
          <cell r="B74" t="str">
            <v>To reflect pro forma operation and maintenance expense as calculated on pages 2 - 6.</v>
          </cell>
        </row>
        <row r="76">
          <cell r="A76">
            <v>-2</v>
          </cell>
          <cell r="B76" t="str">
            <v>To reflect average annual debt service on the outstanding Rural Development ("RD") Bonds.</v>
          </cell>
        </row>
        <row r="77">
          <cell r="B77" t="str">
            <v xml:space="preserve">  See page 19.</v>
          </cell>
        </row>
        <row r="79">
          <cell r="A79">
            <v>-3</v>
          </cell>
          <cell r="B79" t="str">
            <v xml:space="preserve">To provide an annual allowance for replacements and improvements equal to </v>
          </cell>
        </row>
        <row r="80">
          <cell r="B80" t="str">
            <v xml:space="preserve">  average replacements, see page 18.</v>
          </cell>
        </row>
        <row r="82">
          <cell r="A82">
            <v>-4</v>
          </cell>
          <cell r="B82" t="str">
            <v>Assumed at test year amounts.</v>
          </cell>
        </row>
        <row r="84">
          <cell r="A84">
            <v>-5</v>
          </cell>
          <cell r="B84" t="str">
            <v>To normalize test year operating revenues for additional customers added to the system.</v>
          </cell>
        </row>
        <row r="85">
          <cell r="B85" t="str">
            <v xml:space="preserve">  See page 7.</v>
          </cell>
        </row>
        <row r="87">
          <cell r="A87">
            <v>-6</v>
          </cell>
          <cell r="B87" t="str">
            <v xml:space="preserve">Normalize metered water sales with rate tracker increase of $.13 / thousand gallons that is effective </v>
          </cell>
        </row>
        <row r="88">
          <cell r="B88" t="str">
            <v xml:space="preserve">  with December 2005 consumption.</v>
          </cell>
        </row>
        <row r="90">
          <cell r="C90" t="str">
            <v>Metered water sales during test year November, 2004 through October, 2005 (thousand gallons)</v>
          </cell>
          <cell r="M90">
            <v>78570</v>
          </cell>
        </row>
        <row r="92">
          <cell r="C92" t="str">
            <v>Rate tracker increase</v>
          </cell>
          <cell r="M92">
            <v>0.13</v>
          </cell>
        </row>
        <row r="94">
          <cell r="D94" t="str">
            <v>Adjustment - increase</v>
          </cell>
          <cell r="M94">
            <v>10214</v>
          </cell>
        </row>
        <row r="124">
          <cell r="A124" t="str">
            <v>(Subject to the comments in the attached</v>
          </cell>
        </row>
        <row r="125">
          <cell r="A125" t="str">
            <v>letter dated January 16, 2006 of Umbaugh)</v>
          </cell>
        </row>
        <row r="127">
          <cell r="A127">
            <v>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POSEY TOWNSHIP WATER CORPORATION</v>
          </cell>
        </row>
        <row r="3">
          <cell r="A3" t="str">
            <v>COMPARISON OF ACCOUNT BALANCES</v>
          </cell>
        </row>
        <row r="4">
          <cell r="A4" t="str">
            <v>WITH MINIMUM BALANCES REQUIRED</v>
          </cell>
        </row>
        <row r="7">
          <cell r="G7" t="str">
            <v>Account</v>
          </cell>
          <cell r="I7" t="str">
            <v>Minimum</v>
          </cell>
        </row>
        <row r="8">
          <cell r="G8" t="str">
            <v>Balance  at</v>
          </cell>
          <cell r="I8" t="str">
            <v>Balance</v>
          </cell>
        </row>
        <row r="9">
          <cell r="A9" t="str">
            <v>Account</v>
          </cell>
          <cell r="G9">
            <v>38656</v>
          </cell>
          <cell r="I9" t="str">
            <v>Required *</v>
          </cell>
          <cell r="K9" t="str">
            <v>(Ref.)</v>
          </cell>
          <cell r="M9" t="str">
            <v>Variance</v>
          </cell>
        </row>
        <row r="10">
          <cell r="G10" t="str">
            <v>(Unaudited)</v>
          </cell>
        </row>
        <row r="12">
          <cell r="A12" t="str">
            <v>Operation and maintenance</v>
          </cell>
          <cell r="G12">
            <v>177900</v>
          </cell>
          <cell r="I12">
            <v>52896</v>
          </cell>
          <cell r="K12" t="str">
            <v>(1)</v>
          </cell>
          <cell r="M12">
            <v>125004</v>
          </cell>
        </row>
        <row r="14">
          <cell r="A14" t="str">
            <v>Principal and interest</v>
          </cell>
          <cell r="K14" t="str">
            <v>(2)</v>
          </cell>
        </row>
        <row r="16">
          <cell r="A16" t="str">
            <v>Debt service reserve</v>
          </cell>
          <cell r="G16">
            <v>105079</v>
          </cell>
          <cell r="I16">
            <v>102383.5</v>
          </cell>
          <cell r="K16" t="str">
            <v>(3)</v>
          </cell>
          <cell r="M16">
            <v>2695.5</v>
          </cell>
        </row>
        <row r="18">
          <cell r="A18" t="str">
            <v>Construction</v>
          </cell>
          <cell r="G18">
            <v>2257</v>
          </cell>
          <cell r="K18" t="str">
            <v>(4)</v>
          </cell>
          <cell r="M18">
            <v>2257</v>
          </cell>
        </row>
        <row r="20">
          <cell r="A20" t="str">
            <v>Depreciation/improvement fund</v>
          </cell>
          <cell r="I20">
            <v>129117</v>
          </cell>
          <cell r="K20" t="str">
            <v>(5)</v>
          </cell>
          <cell r="M20">
            <v>-129117</v>
          </cell>
        </row>
        <row r="22">
          <cell r="C22" t="str">
            <v>Totals</v>
          </cell>
          <cell r="G22">
            <v>285236</v>
          </cell>
          <cell r="I22">
            <v>284396.5</v>
          </cell>
          <cell r="M22">
            <v>839.5</v>
          </cell>
        </row>
        <row r="24">
          <cell r="A24" t="str">
            <v>*</v>
          </cell>
          <cell r="B24" t="str">
            <v>Per outstanding Loan Resolutions and policies of management.</v>
          </cell>
        </row>
        <row r="26">
          <cell r="A26" t="str">
            <v>(1)</v>
          </cell>
          <cell r="B26" t="str">
            <v>The balance maintained in the operation and maintenance account should</v>
          </cell>
        </row>
        <row r="27">
          <cell r="B27" t="str">
            <v>be sufficient to pay the expenses of operation, repair, and maintenance</v>
          </cell>
        </row>
        <row r="28">
          <cell r="B28" t="str">
            <v>of the utility for the next succeeding two (2) calendar months.</v>
          </cell>
        </row>
        <row r="30">
          <cell r="C30" t="str">
            <v>Pro forma operation and maintenance expenses, page 2.</v>
          </cell>
          <cell r="M30">
            <v>317315.10149999999</v>
          </cell>
        </row>
        <row r="31">
          <cell r="C31" t="str">
            <v>Times factor for 2 months</v>
          </cell>
          <cell r="M31">
            <v>0.16669999999999999</v>
          </cell>
        </row>
        <row r="33">
          <cell r="D33" t="str">
            <v>Minimum balance required</v>
          </cell>
          <cell r="M33">
            <v>52896</v>
          </cell>
        </row>
        <row r="35">
          <cell r="A35" t="str">
            <v>(2)</v>
          </cell>
          <cell r="B35" t="str">
            <v>Principal and interest are paid monthly.</v>
          </cell>
        </row>
        <row r="37">
          <cell r="A37" t="str">
            <v>(3)</v>
          </cell>
          <cell r="B37" t="str">
            <v>Assumed to be the average annual principal and interest payment</v>
          </cell>
        </row>
        <row r="38">
          <cell r="B38" t="str">
            <v>on the outstanding loans.</v>
          </cell>
        </row>
        <row r="40">
          <cell r="D40" t="str">
            <v>Minimum Balance Required</v>
          </cell>
          <cell r="M40">
            <v>102383.5</v>
          </cell>
        </row>
        <row r="42">
          <cell r="A42" t="str">
            <v>(4)</v>
          </cell>
          <cell r="B42" t="str">
            <v>Available for replacements and improvements.</v>
          </cell>
        </row>
        <row r="44">
          <cell r="A44" t="str">
            <v>(5)</v>
          </cell>
          <cell r="B44" t="str">
            <v>As a general rule an amount equal to one (1) year's depreciation expense</v>
          </cell>
        </row>
        <row r="45">
          <cell r="B45" t="str">
            <v>should be kept on hand as a reserve for unforeseen contingencies.</v>
          </cell>
        </row>
        <row r="46">
          <cell r="B46" t="str">
            <v>See page 20.</v>
          </cell>
        </row>
        <row r="48">
          <cell r="D48" t="str">
            <v>Minimum Balance Suggested</v>
          </cell>
          <cell r="M48">
            <v>129117</v>
          </cell>
        </row>
        <row r="50">
          <cell r="A50" t="str">
            <v>(Subject to the comments in the attached</v>
          </cell>
        </row>
        <row r="51">
          <cell r="A51" t="str">
            <v>letter dated January 16, 2006 of Umbaugh)</v>
          </cell>
        </row>
        <row r="53">
          <cell r="A53">
            <v>19</v>
          </cell>
        </row>
      </sheetData>
      <sheetData sheetId="18" refreshError="1">
        <row r="1">
          <cell r="A1" t="str">
            <v>POSEY TOWNSHIP WATER CORPORATION</v>
          </cell>
        </row>
        <row r="3">
          <cell r="A3" t="str">
            <v xml:space="preserve">CALCULATION OF HISTORICAL ADDITIONS TO UTILITY PLANT </v>
          </cell>
        </row>
        <row r="4">
          <cell r="A4" t="str">
            <v>AND PRO FORMA DEPRECIATION EXPENSE</v>
          </cell>
        </row>
        <row r="5">
          <cell r="A5" t="str">
            <v>(Unaudited)</v>
          </cell>
        </row>
        <row r="6">
          <cell r="A6" t="str">
            <v xml:space="preserve"> </v>
          </cell>
        </row>
        <row r="7">
          <cell r="A7" t="str">
            <v>I.</v>
          </cell>
          <cell r="B7" t="str">
            <v>Calculation of Average Additions to Plant:</v>
          </cell>
        </row>
        <row r="9">
          <cell r="A9" t="str">
            <v xml:space="preserve">  Estimated utility plant in service at 12/31/02</v>
          </cell>
          <cell r="G9">
            <v>6378033</v>
          </cell>
        </row>
        <row r="11">
          <cell r="C11" t="str">
            <v>Calendar</v>
          </cell>
        </row>
        <row r="12">
          <cell r="C12" t="str">
            <v>Year</v>
          </cell>
          <cell r="E12" t="str">
            <v>Additions</v>
          </cell>
        </row>
        <row r="14">
          <cell r="C14">
            <v>2002</v>
          </cell>
        </row>
        <row r="15">
          <cell r="C15">
            <v>2003</v>
          </cell>
          <cell r="E15">
            <v>5100</v>
          </cell>
        </row>
        <row r="16">
          <cell r="C16">
            <v>2004</v>
          </cell>
          <cell r="E16">
            <v>26020</v>
          </cell>
        </row>
        <row r="17">
          <cell r="C17">
            <v>2005</v>
          </cell>
          <cell r="D17" t="str">
            <v>(10 Months)</v>
          </cell>
          <cell r="E17">
            <v>20320</v>
          </cell>
        </row>
        <row r="18">
          <cell r="C18" t="str">
            <v xml:space="preserve"> </v>
          </cell>
          <cell r="E18" t="str">
            <v xml:space="preserve"> </v>
          </cell>
        </row>
        <row r="19">
          <cell r="C19" t="str">
            <v>Total additions to utility plant</v>
          </cell>
          <cell r="G19">
            <v>51440</v>
          </cell>
        </row>
        <row r="20">
          <cell r="G20" t="str">
            <v xml:space="preserve"> </v>
          </cell>
        </row>
        <row r="21">
          <cell r="A21" t="str">
            <v xml:space="preserve">  Estimated utility plant in service at 10/31/05</v>
          </cell>
          <cell r="G21">
            <v>6429473</v>
          </cell>
        </row>
        <row r="22">
          <cell r="G22" t="str">
            <v xml:space="preserve"> </v>
          </cell>
        </row>
        <row r="24">
          <cell r="B24" t="str">
            <v>Calculation of historical average additions to plant funded through</v>
          </cell>
        </row>
        <row r="25">
          <cell r="B25" t="str">
            <v xml:space="preserve">  operating revenues.</v>
          </cell>
        </row>
        <row r="27">
          <cell r="C27" t="str">
            <v>Total additions to plant</v>
          </cell>
          <cell r="G27">
            <v>51440</v>
          </cell>
        </row>
        <row r="28">
          <cell r="C28" t="str">
            <v>Plus capitalized items 1/1/2003 - 10/31/05</v>
          </cell>
          <cell r="G28">
            <v>103697.72999999998</v>
          </cell>
        </row>
        <row r="29">
          <cell r="C29" t="str">
            <v>Plus construction in progress</v>
          </cell>
          <cell r="G29">
            <v>2960</v>
          </cell>
        </row>
        <row r="30">
          <cell r="C30" t="str">
            <v>Less contributions</v>
          </cell>
          <cell r="G30">
            <v>-71532</v>
          </cell>
        </row>
        <row r="32">
          <cell r="C32" t="str">
            <v>Net plant additions</v>
          </cell>
          <cell r="G32">
            <v>86565.729999999981</v>
          </cell>
        </row>
        <row r="33">
          <cell r="C33" t="str">
            <v>Divide by period covered (2 years 10 months)</v>
          </cell>
          <cell r="G33">
            <v>2.83</v>
          </cell>
        </row>
        <row r="35">
          <cell r="C35" t="str">
            <v xml:space="preserve">        Average annual additions to plant</v>
          </cell>
          <cell r="G35">
            <v>30589</v>
          </cell>
        </row>
        <row r="38">
          <cell r="A38" t="str">
            <v>II.</v>
          </cell>
          <cell r="B38" t="str">
            <v>Calculation of Annual Depreciation Expense:</v>
          </cell>
        </row>
        <row r="40">
          <cell r="B40" t="str">
            <v>Estimated Utility plant in service, as of 10/31/2005</v>
          </cell>
          <cell r="G40">
            <v>6429473</v>
          </cell>
        </row>
        <row r="41">
          <cell r="B41" t="str">
            <v>Plus capitalized items</v>
          </cell>
          <cell r="G41">
            <v>103697.72999999998</v>
          </cell>
        </row>
        <row r="42">
          <cell r="B42" t="str">
            <v>Less land</v>
          </cell>
          <cell r="G42">
            <v>-77300</v>
          </cell>
        </row>
        <row r="44">
          <cell r="B44" t="str">
            <v xml:space="preserve">       Sub-total</v>
          </cell>
          <cell r="G44">
            <v>6455870.7300000004</v>
          </cell>
        </row>
        <row r="45">
          <cell r="B45" t="str">
            <v>Times annual composite depreciation rate</v>
          </cell>
          <cell r="F45" t="str">
            <v xml:space="preserve"> </v>
          </cell>
          <cell r="G45">
            <v>0.02</v>
          </cell>
        </row>
        <row r="47">
          <cell r="B47" t="str">
            <v xml:space="preserve">        Annual Depreciation Expense</v>
          </cell>
          <cell r="G47">
            <v>129117</v>
          </cell>
        </row>
        <row r="56">
          <cell r="A56" t="str">
            <v>(Subject to the comments in the attached</v>
          </cell>
        </row>
        <row r="57">
          <cell r="A57" t="str">
            <v>letter dated January 16, 2006 of Umbaugh)</v>
          </cell>
        </row>
        <row r="59">
          <cell r="A59">
            <v>20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WTB"/>
      <sheetName val="Proj O&amp;M"/>
      <sheetName val="Proj O&amp;M adj"/>
      <sheetName val="RevReq"/>
      <sheetName val="Proj Cost"/>
      <sheetName val="PF COE"/>
      <sheetName val="Rev Req I"/>
      <sheetName val="Rev Req II"/>
      <sheetName val="Norm Rev"/>
      <sheetName val="Cap Impr"/>
      <sheetName val="Pres Prop Rt"/>
      <sheetName val="Comp Billings"/>
      <sheetName val="ST of NA"/>
      <sheetName val="Change in NA"/>
      <sheetName val="Detail Exp"/>
      <sheetName val="Detail Rev"/>
      <sheetName val="2001 Bonds"/>
      <sheetName val="1989 Bonds"/>
      <sheetName val="PSG Loan"/>
      <sheetName val="2005 Prop Bonds"/>
      <sheetName val="2005 Prop SRF"/>
      <sheetName val="Comb Bonds"/>
      <sheetName val="Add Plant"/>
      <sheetName val="CapImp"/>
      <sheetName val="ExpCapImp"/>
      <sheetName val="CapImp2"/>
      <sheetName val="CapImp3"/>
      <sheetName val="Rates"/>
      <sheetName val="SNA"/>
      <sheetName val="CNA"/>
      <sheetName val="SCF"/>
      <sheetName val="MinBal"/>
      <sheetName val="2000 Bonds"/>
      <sheetName val="2002 Bonds"/>
      <sheetName val="Combined"/>
      <sheetName val="UPIS"/>
      <sheetName val="Comparison"/>
      <sheetName val="Payroll TY"/>
      <sheetName val="Proj Pay"/>
      <sheetName val="Rev"/>
      <sheetName val="Fin Info"/>
      <sheetName val="Projected Disb."/>
      <sheetName val="Rec and Disb"/>
      <sheetName val="Adjustments"/>
      <sheetName val="Return"/>
      <sheetName val="Large Users 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BOONVILLE (INDIANA) MUNICIPAL WATER UTILITY</v>
          </cell>
        </row>
        <row r="3">
          <cell r="A3" t="str">
            <v>PRO FORMA ANNUAL CASH OPERATING EXPENSES</v>
          </cell>
        </row>
        <row r="4">
          <cell r="A4" t="str">
            <v>See Explanation of Adjustments, pages 3 to 11.</v>
          </cell>
        </row>
        <row r="5">
          <cell r="A5" t="str">
            <v>No inflation adjustment made.</v>
          </cell>
        </row>
        <row r="8">
          <cell r="A8" t="str">
            <v>Cash operating expenses for the 12 months</v>
          </cell>
        </row>
        <row r="9">
          <cell r="A9" t="str">
            <v xml:space="preserve">   ended June 30, 2004 (unaudited)</v>
          </cell>
          <cell r="L9">
            <v>1284092</v>
          </cell>
        </row>
        <row r="13">
          <cell r="A13" t="str">
            <v>Adjustments:</v>
          </cell>
        </row>
        <row r="15">
          <cell r="A15">
            <v>-1</v>
          </cell>
          <cell r="C15" t="str">
            <v>Payroll</v>
          </cell>
          <cell r="J15">
            <v>-63226</v>
          </cell>
        </row>
        <row r="16">
          <cell r="A16">
            <v>-2</v>
          </cell>
          <cell r="C16" t="str">
            <v>FICA</v>
          </cell>
          <cell r="J16">
            <v>168</v>
          </cell>
        </row>
        <row r="17">
          <cell r="A17">
            <v>-3</v>
          </cell>
          <cell r="C17" t="str">
            <v>Pension expense</v>
          </cell>
          <cell r="J17">
            <v>69</v>
          </cell>
        </row>
        <row r="18">
          <cell r="A18">
            <v>-4</v>
          </cell>
          <cell r="C18" t="str">
            <v>Health insurance</v>
          </cell>
          <cell r="J18">
            <v>2428</v>
          </cell>
        </row>
        <row r="19">
          <cell r="A19">
            <v>-5</v>
          </cell>
          <cell r="C19" t="str">
            <v>Life insurance</v>
          </cell>
          <cell r="J19">
            <v>12</v>
          </cell>
        </row>
        <row r="20">
          <cell r="A20">
            <v>-6</v>
          </cell>
          <cell r="C20" t="str">
            <v>Retirees insurance</v>
          </cell>
          <cell r="J20">
            <v>1242</v>
          </cell>
        </row>
        <row r="21">
          <cell r="A21">
            <v>-7</v>
          </cell>
          <cell r="C21" t="str">
            <v>Non-recurring or capital expenses</v>
          </cell>
          <cell r="J21">
            <v>-25473</v>
          </cell>
        </row>
        <row r="22">
          <cell r="A22">
            <v>-8</v>
          </cell>
          <cell r="C22" t="str">
            <v>Contractual services-US Filter</v>
          </cell>
          <cell r="J22">
            <v>6624.0149999999994</v>
          </cell>
        </row>
        <row r="23">
          <cell r="A23">
            <v>-9</v>
          </cell>
          <cell r="C23" t="str">
            <v>Contractual services-non-recurring or capital expenses</v>
          </cell>
          <cell r="J23">
            <v>-21104.080000000002</v>
          </cell>
        </row>
        <row r="24">
          <cell r="A24">
            <v>-10</v>
          </cell>
          <cell r="C24" t="str">
            <v>Rate case expense</v>
          </cell>
          <cell r="J24">
            <v>4750</v>
          </cell>
        </row>
        <row r="25">
          <cell r="A25">
            <v>-11</v>
          </cell>
          <cell r="C25" t="str">
            <v>Periodic maintenance</v>
          </cell>
          <cell r="J25">
            <v>44747.4</v>
          </cell>
        </row>
        <row r="26">
          <cell r="A26">
            <v>-12</v>
          </cell>
          <cell r="C26" t="str">
            <v>Customer growth</v>
          </cell>
          <cell r="J26">
            <v>0</v>
          </cell>
        </row>
        <row r="27">
          <cell r="A27">
            <v>-13</v>
          </cell>
          <cell r="C27" t="str">
            <v>Telephone expense</v>
          </cell>
          <cell r="J27">
            <v>208</v>
          </cell>
        </row>
        <row r="28">
          <cell r="A28">
            <v>-14</v>
          </cell>
          <cell r="C28" t="str">
            <v>General liability insurance</v>
          </cell>
          <cell r="J28">
            <v>668</v>
          </cell>
        </row>
        <row r="29">
          <cell r="A29">
            <v>-15</v>
          </cell>
          <cell r="C29" t="str">
            <v>Property and equipment insurance</v>
          </cell>
          <cell r="J29">
            <v>2480</v>
          </cell>
        </row>
        <row r="30">
          <cell r="A30">
            <v>-16</v>
          </cell>
          <cell r="C30" t="str">
            <v>Public officials insurance</v>
          </cell>
          <cell r="J30">
            <v>1100</v>
          </cell>
        </row>
        <row r="31">
          <cell r="A31">
            <v>-17</v>
          </cell>
          <cell r="C31" t="str">
            <v>Absorption costs</v>
          </cell>
          <cell r="J31">
            <v>17362</v>
          </cell>
        </row>
        <row r="32">
          <cell r="A32">
            <v>-18</v>
          </cell>
          <cell r="C32" t="str">
            <v>Payment in lieu of taxes</v>
          </cell>
          <cell r="J32">
            <v>59538</v>
          </cell>
        </row>
        <row r="33">
          <cell r="A33">
            <v>-19</v>
          </cell>
          <cell r="C33" t="str">
            <v>Gross income tax</v>
          </cell>
          <cell r="J33">
            <v>7488</v>
          </cell>
        </row>
        <row r="35">
          <cell r="E35" t="str">
            <v>Sub-total</v>
          </cell>
          <cell r="L35">
            <v>39081.334999999999</v>
          </cell>
        </row>
        <row r="37">
          <cell r="E37" t="str">
            <v>Pro Forma Annual Cash Operating Expenses</v>
          </cell>
          <cell r="L37">
            <v>1323173.335</v>
          </cell>
        </row>
        <row r="56">
          <cell r="A56" t="str">
            <v>(Continued on next page)</v>
          </cell>
        </row>
        <row r="58">
          <cell r="A58" t="str">
            <v>(Subject to the comments in the attached</v>
          </cell>
        </row>
        <row r="59">
          <cell r="A59" t="str">
            <v>letter dated July 5, 2005 of Umbaugh.)</v>
          </cell>
        </row>
        <row r="61">
          <cell r="A61" t="str">
            <v>2</v>
          </cell>
        </row>
        <row r="62">
          <cell r="A62" t="str">
            <v>BOONVILLE (INDIANA) MUNICIPAL WATER UTILITY</v>
          </cell>
        </row>
        <row r="63">
          <cell r="L63" t="str">
            <v>(Cont'd)</v>
          </cell>
        </row>
        <row r="64">
          <cell r="A64" t="str">
            <v>PRO FORMA ANNUAL CASH OPERATING EXPENSES</v>
          </cell>
        </row>
        <row r="65">
          <cell r="A65" t="str">
            <v>Explanation of adjustments</v>
          </cell>
        </row>
        <row r="66">
          <cell r="A66" t="str">
            <v>No inflation adjustment made.</v>
          </cell>
        </row>
        <row r="69">
          <cell r="A69" t="str">
            <v>Adjustment (1)</v>
          </cell>
        </row>
        <row r="71">
          <cell r="A71" t="str">
            <v xml:space="preserve">To adjust test year payroll expense to reflect pro forma salaries and wages, </v>
          </cell>
        </row>
        <row r="72">
          <cell r="A72" t="str">
            <v>(based on 2003 salary ordinance ).</v>
          </cell>
        </row>
        <row r="75">
          <cell r="C75" t="str">
            <v>Pro forma payroll</v>
          </cell>
          <cell r="L75">
            <v>59359.32</v>
          </cell>
        </row>
        <row r="76">
          <cell r="C76" t="str">
            <v>Less test year amount</v>
          </cell>
          <cell r="L76">
            <v>-122585</v>
          </cell>
        </row>
        <row r="78">
          <cell r="E78" t="str">
            <v>Adjustment</v>
          </cell>
          <cell r="L78">
            <v>-63226</v>
          </cell>
        </row>
        <row r="80">
          <cell r="A80" t="str">
            <v>Adjustment (2)</v>
          </cell>
        </row>
        <row r="82">
          <cell r="A82" t="str">
            <v>To adjust test year FICA expense to reflect pro forma payroll.</v>
          </cell>
        </row>
        <row r="84">
          <cell r="C84" t="str">
            <v>Pro forma payroll subject to FICA</v>
          </cell>
          <cell r="L84">
            <v>59359.32</v>
          </cell>
        </row>
        <row r="85">
          <cell r="C85" t="str">
            <v>Times FICA rate</v>
          </cell>
          <cell r="L85">
            <v>7.6499999999999999E-2</v>
          </cell>
        </row>
        <row r="87">
          <cell r="C87" t="str">
            <v>Pro forma FICA expense</v>
          </cell>
          <cell r="L87">
            <v>4541</v>
          </cell>
        </row>
        <row r="88">
          <cell r="C88" t="str">
            <v>Less test year amount</v>
          </cell>
          <cell r="L88">
            <v>-4373</v>
          </cell>
        </row>
        <row r="90">
          <cell r="E90" t="str">
            <v>Adjustment</v>
          </cell>
          <cell r="L90">
            <v>168</v>
          </cell>
        </row>
        <row r="92">
          <cell r="A92" t="str">
            <v>Adjustment (3)</v>
          </cell>
        </row>
        <row r="94">
          <cell r="A94" t="str">
            <v>To adjust test year PERF expense to reflect the pro forma payroll and 2001 PERF rate.</v>
          </cell>
        </row>
        <row r="96">
          <cell r="C96" t="str">
            <v>Pro forma payroll subject to PERF</v>
          </cell>
          <cell r="L96">
            <v>59359.32</v>
          </cell>
        </row>
        <row r="97">
          <cell r="C97" t="str">
            <v xml:space="preserve">Times PERF rate </v>
          </cell>
          <cell r="L97">
            <v>0.03</v>
          </cell>
        </row>
        <row r="99">
          <cell r="C99" t="str">
            <v>Pro forma PERF expense</v>
          </cell>
          <cell r="L99">
            <v>1781</v>
          </cell>
        </row>
        <row r="100">
          <cell r="C100" t="str">
            <v>Less test year expense</v>
          </cell>
          <cell r="L100">
            <v>-1712</v>
          </cell>
        </row>
        <row r="102">
          <cell r="E102" t="str">
            <v>Adjustment</v>
          </cell>
          <cell r="L102">
            <v>69</v>
          </cell>
        </row>
        <row r="117">
          <cell r="A117" t="str">
            <v>(Continued on next page)</v>
          </cell>
        </row>
        <row r="119">
          <cell r="A119" t="str">
            <v>(Subject to the comments in the attached</v>
          </cell>
        </row>
        <row r="120">
          <cell r="A120" t="str">
            <v>letter dated July 5, 2005 of Umbaugh.)</v>
          </cell>
        </row>
        <row r="122">
          <cell r="A122" t="str">
            <v>3</v>
          </cell>
        </row>
        <row r="123">
          <cell r="A123" t="str">
            <v>BOONVILLE (INDIANA) MUNICIPAL WATER UTILITY</v>
          </cell>
        </row>
        <row r="124">
          <cell r="L124" t="str">
            <v>(Cont'd)</v>
          </cell>
        </row>
        <row r="125">
          <cell r="A125" t="str">
            <v>PRO FORMA ANNUAL CASH OPERATING EXPENSES</v>
          </cell>
        </row>
        <row r="126">
          <cell r="A126" t="str">
            <v>Explanation of adjustments</v>
          </cell>
        </row>
        <row r="127">
          <cell r="A127" t="str">
            <v>No inflation adjustment made.</v>
          </cell>
        </row>
        <row r="130">
          <cell r="A130" t="str">
            <v xml:space="preserve">Adjustment (4) </v>
          </cell>
        </row>
        <row r="132">
          <cell r="A132" t="str">
            <v>To adjust test year health insurance expense to reflect the most current monthly premiums.</v>
          </cell>
        </row>
        <row r="134">
          <cell r="C134" t="str">
            <v>Pro forma health insurance expense</v>
          </cell>
          <cell r="L134">
            <v>21006</v>
          </cell>
        </row>
        <row r="135">
          <cell r="C135" t="str">
            <v>Less test year expense</v>
          </cell>
          <cell r="L135">
            <v>-18578</v>
          </cell>
        </row>
        <row r="137">
          <cell r="E137" t="str">
            <v>Adjustment</v>
          </cell>
          <cell r="L137">
            <v>2428</v>
          </cell>
        </row>
        <row r="139">
          <cell r="A139" t="str">
            <v xml:space="preserve">Adjustment (5) </v>
          </cell>
        </row>
        <row r="141">
          <cell r="A141" t="str">
            <v>To adjust test year life insurance expense to reflect the most current monthly premiums.</v>
          </cell>
        </row>
        <row r="143">
          <cell r="C143" t="str">
            <v>Pro forma life insurance expense</v>
          </cell>
          <cell r="L143">
            <v>269</v>
          </cell>
        </row>
        <row r="144">
          <cell r="C144" t="str">
            <v>Less test year expense</v>
          </cell>
          <cell r="L144">
            <v>-257</v>
          </cell>
        </row>
        <row r="146">
          <cell r="E146" t="str">
            <v>Adjustment</v>
          </cell>
          <cell r="L146">
            <v>12</v>
          </cell>
        </row>
        <row r="148">
          <cell r="A148" t="str">
            <v xml:space="preserve">Adjustment (6) </v>
          </cell>
        </row>
        <row r="150">
          <cell r="A150" t="str">
            <v>To adjust test year retirees insurance expense to reflect the most current monthly premiums.</v>
          </cell>
        </row>
        <row r="152">
          <cell r="C152" t="str">
            <v>Pro forma retirees insurance expense</v>
          </cell>
          <cell r="L152">
            <v>9043</v>
          </cell>
        </row>
        <row r="153">
          <cell r="C153" t="str">
            <v>Less test year expense</v>
          </cell>
          <cell r="L153">
            <v>-7801</v>
          </cell>
        </row>
        <row r="155">
          <cell r="E155" t="str">
            <v>Adjustment</v>
          </cell>
          <cell r="L155">
            <v>1242</v>
          </cell>
        </row>
        <row r="157">
          <cell r="A157" t="str">
            <v>Adjustment (7)</v>
          </cell>
        </row>
        <row r="159">
          <cell r="A159" t="str">
            <v xml:space="preserve">To eliminate test year expenses that are considered non-recurring or capital </v>
          </cell>
        </row>
        <row r="160">
          <cell r="A160" t="str">
            <v>expenditures.</v>
          </cell>
        </row>
        <row r="162">
          <cell r="E162" t="str">
            <v>Date</v>
          </cell>
          <cell r="G162" t="str">
            <v>Vendor</v>
          </cell>
          <cell r="I162" t="str">
            <v>Description</v>
          </cell>
          <cell r="L162" t="str">
            <v>Amount</v>
          </cell>
        </row>
        <row r="164">
          <cell r="E164" t="str">
            <v>September, 2003</v>
          </cell>
          <cell r="G164" t="str">
            <v>Tri-State Fence Co.</v>
          </cell>
          <cell r="I164" t="str">
            <v>Chain Link Fence, Iron pond</v>
          </cell>
          <cell r="L164">
            <v>-6547</v>
          </cell>
        </row>
        <row r="165">
          <cell r="E165" t="str">
            <v>November, 2003</v>
          </cell>
          <cell r="G165" t="str">
            <v>Infrasturcture systems, Inc.</v>
          </cell>
          <cell r="L165">
            <v>-6190</v>
          </cell>
        </row>
        <row r="166">
          <cell r="E166" t="str">
            <v>June, 2004</v>
          </cell>
          <cell r="G166" t="str">
            <v>Reynolds, Inc.</v>
          </cell>
          <cell r="I166" t="str">
            <v>New Filter &amp; Rehab</v>
          </cell>
          <cell r="L166">
            <v>-19283</v>
          </cell>
        </row>
        <row r="168">
          <cell r="E168" t="str">
            <v>Adjustment</v>
          </cell>
          <cell r="L168">
            <v>-25473</v>
          </cell>
        </row>
        <row r="177">
          <cell r="A177" t="str">
            <v>(Continued on next page)</v>
          </cell>
        </row>
        <row r="179">
          <cell r="A179" t="str">
            <v>(Subject to the comments in the attached</v>
          </cell>
        </row>
        <row r="180">
          <cell r="A180" t="str">
            <v>letter dated July 5, 2005 of Umbaugh.)</v>
          </cell>
        </row>
        <row r="182">
          <cell r="A182" t="str">
            <v>4</v>
          </cell>
        </row>
        <row r="183">
          <cell r="A183" t="str">
            <v>BOONVILLE (INDIANA) MUNICIPAL WATER UTILITY</v>
          </cell>
        </row>
        <row r="184">
          <cell r="L184" t="str">
            <v>(Cont'd)</v>
          </cell>
        </row>
        <row r="185">
          <cell r="A185" t="str">
            <v>PRO FORMA ANNUAL CASH OPERATING EXPENSES</v>
          </cell>
        </row>
        <row r="186">
          <cell r="A186" t="str">
            <v>Explanation of adjustments</v>
          </cell>
        </row>
        <row r="187">
          <cell r="A187" t="str">
            <v>No inflation adjustment made.</v>
          </cell>
        </row>
        <row r="190">
          <cell r="A190" t="str">
            <v>Adjustment (8)</v>
          </cell>
        </row>
        <row r="192">
          <cell r="A192" t="str">
            <v>To adjust test year contractual services expense to US Filter to reflect an increase of 1.5%.</v>
          </cell>
        </row>
        <row r="194">
          <cell r="C194" t="str">
            <v>Pro forma US Filter contract</v>
          </cell>
          <cell r="L194">
            <v>441601</v>
          </cell>
        </row>
        <row r="195">
          <cell r="C195" t="str">
            <v>Times 1.5% increase</v>
          </cell>
          <cell r="L195">
            <v>1.4999999999999999E-2</v>
          </cell>
        </row>
        <row r="197">
          <cell r="E197" t="str">
            <v>Adjustment</v>
          </cell>
          <cell r="L197">
            <v>6624.0149999999994</v>
          </cell>
        </row>
        <row r="199">
          <cell r="A199" t="str">
            <v>Adjustment (9)</v>
          </cell>
        </row>
        <row r="201">
          <cell r="A201" t="str">
            <v>To adjust test year contractual services-management fee for those expenditures</v>
          </cell>
        </row>
        <row r="202">
          <cell r="A202" t="str">
            <v>considered capital or non-recurring.</v>
          </cell>
        </row>
        <row r="204">
          <cell r="E204" t="str">
            <v>Date</v>
          </cell>
          <cell r="G204" t="str">
            <v>Vendor</v>
          </cell>
          <cell r="L204" t="str">
            <v xml:space="preserve"> </v>
          </cell>
        </row>
        <row r="205">
          <cell r="C205" t="str">
            <v xml:space="preserve"> </v>
          </cell>
          <cell r="L205" t="str">
            <v xml:space="preserve"> </v>
          </cell>
        </row>
        <row r="206">
          <cell r="E206" t="str">
            <v>September, 2003</v>
          </cell>
          <cell r="G206" t="str">
            <v>Keystone Consulting</v>
          </cell>
          <cell r="L206">
            <v>-1757</v>
          </cell>
        </row>
        <row r="207">
          <cell r="E207" t="str">
            <v>October, 2003</v>
          </cell>
          <cell r="G207" t="str">
            <v>Midwestern Engineers, Inc.</v>
          </cell>
          <cell r="L207">
            <v>-1908</v>
          </cell>
        </row>
        <row r="208">
          <cell r="E208" t="str">
            <v>October, 2003</v>
          </cell>
          <cell r="G208" t="str">
            <v>Reynolds, Inc.</v>
          </cell>
          <cell r="L208">
            <v>-1200</v>
          </cell>
        </row>
        <row r="209">
          <cell r="E209" t="str">
            <v>February, 2004</v>
          </cell>
          <cell r="G209" t="str">
            <v>Midwestern Engineers, Inc.</v>
          </cell>
          <cell r="L209">
            <v>-14119.08</v>
          </cell>
        </row>
        <row r="210">
          <cell r="E210" t="str">
            <v>March, 2004</v>
          </cell>
          <cell r="G210" t="str">
            <v>Midwestern Engineers, Inc.</v>
          </cell>
          <cell r="L210">
            <v>-500</v>
          </cell>
        </row>
        <row r="211">
          <cell r="E211" t="str">
            <v>April, 2004</v>
          </cell>
          <cell r="G211" t="str">
            <v>Midwestern Engineers, Inc.</v>
          </cell>
          <cell r="L211">
            <v>-1620</v>
          </cell>
        </row>
        <row r="212">
          <cell r="C212" t="str">
            <v xml:space="preserve">    </v>
          </cell>
        </row>
        <row r="213">
          <cell r="E213" t="str">
            <v>Adjustment</v>
          </cell>
          <cell r="L213">
            <v>-21104.080000000002</v>
          </cell>
        </row>
        <row r="215">
          <cell r="A215" t="str">
            <v xml:space="preserve">Adjustment (10) </v>
          </cell>
        </row>
        <row r="217">
          <cell r="A217" t="str">
            <v>To adjust for rate case expense amortized over a five year period.</v>
          </cell>
        </row>
        <row r="219">
          <cell r="C219" t="str">
            <v>Pro forma rate case expense</v>
          </cell>
          <cell r="L219">
            <v>25000</v>
          </cell>
        </row>
        <row r="220">
          <cell r="C220" t="str">
            <v>Amortize over 5 years</v>
          </cell>
          <cell r="L220">
            <v>5</v>
          </cell>
        </row>
        <row r="222">
          <cell r="C222" t="str">
            <v>Annual expense</v>
          </cell>
          <cell r="L222">
            <v>5000</v>
          </cell>
        </row>
        <row r="223">
          <cell r="C223" t="str">
            <v>Less test year expense</v>
          </cell>
          <cell r="L223">
            <v>-250</v>
          </cell>
        </row>
        <row r="225">
          <cell r="E225" t="str">
            <v>Adjustment</v>
          </cell>
          <cell r="L225">
            <v>4750</v>
          </cell>
        </row>
        <row r="233">
          <cell r="A233" t="str">
            <v>(Continued on next page)</v>
          </cell>
        </row>
        <row r="235">
          <cell r="A235" t="str">
            <v>(Subject to the comments in the attached</v>
          </cell>
        </row>
        <row r="236">
          <cell r="A236" t="str">
            <v>letter dated July 5, 2005 of Umbaugh.)</v>
          </cell>
        </row>
        <row r="238">
          <cell r="A238" t="str">
            <v>5</v>
          </cell>
        </row>
        <row r="239">
          <cell r="A239" t="str">
            <v>BOONVILLE (INDIANA) MUNICIPAL WATER UTILITY</v>
          </cell>
        </row>
        <row r="240">
          <cell r="L240" t="str">
            <v>(Cont'd)</v>
          </cell>
        </row>
        <row r="241">
          <cell r="A241" t="str">
            <v>PRO FORMA ANNUAL CASH OPERATING EXPENSES</v>
          </cell>
        </row>
        <row r="242">
          <cell r="A242" t="str">
            <v>Explanation of adjustments</v>
          </cell>
        </row>
        <row r="243">
          <cell r="A243" t="str">
            <v>No inflation adjustment made.</v>
          </cell>
        </row>
        <row r="246">
          <cell r="A246" t="str">
            <v xml:space="preserve">Adjustment (11) </v>
          </cell>
        </row>
        <row r="248">
          <cell r="A248" t="str">
            <v>To adjust test year expenses to reflect pro forma annual periodic maintenance expenses,</v>
          </cell>
        </row>
        <row r="249">
          <cell r="A249" t="str">
            <v>as determined by the utility manager.</v>
          </cell>
        </row>
        <row r="251">
          <cell r="A251" t="str">
            <v>A.</v>
          </cell>
          <cell r="C251" t="str">
            <v>Tank Maintenance:</v>
          </cell>
        </row>
        <row r="252">
          <cell r="C252" t="str">
            <v xml:space="preserve">   Elevated tanks (500 MG) (2 @ $97,498)</v>
          </cell>
          <cell r="J252">
            <v>194996</v>
          </cell>
        </row>
        <row r="253">
          <cell r="C253" t="str">
            <v xml:space="preserve">   Ground level tank (1.6 MG)</v>
          </cell>
          <cell r="J253">
            <v>12000</v>
          </cell>
        </row>
        <row r="254">
          <cell r="C254" t="str">
            <v xml:space="preserve">   Ground level tank (500 MG)</v>
          </cell>
          <cell r="J254">
            <v>9250</v>
          </cell>
        </row>
        <row r="256">
          <cell r="C256" t="str">
            <v xml:space="preserve">        Total</v>
          </cell>
          <cell r="J256">
            <v>216246</v>
          </cell>
        </row>
        <row r="257">
          <cell r="C257" t="str">
            <v xml:space="preserve">   Amortize over fifteen years</v>
          </cell>
          <cell r="J257">
            <v>15</v>
          </cell>
        </row>
        <row r="259">
          <cell r="C259" t="str">
            <v xml:space="preserve">        Sub-total</v>
          </cell>
          <cell r="L259">
            <v>14416.4</v>
          </cell>
        </row>
        <row r="261">
          <cell r="A261" t="str">
            <v>B.</v>
          </cell>
          <cell r="C261" t="str">
            <v>Wells:</v>
          </cell>
        </row>
        <row r="262">
          <cell r="C262" t="str">
            <v xml:space="preserve">   Well cleaning (6 wells @ $9,350)</v>
          </cell>
          <cell r="J262">
            <v>56100</v>
          </cell>
        </row>
        <row r="263">
          <cell r="C263" t="str">
            <v xml:space="preserve">   Amortize over 3 years</v>
          </cell>
          <cell r="J263">
            <v>3</v>
          </cell>
        </row>
        <row r="265">
          <cell r="C265" t="str">
            <v xml:space="preserve">        Sub-total</v>
          </cell>
          <cell r="L265">
            <v>18700</v>
          </cell>
        </row>
        <row r="267">
          <cell r="A267" t="str">
            <v>C.</v>
          </cell>
          <cell r="C267" t="str">
            <v>Clear Wells:</v>
          </cell>
        </row>
        <row r="268">
          <cell r="C268" t="str">
            <v xml:space="preserve">   Well cleaning (2 clear wells @ $10,000)</v>
          </cell>
          <cell r="J268">
            <v>20000</v>
          </cell>
        </row>
        <row r="269">
          <cell r="C269" t="str">
            <v xml:space="preserve">   Amortized over 5 years</v>
          </cell>
          <cell r="J269">
            <v>5</v>
          </cell>
        </row>
        <row r="271">
          <cell r="C271" t="str">
            <v xml:space="preserve">        Sub-total</v>
          </cell>
          <cell r="L271">
            <v>4000</v>
          </cell>
        </row>
        <row r="273">
          <cell r="A273" t="str">
            <v>D.</v>
          </cell>
          <cell r="C273" t="str">
            <v>Filters:</v>
          </cell>
        </row>
        <row r="274">
          <cell r="C274" t="str">
            <v xml:space="preserve">   Cost of overhauling filters (6 filters @ $10,000)</v>
          </cell>
          <cell r="J274">
            <v>60000</v>
          </cell>
        </row>
        <row r="275">
          <cell r="C275" t="str">
            <v xml:space="preserve">   Amortize over ten years</v>
          </cell>
          <cell r="J275">
            <v>10</v>
          </cell>
        </row>
        <row r="277">
          <cell r="C277" t="str">
            <v xml:space="preserve">        Sub-total</v>
          </cell>
          <cell r="L277">
            <v>6000</v>
          </cell>
        </row>
        <row r="279">
          <cell r="A279" t="str">
            <v>E.</v>
          </cell>
          <cell r="C279" t="str">
            <v>Pumping:</v>
          </cell>
        </row>
        <row r="280">
          <cell r="C280" t="str">
            <v xml:space="preserve">   High service booster pump maintenance (2 pumps @ $4,000)</v>
          </cell>
          <cell r="J280">
            <v>8000</v>
          </cell>
        </row>
        <row r="281">
          <cell r="C281" t="str">
            <v xml:space="preserve">   Raw booster pump maintenance (2 pumps @ $4,000)</v>
          </cell>
          <cell r="J281">
            <v>8000</v>
          </cell>
        </row>
        <row r="282">
          <cell r="C282" t="str">
            <v xml:space="preserve">   EBY booster pump maintenance (2 pumps @ $4,000)</v>
          </cell>
          <cell r="J282">
            <v>8000</v>
          </cell>
        </row>
        <row r="284">
          <cell r="C284" t="str">
            <v xml:space="preserve">        Total</v>
          </cell>
          <cell r="J284">
            <v>24000</v>
          </cell>
        </row>
        <row r="285">
          <cell r="C285" t="str">
            <v xml:space="preserve">   Amortize over ten years</v>
          </cell>
          <cell r="J285">
            <v>10</v>
          </cell>
        </row>
        <row r="287">
          <cell r="C287" t="str">
            <v xml:space="preserve">        Sub-total</v>
          </cell>
          <cell r="L287">
            <v>2400</v>
          </cell>
        </row>
        <row r="289">
          <cell r="C289" t="str">
            <v>Pro forma annual periodic maintenance expense</v>
          </cell>
          <cell r="L289">
            <v>45516.4</v>
          </cell>
        </row>
        <row r="290">
          <cell r="C290" t="str">
            <v>Less test year periodic maintenance expense</v>
          </cell>
          <cell r="L290">
            <v>-769</v>
          </cell>
        </row>
        <row r="292">
          <cell r="E292" t="str">
            <v>Adjustment</v>
          </cell>
          <cell r="L292">
            <v>44747.4</v>
          </cell>
        </row>
        <row r="294">
          <cell r="A294" t="str">
            <v>(Continued on next page)</v>
          </cell>
        </row>
        <row r="296">
          <cell r="A296" t="str">
            <v>(Subject to the comments in the attached</v>
          </cell>
        </row>
        <row r="297">
          <cell r="A297" t="str">
            <v>letter dated July 5, 2005 of Umbaugh.)</v>
          </cell>
        </row>
        <row r="299">
          <cell r="A299" t="str">
            <v>6</v>
          </cell>
        </row>
        <row r="300">
          <cell r="A300" t="str">
            <v>BOONVILLE (INDIANA) MUNICIPAL WATER UTILITY</v>
          </cell>
        </row>
        <row r="301">
          <cell r="L301" t="str">
            <v>(Cont'd)</v>
          </cell>
        </row>
        <row r="302">
          <cell r="A302" t="str">
            <v>PRO FORMA ANNUAL CASH OPERATING EXPENSES</v>
          </cell>
        </row>
        <row r="303">
          <cell r="A303" t="str">
            <v>Explanation of adjustments</v>
          </cell>
        </row>
        <row r="304">
          <cell r="A304" t="str">
            <v>No inflation adjustment made.</v>
          </cell>
        </row>
        <row r="307">
          <cell r="A307" t="str">
            <v>Adjustment (12)</v>
          </cell>
        </row>
        <row r="309">
          <cell r="A309" t="str">
            <v>To adjust test year expenses to normalize for the pro forma effects of users</v>
          </cell>
        </row>
        <row r="310">
          <cell r="A310" t="str">
            <v>added to the system during the test year.</v>
          </cell>
        </row>
        <row r="312">
          <cell r="A312" t="str">
            <v>(A)</v>
          </cell>
          <cell r="C312" t="str">
            <v>Pro forma annual increase in residential gallons sold due</v>
          </cell>
        </row>
        <row r="313">
          <cell r="C313" t="str">
            <v>to new users (78 monthly bills at 4,800 gallons</v>
          </cell>
        </row>
        <row r="314">
          <cell r="C314" t="str">
            <v>per month, see page 14)</v>
          </cell>
          <cell r="J314">
            <v>3549</v>
          </cell>
          <cell r="L314" t="str">
            <v>/100 gallons</v>
          </cell>
        </row>
        <row r="315">
          <cell r="C315" t="str">
            <v>Pro forma annual increase in commercial gallons sold due</v>
          </cell>
        </row>
        <row r="316">
          <cell r="C316" t="str">
            <v>to new users (10 monthly bills at 19,900 gallons</v>
          </cell>
        </row>
        <row r="317">
          <cell r="C317" t="str">
            <v>per month, see page 15)</v>
          </cell>
          <cell r="J317">
            <v>1716</v>
          </cell>
          <cell r="L317" t="str">
            <v>/100 gallons</v>
          </cell>
        </row>
        <row r="319">
          <cell r="C319" t="str">
            <v>Sub-total</v>
          </cell>
          <cell r="J319">
            <v>5265</v>
          </cell>
        </row>
        <row r="320">
          <cell r="C320" t="str">
            <v>Divide by test year billed flow to residential</v>
          </cell>
        </row>
        <row r="321">
          <cell r="C321" t="str">
            <v xml:space="preserve">  and commercial customers</v>
          </cell>
          <cell r="J321">
            <v>2707960</v>
          </cell>
        </row>
        <row r="323">
          <cell r="C323" t="str">
            <v xml:space="preserve">     Percentage increase</v>
          </cell>
          <cell r="J323">
            <v>0</v>
          </cell>
        </row>
        <row r="326">
          <cell r="H326" t="str">
            <v>Test Year</v>
          </cell>
          <cell r="J326" t="str">
            <v>Percentage</v>
          </cell>
        </row>
        <row r="327">
          <cell r="H327" t="str">
            <v>Expense</v>
          </cell>
          <cell r="J327" t="str">
            <v>Increase</v>
          </cell>
          <cell r="L327" t="str">
            <v>Adjustment</v>
          </cell>
        </row>
        <row r="328">
          <cell r="J328" t="str">
            <v>(%)</v>
          </cell>
        </row>
        <row r="330">
          <cell r="A330" t="str">
            <v>(A)</v>
          </cell>
          <cell r="C330" t="str">
            <v>Purchased power-source of supply</v>
          </cell>
          <cell r="H330">
            <v>43996</v>
          </cell>
          <cell r="J330">
            <v>0</v>
          </cell>
          <cell r="L330">
            <v>0</v>
          </cell>
        </row>
        <row r="331">
          <cell r="A331" t="str">
            <v>(A)</v>
          </cell>
          <cell r="C331" t="str">
            <v>Purchased power-treatment</v>
          </cell>
          <cell r="H331">
            <v>99872</v>
          </cell>
          <cell r="J331">
            <v>0</v>
          </cell>
          <cell r="L331">
            <v>0</v>
          </cell>
        </row>
        <row r="333">
          <cell r="E333" t="str">
            <v>Adjustment</v>
          </cell>
          <cell r="L333">
            <v>0</v>
          </cell>
        </row>
        <row r="355">
          <cell r="A355" t="str">
            <v>(Continued on next page)</v>
          </cell>
        </row>
        <row r="357">
          <cell r="A357" t="str">
            <v>(Subject to the comments in the attached</v>
          </cell>
        </row>
        <row r="358">
          <cell r="A358" t="str">
            <v>letter dated July 5, 2005 of Umbaugh.)</v>
          </cell>
        </row>
        <row r="360">
          <cell r="A360" t="str">
            <v>7</v>
          </cell>
        </row>
        <row r="361">
          <cell r="A361" t="str">
            <v>BOONVILLE (INDIANA) MUNICIPAL WATER UTILITY</v>
          </cell>
        </row>
        <row r="362">
          <cell r="L362" t="str">
            <v>(Cont'd)</v>
          </cell>
        </row>
        <row r="363">
          <cell r="A363" t="str">
            <v>PRO FORMA ANNUAL CASH OPERATING EXPENSES</v>
          </cell>
        </row>
        <row r="364">
          <cell r="A364" t="str">
            <v>Explanation of adjustments</v>
          </cell>
        </row>
        <row r="365">
          <cell r="A365" t="str">
            <v>No inflation adjustment made.</v>
          </cell>
        </row>
        <row r="368">
          <cell r="A368" t="str">
            <v>Adjustment (13)</v>
          </cell>
        </row>
        <row r="370">
          <cell r="A370" t="str">
            <v>To adjust test year telephone expense to reflect the most current monthly service fee.</v>
          </cell>
        </row>
        <row r="372">
          <cell r="B372" t="str">
            <v>Pro forma telephone expenses ($234.70 times 12 months)</v>
          </cell>
          <cell r="L372">
            <v>2816</v>
          </cell>
        </row>
        <row r="373">
          <cell r="B373" t="str">
            <v>Less test year expense</v>
          </cell>
          <cell r="L373">
            <v>-2608</v>
          </cell>
        </row>
        <row r="375">
          <cell r="E375" t="str">
            <v>Adjustment</v>
          </cell>
          <cell r="L375">
            <v>208</v>
          </cell>
        </row>
        <row r="378">
          <cell r="A378" t="str">
            <v>Adjustment (14)</v>
          </cell>
        </row>
        <row r="380">
          <cell r="A380" t="str">
            <v>To adjust test year general liability insurance expense to reflect the most current premium</v>
          </cell>
        </row>
        <row r="381">
          <cell r="A381" t="str">
            <v>and the absorption of costs previously allocated to the electric utility.</v>
          </cell>
        </row>
        <row r="383">
          <cell r="B383" t="str">
            <v xml:space="preserve">Quarterly general liability premium previously </v>
          </cell>
        </row>
        <row r="384">
          <cell r="B384" t="str">
            <v xml:space="preserve">  allocated to the electric utility</v>
          </cell>
          <cell r="L384">
            <v>334</v>
          </cell>
        </row>
        <row r="385">
          <cell r="B385" t="str">
            <v xml:space="preserve">Times pro forma percentage allocable to the water utility </v>
          </cell>
          <cell r="L385">
            <v>0.5</v>
          </cell>
        </row>
        <row r="387">
          <cell r="B387" t="str">
            <v>Sub-total</v>
          </cell>
          <cell r="L387">
            <v>167</v>
          </cell>
        </row>
        <row r="388">
          <cell r="B388" t="str">
            <v>Times 4 quarters</v>
          </cell>
          <cell r="L388">
            <v>4</v>
          </cell>
        </row>
        <row r="390">
          <cell r="B390" t="str">
            <v>Pro forma general liability insurance allocated to the water utility</v>
          </cell>
          <cell r="L390">
            <v>668</v>
          </cell>
        </row>
        <row r="391">
          <cell r="B391" t="str">
            <v>Less test year expense</v>
          </cell>
          <cell r="L391">
            <v>0</v>
          </cell>
        </row>
        <row r="393">
          <cell r="E393" t="str">
            <v>Adjustment</v>
          </cell>
          <cell r="L393">
            <v>668</v>
          </cell>
        </row>
        <row r="416">
          <cell r="A416" t="str">
            <v>(Continued on next page)</v>
          </cell>
        </row>
        <row r="418">
          <cell r="A418" t="str">
            <v>(Subject to the comments in the attached</v>
          </cell>
        </row>
        <row r="419">
          <cell r="A419" t="str">
            <v>letter dated July 5, 2005 of Umbaugh.)</v>
          </cell>
        </row>
        <row r="421">
          <cell r="A421" t="str">
            <v>8</v>
          </cell>
        </row>
        <row r="422">
          <cell r="A422" t="str">
            <v>BOONVILLE (INDIANA) MUNICIPAL WATER UTILITY</v>
          </cell>
        </row>
        <row r="423">
          <cell r="L423" t="str">
            <v>(Cont'd)</v>
          </cell>
        </row>
        <row r="424">
          <cell r="A424" t="str">
            <v>PRO FORMA ANNUAL CASH OPERATING EXPENSES</v>
          </cell>
        </row>
        <row r="425">
          <cell r="A425" t="str">
            <v>Explanation of adjustments</v>
          </cell>
        </row>
        <row r="426">
          <cell r="A426" t="str">
            <v>No inflation adjustment made.</v>
          </cell>
        </row>
        <row r="429">
          <cell r="A429" t="str">
            <v>Adjustment (15)</v>
          </cell>
        </row>
        <row r="431">
          <cell r="A431" t="str">
            <v>To adjust test year property and equipment insurance expense to reflect the most current premium</v>
          </cell>
        </row>
        <row r="432">
          <cell r="A432" t="str">
            <v>and the absorption of costs previously allocated to the electric utility.</v>
          </cell>
        </row>
        <row r="434">
          <cell r="B434" t="str">
            <v>Quarterly property and equipment insurance premium</v>
          </cell>
        </row>
        <row r="435">
          <cell r="B435" t="str">
            <v xml:space="preserve">  previously allocated to the electric utility</v>
          </cell>
          <cell r="L435">
            <v>826.25</v>
          </cell>
        </row>
        <row r="436">
          <cell r="B436" t="str">
            <v xml:space="preserve">Times pro forma percentage allocable to the water utility </v>
          </cell>
          <cell r="L436">
            <v>0.5</v>
          </cell>
        </row>
        <row r="438">
          <cell r="B438" t="str">
            <v>Sub-total</v>
          </cell>
          <cell r="L438">
            <v>413.125</v>
          </cell>
        </row>
        <row r="439">
          <cell r="B439" t="str">
            <v>Add existing quarterly premium allocated to the water utility</v>
          </cell>
          <cell r="L439">
            <v>826.25</v>
          </cell>
        </row>
        <row r="441">
          <cell r="B441" t="str">
            <v>Pro forma quarterly premium</v>
          </cell>
          <cell r="L441">
            <v>1239</v>
          </cell>
        </row>
        <row r="442">
          <cell r="B442" t="str">
            <v>Times 4 quarters</v>
          </cell>
          <cell r="L442">
            <v>4</v>
          </cell>
        </row>
        <row r="444">
          <cell r="B444" t="str">
            <v>Pro forma property and equipment insurance allocated to the water utility</v>
          </cell>
          <cell r="L444">
            <v>4956</v>
          </cell>
        </row>
        <row r="445">
          <cell r="B445" t="str">
            <v>Less test year expense</v>
          </cell>
          <cell r="L445">
            <v>-2476</v>
          </cell>
        </row>
        <row r="447">
          <cell r="E447" t="str">
            <v>Adjustment</v>
          </cell>
          <cell r="L447">
            <v>2480</v>
          </cell>
        </row>
        <row r="450">
          <cell r="A450" t="str">
            <v>Adjustment (16)</v>
          </cell>
        </row>
        <row r="452">
          <cell r="A452" t="str">
            <v>To adjust test year public officials insurance expense to reflect the portion of the most</v>
          </cell>
        </row>
        <row r="453">
          <cell r="A453" t="str">
            <v>current premium to be allocated to the water utility.</v>
          </cell>
        </row>
        <row r="455">
          <cell r="B455" t="str">
            <v>Quarterly public officials insurance premium to be allocated</v>
          </cell>
        </row>
        <row r="456">
          <cell r="B456" t="str">
            <v xml:space="preserve">  to the water utility ($1,650 divided by 6 departments)</v>
          </cell>
          <cell r="L456">
            <v>275</v>
          </cell>
        </row>
        <row r="457">
          <cell r="B457" t="str">
            <v>Times 4 quarters</v>
          </cell>
          <cell r="L457">
            <v>4</v>
          </cell>
        </row>
        <row r="459">
          <cell r="B459" t="str">
            <v>Pro forma public officials insurance allocated to the water utility</v>
          </cell>
          <cell r="L459">
            <v>1100</v>
          </cell>
        </row>
        <row r="460">
          <cell r="B460" t="str">
            <v>Less test year expense</v>
          </cell>
          <cell r="L460">
            <v>0</v>
          </cell>
        </row>
        <row r="462">
          <cell r="E462" t="str">
            <v>Adjustment</v>
          </cell>
          <cell r="L462">
            <v>1100</v>
          </cell>
        </row>
        <row r="477">
          <cell r="A477" t="str">
            <v>(Continued on next page)</v>
          </cell>
        </row>
        <row r="479">
          <cell r="A479" t="str">
            <v>(Subject to the comments in the attached</v>
          </cell>
        </row>
        <row r="480">
          <cell r="A480" t="str">
            <v>letter dated July 5, 2005 of Umbaugh.)</v>
          </cell>
        </row>
        <row r="482">
          <cell r="A482" t="str">
            <v>9</v>
          </cell>
        </row>
        <row r="483">
          <cell r="A483" t="str">
            <v>BOONVILLE (INDIANA) MUNICIPAL WATER UTILITY</v>
          </cell>
        </row>
        <row r="484">
          <cell r="L484" t="str">
            <v>(Cont'd)</v>
          </cell>
        </row>
        <row r="485">
          <cell r="A485" t="str">
            <v>PRO FORMA ANNUAL CASH OPERATING EXPENSES</v>
          </cell>
        </row>
        <row r="486">
          <cell r="A486" t="str">
            <v>Explanation of adjustments</v>
          </cell>
        </row>
        <row r="487">
          <cell r="A487" t="str">
            <v>No inflation adjustment made.</v>
          </cell>
        </row>
        <row r="490">
          <cell r="A490" t="str">
            <v>Adjustment (17)</v>
          </cell>
        </row>
        <row r="492">
          <cell r="A492" t="str">
            <v>To adjust test year water utility operation and maintenance expense to reflect those</v>
          </cell>
        </row>
        <row r="493">
          <cell r="A493" t="str">
            <v>costs previously charged to the electric utility that will remain the responsibility of the</v>
          </cell>
        </row>
        <row r="494">
          <cell r="A494" t="str">
            <v xml:space="preserve">City of Boonville and be charged to other departments.  </v>
          </cell>
        </row>
        <row r="495">
          <cell r="L495" t="str">
            <v>Amount</v>
          </cell>
        </row>
        <row r="496">
          <cell r="L496" t="str">
            <v>Allocated to the</v>
          </cell>
        </row>
        <row r="497">
          <cell r="B497" t="str">
            <v>Vendor</v>
          </cell>
          <cell r="L497" t="str">
            <v>Water Utility</v>
          </cell>
        </row>
        <row r="499">
          <cell r="B499" t="str">
            <v>A.E. Boyce</v>
          </cell>
          <cell r="L499">
            <v>732</v>
          </cell>
        </row>
        <row r="500">
          <cell r="B500" t="str">
            <v>Action Pest Control</v>
          </cell>
          <cell r="L500">
            <v>97</v>
          </cell>
        </row>
        <row r="501">
          <cell r="B501" t="str">
            <v>Aramark Uniform Services</v>
          </cell>
          <cell r="L501">
            <v>409</v>
          </cell>
        </row>
        <row r="502">
          <cell r="B502" t="str">
            <v>Ameritech</v>
          </cell>
          <cell r="L502">
            <v>205</v>
          </cell>
        </row>
        <row r="503">
          <cell r="B503" t="str">
            <v>Boonville Natural Gas</v>
          </cell>
          <cell r="L503">
            <v>366</v>
          </cell>
        </row>
        <row r="504">
          <cell r="B504" t="str">
            <v>CNG Appliances</v>
          </cell>
          <cell r="L504">
            <v>35</v>
          </cell>
        </row>
        <row r="505">
          <cell r="B505" t="str">
            <v>Charmark Computer Services</v>
          </cell>
          <cell r="L505">
            <v>1852</v>
          </cell>
        </row>
        <row r="506">
          <cell r="B506" t="str">
            <v>Diebold Inc.</v>
          </cell>
          <cell r="L506">
            <v>184</v>
          </cell>
        </row>
        <row r="507">
          <cell r="B507" t="str">
            <v>Ikon Office Solutions</v>
          </cell>
          <cell r="L507">
            <v>408</v>
          </cell>
        </row>
        <row r="508">
          <cell r="B508" t="str">
            <v>Killion Office Products</v>
          </cell>
          <cell r="L508">
            <v>2545</v>
          </cell>
        </row>
        <row r="509">
          <cell r="B509" t="str">
            <v>Lang Company</v>
          </cell>
          <cell r="L509">
            <v>488</v>
          </cell>
        </row>
        <row r="510">
          <cell r="B510" t="str">
            <v>McNeely Insurance</v>
          </cell>
          <cell r="L510">
            <v>4703</v>
          </cell>
        </row>
        <row r="511">
          <cell r="B511" t="str">
            <v>Pitney Bowes</v>
          </cell>
          <cell r="L511">
            <v>553</v>
          </cell>
        </row>
        <row r="512">
          <cell r="B512" t="str">
            <v>Starbrite Window Cleaning</v>
          </cell>
          <cell r="L512">
            <v>64</v>
          </cell>
        </row>
        <row r="513">
          <cell r="B513" t="str">
            <v>Servpro</v>
          </cell>
          <cell r="L513">
            <v>291</v>
          </cell>
        </row>
        <row r="514">
          <cell r="B514" t="str">
            <v>US Postmaster</v>
          </cell>
          <cell r="L514">
            <v>4069</v>
          </cell>
        </row>
        <row r="515">
          <cell r="B515" t="str">
            <v>Wal-Mart</v>
          </cell>
          <cell r="L515">
            <v>226</v>
          </cell>
        </row>
        <row r="516">
          <cell r="B516" t="str">
            <v>Xerox Corp.</v>
          </cell>
          <cell r="L516">
            <v>135</v>
          </cell>
        </row>
        <row r="518">
          <cell r="E518" t="str">
            <v>Adjustment</v>
          </cell>
          <cell r="L518">
            <v>17362</v>
          </cell>
        </row>
        <row r="538">
          <cell r="A538" t="str">
            <v>(Continued on next page)</v>
          </cell>
        </row>
        <row r="540">
          <cell r="A540" t="str">
            <v>(Subject to the comments in the attached</v>
          </cell>
        </row>
        <row r="541">
          <cell r="A541" t="str">
            <v>letter dated July 5, 2005 of Umbaugh.)</v>
          </cell>
        </row>
        <row r="543">
          <cell r="A543" t="str">
            <v>10</v>
          </cell>
        </row>
        <row r="544">
          <cell r="A544" t="str">
            <v>BOONVILLE (INDIANA) MUNICIPAL WATER UTILITY</v>
          </cell>
        </row>
        <row r="545">
          <cell r="L545" t="str">
            <v>(Cont'd)</v>
          </cell>
        </row>
        <row r="546">
          <cell r="A546" t="str">
            <v>PRO FORMA ANNUAL CASH OPERATING EXPENSES</v>
          </cell>
        </row>
        <row r="547">
          <cell r="A547" t="str">
            <v>Explanation of adjustments</v>
          </cell>
        </row>
        <row r="548">
          <cell r="A548" t="str">
            <v>No inflation adjustment made.</v>
          </cell>
        </row>
        <row r="551">
          <cell r="A551" t="str">
            <v>Adjustment (18)</v>
          </cell>
        </row>
        <row r="553">
          <cell r="A553" t="str">
            <v xml:space="preserve">To provide for payment in lieu of property taxes which would have been received </v>
          </cell>
        </row>
        <row r="554">
          <cell r="A554" t="str">
            <v>had the Utility been privately owned.</v>
          </cell>
        </row>
        <row r="556">
          <cell r="C556" t="str">
            <v>Utility plant in service at 6/30/04  (unaudited)</v>
          </cell>
          <cell r="L556">
            <v>5169797</v>
          </cell>
        </row>
        <row r="557">
          <cell r="C557" t="str">
            <v>Less accumulated depreciation</v>
          </cell>
          <cell r="L557">
            <v>45810</v>
          </cell>
        </row>
        <row r="558">
          <cell r="C558" t="str">
            <v>Add capitalized items in test year</v>
          </cell>
          <cell r="L558">
            <v>46577.08</v>
          </cell>
        </row>
        <row r="560">
          <cell r="C560" t="str">
            <v>Net utility plant in service</v>
          </cell>
          <cell r="L560">
            <v>5262184.08</v>
          </cell>
        </row>
        <row r="561">
          <cell r="C561" t="str">
            <v>Divide by 3</v>
          </cell>
          <cell r="L561">
            <v>3</v>
          </cell>
        </row>
        <row r="563">
          <cell r="E563" t="str">
            <v>Estimated net assessed value</v>
          </cell>
          <cell r="L563">
            <v>1754061</v>
          </cell>
        </row>
        <row r="565">
          <cell r="C565" t="str">
            <v>Payment in lieu of taxes based on the corporate tax rate of $4.3800</v>
          </cell>
        </row>
        <row r="566">
          <cell r="C566" t="str">
            <v xml:space="preserve">   per $100 of assessed value for taxes payable in 2005 (rate net of </v>
          </cell>
        </row>
        <row r="567">
          <cell r="C567" t="str">
            <v xml:space="preserve">   15.9966% property tax replacement credit is $3.6793)</v>
          </cell>
          <cell r="L567">
            <v>64538</v>
          </cell>
        </row>
        <row r="569">
          <cell r="C569" t="str">
            <v>Less test year expense</v>
          </cell>
          <cell r="L569">
            <v>-5000</v>
          </cell>
        </row>
        <row r="571">
          <cell r="E571" t="str">
            <v>Adjustment</v>
          </cell>
          <cell r="L571">
            <v>59538</v>
          </cell>
        </row>
        <row r="574">
          <cell r="A574" t="str">
            <v>Adjustment (19)</v>
          </cell>
        </row>
        <row r="576">
          <cell r="A576" t="str">
            <v>To provide for pro forma gross income tax.</v>
          </cell>
        </row>
        <row r="578">
          <cell r="C578" t="str">
            <v>Test year revenues</v>
          </cell>
          <cell r="L578">
            <v>2735078</v>
          </cell>
        </row>
        <row r="579">
          <cell r="C579" t="str">
            <v>Plus normalized revenues (see page 14)</v>
          </cell>
          <cell r="L579">
            <v>1770.6</v>
          </cell>
        </row>
        <row r="580">
          <cell r="C580" t="str">
            <v>Less 1/2 of exemption</v>
          </cell>
          <cell r="L580">
            <v>-500</v>
          </cell>
        </row>
        <row r="581">
          <cell r="C581" t="str">
            <v>Less test year municipal hydrant rental</v>
          </cell>
          <cell r="L581">
            <v>-1123562</v>
          </cell>
        </row>
        <row r="583">
          <cell r="C583" t="str">
            <v>Sub-total</v>
          </cell>
          <cell r="L583">
            <v>1612786.6</v>
          </cell>
        </row>
        <row r="584">
          <cell r="C584" t="str">
            <v>Times corporate tax rate</v>
          </cell>
          <cell r="L584">
            <v>1.2E-2</v>
          </cell>
        </row>
        <row r="586">
          <cell r="C586" t="str">
            <v>Pro forma gross income tax</v>
          </cell>
          <cell r="L586">
            <v>19353</v>
          </cell>
        </row>
        <row r="587">
          <cell r="C587" t="str">
            <v>Less test year expense</v>
          </cell>
          <cell r="L587">
            <v>-11865</v>
          </cell>
        </row>
        <row r="589">
          <cell r="E589" t="str">
            <v>Adjustment</v>
          </cell>
          <cell r="L589">
            <v>7488</v>
          </cell>
        </row>
        <row r="599">
          <cell r="A599" t="str">
            <v>(Continued on next page)</v>
          </cell>
        </row>
        <row r="601">
          <cell r="A601" t="str">
            <v>(Subject to the comments in the attached</v>
          </cell>
        </row>
        <row r="602">
          <cell r="A602" t="str">
            <v>letter dated July 5, 2005 of Umbaugh.)</v>
          </cell>
        </row>
        <row r="604">
          <cell r="A604" t="str">
            <v>11</v>
          </cell>
        </row>
      </sheetData>
      <sheetData sheetId="7" refreshError="1">
        <row r="1">
          <cell r="A1" t="str">
            <v>GREENSBURG (INDIANA) MUNICIPAL SEWAGE WORKS</v>
          </cell>
        </row>
        <row r="2">
          <cell r="K2" t="str">
            <v>Phase I</v>
          </cell>
        </row>
        <row r="3">
          <cell r="A3" t="str">
            <v>SUMMARY OF PRO FORMA REVENUE REQUIREMENTS</v>
          </cell>
        </row>
        <row r="4">
          <cell r="A4" t="str">
            <v>AND AVAILABLE REVENUES</v>
          </cell>
        </row>
        <row r="5">
          <cell r="A5" t="str">
            <v>See Explanation of Adjustments, Page 17.</v>
          </cell>
        </row>
        <row r="7">
          <cell r="G7" t="str">
            <v>Alternatives</v>
          </cell>
        </row>
        <row r="8">
          <cell r="G8" t="str">
            <v>A</v>
          </cell>
          <cell r="I8" t="str">
            <v>B</v>
          </cell>
          <cell r="K8" t="str">
            <v>C</v>
          </cell>
        </row>
        <row r="9">
          <cell r="A9" t="str">
            <v>Revenue Requirements:</v>
          </cell>
        </row>
        <row r="10">
          <cell r="B10" t="str">
            <v>Operation and maintenance expense (1)</v>
          </cell>
        </row>
        <row r="12">
          <cell r="B12" t="str">
            <v>Additional gross income tax (2)</v>
          </cell>
        </row>
        <row r="14">
          <cell r="B14" t="str">
            <v>Additional allowance for PILT (2a)</v>
          </cell>
        </row>
        <row r="16">
          <cell r="B16" t="str">
            <v>Debt service:</v>
          </cell>
        </row>
        <row r="17">
          <cell r="C17" t="str">
            <v>Outstanding:</v>
          </cell>
        </row>
        <row r="18">
          <cell r="D18" t="str">
            <v>1989 Bonds (3)</v>
          </cell>
        </row>
        <row r="19">
          <cell r="D19" t="str">
            <v>PSG Loan (4)</v>
          </cell>
        </row>
        <row r="22">
          <cell r="B22" t="str">
            <v>Debt service reserves:</v>
          </cell>
        </row>
        <row r="23">
          <cell r="C23" t="str">
            <v>Proposed (funded over five years)</v>
          </cell>
        </row>
        <row r="25">
          <cell r="B25" t="str">
            <v>Allowance for replacements and improvements (5)</v>
          </cell>
        </row>
        <row r="27">
          <cell r="D27" t="str">
            <v>Sub-total</v>
          </cell>
        </row>
        <row r="28">
          <cell r="B28" t="str">
            <v>Less interest income (6)</v>
          </cell>
        </row>
        <row r="30">
          <cell r="D30" t="str">
            <v>Total Revenue Requirements</v>
          </cell>
        </row>
        <row r="32">
          <cell r="A32" t="str">
            <v>Available Revenues:</v>
          </cell>
        </row>
        <row r="33">
          <cell r="B33" t="str">
            <v>Normalized metered sales (7)</v>
          </cell>
        </row>
        <row r="34">
          <cell r="B34" t="str">
            <v>Hydrant rental (6)</v>
          </cell>
        </row>
        <row r="36">
          <cell r="C36" t="str">
            <v>Sub-total</v>
          </cell>
        </row>
        <row r="37">
          <cell r="B37" t="str">
            <v>Penalties (6)</v>
          </cell>
        </row>
        <row r="38">
          <cell r="B38" t="str">
            <v>Tap-in fees (6)</v>
          </cell>
        </row>
        <row r="39">
          <cell r="B39" t="str">
            <v>Other income (6)</v>
          </cell>
        </row>
        <row r="41">
          <cell r="D41" t="str">
            <v>Total Available Revenues</v>
          </cell>
        </row>
        <row r="43">
          <cell r="A43" t="str">
            <v>Additional Revenues Required</v>
          </cell>
        </row>
        <row r="45">
          <cell r="A45" t="str">
            <v>Percentage Increase Required in Rates and Charges</v>
          </cell>
        </row>
        <row r="47">
          <cell r="A47" t="str">
            <v>Resulting Minimum Monthly Bill</v>
          </cell>
        </row>
        <row r="48">
          <cell r="A48" t="str">
            <v xml:space="preserve">  (Presently $8.68 based on 2,520 gallons)</v>
          </cell>
        </row>
        <row r="50">
          <cell r="A50" t="str">
            <v>Resulting Average Monthly Bill</v>
          </cell>
        </row>
        <row r="51">
          <cell r="A51" t="str">
            <v xml:space="preserve">  (Presently $17.25 based on 5,000 gallons)</v>
          </cell>
        </row>
        <row r="53">
          <cell r="A53" t="str">
            <v>Phase I:</v>
          </cell>
          <cell r="C53" t="str">
            <v>Calculates the immediate additional revenues required.</v>
          </cell>
        </row>
        <row r="54">
          <cell r="A54" t="str">
            <v>Phase II:</v>
          </cell>
          <cell r="C54" t="str">
            <v>Calculates the estimated effects of proposed $8,850,000 in improvement projects.</v>
          </cell>
        </row>
        <row r="55">
          <cell r="A55" t="str">
            <v>Alternative 2:  Represents and allowance for extensions and replacements equal to test year repair and</v>
          </cell>
        </row>
        <row r="56">
          <cell r="A56" t="str">
            <v xml:space="preserve">  maintenance costs in excess of the contracted amount.</v>
          </cell>
        </row>
        <row r="57">
          <cell r="A57" t="str">
            <v>Phase III:</v>
          </cell>
          <cell r="C57" t="str">
            <v>Incorporates the additional depreciation expense and allowance for Payment in Lieu of Taxes resulting</v>
          </cell>
        </row>
        <row r="58">
          <cell r="C58" t="str">
            <v>fromt he proposed improvements.</v>
          </cell>
        </row>
        <row r="60">
          <cell r="A60" t="e">
            <v>#REF!</v>
          </cell>
        </row>
        <row r="62">
          <cell r="A62" t="str">
            <v>(Subject to the comments in the attached</v>
          </cell>
        </row>
        <row r="63">
          <cell r="A63" t="str">
            <v>letter dated July 5, 2005 of Umbaugh.)</v>
          </cell>
        </row>
        <row r="65">
          <cell r="A65" t="str">
            <v>16</v>
          </cell>
        </row>
        <row r="66">
          <cell r="A66" t="str">
            <v>GREENSBURG (INDIANA) MUNICIPAL SEWAGE WORKS</v>
          </cell>
        </row>
        <row r="67">
          <cell r="K67" t="str">
            <v>(Cont'd)</v>
          </cell>
        </row>
        <row r="68">
          <cell r="A68" t="str">
            <v>SUMMARY OF PRO FORMA REVENUE REQUIREMENTS</v>
          </cell>
        </row>
        <row r="69">
          <cell r="A69" t="str">
            <v>AND AVAILABLE REVENUES</v>
          </cell>
        </row>
        <row r="70">
          <cell r="A70" t="str">
            <v>Explanation of Adjustments</v>
          </cell>
        </row>
        <row r="74">
          <cell r="A74">
            <v>-1</v>
          </cell>
          <cell r="B74" t="str">
            <v>To provide for operation and maintenance expenses as explained on pages 2 - 11.</v>
          </cell>
        </row>
        <row r="76">
          <cell r="A76">
            <v>-2</v>
          </cell>
          <cell r="B76" t="str">
            <v>To provide for additional gross income tax.</v>
          </cell>
        </row>
        <row r="77">
          <cell r="B77" t="str">
            <v>Phase I:</v>
          </cell>
        </row>
        <row r="79">
          <cell r="C79" t="str">
            <v>Additional operating revenues requested</v>
          </cell>
          <cell r="K79">
            <v>0</v>
          </cell>
        </row>
        <row r="80">
          <cell r="C80" t="str">
            <v xml:space="preserve">Less portion of increased revenue requirements </v>
          </cell>
        </row>
        <row r="81">
          <cell r="C81" t="str">
            <v xml:space="preserve">  attributable to public fire protection (not subject to tax)</v>
          </cell>
          <cell r="K81">
            <v>0</v>
          </cell>
        </row>
        <row r="83">
          <cell r="D83" t="str">
            <v>Sub-total</v>
          </cell>
          <cell r="K83">
            <v>0</v>
          </cell>
        </row>
        <row r="84">
          <cell r="C84" t="str">
            <v>Times corporate gross income tax rate (1.2%)</v>
          </cell>
          <cell r="K84">
            <v>1.2E-2</v>
          </cell>
        </row>
        <row r="86">
          <cell r="D86" t="str">
            <v>Adjustment</v>
          </cell>
          <cell r="K86">
            <v>0</v>
          </cell>
        </row>
        <row r="88">
          <cell r="B88" t="str">
            <v>Phase II:</v>
          </cell>
        </row>
        <row r="90">
          <cell r="C90" t="str">
            <v>Additional operating revenues requested</v>
          </cell>
          <cell r="K90">
            <v>0</v>
          </cell>
        </row>
        <row r="91">
          <cell r="C91" t="str">
            <v xml:space="preserve">Less portion of increased revenue requirements </v>
          </cell>
        </row>
        <row r="92">
          <cell r="C92" t="str">
            <v xml:space="preserve">  attributable to public fire protection (not subject to tax)</v>
          </cell>
          <cell r="K92">
            <v>0</v>
          </cell>
        </row>
        <row r="94">
          <cell r="D94" t="str">
            <v>Sub-total</v>
          </cell>
          <cell r="K94">
            <v>0</v>
          </cell>
        </row>
        <row r="95">
          <cell r="C95" t="str">
            <v>Times corporate gross income tax rate (1.2%)</v>
          </cell>
          <cell r="K95">
            <v>1.2E-2</v>
          </cell>
        </row>
        <row r="97">
          <cell r="D97" t="str">
            <v>Adjustment</v>
          </cell>
          <cell r="K97">
            <v>0</v>
          </cell>
        </row>
        <row r="99">
          <cell r="B99" t="str">
            <v>Phase III:</v>
          </cell>
        </row>
        <row r="101">
          <cell r="C101" t="str">
            <v>Additional operating revenues requested</v>
          </cell>
          <cell r="K101">
            <v>0</v>
          </cell>
        </row>
        <row r="102">
          <cell r="C102" t="str">
            <v xml:space="preserve">Less portion of increased revenue requirements </v>
          </cell>
        </row>
        <row r="103">
          <cell r="C103" t="str">
            <v xml:space="preserve">  attributable to public fire protection (not subject to tax)</v>
          </cell>
          <cell r="K103">
            <v>0</v>
          </cell>
        </row>
        <row r="105">
          <cell r="D105" t="str">
            <v>Sub-total</v>
          </cell>
          <cell r="K105">
            <v>0</v>
          </cell>
        </row>
        <row r="106">
          <cell r="C106" t="str">
            <v>Times corporate gross income tax rate (1.2%)</v>
          </cell>
          <cell r="K106">
            <v>1.2E-2</v>
          </cell>
        </row>
        <row r="108">
          <cell r="D108" t="str">
            <v>Adjustment</v>
          </cell>
          <cell r="K108">
            <v>0</v>
          </cell>
        </row>
        <row r="110">
          <cell r="A110" t="str">
            <v>(2a)</v>
          </cell>
          <cell r="B110" t="e">
            <v>#VALUE!</v>
          </cell>
        </row>
        <row r="112">
          <cell r="A112">
            <v>-3</v>
          </cell>
          <cell r="B112" t="str">
            <v>To provide for average annual principal and interest on the outstanding bonds, page 28.</v>
          </cell>
        </row>
        <row r="114">
          <cell r="A114">
            <v>-4</v>
          </cell>
          <cell r="B114" t="str">
            <v>To provide for average annual principal and interest on the outstanding Professional Services Group loan, page 29.</v>
          </cell>
        </row>
        <row r="116">
          <cell r="A116">
            <v>-5</v>
          </cell>
          <cell r="B116" t="str">
            <v>Phase I and Phase II:  To provide an allowance for replacements and improvements based on depreciation expense.</v>
          </cell>
        </row>
        <row r="117">
          <cell r="B117" t="str">
            <v>Phase III:  To provide an allowance for replacements and improvements based on depreciation expense - including the</v>
          </cell>
        </row>
        <row r="118">
          <cell r="B118" t="str">
            <v>proposed improvements.</v>
          </cell>
        </row>
        <row r="120">
          <cell r="A120">
            <v>-6</v>
          </cell>
          <cell r="B120" t="str">
            <v>Calculated at test year amounts.</v>
          </cell>
        </row>
        <row r="122">
          <cell r="A122">
            <v>-7</v>
          </cell>
          <cell r="B122" t="str">
            <v>Normalized metered sales, page 14.</v>
          </cell>
        </row>
        <row r="125">
          <cell r="A125" t="str">
            <v>(Subject to the comments in the attached</v>
          </cell>
        </row>
        <row r="126">
          <cell r="A126" t="str">
            <v>letter dated July 5, 2005 of Umbaugh.)</v>
          </cell>
        </row>
        <row r="128">
          <cell r="A128" t="str">
            <v>17</v>
          </cell>
        </row>
      </sheetData>
      <sheetData sheetId="8"/>
      <sheetData sheetId="9" refreshError="1">
        <row r="1">
          <cell r="A1" t="str">
            <v>GREENSBURG (INDIANA) MUNICIPAL SEWAGE WORKS</v>
          </cell>
        </row>
        <row r="3">
          <cell r="A3" t="str">
            <v>CALCULATION OF NORMALIZED ANNUAL OPERATING REVENUES</v>
          </cell>
        </row>
        <row r="4">
          <cell r="A4" t="str">
            <v>- Residential -</v>
          </cell>
        </row>
        <row r="7">
          <cell r="H7" t="str">
            <v>12 Months</v>
          </cell>
          <cell r="L7" t="str">
            <v>Normalized</v>
          </cell>
        </row>
        <row r="8">
          <cell r="H8" t="str">
            <v>Ended</v>
          </cell>
          <cell r="L8" t="str">
            <v>Annual</v>
          </cell>
        </row>
        <row r="9">
          <cell r="H9">
            <v>38168</v>
          </cell>
          <cell r="J9" t="str">
            <v>Adjustments</v>
          </cell>
          <cell r="L9" t="str">
            <v>Revenues</v>
          </cell>
        </row>
        <row r="10">
          <cell r="A10" t="str">
            <v>Operating Revenues</v>
          </cell>
          <cell r="H10" t="str">
            <v>(Unaudited)</v>
          </cell>
        </row>
        <row r="12">
          <cell r="B12" t="str">
            <v>Metered sales</v>
          </cell>
          <cell r="H12">
            <v>449420</v>
          </cell>
          <cell r="J12">
            <v>1237.8</v>
          </cell>
          <cell r="K12" t="str">
            <v>(1)</v>
          </cell>
          <cell r="L12" t="str">
            <v xml:space="preserve"> </v>
          </cell>
        </row>
        <row r="13">
          <cell r="J13">
            <v>532.79999999999995</v>
          </cell>
          <cell r="K13" t="str">
            <v>(2)</v>
          </cell>
          <cell r="L13">
            <v>451190.6</v>
          </cell>
        </row>
        <row r="14">
          <cell r="B14" t="str">
            <v>Hydrant rental</v>
          </cell>
          <cell r="H14">
            <v>1123562</v>
          </cell>
          <cell r="L14">
            <v>1123562</v>
          </cell>
        </row>
        <row r="15">
          <cell r="B15" t="str">
            <v>Penalties</v>
          </cell>
          <cell r="H15">
            <v>29257</v>
          </cell>
          <cell r="L15">
            <v>29257</v>
          </cell>
        </row>
        <row r="16">
          <cell r="B16" t="str">
            <v>Other income</v>
          </cell>
          <cell r="H16">
            <v>1132839</v>
          </cell>
          <cell r="L16">
            <v>1132839</v>
          </cell>
        </row>
        <row r="18">
          <cell r="B18" t="str">
            <v>Totals</v>
          </cell>
          <cell r="H18">
            <v>2735078</v>
          </cell>
          <cell r="J18">
            <v>1770.6</v>
          </cell>
          <cell r="L18">
            <v>2736848.6</v>
          </cell>
        </row>
        <row r="21">
          <cell r="B21" t="str">
            <v xml:space="preserve">(1)    To adjust test year operating revenues to normalize for the estimated financial effects of </v>
          </cell>
        </row>
        <row r="22">
          <cell r="B22" t="str">
            <v xml:space="preserve">         approximately 7 less users to the system from the beginning of the test year</v>
          </cell>
        </row>
        <row r="23">
          <cell r="B23" t="str">
            <v xml:space="preserve">         (based on billing records).</v>
          </cell>
        </row>
        <row r="25">
          <cell r="B25" t="str">
            <v>Residential Revenues:</v>
          </cell>
          <cell r="F25" t="str">
            <v>Times</v>
          </cell>
        </row>
        <row r="26">
          <cell r="D26" t="str">
            <v>Increase/</v>
          </cell>
          <cell r="F26" t="str">
            <v>Estimated</v>
          </cell>
          <cell r="H26" t="str">
            <v>Additional</v>
          </cell>
          <cell r="J26" t="str">
            <v>Estimated</v>
          </cell>
        </row>
        <row r="27">
          <cell r="B27" t="str">
            <v>Billing</v>
          </cell>
          <cell r="D27" t="str">
            <v>(Decrease)</v>
          </cell>
          <cell r="F27" t="str">
            <v>Additional</v>
          </cell>
          <cell r="H27" t="str">
            <v>Monthly</v>
          </cell>
          <cell r="J27" t="str">
            <v>Monthly</v>
          </cell>
        </row>
        <row r="28">
          <cell r="B28" t="str">
            <v>Cycle</v>
          </cell>
          <cell r="D28" t="str">
            <v>In Users (A)</v>
          </cell>
          <cell r="F28" t="str">
            <v>Monthly Bills</v>
          </cell>
          <cell r="H28" t="str">
            <v>Bills</v>
          </cell>
          <cell r="J28" t="str">
            <v>Bill (B)</v>
          </cell>
          <cell r="L28" t="str">
            <v>Amount</v>
          </cell>
        </row>
        <row r="30">
          <cell r="B30" t="str">
            <v>July 2003</v>
          </cell>
          <cell r="D30">
            <v>4</v>
          </cell>
          <cell r="F30" t="str">
            <v xml:space="preserve"> </v>
          </cell>
          <cell r="H30">
            <v>0</v>
          </cell>
          <cell r="J30">
            <v>15.87</v>
          </cell>
          <cell r="L30">
            <v>0</v>
          </cell>
        </row>
        <row r="31">
          <cell r="B31" t="str">
            <v>August</v>
          </cell>
          <cell r="D31">
            <v>2</v>
          </cell>
          <cell r="F31">
            <v>1</v>
          </cell>
          <cell r="H31">
            <v>2</v>
          </cell>
          <cell r="J31">
            <v>15.87</v>
          </cell>
          <cell r="L31">
            <v>31.7</v>
          </cell>
        </row>
        <row r="32">
          <cell r="B32" t="str">
            <v>September</v>
          </cell>
          <cell r="D32">
            <v>0</v>
          </cell>
          <cell r="F32">
            <v>2</v>
          </cell>
          <cell r="H32">
            <v>0</v>
          </cell>
          <cell r="J32">
            <v>15.87</v>
          </cell>
          <cell r="L32">
            <v>0</v>
          </cell>
        </row>
        <row r="33">
          <cell r="B33" t="str">
            <v>October</v>
          </cell>
          <cell r="D33">
            <v>-4</v>
          </cell>
          <cell r="F33">
            <v>3</v>
          </cell>
          <cell r="H33">
            <v>-12</v>
          </cell>
          <cell r="J33">
            <v>15.87</v>
          </cell>
          <cell r="L33">
            <v>-190.4</v>
          </cell>
        </row>
        <row r="34">
          <cell r="B34" t="str">
            <v>November</v>
          </cell>
          <cell r="D34">
            <v>-16</v>
          </cell>
          <cell r="F34">
            <v>4</v>
          </cell>
          <cell r="H34">
            <v>-64</v>
          </cell>
          <cell r="J34">
            <v>15.87</v>
          </cell>
          <cell r="L34">
            <v>-1015.7</v>
          </cell>
        </row>
        <row r="35">
          <cell r="B35" t="str">
            <v>December</v>
          </cell>
          <cell r="D35">
            <v>-15</v>
          </cell>
          <cell r="F35">
            <v>5</v>
          </cell>
          <cell r="H35">
            <v>-75</v>
          </cell>
          <cell r="J35">
            <v>15.87</v>
          </cell>
          <cell r="L35">
            <v>-1190.3</v>
          </cell>
        </row>
        <row r="36">
          <cell r="B36" t="str">
            <v>January 2004</v>
          </cell>
          <cell r="D36">
            <v>-2</v>
          </cell>
          <cell r="F36">
            <v>6</v>
          </cell>
          <cell r="H36">
            <v>-12</v>
          </cell>
          <cell r="J36">
            <v>15.87</v>
          </cell>
          <cell r="L36">
            <v>-190.4</v>
          </cell>
        </row>
        <row r="37">
          <cell r="B37" t="str">
            <v>February</v>
          </cell>
          <cell r="D37">
            <v>1</v>
          </cell>
          <cell r="F37">
            <v>7</v>
          </cell>
          <cell r="H37">
            <v>7</v>
          </cell>
          <cell r="J37">
            <v>15.87</v>
          </cell>
          <cell r="L37">
            <v>111.1</v>
          </cell>
        </row>
        <row r="38">
          <cell r="B38" t="str">
            <v>March</v>
          </cell>
          <cell r="D38">
            <v>7</v>
          </cell>
          <cell r="F38">
            <v>8</v>
          </cell>
          <cell r="H38">
            <v>56</v>
          </cell>
          <cell r="J38">
            <v>15.87</v>
          </cell>
          <cell r="L38">
            <v>888.7</v>
          </cell>
        </row>
        <row r="39">
          <cell r="B39" t="str">
            <v>April</v>
          </cell>
          <cell r="D39">
            <v>-7</v>
          </cell>
          <cell r="F39">
            <v>9</v>
          </cell>
          <cell r="H39">
            <v>-63</v>
          </cell>
          <cell r="J39">
            <v>15.87</v>
          </cell>
          <cell r="L39">
            <v>-999.8</v>
          </cell>
        </row>
        <row r="40">
          <cell r="B40" t="str">
            <v>May</v>
          </cell>
          <cell r="D40">
            <v>14</v>
          </cell>
          <cell r="F40">
            <v>10</v>
          </cell>
          <cell r="H40">
            <v>140</v>
          </cell>
          <cell r="J40">
            <v>15.87</v>
          </cell>
          <cell r="L40">
            <v>2221.8000000000002</v>
          </cell>
        </row>
        <row r="41">
          <cell r="B41" t="str">
            <v>June</v>
          </cell>
          <cell r="D41">
            <v>9</v>
          </cell>
          <cell r="F41">
            <v>11</v>
          </cell>
          <cell r="H41">
            <v>99</v>
          </cell>
          <cell r="J41">
            <v>15.87</v>
          </cell>
          <cell r="L41">
            <v>1571.1</v>
          </cell>
        </row>
        <row r="43">
          <cell r="B43" t="str">
            <v xml:space="preserve">        Totals</v>
          </cell>
          <cell r="D43">
            <v>-7</v>
          </cell>
          <cell r="H43">
            <v>78</v>
          </cell>
          <cell r="L43">
            <v>1237.8</v>
          </cell>
        </row>
        <row r="46">
          <cell r="B46" t="str">
            <v>(A)    Per utility personnel and monthly billing summaries.</v>
          </cell>
        </row>
        <row r="47">
          <cell r="B47" t="str">
            <v>(B)    Estimated monthly bill assuming average residential consumption of 4,600 gallons priced at</v>
          </cell>
        </row>
        <row r="48">
          <cell r="B48" t="str">
            <v xml:space="preserve">         present rates (average bill calculated based on historical average bill for a residential customer).</v>
          </cell>
        </row>
        <row r="50">
          <cell r="A50" t="str">
            <v>(Continued on next page)</v>
          </cell>
        </row>
        <row r="52">
          <cell r="A52" t="str">
            <v>(Subject to the comments in the attached</v>
          </cell>
        </row>
        <row r="53">
          <cell r="A53" t="str">
            <v>letter dated July 5, 2005 of Umbaugh.)</v>
          </cell>
        </row>
        <row r="55">
          <cell r="A55" t="str">
            <v>14</v>
          </cell>
        </row>
        <row r="56">
          <cell r="A56" t="str">
            <v>GREENSBURG (INDIANA) MUNICIPAL SEWAGE WORKS</v>
          </cell>
        </row>
        <row r="57">
          <cell r="L57" t="str">
            <v>(Cont'd)</v>
          </cell>
        </row>
        <row r="58">
          <cell r="A58" t="str">
            <v>CALCULATION OF NORMALIZED ANNUAL OPERATING REVENUES</v>
          </cell>
        </row>
        <row r="59">
          <cell r="A59" t="str">
            <v>- Commercial -</v>
          </cell>
        </row>
        <row r="62">
          <cell r="B62" t="str">
            <v xml:space="preserve">(2)    To adjust test year operating revenues to normalize for the estimated financial effects of </v>
          </cell>
        </row>
        <row r="63">
          <cell r="B63" t="str">
            <v xml:space="preserve">         approximately 0 new users added to the system from the beginning of the test year</v>
          </cell>
        </row>
        <row r="64">
          <cell r="B64" t="str">
            <v xml:space="preserve">         (based on billing records).</v>
          </cell>
        </row>
        <row r="66">
          <cell r="B66" t="str">
            <v>Commercial Revenues:</v>
          </cell>
          <cell r="F66" t="str">
            <v>Times</v>
          </cell>
        </row>
        <row r="67">
          <cell r="D67" t="str">
            <v>Increase/</v>
          </cell>
          <cell r="F67" t="str">
            <v>Estimated</v>
          </cell>
          <cell r="H67" t="str">
            <v>Additional</v>
          </cell>
          <cell r="J67" t="str">
            <v>Estimated</v>
          </cell>
        </row>
        <row r="68">
          <cell r="B68" t="str">
            <v>Billing</v>
          </cell>
          <cell r="D68" t="str">
            <v>(Decrease)</v>
          </cell>
          <cell r="F68" t="str">
            <v>Additional</v>
          </cell>
          <cell r="H68" t="str">
            <v>Monthly</v>
          </cell>
          <cell r="J68" t="str">
            <v>Monthly</v>
          </cell>
        </row>
        <row r="69">
          <cell r="B69" t="str">
            <v>Cycle</v>
          </cell>
          <cell r="D69" t="str">
            <v>In Users (A)</v>
          </cell>
          <cell r="F69" t="str">
            <v>Monthly Bills</v>
          </cell>
          <cell r="H69" t="str">
            <v>Bills</v>
          </cell>
          <cell r="J69" t="str">
            <v>Bill (B)</v>
          </cell>
          <cell r="L69" t="str">
            <v>Amount</v>
          </cell>
        </row>
        <row r="71">
          <cell r="B71" t="str">
            <v>July 2003</v>
          </cell>
          <cell r="D71">
            <v>1</v>
          </cell>
          <cell r="F71" t="str">
            <v xml:space="preserve"> </v>
          </cell>
          <cell r="H71">
            <v>0</v>
          </cell>
          <cell r="J71">
            <v>53.29</v>
          </cell>
          <cell r="L71">
            <v>0</v>
          </cell>
        </row>
        <row r="72">
          <cell r="B72" t="str">
            <v>August</v>
          </cell>
          <cell r="D72">
            <v>-2</v>
          </cell>
          <cell r="F72">
            <v>1</v>
          </cell>
          <cell r="H72">
            <v>-2</v>
          </cell>
          <cell r="J72">
            <v>53.29</v>
          </cell>
          <cell r="L72">
            <v>-106.6</v>
          </cell>
        </row>
        <row r="73">
          <cell r="B73" t="str">
            <v>September</v>
          </cell>
          <cell r="D73">
            <v>3</v>
          </cell>
          <cell r="F73">
            <v>2</v>
          </cell>
          <cell r="H73">
            <v>6</v>
          </cell>
          <cell r="J73">
            <v>53.29</v>
          </cell>
          <cell r="L73">
            <v>319.7</v>
          </cell>
        </row>
        <row r="74">
          <cell r="B74" t="str">
            <v>October</v>
          </cell>
          <cell r="D74">
            <v>-1</v>
          </cell>
          <cell r="F74">
            <v>3</v>
          </cell>
          <cell r="H74">
            <v>-3</v>
          </cell>
          <cell r="J74">
            <v>53.29</v>
          </cell>
          <cell r="L74">
            <v>-159.9</v>
          </cell>
        </row>
        <row r="75">
          <cell r="B75" t="str">
            <v>November</v>
          </cell>
          <cell r="D75">
            <v>1</v>
          </cell>
          <cell r="F75">
            <v>4</v>
          </cell>
          <cell r="H75">
            <v>4</v>
          </cell>
          <cell r="J75">
            <v>53.29</v>
          </cell>
          <cell r="L75">
            <v>213.2</v>
          </cell>
        </row>
        <row r="76">
          <cell r="B76" t="str">
            <v>December</v>
          </cell>
          <cell r="D76">
            <v>-5</v>
          </cell>
          <cell r="F76">
            <v>5</v>
          </cell>
          <cell r="H76">
            <v>-25</v>
          </cell>
          <cell r="J76">
            <v>53.29</v>
          </cell>
          <cell r="L76">
            <v>-1332.3</v>
          </cell>
        </row>
        <row r="77">
          <cell r="B77" t="str">
            <v>January 2004</v>
          </cell>
          <cell r="D77">
            <v>0</v>
          </cell>
          <cell r="F77">
            <v>6</v>
          </cell>
          <cell r="H77">
            <v>0</v>
          </cell>
          <cell r="J77">
            <v>53.29</v>
          </cell>
          <cell r="L77">
            <v>0</v>
          </cell>
        </row>
        <row r="78">
          <cell r="B78" t="str">
            <v>February</v>
          </cell>
          <cell r="D78">
            <v>0</v>
          </cell>
          <cell r="F78">
            <v>7</v>
          </cell>
          <cell r="H78">
            <v>0</v>
          </cell>
          <cell r="J78">
            <v>53.29</v>
          </cell>
          <cell r="L78">
            <v>0</v>
          </cell>
        </row>
        <row r="79">
          <cell r="B79" t="str">
            <v>March</v>
          </cell>
          <cell r="D79">
            <v>0</v>
          </cell>
          <cell r="F79">
            <v>8</v>
          </cell>
          <cell r="H79">
            <v>0</v>
          </cell>
          <cell r="J79">
            <v>53.29</v>
          </cell>
          <cell r="L79">
            <v>0</v>
          </cell>
        </row>
        <row r="80">
          <cell r="B80" t="str">
            <v>April</v>
          </cell>
          <cell r="D80">
            <v>-1</v>
          </cell>
          <cell r="F80">
            <v>9</v>
          </cell>
          <cell r="H80">
            <v>-9</v>
          </cell>
          <cell r="J80">
            <v>53.29</v>
          </cell>
          <cell r="L80">
            <v>-479.6</v>
          </cell>
        </row>
        <row r="81">
          <cell r="B81" t="str">
            <v>May</v>
          </cell>
          <cell r="D81">
            <v>5</v>
          </cell>
          <cell r="F81">
            <v>10</v>
          </cell>
          <cell r="H81">
            <v>50</v>
          </cell>
          <cell r="J81">
            <v>53.29</v>
          </cell>
          <cell r="L81">
            <v>2664.5</v>
          </cell>
        </row>
        <row r="82">
          <cell r="B82" t="str">
            <v>June</v>
          </cell>
          <cell r="D82">
            <v>-1</v>
          </cell>
          <cell r="F82">
            <v>11</v>
          </cell>
          <cell r="H82">
            <v>-11</v>
          </cell>
          <cell r="J82">
            <v>53.29</v>
          </cell>
          <cell r="L82">
            <v>-586.20000000000005</v>
          </cell>
        </row>
        <row r="84">
          <cell r="B84" t="str">
            <v xml:space="preserve">        Totals</v>
          </cell>
          <cell r="D84">
            <v>0</v>
          </cell>
          <cell r="H84">
            <v>10</v>
          </cell>
          <cell r="L84">
            <v>532.79999999999995</v>
          </cell>
        </row>
        <row r="87">
          <cell r="B87" t="str">
            <v>(A)    Per utility personnel and monthly billing summaries.</v>
          </cell>
        </row>
        <row r="88">
          <cell r="B88" t="str">
            <v>(B)    Estimated monthly bill assuming average commercial consumption of 17,200 gallons priced at</v>
          </cell>
        </row>
        <row r="89">
          <cell r="B89" t="str">
            <v xml:space="preserve">         present rates (average bill calculated based on historical average bill for a commercial customer).</v>
          </cell>
        </row>
        <row r="107">
          <cell r="A107" t="str">
            <v>(Subject to the comments in the attached</v>
          </cell>
        </row>
        <row r="108">
          <cell r="A108" t="str">
            <v>letter dated July 5, 2005 of Umbaugh.)</v>
          </cell>
        </row>
        <row r="110">
          <cell r="A110" t="str">
            <v>15</v>
          </cell>
        </row>
      </sheetData>
      <sheetData sheetId="10" refreshError="1">
        <row r="1">
          <cell r="A1" t="str">
            <v>GREENSBURG (INDIANA) MUNICIPAL SEWAGE WORKS</v>
          </cell>
        </row>
        <row r="3">
          <cell r="A3" t="str">
            <v>SCHEDULE OF ESTIMATED CAPITAL IMPROVEMENT COSTS</v>
          </cell>
        </row>
        <row r="4">
          <cell r="A4" t="str">
            <v xml:space="preserve"> </v>
          </cell>
        </row>
        <row r="7">
          <cell r="A7" t="str">
            <v>Estimated Capital Improvements (Per U.S. Filter):</v>
          </cell>
        </row>
        <row r="9">
          <cell r="B9" t="str">
            <v>Well field improvements and other</v>
          </cell>
          <cell r="I9">
            <v>1530000</v>
          </cell>
        </row>
        <row r="10">
          <cell r="B10" t="str">
            <v>Water main improvements</v>
          </cell>
          <cell r="I10">
            <v>361000</v>
          </cell>
        </row>
        <row r="11">
          <cell r="B11" t="str">
            <v>New water tower on the west side of Boonville</v>
          </cell>
          <cell r="I11">
            <v>780000</v>
          </cell>
        </row>
        <row r="12">
          <cell r="B12" t="str">
            <v>Raw water booster station improvements</v>
          </cell>
          <cell r="I12">
            <v>3595000</v>
          </cell>
        </row>
        <row r="13">
          <cell r="B13" t="str">
            <v>Water treatment facility improvements</v>
          </cell>
          <cell r="I13">
            <v>2583000</v>
          </cell>
        </row>
        <row r="14">
          <cell r="B14" t="str">
            <v>Miscellaneous and rounding</v>
          </cell>
          <cell r="I14">
            <v>1000</v>
          </cell>
        </row>
        <row r="16">
          <cell r="E16" t="str">
            <v>Total Estimated Capital Improvements</v>
          </cell>
          <cell r="I16">
            <v>8850000</v>
          </cell>
        </row>
        <row r="18">
          <cell r="A18" t="str">
            <v>Estimated Project Funding:</v>
          </cell>
        </row>
        <row r="20">
          <cell r="A20" t="str">
            <v xml:space="preserve"> </v>
          </cell>
          <cell r="B20" t="str">
            <v>Waterworks Revenue Bonds of 2000</v>
          </cell>
          <cell r="I20">
            <v>8850000</v>
          </cell>
        </row>
        <row r="44">
          <cell r="A44" t="str">
            <v>(Subject to the comments in the attached</v>
          </cell>
        </row>
        <row r="45">
          <cell r="A45" t="str">
            <v>letter dated July 5, 2005 of Umbaugh.)</v>
          </cell>
        </row>
        <row r="47">
          <cell r="A47" t="str">
            <v>13</v>
          </cell>
        </row>
      </sheetData>
      <sheetData sheetId="11" refreshError="1">
        <row r="1">
          <cell r="A1" t="str">
            <v>GREENSBURG (INDIANA) MUNICIPAL SEWAGE WORKS</v>
          </cell>
        </row>
        <row r="3">
          <cell r="A3" t="str">
            <v>SCHEDULE OF PRESENT AND PROPOSED RATES AND CHARGES</v>
          </cell>
        </row>
        <row r="6">
          <cell r="A6" t="str">
            <v>RECURRING RATES:</v>
          </cell>
        </row>
        <row r="7">
          <cell r="G7" t="str">
            <v>Rate Per 1,000 Gallons</v>
          </cell>
        </row>
        <row r="8">
          <cell r="A8" t="str">
            <v>Metered Rates Per Month:</v>
          </cell>
          <cell r="I8" t="str">
            <v>Alternative 1</v>
          </cell>
          <cell r="K8" t="str">
            <v>Alternative #2</v>
          </cell>
          <cell r="M8" t="str">
            <v>Alternative 2</v>
          </cell>
        </row>
        <row r="9">
          <cell r="G9" t="str">
            <v>Present (1)</v>
          </cell>
          <cell r="I9">
            <v>0</v>
          </cell>
          <cell r="K9">
            <v>0</v>
          </cell>
          <cell r="M9">
            <v>0</v>
          </cell>
        </row>
        <row r="11">
          <cell r="A11" t="str">
            <v>First</v>
          </cell>
          <cell r="B11" t="str">
            <v>10,000</v>
          </cell>
          <cell r="D11" t="str">
            <v>gallons</v>
          </cell>
          <cell r="G11">
            <v>3.45</v>
          </cell>
          <cell r="I11" t="e">
            <v>#NAME?</v>
          </cell>
          <cell r="K11" t="e">
            <v>#NAME?</v>
          </cell>
          <cell r="M11" t="e">
            <v>#NAME?</v>
          </cell>
        </row>
        <row r="12">
          <cell r="A12" t="str">
            <v>Next</v>
          </cell>
          <cell r="B12" t="str">
            <v>20,000</v>
          </cell>
          <cell r="D12" t="str">
            <v>gallons</v>
          </cell>
          <cell r="G12">
            <v>2.61</v>
          </cell>
          <cell r="I12" t="e">
            <v>#NAME?</v>
          </cell>
          <cell r="K12" t="e">
            <v>#NAME?</v>
          </cell>
          <cell r="M12" t="e">
            <v>#NAME?</v>
          </cell>
        </row>
        <row r="13">
          <cell r="A13" t="str">
            <v>Next</v>
          </cell>
          <cell r="B13" t="str">
            <v>70,000</v>
          </cell>
          <cell r="D13" t="str">
            <v>gallons</v>
          </cell>
          <cell r="G13">
            <v>1.73</v>
          </cell>
          <cell r="I13" t="e">
            <v>#NAME?</v>
          </cell>
          <cell r="K13" t="e">
            <v>#NAME?</v>
          </cell>
          <cell r="M13" t="e">
            <v>#NAME?</v>
          </cell>
        </row>
        <row r="14">
          <cell r="A14" t="str">
            <v>Over</v>
          </cell>
          <cell r="B14" t="str">
            <v>100,000</v>
          </cell>
          <cell r="D14" t="str">
            <v>gallons</v>
          </cell>
          <cell r="G14">
            <v>0.87</v>
          </cell>
          <cell r="I14" t="e">
            <v>#NAME?</v>
          </cell>
          <cell r="K14" t="e">
            <v>#NAME?</v>
          </cell>
          <cell r="M14" t="e">
            <v>#NAME?</v>
          </cell>
        </row>
        <row r="17">
          <cell r="D17" t="str">
            <v>Gallons</v>
          </cell>
          <cell r="G17" t="str">
            <v>Per Month</v>
          </cell>
        </row>
        <row r="18">
          <cell r="A18" t="str">
            <v>Minimum Charge:</v>
          </cell>
          <cell r="D18" t="str">
            <v>Allowed</v>
          </cell>
          <cell r="I18" t="str">
            <v>Alternative 1</v>
          </cell>
          <cell r="K18" t="str">
            <v>Alternative #2</v>
          </cell>
          <cell r="M18" t="str">
            <v>Alternative 2</v>
          </cell>
        </row>
        <row r="19">
          <cell r="G19" t="str">
            <v>Present (1)</v>
          </cell>
          <cell r="I19">
            <v>0</v>
          </cell>
          <cell r="K19" t="str">
            <v>Proposed</v>
          </cell>
          <cell r="M19">
            <v>0</v>
          </cell>
        </row>
        <row r="21">
          <cell r="A21" t="str">
            <v>5/8</v>
          </cell>
          <cell r="B21" t="str">
            <v>inch meter</v>
          </cell>
          <cell r="D21">
            <v>2520</v>
          </cell>
          <cell r="G21">
            <v>8.68</v>
          </cell>
          <cell r="I21" t="e">
            <v>#NAME?</v>
          </cell>
          <cell r="K21" t="e">
            <v>#NAME?</v>
          </cell>
          <cell r="M21" t="e">
            <v>#NAME?</v>
          </cell>
        </row>
        <row r="22">
          <cell r="A22" t="str">
            <v>3/4</v>
          </cell>
          <cell r="B22" t="str">
            <v>inch meter</v>
          </cell>
          <cell r="D22">
            <v>2520</v>
          </cell>
          <cell r="G22">
            <v>8.68</v>
          </cell>
          <cell r="I22" t="e">
            <v>#NAME?</v>
          </cell>
          <cell r="K22" t="e">
            <v>#NAME?</v>
          </cell>
          <cell r="M22" t="e">
            <v>#NAME?</v>
          </cell>
        </row>
        <row r="23">
          <cell r="A23" t="str">
            <v>1</v>
          </cell>
          <cell r="B23" t="str">
            <v>inch meter</v>
          </cell>
          <cell r="D23">
            <v>6410</v>
          </cell>
          <cell r="G23">
            <v>21.99</v>
          </cell>
          <cell r="I23" t="e">
            <v>#NAME?</v>
          </cell>
          <cell r="K23" t="e">
            <v>#NAME?</v>
          </cell>
          <cell r="M23" t="e">
            <v>#NAME?</v>
          </cell>
        </row>
        <row r="24">
          <cell r="A24" t="str">
            <v>1 1/2</v>
          </cell>
          <cell r="B24" t="str">
            <v>inch meter</v>
          </cell>
          <cell r="D24">
            <v>15560</v>
          </cell>
          <cell r="G24">
            <v>48.87</v>
          </cell>
          <cell r="I24" t="e">
            <v>#NAME?</v>
          </cell>
          <cell r="K24" t="e">
            <v>#NAME?</v>
          </cell>
          <cell r="M24" t="e">
            <v>#NAME?</v>
          </cell>
        </row>
        <row r="25">
          <cell r="A25" t="str">
            <v>2</v>
          </cell>
          <cell r="B25" t="str">
            <v>inch meter</v>
          </cell>
          <cell r="D25">
            <v>29660</v>
          </cell>
          <cell r="G25">
            <v>85.53</v>
          </cell>
          <cell r="I25" t="e">
            <v>#NAME?</v>
          </cell>
          <cell r="K25" t="e">
            <v>#NAME?</v>
          </cell>
          <cell r="M25" t="e">
            <v>#NAME?</v>
          </cell>
        </row>
        <row r="26">
          <cell r="A26" t="str">
            <v>3</v>
          </cell>
          <cell r="B26" t="str">
            <v>inch meter</v>
          </cell>
          <cell r="D26">
            <v>93130</v>
          </cell>
          <cell r="G26">
            <v>195.48</v>
          </cell>
          <cell r="I26" t="e">
            <v>#NAME?</v>
          </cell>
          <cell r="K26" t="e">
            <v>#NAME?</v>
          </cell>
          <cell r="M26" t="e">
            <v>#NAME?</v>
          </cell>
        </row>
        <row r="27">
          <cell r="A27" t="str">
            <v>4</v>
          </cell>
          <cell r="B27" t="str">
            <v>inch meter</v>
          </cell>
          <cell r="D27">
            <v>268610</v>
          </cell>
          <cell r="G27">
            <v>354.3</v>
          </cell>
          <cell r="I27" t="e">
            <v>#NAME?</v>
          </cell>
          <cell r="K27" t="e">
            <v>#NAME?</v>
          </cell>
          <cell r="M27" t="e">
            <v>#NAME?</v>
          </cell>
        </row>
        <row r="30">
          <cell r="G30" t="str">
            <v>Per Annum</v>
          </cell>
        </row>
        <row r="31">
          <cell r="A31" t="str">
            <v>Fire Protection:</v>
          </cell>
          <cell r="I31" t="str">
            <v>Alternative 1</v>
          </cell>
          <cell r="K31" t="str">
            <v>Alternative #2</v>
          </cell>
          <cell r="M31" t="str">
            <v>Alternative 2</v>
          </cell>
        </row>
        <row r="32">
          <cell r="G32" t="str">
            <v>Present (1)</v>
          </cell>
          <cell r="I32">
            <v>0</v>
          </cell>
          <cell r="K32" t="str">
            <v>Proposed</v>
          </cell>
          <cell r="M32">
            <v>0</v>
          </cell>
        </row>
        <row r="34">
          <cell r="A34" t="str">
            <v>Public fire hydrants - per hydrant</v>
          </cell>
          <cell r="G34">
            <v>439.81</v>
          </cell>
          <cell r="I34" t="e">
            <v>#NAME?</v>
          </cell>
          <cell r="K34" t="e">
            <v>#NAME?</v>
          </cell>
          <cell r="M34" t="e">
            <v>#NAME?</v>
          </cell>
        </row>
        <row r="36">
          <cell r="A36" t="str">
            <v>Private fire hydrants - per hydrant</v>
          </cell>
          <cell r="G36">
            <v>439.81</v>
          </cell>
          <cell r="I36" t="e">
            <v>#NAME?</v>
          </cell>
          <cell r="K36" t="e">
            <v>#NAME?</v>
          </cell>
          <cell r="M36" t="e">
            <v>#NAME?</v>
          </cell>
        </row>
        <row r="38">
          <cell r="A38" t="str">
            <v>Automatic sprinklers:</v>
          </cell>
        </row>
        <row r="39">
          <cell r="B39" t="str">
            <v>2 inch connection and under</v>
          </cell>
          <cell r="G39">
            <v>80.63</v>
          </cell>
          <cell r="I39" t="e">
            <v>#NAME?</v>
          </cell>
          <cell r="K39" t="e">
            <v>#NAME?</v>
          </cell>
          <cell r="M39" t="e">
            <v>#NAME?</v>
          </cell>
        </row>
        <row r="40">
          <cell r="B40" t="str">
            <v>3 inch connection</v>
          </cell>
          <cell r="G40">
            <v>127.07</v>
          </cell>
          <cell r="I40" t="e">
            <v>#NAME?</v>
          </cell>
          <cell r="K40" t="e">
            <v>#NAME?</v>
          </cell>
          <cell r="M40" t="e">
            <v>#NAME?</v>
          </cell>
        </row>
        <row r="41">
          <cell r="B41" t="str">
            <v>4 inch connection</v>
          </cell>
          <cell r="G41">
            <v>171.06</v>
          </cell>
          <cell r="I41" t="e">
            <v>#NAME?</v>
          </cell>
          <cell r="K41" t="e">
            <v>#NAME?</v>
          </cell>
          <cell r="M41" t="e">
            <v>#NAME?</v>
          </cell>
        </row>
        <row r="42">
          <cell r="B42" t="str">
            <v>6 inch connection</v>
          </cell>
          <cell r="G42">
            <v>256.58999999999997</v>
          </cell>
          <cell r="I42" t="e">
            <v>#NAME?</v>
          </cell>
          <cell r="K42" t="e">
            <v>#NAME?</v>
          </cell>
          <cell r="M42" t="e">
            <v>#NAME?</v>
          </cell>
        </row>
        <row r="43">
          <cell r="B43" t="str">
            <v>8 inch connection</v>
          </cell>
          <cell r="G43">
            <v>317.64</v>
          </cell>
          <cell r="I43" t="e">
            <v>#NAME?</v>
          </cell>
          <cell r="K43" t="e">
            <v>#NAME?</v>
          </cell>
          <cell r="M43" t="e">
            <v>#NAME?</v>
          </cell>
        </row>
        <row r="46">
          <cell r="G46" t="str">
            <v>Rate Per 1,000 Gallons</v>
          </cell>
        </row>
        <row r="47">
          <cell r="A47" t="str">
            <v>Special Rates:</v>
          </cell>
          <cell r="I47" t="str">
            <v>Alternative 1</v>
          </cell>
          <cell r="K47" t="str">
            <v>Alternative #2</v>
          </cell>
          <cell r="M47" t="str">
            <v>Alternative 2</v>
          </cell>
        </row>
        <row r="48">
          <cell r="G48" t="str">
            <v>Present (1)</v>
          </cell>
          <cell r="I48">
            <v>0</v>
          </cell>
          <cell r="K48" t="str">
            <v>Proposed</v>
          </cell>
          <cell r="M48">
            <v>0</v>
          </cell>
        </row>
        <row r="50">
          <cell r="A50" t="str">
            <v>Tennyson</v>
          </cell>
          <cell r="G50">
            <v>1.36</v>
          </cell>
          <cell r="I50" t="e">
            <v>#NAME?</v>
          </cell>
          <cell r="K50" t="e">
            <v>#NAME?</v>
          </cell>
          <cell r="M50" t="e">
            <v>#NAME?</v>
          </cell>
        </row>
        <row r="52">
          <cell r="A52" t="str">
            <v>Chandler</v>
          </cell>
          <cell r="G52">
            <v>1.4</v>
          </cell>
          <cell r="I52" t="e">
            <v>#NAME?</v>
          </cell>
          <cell r="K52" t="e">
            <v>#NAME?</v>
          </cell>
          <cell r="M52" t="e">
            <v>#NAME?</v>
          </cell>
        </row>
        <row r="54">
          <cell r="A54" t="str">
            <v>NON-RECURRING RATES:</v>
          </cell>
        </row>
        <row r="56">
          <cell r="A56" t="str">
            <v>No changes in non-recurring rates are being sought as part of this cause.</v>
          </cell>
        </row>
        <row r="58">
          <cell r="A58" t="str">
            <v>Notes:</v>
          </cell>
        </row>
        <row r="59">
          <cell r="A59" t="str">
            <v>(1)  Present rates and charges approved by the Indiana Utility Regulatory Commission in Cause No. 38821</v>
          </cell>
        </row>
        <row r="60">
          <cell r="A60" t="str">
            <v xml:space="preserve">      dated January 7, 1991.</v>
          </cell>
        </row>
        <row r="61">
          <cell r="A61" t="e">
            <v>#NAME?</v>
          </cell>
        </row>
        <row r="62">
          <cell r="A62" t="e">
            <v>#NAME?</v>
          </cell>
        </row>
        <row r="63">
          <cell r="A63" t="e">
            <v>#NAME?</v>
          </cell>
        </row>
        <row r="66">
          <cell r="A66" t="str">
            <v>(Continued on next page)</v>
          </cell>
        </row>
        <row r="68">
          <cell r="A68" t="str">
            <v>(Subject to the comments in the attached</v>
          </cell>
        </row>
        <row r="69">
          <cell r="A69" t="str">
            <v>letter dated July 5, 2005 of Umbaugh.)</v>
          </cell>
        </row>
        <row r="70">
          <cell r="M70" t="str">
            <v xml:space="preserve"> </v>
          </cell>
        </row>
        <row r="71">
          <cell r="A71" t="str">
            <v>18</v>
          </cell>
        </row>
      </sheetData>
      <sheetData sheetId="12" refreshError="1">
        <row r="1">
          <cell r="A1" t="str">
            <v>GREENSBURG (INDIANA) MUNICIPAL SEWAGE WORKS</v>
          </cell>
        </row>
        <row r="3">
          <cell r="A3" t="str">
            <v>RESIDENTIAL RATE COMPARISON FOR COMPARABLE WATER UTILITIES</v>
          </cell>
        </row>
        <row r="5">
          <cell r="C5" t="str">
            <v>BOONVILLE</v>
          </cell>
        </row>
        <row r="6">
          <cell r="E6" t="str">
            <v>Proposed</v>
          </cell>
        </row>
        <row r="7">
          <cell r="C7" t="str">
            <v>Current</v>
          </cell>
          <cell r="E7" t="str">
            <v>Alt. 1</v>
          </cell>
          <cell r="G7" t="str">
            <v>Alt. #2</v>
          </cell>
          <cell r="I7" t="str">
            <v>Alt. 2</v>
          </cell>
        </row>
        <row r="8">
          <cell r="C8">
            <v>1991</v>
          </cell>
          <cell r="E8">
            <v>0</v>
          </cell>
          <cell r="G8">
            <v>0</v>
          </cell>
          <cell r="I8">
            <v>0</v>
          </cell>
        </row>
        <row r="9">
          <cell r="A9" t="str">
            <v>Monthly Billings: (gals.)</v>
          </cell>
        </row>
        <row r="10">
          <cell r="A10" t="str">
            <v>2,000</v>
          </cell>
          <cell r="C10">
            <v>8.68</v>
          </cell>
          <cell r="E10" t="e">
            <v>#NAME?</v>
          </cell>
          <cell r="G10" t="e">
            <v>#NAME?</v>
          </cell>
          <cell r="I10" t="e">
            <v>#NAME?</v>
          </cell>
        </row>
        <row r="11">
          <cell r="A11" t="str">
            <v>3,000</v>
          </cell>
          <cell r="C11" t="e">
            <v>#NAME?</v>
          </cell>
          <cell r="E11" t="e">
            <v>#NAME?</v>
          </cell>
          <cell r="G11" t="e">
            <v>#NAME?</v>
          </cell>
          <cell r="I11" t="e">
            <v>#NAME?</v>
          </cell>
        </row>
        <row r="12">
          <cell r="A12" t="str">
            <v>4,000</v>
          </cell>
          <cell r="C12" t="e">
            <v>#NAME?</v>
          </cell>
          <cell r="E12" t="e">
            <v>#NAME?</v>
          </cell>
          <cell r="G12" t="e">
            <v>#NAME?</v>
          </cell>
          <cell r="I12" t="e">
            <v>#NAME?</v>
          </cell>
        </row>
        <row r="13">
          <cell r="A13" t="str">
            <v>5,000</v>
          </cell>
          <cell r="C13" t="e">
            <v>#NAME?</v>
          </cell>
          <cell r="E13" t="e">
            <v>#NAME?</v>
          </cell>
          <cell r="G13" t="e">
            <v>#NAME?</v>
          </cell>
          <cell r="I13" t="e">
            <v>#NAME?</v>
          </cell>
        </row>
        <row r="14">
          <cell r="A14" t="str">
            <v>10,000</v>
          </cell>
          <cell r="C14" t="e">
            <v>#NAME?</v>
          </cell>
          <cell r="E14" t="e">
            <v>#NAME?</v>
          </cell>
          <cell r="G14" t="e">
            <v>#NAME?</v>
          </cell>
          <cell r="I14" t="e">
            <v>#NAME?</v>
          </cell>
        </row>
        <row r="15">
          <cell r="A15" t="str">
            <v>100,000</v>
          </cell>
          <cell r="C15" t="e">
            <v>#NAME?</v>
          </cell>
          <cell r="E15" t="e">
            <v>#NAME?</v>
          </cell>
          <cell r="G15" t="e">
            <v>#NAME?</v>
          </cell>
          <cell r="I15" t="e">
            <v>#NAME?</v>
          </cell>
        </row>
        <row r="17">
          <cell r="E17" t="str">
            <v>Rockport (1)</v>
          </cell>
          <cell r="G17" t="str">
            <v>Jasper (1)</v>
          </cell>
          <cell r="I17" t="str">
            <v>Lynnville</v>
          </cell>
        </row>
        <row r="18">
          <cell r="E18" t="str">
            <v>(2001)</v>
          </cell>
          <cell r="G18" t="str">
            <v>(2001)</v>
          </cell>
          <cell r="I18" t="str">
            <v>(1995)</v>
          </cell>
        </row>
        <row r="19">
          <cell r="A19" t="str">
            <v>Monthly Billings: (gals.)</v>
          </cell>
        </row>
        <row r="20">
          <cell r="A20" t="str">
            <v>2,000</v>
          </cell>
          <cell r="E20">
            <v>22.35</v>
          </cell>
          <cell r="G20">
            <v>11.11</v>
          </cell>
          <cell r="I20">
            <v>18.170000000000002</v>
          </cell>
        </row>
        <row r="21">
          <cell r="A21" t="str">
            <v>3,000</v>
          </cell>
          <cell r="E21">
            <v>26.830000000000002</v>
          </cell>
          <cell r="G21">
            <v>14.59</v>
          </cell>
          <cell r="I21">
            <v>23.34</v>
          </cell>
        </row>
        <row r="22">
          <cell r="A22" t="str">
            <v>4,000</v>
          </cell>
          <cell r="E22">
            <v>31.310000000000002</v>
          </cell>
          <cell r="G22">
            <v>18.07</v>
          </cell>
          <cell r="I22">
            <v>28.51</v>
          </cell>
        </row>
        <row r="23">
          <cell r="A23" t="str">
            <v>5,000</v>
          </cell>
          <cell r="E23">
            <v>35.790000000000006</v>
          </cell>
          <cell r="G23">
            <v>21.549999999999997</v>
          </cell>
          <cell r="I23">
            <v>33.68</v>
          </cell>
        </row>
        <row r="24">
          <cell r="A24" t="str">
            <v>10,000</v>
          </cell>
          <cell r="E24">
            <v>58.190000000000005</v>
          </cell>
          <cell r="G24">
            <v>38.949999999999996</v>
          </cell>
          <cell r="I24">
            <v>59.53</v>
          </cell>
        </row>
        <row r="25">
          <cell r="A25" t="str">
            <v>100,000</v>
          </cell>
          <cell r="E25">
            <v>461.39000000000004</v>
          </cell>
          <cell r="G25">
            <v>311.52499999999998</v>
          </cell>
          <cell r="I25">
            <v>524.83000000000004</v>
          </cell>
        </row>
        <row r="26">
          <cell r="G26" t="str">
            <v xml:space="preserve"> </v>
          </cell>
        </row>
        <row r="27">
          <cell r="E27" t="str">
            <v>Princeton</v>
          </cell>
          <cell r="G27" t="str">
            <v>Paoli</v>
          </cell>
          <cell r="I27" t="str">
            <v>Chrisney</v>
          </cell>
        </row>
        <row r="28">
          <cell r="E28" t="str">
            <v>(1999)</v>
          </cell>
          <cell r="G28" t="str">
            <v>(1999)</v>
          </cell>
          <cell r="I28" t="str">
            <v>(1997)</v>
          </cell>
        </row>
        <row r="29">
          <cell r="A29" t="str">
            <v>Monthly Billings: (gals.)</v>
          </cell>
        </row>
        <row r="30">
          <cell r="A30" t="str">
            <v>2,000</v>
          </cell>
          <cell r="E30">
            <v>12.11</v>
          </cell>
          <cell r="G30">
            <v>14.9</v>
          </cell>
          <cell r="I30">
            <v>19.399999999999999</v>
          </cell>
        </row>
        <row r="31">
          <cell r="A31" t="str">
            <v>3,000</v>
          </cell>
          <cell r="E31">
            <v>12.15</v>
          </cell>
          <cell r="G31">
            <v>17.760000000000002</v>
          </cell>
          <cell r="I31">
            <v>23.35</v>
          </cell>
        </row>
        <row r="32">
          <cell r="A32" t="str">
            <v>4,000</v>
          </cell>
          <cell r="E32">
            <v>16.2</v>
          </cell>
          <cell r="G32">
            <v>23.42</v>
          </cell>
          <cell r="I32">
            <v>27.3</v>
          </cell>
        </row>
        <row r="33">
          <cell r="A33" t="str">
            <v>5,000</v>
          </cell>
          <cell r="E33">
            <v>20.25</v>
          </cell>
          <cell r="G33">
            <v>29.08</v>
          </cell>
          <cell r="I33">
            <v>31.25</v>
          </cell>
        </row>
        <row r="34">
          <cell r="A34" t="str">
            <v>10,000</v>
          </cell>
          <cell r="E34">
            <v>38.950000000000003</v>
          </cell>
          <cell r="G34">
            <v>57.38</v>
          </cell>
          <cell r="I34">
            <v>36.65</v>
          </cell>
        </row>
        <row r="35">
          <cell r="A35" t="str">
            <v>100,000</v>
          </cell>
          <cell r="E35">
            <v>288.8</v>
          </cell>
          <cell r="G35">
            <v>482.28</v>
          </cell>
          <cell r="I35">
            <v>347.15</v>
          </cell>
        </row>
        <row r="36">
          <cell r="E36" t="str">
            <v xml:space="preserve"> </v>
          </cell>
        </row>
        <row r="37">
          <cell r="E37" t="str">
            <v>Tell City</v>
          </cell>
          <cell r="G37" t="str">
            <v>Chandler</v>
          </cell>
          <cell r="I37" t="str">
            <v>Spurgen</v>
          </cell>
        </row>
        <row r="38">
          <cell r="E38" t="str">
            <v>(2000)</v>
          </cell>
          <cell r="G38" t="str">
            <v>(1999)</v>
          </cell>
          <cell r="I38" t="str">
            <v>(2001)</v>
          </cell>
        </row>
        <row r="39">
          <cell r="A39" t="str">
            <v>Monthly Billings: (gals.)</v>
          </cell>
        </row>
        <row r="40">
          <cell r="A40" t="str">
            <v>2,000</v>
          </cell>
          <cell r="E40">
            <v>8.57</v>
          </cell>
          <cell r="G40">
            <v>12.78</v>
          </cell>
          <cell r="I40">
            <v>17.45</v>
          </cell>
        </row>
        <row r="41">
          <cell r="A41" t="str">
            <v>3,000</v>
          </cell>
          <cell r="E41">
            <v>8.57</v>
          </cell>
          <cell r="G41">
            <v>16.46</v>
          </cell>
          <cell r="I41">
            <v>20.94</v>
          </cell>
        </row>
        <row r="42">
          <cell r="A42" t="str">
            <v>4,000</v>
          </cell>
          <cell r="E42">
            <v>10.28</v>
          </cell>
          <cell r="G42">
            <v>19.190000000000001</v>
          </cell>
          <cell r="I42">
            <v>26.68</v>
          </cell>
        </row>
        <row r="43">
          <cell r="A43" t="str">
            <v>5,000</v>
          </cell>
          <cell r="E43">
            <v>12.85</v>
          </cell>
          <cell r="G43">
            <v>21.92</v>
          </cell>
          <cell r="I43">
            <v>32.42</v>
          </cell>
        </row>
        <row r="44">
          <cell r="A44" t="str">
            <v>10,000</v>
          </cell>
          <cell r="E44">
            <v>25.7</v>
          </cell>
          <cell r="G44">
            <v>35.57</v>
          </cell>
          <cell r="I44">
            <v>59.08</v>
          </cell>
        </row>
        <row r="45">
          <cell r="A45" t="str">
            <v>100,000</v>
          </cell>
          <cell r="E45">
            <v>230</v>
          </cell>
          <cell r="G45">
            <v>218.17000000000002</v>
          </cell>
          <cell r="I45">
            <v>389.22999999999996</v>
          </cell>
        </row>
        <row r="47">
          <cell r="A47" t="str">
            <v>(1) Inside corporate limits</v>
          </cell>
        </row>
        <row r="48">
          <cell r="A48" t="str">
            <v xml:space="preserve"> </v>
          </cell>
        </row>
        <row r="50">
          <cell r="A50" t="str">
            <v>(Subject to the comments in the attached</v>
          </cell>
        </row>
        <row r="51">
          <cell r="A51" t="str">
            <v>letter dated July 5, 2005 of Umbaugh.)</v>
          </cell>
        </row>
        <row r="53">
          <cell r="A53" t="str">
            <v>19</v>
          </cell>
        </row>
      </sheetData>
      <sheetData sheetId="13"/>
      <sheetData sheetId="14"/>
      <sheetData sheetId="15"/>
      <sheetData sheetId="16"/>
      <sheetData sheetId="17"/>
      <sheetData sheetId="18" refreshError="1">
        <row r="1">
          <cell r="A1" t="str">
            <v>GREENSBURG (INDIANA) MUNICIPAL SEWAGE WORKS</v>
          </cell>
        </row>
        <row r="3">
          <cell r="A3" t="str">
            <v>SCHEDULE OF AMORTIZATION OF $441,000 PRINCIPAL</v>
          </cell>
        </row>
        <row r="4">
          <cell r="A4" t="str">
            <v>AMOUNT OF OUTSTANDING REVENUE BONDS OF 1989</v>
          </cell>
        </row>
        <row r="5">
          <cell r="A5" t="str">
            <v>Principal payable annually January 1st, beginning January 1, 1992.</v>
          </cell>
        </row>
        <row r="6">
          <cell r="A6" t="str">
            <v>Interest payable semiannually on January 1st and July 1st, beginning July 1, 1989.</v>
          </cell>
        </row>
        <row r="7">
          <cell r="A7" t="str">
            <v>Interest rates as indicated.</v>
          </cell>
        </row>
        <row r="8">
          <cell r="A8" t="str">
            <v>(Unaudited)</v>
          </cell>
        </row>
        <row r="10">
          <cell r="C10" t="str">
            <v xml:space="preserve"> </v>
          </cell>
          <cell r="G10" t="str">
            <v xml:space="preserve"> </v>
          </cell>
        </row>
        <row r="11">
          <cell r="A11" t="str">
            <v>Payment</v>
          </cell>
          <cell r="C11" t="str">
            <v>Principal</v>
          </cell>
          <cell r="G11" t="str">
            <v>Interest</v>
          </cell>
          <cell r="I11" t="str">
            <v>Debt Service</v>
          </cell>
          <cell r="M11" t="str">
            <v>Bond Year</v>
          </cell>
        </row>
        <row r="12">
          <cell r="A12" t="str">
            <v>Date</v>
          </cell>
          <cell r="C12" t="str">
            <v>Balance</v>
          </cell>
          <cell r="E12" t="str">
            <v>Principal</v>
          </cell>
          <cell r="G12" t="str">
            <v>Rate(s)</v>
          </cell>
          <cell r="I12" t="str">
            <v>Interest</v>
          </cell>
          <cell r="K12" t="str">
            <v>Total</v>
          </cell>
          <cell r="M12" t="str">
            <v>Total</v>
          </cell>
        </row>
        <row r="13">
          <cell r="C13" t="str">
            <v>(---------In $1,000's----------)</v>
          </cell>
          <cell r="G13" t="str">
            <v>(%)</v>
          </cell>
          <cell r="I13" t="str">
            <v>(--------------------- In Dollars --------------------)</v>
          </cell>
        </row>
        <row r="15">
          <cell r="A15">
            <v>38169</v>
          </cell>
          <cell r="C15">
            <v>174</v>
          </cell>
          <cell r="I15">
            <v>6846.9</v>
          </cell>
          <cell r="K15">
            <v>6846.9</v>
          </cell>
        </row>
        <row r="16">
          <cell r="A16">
            <v>38353</v>
          </cell>
          <cell r="C16">
            <v>174</v>
          </cell>
          <cell r="E16">
            <v>81</v>
          </cell>
          <cell r="G16">
            <v>7.87</v>
          </cell>
          <cell r="I16">
            <v>6846.9</v>
          </cell>
          <cell r="K16">
            <v>87846.9</v>
          </cell>
          <cell r="M16">
            <v>94693.799999999988</v>
          </cell>
        </row>
        <row r="17">
          <cell r="A17">
            <v>38534</v>
          </cell>
          <cell r="C17">
            <v>93</v>
          </cell>
          <cell r="I17">
            <v>3659.55</v>
          </cell>
          <cell r="K17">
            <v>3659.55</v>
          </cell>
        </row>
        <row r="18">
          <cell r="A18">
            <v>38718</v>
          </cell>
          <cell r="C18">
            <v>93</v>
          </cell>
          <cell r="E18">
            <v>87</v>
          </cell>
          <cell r="G18">
            <v>7.87</v>
          </cell>
          <cell r="I18">
            <v>3659.55</v>
          </cell>
          <cell r="K18">
            <v>90659.55</v>
          </cell>
          <cell r="M18">
            <v>94319.1</v>
          </cell>
        </row>
        <row r="19">
          <cell r="A19">
            <v>38899</v>
          </cell>
          <cell r="C19">
            <v>6</v>
          </cell>
          <cell r="I19">
            <v>236.1</v>
          </cell>
          <cell r="K19">
            <v>236.1</v>
          </cell>
        </row>
        <row r="20">
          <cell r="A20">
            <v>39083</v>
          </cell>
          <cell r="C20">
            <v>6</v>
          </cell>
          <cell r="E20">
            <v>6</v>
          </cell>
          <cell r="G20">
            <v>7.87</v>
          </cell>
          <cell r="I20">
            <v>236.1</v>
          </cell>
          <cell r="K20">
            <v>6236.1</v>
          </cell>
          <cell r="M20">
            <v>6472.2000000000007</v>
          </cell>
        </row>
        <row r="22">
          <cell r="A22" t="str">
            <v xml:space="preserve"> </v>
          </cell>
          <cell r="C22" t="str">
            <v>Totals</v>
          </cell>
          <cell r="E22">
            <v>174</v>
          </cell>
          <cell r="I22">
            <v>21485.099999999995</v>
          </cell>
          <cell r="K22">
            <v>195485.1</v>
          </cell>
          <cell r="M22">
            <v>195485.1</v>
          </cell>
        </row>
        <row r="25">
          <cell r="A25" t="str">
            <v>Average annual debt service for the five bond years 2003 through 2006</v>
          </cell>
          <cell r="M25">
            <v>94506.45</v>
          </cell>
        </row>
        <row r="43">
          <cell r="A43" t="str">
            <v>(Subject to the comments in the attached</v>
          </cell>
        </row>
        <row r="44">
          <cell r="A44" t="str">
            <v>letter dated July 5, 2005 of Umbaugh.)</v>
          </cell>
        </row>
        <row r="46">
          <cell r="A46" t="str">
            <v>28</v>
          </cell>
        </row>
      </sheetData>
      <sheetData sheetId="19" refreshError="1">
        <row r="1">
          <cell r="A1" t="str">
            <v>GREENSBURG (INDIANA) MUNICIPAL SEWAGE WORKS</v>
          </cell>
        </row>
        <row r="3">
          <cell r="A3" t="str">
            <v>SCHEDULE OF AMORTIZATION OF $340,748.02 PRINCIPAL AMOUNT</v>
          </cell>
        </row>
        <row r="4">
          <cell r="A4" t="str">
            <v>OF OUTSTANDING LOAN FROM PROFESSIONAL SERVICES GROUP</v>
          </cell>
        </row>
        <row r="5">
          <cell r="A5" t="str">
            <v>Principal and interest payable monthly.</v>
          </cell>
        </row>
        <row r="6">
          <cell r="A6" t="str">
            <v>Interest rate of 9.5%</v>
          </cell>
        </row>
        <row r="7">
          <cell r="A7" t="str">
            <v>(Unaudited)</v>
          </cell>
        </row>
        <row r="10">
          <cell r="C10" t="str">
            <v>Principal</v>
          </cell>
          <cell r="G10" t="str">
            <v>Interest</v>
          </cell>
          <cell r="I10" t="str">
            <v>Debt Service</v>
          </cell>
        </row>
        <row r="11">
          <cell r="A11" t="str">
            <v>Year</v>
          </cell>
          <cell r="C11" t="str">
            <v>Balance</v>
          </cell>
          <cell r="E11" t="str">
            <v>Principal</v>
          </cell>
          <cell r="G11" t="str">
            <v>Rate(s)</v>
          </cell>
          <cell r="I11" t="str">
            <v>Interest</v>
          </cell>
          <cell r="K11" t="str">
            <v>Total</v>
          </cell>
        </row>
        <row r="12">
          <cell r="C12" t="str">
            <v xml:space="preserve">  (--------------In Dollars----------)</v>
          </cell>
          <cell r="G12" t="str">
            <v>(%)</v>
          </cell>
          <cell r="I12" t="str">
            <v xml:space="preserve">  (------------In Dollars-----------)</v>
          </cell>
        </row>
        <row r="14">
          <cell r="A14">
            <v>2004</v>
          </cell>
          <cell r="C14">
            <v>191110.04</v>
          </cell>
          <cell r="E14">
            <v>52676.59</v>
          </cell>
          <cell r="G14">
            <v>9.5</v>
          </cell>
          <cell r="I14">
            <v>15901.009999999998</v>
          </cell>
          <cell r="K14">
            <v>68577.599999999991</v>
          </cell>
        </row>
        <row r="15">
          <cell r="A15">
            <v>2005</v>
          </cell>
          <cell r="C15">
            <v>138433.45000000001</v>
          </cell>
          <cell r="E15">
            <v>57904.61</v>
          </cell>
          <cell r="G15">
            <v>9.5</v>
          </cell>
          <cell r="I15">
            <v>10672.989999999998</v>
          </cell>
          <cell r="K15">
            <v>68577.600000000006</v>
          </cell>
        </row>
        <row r="16">
          <cell r="A16">
            <v>2006</v>
          </cell>
          <cell r="C16">
            <v>80528.840000000011</v>
          </cell>
          <cell r="E16">
            <v>63651.509999999995</v>
          </cell>
          <cell r="G16">
            <v>9.5</v>
          </cell>
          <cell r="I16">
            <v>4926.09</v>
          </cell>
          <cell r="K16">
            <v>68577.599999999991</v>
          </cell>
        </row>
        <row r="17">
          <cell r="A17">
            <v>2007</v>
          </cell>
          <cell r="C17">
            <v>16877.330000000016</v>
          </cell>
          <cell r="E17">
            <v>16877.330000000002</v>
          </cell>
          <cell r="G17">
            <v>9.5</v>
          </cell>
          <cell r="I17">
            <v>267.93</v>
          </cell>
          <cell r="K17">
            <v>17145.260000000002</v>
          </cell>
        </row>
        <row r="19">
          <cell r="A19" t="str">
            <v>Totals</v>
          </cell>
          <cell r="E19">
            <v>191110.03999999998</v>
          </cell>
          <cell r="I19">
            <v>31768.019999999997</v>
          </cell>
          <cell r="K19">
            <v>222878.06</v>
          </cell>
        </row>
        <row r="37">
          <cell r="A37" t="str">
            <v>(Subject to the comments in the attached</v>
          </cell>
        </row>
        <row r="38">
          <cell r="A38" t="str">
            <v>letter dated July 5, 2005 of Umbaugh.)</v>
          </cell>
        </row>
        <row r="40">
          <cell r="A40" t="str">
            <v>29</v>
          </cell>
        </row>
      </sheetData>
      <sheetData sheetId="20"/>
      <sheetData sheetId="21"/>
      <sheetData sheetId="22"/>
      <sheetData sheetId="23" refreshError="1">
        <row r="1">
          <cell r="A1" t="str">
            <v>GREENSBURG (INDIANA) MUNICIPAL SEWAGE WORKS</v>
          </cell>
        </row>
        <row r="3">
          <cell r="A3" t="str">
            <v xml:space="preserve">CALCULATION OF ADDITIONS TO UTILITY PLANT </v>
          </cell>
        </row>
        <row r="4">
          <cell r="A4" t="str">
            <v>AND PRO FORMA DEPRECIATION EXPENSE</v>
          </cell>
        </row>
        <row r="5">
          <cell r="A5" t="str">
            <v>(Unaudited)</v>
          </cell>
        </row>
        <row r="6">
          <cell r="A6" t="str">
            <v xml:space="preserve"> </v>
          </cell>
        </row>
        <row r="7">
          <cell r="A7" t="str">
            <v>I.</v>
          </cell>
          <cell r="B7" t="str">
            <v>Calculation of Average Additions to Plant:</v>
          </cell>
        </row>
        <row r="9">
          <cell r="A9" t="str">
            <v xml:space="preserve">  Estimated utility plant in service at 12/31/98</v>
          </cell>
          <cell r="G9">
            <v>5072920</v>
          </cell>
        </row>
        <row r="11">
          <cell r="C11" t="str">
            <v>Calendar</v>
          </cell>
        </row>
        <row r="12">
          <cell r="C12" t="str">
            <v>Year</v>
          </cell>
          <cell r="E12" t="str">
            <v>Additions</v>
          </cell>
        </row>
        <row r="14">
          <cell r="C14">
            <v>1999</v>
          </cell>
          <cell r="E14">
            <v>173234</v>
          </cell>
        </row>
        <row r="15">
          <cell r="C15">
            <v>2000</v>
          </cell>
          <cell r="E15">
            <v>-299</v>
          </cell>
        </row>
        <row r="16">
          <cell r="C16">
            <v>2001</v>
          </cell>
          <cell r="E16">
            <v>65432</v>
          </cell>
        </row>
        <row r="17">
          <cell r="C17">
            <v>2002</v>
          </cell>
          <cell r="E17">
            <v>31445</v>
          </cell>
        </row>
        <row r="18">
          <cell r="C18">
            <v>2003</v>
          </cell>
        </row>
        <row r="19">
          <cell r="C19">
            <v>2004</v>
          </cell>
          <cell r="D19" t="str">
            <v>(as of 6/30/04)</v>
          </cell>
        </row>
        <row r="20">
          <cell r="C20" t="str">
            <v xml:space="preserve"> </v>
          </cell>
          <cell r="E20" t="str">
            <v xml:space="preserve"> </v>
          </cell>
        </row>
        <row r="21">
          <cell r="C21" t="str">
            <v>Total additions to utility plant</v>
          </cell>
          <cell r="G21">
            <v>96877</v>
          </cell>
        </row>
        <row r="22">
          <cell r="G22" t="str">
            <v xml:space="preserve"> </v>
          </cell>
        </row>
        <row r="23">
          <cell r="A23" t="str">
            <v xml:space="preserve">  Estimated utility plant in service at 06/30/04</v>
          </cell>
          <cell r="G23">
            <v>5169797</v>
          </cell>
        </row>
        <row r="24">
          <cell r="G24" t="str">
            <v xml:space="preserve"> </v>
          </cell>
        </row>
        <row r="26">
          <cell r="B26" t="str">
            <v>Calculation of historical average additions to plant funded through</v>
          </cell>
        </row>
        <row r="27">
          <cell r="B27" t="str">
            <v xml:space="preserve">  operating revenues.</v>
          </cell>
        </row>
        <row r="29">
          <cell r="C29" t="str">
            <v>Total additions to plant</v>
          </cell>
          <cell r="G29">
            <v>96877</v>
          </cell>
        </row>
        <row r="30">
          <cell r="C30" t="str">
            <v>Plus capitalized items</v>
          </cell>
          <cell r="G30">
            <v>25473</v>
          </cell>
        </row>
        <row r="31">
          <cell r="C31" t="str">
            <v>Less contributions</v>
          </cell>
          <cell r="G31">
            <v>-45474</v>
          </cell>
        </row>
        <row r="33">
          <cell r="C33" t="str">
            <v>Net plant additions</v>
          </cell>
          <cell r="G33">
            <v>76876</v>
          </cell>
        </row>
        <row r="34">
          <cell r="C34" t="str">
            <v>Divide by period covered (5 1/2  years)</v>
          </cell>
          <cell r="G34">
            <v>5.5</v>
          </cell>
        </row>
        <row r="36">
          <cell r="C36" t="str">
            <v xml:space="preserve">        Average annual additions to plant</v>
          </cell>
          <cell r="G36">
            <v>13977.454545454546</v>
          </cell>
        </row>
        <row r="39">
          <cell r="A39" t="str">
            <v>II.</v>
          </cell>
          <cell r="B39" t="str">
            <v>Calculation of Annual Depreciation Expense:</v>
          </cell>
        </row>
        <row r="41">
          <cell r="B41" t="str">
            <v>Estimated Utility plant in service, as of 6/30/2004</v>
          </cell>
          <cell r="G41">
            <v>5169797</v>
          </cell>
        </row>
        <row r="42">
          <cell r="B42" t="str">
            <v>Plus capitalized items</v>
          </cell>
          <cell r="G42">
            <v>25473</v>
          </cell>
        </row>
        <row r="43">
          <cell r="B43" t="str">
            <v>Less land</v>
          </cell>
          <cell r="G43">
            <v>-60455</v>
          </cell>
        </row>
        <row r="45">
          <cell r="B45" t="str">
            <v xml:space="preserve">       Sub-total</v>
          </cell>
          <cell r="G45">
            <v>5134815</v>
          </cell>
        </row>
        <row r="46">
          <cell r="B46" t="str">
            <v>Times annual composite depreciation rate</v>
          </cell>
          <cell r="F46" t="str">
            <v xml:space="preserve"> </v>
          </cell>
          <cell r="G46">
            <v>0.02</v>
          </cell>
        </row>
        <row r="48">
          <cell r="B48" t="str">
            <v xml:space="preserve">        Annual Depreciation Expense</v>
          </cell>
          <cell r="G48">
            <v>102696</v>
          </cell>
        </row>
        <row r="57">
          <cell r="A57" t="str">
            <v>(Subject to the comments in the attached</v>
          </cell>
        </row>
        <row r="58">
          <cell r="A58" t="str">
            <v>letter dated July 5, 2005 of Umbaugh.)</v>
          </cell>
        </row>
        <row r="60">
          <cell r="A60" t="str">
            <v>12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WTB"/>
      <sheetName val="Proj O&amp;M"/>
      <sheetName val="Proj O&amp;M adj"/>
      <sheetName val="RevReq"/>
      <sheetName val="Proj Cost"/>
      <sheetName val="PF COE"/>
      <sheetName val="Rev Req I"/>
      <sheetName val="Rev Req II"/>
      <sheetName val="Norm Rev"/>
      <sheetName val="Cap Impr"/>
      <sheetName val="Pres Prop Rt"/>
      <sheetName val="Comp Billings"/>
      <sheetName val="ST of NA"/>
      <sheetName val="Change in NA"/>
      <sheetName val="Detail Exp"/>
      <sheetName val="Detail Rev"/>
      <sheetName val="2001 Bonds"/>
      <sheetName val="1989 Bonds"/>
      <sheetName val="PSG Loan"/>
      <sheetName val="2005 Prop Bonds"/>
      <sheetName val="2005 Prop SRF"/>
      <sheetName val="Comb Bonds"/>
      <sheetName val="Add Plant"/>
      <sheetName val="CapImp"/>
      <sheetName val="ExpCapImp"/>
      <sheetName val="CapImp2"/>
      <sheetName val="SNA"/>
      <sheetName val="CNA"/>
      <sheetName val="SCF"/>
      <sheetName val="MinBal"/>
      <sheetName val="2000 Bonds"/>
      <sheetName val="2002 Bonds"/>
      <sheetName val="Combined"/>
      <sheetName val="Rates"/>
      <sheetName val="UPIS"/>
      <sheetName val="Comparison"/>
      <sheetName val="Payroll TY"/>
      <sheetName val="Proj Pay"/>
      <sheetName val="Rev"/>
      <sheetName val="CapImp3"/>
      <sheetName val="Intro"/>
      <sheetName val="AddPlant"/>
      <sheetName val="Adjustments"/>
      <sheetName val="Fin Info"/>
      <sheetName val="Min Bal"/>
      <sheetName val="Projected Disb."/>
      <sheetName val="Rec and Disb"/>
      <sheetName val="Return"/>
      <sheetName val="3-Year Appeal (Civil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BOONVILLE (INDIANA) MUNICIPAL WATER UTILITY</v>
          </cell>
        </row>
        <row r="3">
          <cell r="A3" t="str">
            <v>PRO FORMA ANNUAL CASH OPERATING EXPENSES</v>
          </cell>
        </row>
        <row r="4">
          <cell r="A4" t="str">
            <v>See Explanation of Adjustments, pages 3 to 11.</v>
          </cell>
        </row>
        <row r="5">
          <cell r="A5" t="str">
            <v>No inflation adjustment made.</v>
          </cell>
        </row>
        <row r="8">
          <cell r="A8" t="str">
            <v>Cash operating expenses for the 12 months</v>
          </cell>
        </row>
        <row r="9">
          <cell r="A9" t="str">
            <v xml:space="preserve">   ended June 30, 2004 (unaudited)</v>
          </cell>
          <cell r="L9">
            <v>1284092</v>
          </cell>
        </row>
        <row r="13">
          <cell r="A13" t="str">
            <v>Adjustments:</v>
          </cell>
        </row>
        <row r="15">
          <cell r="A15">
            <v>-1</v>
          </cell>
          <cell r="C15" t="str">
            <v>Payroll</v>
          </cell>
          <cell r="J15">
            <v>-63226</v>
          </cell>
        </row>
        <row r="16">
          <cell r="A16">
            <v>-2</v>
          </cell>
          <cell r="C16" t="str">
            <v>FICA</v>
          </cell>
          <cell r="J16">
            <v>168</v>
          </cell>
        </row>
        <row r="17">
          <cell r="A17">
            <v>-3</v>
          </cell>
          <cell r="C17" t="str">
            <v>Pension expense</v>
          </cell>
          <cell r="J17">
            <v>69</v>
          </cell>
        </row>
        <row r="18">
          <cell r="A18">
            <v>-4</v>
          </cell>
          <cell r="C18" t="str">
            <v>Health insurance</v>
          </cell>
          <cell r="J18">
            <v>2428</v>
          </cell>
        </row>
        <row r="19">
          <cell r="A19">
            <v>-5</v>
          </cell>
          <cell r="C19" t="str">
            <v>Life insurance</v>
          </cell>
          <cell r="J19">
            <v>12</v>
          </cell>
        </row>
        <row r="20">
          <cell r="A20">
            <v>-6</v>
          </cell>
          <cell r="C20" t="str">
            <v>Retirees insurance</v>
          </cell>
          <cell r="J20">
            <v>1242</v>
          </cell>
        </row>
        <row r="21">
          <cell r="A21">
            <v>-7</v>
          </cell>
          <cell r="C21" t="str">
            <v>Non-recurring or capital expenses</v>
          </cell>
          <cell r="J21">
            <v>-25473</v>
          </cell>
        </row>
        <row r="22">
          <cell r="A22">
            <v>-8</v>
          </cell>
          <cell r="C22" t="str">
            <v>Contractual services-US Filter</v>
          </cell>
          <cell r="J22">
            <v>6624.0149999999994</v>
          </cell>
        </row>
        <row r="23">
          <cell r="A23">
            <v>-9</v>
          </cell>
          <cell r="C23" t="str">
            <v>Contractual services-non-recurring or capital expenses</v>
          </cell>
          <cell r="J23">
            <v>-21104.080000000002</v>
          </cell>
        </row>
        <row r="24">
          <cell r="A24">
            <v>-10</v>
          </cell>
          <cell r="C24" t="str">
            <v>Rate case expense</v>
          </cell>
          <cell r="J24">
            <v>4750</v>
          </cell>
        </row>
        <row r="25">
          <cell r="A25">
            <v>-11</v>
          </cell>
          <cell r="C25" t="str">
            <v>Periodic maintenance</v>
          </cell>
          <cell r="J25">
            <v>44747.4</v>
          </cell>
        </row>
        <row r="26">
          <cell r="A26">
            <v>-12</v>
          </cell>
          <cell r="C26" t="str">
            <v>Customer growth</v>
          </cell>
          <cell r="J26">
            <v>0</v>
          </cell>
        </row>
        <row r="27">
          <cell r="A27">
            <v>-13</v>
          </cell>
          <cell r="C27" t="str">
            <v>Telephone expense</v>
          </cell>
          <cell r="J27">
            <v>208</v>
          </cell>
        </row>
        <row r="28">
          <cell r="A28">
            <v>-14</v>
          </cell>
          <cell r="C28" t="str">
            <v>General liability insurance</v>
          </cell>
          <cell r="J28">
            <v>668</v>
          </cell>
        </row>
        <row r="29">
          <cell r="A29">
            <v>-15</v>
          </cell>
          <cell r="C29" t="str">
            <v>Property and equipment insurance</v>
          </cell>
          <cell r="J29">
            <v>2480</v>
          </cell>
        </row>
        <row r="30">
          <cell r="A30">
            <v>-16</v>
          </cell>
          <cell r="C30" t="str">
            <v>Public officials insurance</v>
          </cell>
          <cell r="J30">
            <v>1100</v>
          </cell>
        </row>
        <row r="31">
          <cell r="A31">
            <v>-17</v>
          </cell>
          <cell r="C31" t="str">
            <v>Absorption costs</v>
          </cell>
          <cell r="J31">
            <v>17362</v>
          </cell>
        </row>
        <row r="32">
          <cell r="A32">
            <v>-18</v>
          </cell>
          <cell r="C32" t="str">
            <v>Payment in lieu of taxes</v>
          </cell>
          <cell r="J32">
            <v>59538</v>
          </cell>
        </row>
        <row r="33">
          <cell r="A33">
            <v>-19</v>
          </cell>
          <cell r="C33" t="str">
            <v>Gross income tax</v>
          </cell>
          <cell r="J33">
            <v>7488</v>
          </cell>
        </row>
        <row r="35">
          <cell r="E35" t="str">
            <v>Sub-total</v>
          </cell>
          <cell r="L35">
            <v>39081.334999999999</v>
          </cell>
        </row>
        <row r="37">
          <cell r="E37" t="str">
            <v>Pro Forma Annual Cash Operating Expenses</v>
          </cell>
          <cell r="L37">
            <v>1323173.335</v>
          </cell>
        </row>
        <row r="56">
          <cell r="A56" t="str">
            <v>(Continued on next page)</v>
          </cell>
        </row>
        <row r="58">
          <cell r="A58" t="str">
            <v>(Subject to the comments in the attached</v>
          </cell>
        </row>
        <row r="59">
          <cell r="A59" t="str">
            <v>letter dated May 26, 2005 of Umbaugh.)</v>
          </cell>
        </row>
        <row r="61">
          <cell r="A61" t="str">
            <v>2</v>
          </cell>
        </row>
        <row r="62">
          <cell r="A62" t="str">
            <v>BOONVILLE (INDIANA) MUNICIPAL WATER UTILITY</v>
          </cell>
        </row>
        <row r="63">
          <cell r="L63" t="str">
            <v>(Cont'd)</v>
          </cell>
        </row>
        <row r="64">
          <cell r="A64" t="str">
            <v>PRO FORMA ANNUAL CASH OPERATING EXPENSES</v>
          </cell>
        </row>
        <row r="65">
          <cell r="A65" t="str">
            <v>Explanation of adjustments</v>
          </cell>
        </row>
        <row r="66">
          <cell r="A66" t="str">
            <v>No inflation adjustment made.</v>
          </cell>
        </row>
        <row r="69">
          <cell r="A69" t="str">
            <v>Adjustment (1)</v>
          </cell>
        </row>
        <row r="71">
          <cell r="A71" t="str">
            <v xml:space="preserve">To adjust test year payroll expense to reflect pro forma salaries and wages, </v>
          </cell>
        </row>
        <row r="72">
          <cell r="A72" t="str">
            <v>(based on 2003 salary ordinance ).</v>
          </cell>
        </row>
        <row r="75">
          <cell r="C75" t="str">
            <v>Pro forma payroll</v>
          </cell>
          <cell r="L75">
            <v>59359.32</v>
          </cell>
        </row>
        <row r="76">
          <cell r="C76" t="str">
            <v>Less test year amount</v>
          </cell>
          <cell r="L76">
            <v>-122585</v>
          </cell>
        </row>
        <row r="78">
          <cell r="E78" t="str">
            <v>Adjustment</v>
          </cell>
          <cell r="L78">
            <v>-63226</v>
          </cell>
        </row>
        <row r="80">
          <cell r="A80" t="str">
            <v>Adjustment (2)</v>
          </cell>
        </row>
        <row r="82">
          <cell r="A82" t="str">
            <v>To adjust test year FICA expense to reflect pro forma payroll.</v>
          </cell>
        </row>
        <row r="84">
          <cell r="C84" t="str">
            <v>Pro forma payroll subject to FICA</v>
          </cell>
          <cell r="L84">
            <v>59359.32</v>
          </cell>
        </row>
        <row r="85">
          <cell r="C85" t="str">
            <v>Times FICA rate</v>
          </cell>
          <cell r="L85">
            <v>7.6499999999999999E-2</v>
          </cell>
        </row>
        <row r="87">
          <cell r="C87" t="str">
            <v>Pro forma FICA expense</v>
          </cell>
          <cell r="L87">
            <v>4541</v>
          </cell>
        </row>
        <row r="88">
          <cell r="C88" t="str">
            <v>Less test year amount</v>
          </cell>
          <cell r="L88">
            <v>-4373</v>
          </cell>
        </row>
        <row r="90">
          <cell r="E90" t="str">
            <v>Adjustment</v>
          </cell>
          <cell r="L90">
            <v>168</v>
          </cell>
        </row>
        <row r="92">
          <cell r="A92" t="str">
            <v>Adjustment (3)</v>
          </cell>
        </row>
        <row r="94">
          <cell r="A94" t="str">
            <v>To adjust test year PERF expense to reflect the pro forma payroll and 2001 PERF rate.</v>
          </cell>
        </row>
        <row r="96">
          <cell r="C96" t="str">
            <v>Pro forma payroll subject to PERF</v>
          </cell>
          <cell r="L96">
            <v>59359.32</v>
          </cell>
        </row>
        <row r="97">
          <cell r="C97" t="str">
            <v xml:space="preserve">Times PERF rate </v>
          </cell>
          <cell r="L97">
            <v>0.03</v>
          </cell>
        </row>
        <row r="99">
          <cell r="C99" t="str">
            <v>Pro forma PERF expense</v>
          </cell>
          <cell r="L99">
            <v>1781</v>
          </cell>
        </row>
        <row r="100">
          <cell r="C100" t="str">
            <v>Less test year expense</v>
          </cell>
          <cell r="L100">
            <v>-1712</v>
          </cell>
        </row>
        <row r="102">
          <cell r="E102" t="str">
            <v>Adjustment</v>
          </cell>
          <cell r="L102">
            <v>69</v>
          </cell>
        </row>
        <row r="117">
          <cell r="A117" t="str">
            <v>(Continued on next page)</v>
          </cell>
        </row>
        <row r="119">
          <cell r="A119" t="str">
            <v>(Subject to the comments in the attached</v>
          </cell>
        </row>
        <row r="120">
          <cell r="A120" t="str">
            <v>letter dated May 26, 2005 of Umbaugh.)</v>
          </cell>
        </row>
        <row r="122">
          <cell r="A122" t="str">
            <v>3</v>
          </cell>
        </row>
        <row r="123">
          <cell r="A123" t="str">
            <v>BOONVILLE (INDIANA) MUNICIPAL WATER UTILITY</v>
          </cell>
        </row>
        <row r="124">
          <cell r="L124" t="str">
            <v>(Cont'd)</v>
          </cell>
        </row>
        <row r="125">
          <cell r="A125" t="str">
            <v>PRO FORMA ANNUAL CASH OPERATING EXPENSES</v>
          </cell>
        </row>
        <row r="126">
          <cell r="A126" t="str">
            <v>Explanation of adjustments</v>
          </cell>
        </row>
        <row r="127">
          <cell r="A127" t="str">
            <v>No inflation adjustment made.</v>
          </cell>
        </row>
        <row r="130">
          <cell r="A130" t="str">
            <v xml:space="preserve">Adjustment (4) </v>
          </cell>
        </row>
        <row r="132">
          <cell r="A132" t="str">
            <v>To adjust test year health insurance expense to reflect the most current monthly premiums.</v>
          </cell>
        </row>
        <row r="134">
          <cell r="C134" t="str">
            <v>Pro forma health insurance expense</v>
          </cell>
          <cell r="L134">
            <v>21006</v>
          </cell>
        </row>
        <row r="135">
          <cell r="C135" t="str">
            <v>Less test year expense</v>
          </cell>
          <cell r="L135">
            <v>-18578</v>
          </cell>
        </row>
        <row r="137">
          <cell r="E137" t="str">
            <v>Adjustment</v>
          </cell>
          <cell r="L137">
            <v>2428</v>
          </cell>
        </row>
        <row r="139">
          <cell r="A139" t="str">
            <v xml:space="preserve">Adjustment (5) </v>
          </cell>
        </row>
        <row r="141">
          <cell r="A141" t="str">
            <v>To adjust test year life insurance expense to reflect the most current monthly premiums.</v>
          </cell>
        </row>
        <row r="143">
          <cell r="C143" t="str">
            <v>Pro forma life insurance expense</v>
          </cell>
          <cell r="L143">
            <v>269</v>
          </cell>
        </row>
        <row r="144">
          <cell r="C144" t="str">
            <v>Less test year expense</v>
          </cell>
          <cell r="L144">
            <v>-257</v>
          </cell>
        </row>
        <row r="146">
          <cell r="E146" t="str">
            <v>Adjustment</v>
          </cell>
          <cell r="L146">
            <v>12</v>
          </cell>
        </row>
        <row r="148">
          <cell r="A148" t="str">
            <v xml:space="preserve">Adjustment (6) </v>
          </cell>
        </row>
        <row r="150">
          <cell r="A150" t="str">
            <v>To adjust test year retirees insurance expense to reflect the most current monthly premiums.</v>
          </cell>
        </row>
        <row r="152">
          <cell r="C152" t="str">
            <v>Pro forma retirees insurance expense</v>
          </cell>
          <cell r="L152">
            <v>9043</v>
          </cell>
        </row>
        <row r="153">
          <cell r="C153" t="str">
            <v>Less test year expense</v>
          </cell>
          <cell r="L153">
            <v>-7801</v>
          </cell>
        </row>
        <row r="155">
          <cell r="E155" t="str">
            <v>Adjustment</v>
          </cell>
          <cell r="L155">
            <v>1242</v>
          </cell>
        </row>
        <row r="157">
          <cell r="A157" t="str">
            <v>Adjustment (7)</v>
          </cell>
        </row>
        <row r="159">
          <cell r="A159" t="str">
            <v xml:space="preserve">To eliminate test year expenses that are considered non-recurring or capital </v>
          </cell>
        </row>
        <row r="160">
          <cell r="A160" t="str">
            <v>expenditures.</v>
          </cell>
        </row>
        <row r="162">
          <cell r="E162" t="str">
            <v>Date</v>
          </cell>
          <cell r="G162" t="str">
            <v>Vendor</v>
          </cell>
          <cell r="I162" t="str">
            <v>Description</v>
          </cell>
          <cell r="L162" t="str">
            <v>Amount</v>
          </cell>
        </row>
        <row r="164">
          <cell r="E164" t="str">
            <v>September, 2003</v>
          </cell>
          <cell r="G164" t="str">
            <v>Tri-State Fence Co.</v>
          </cell>
          <cell r="I164" t="str">
            <v>Chain Link Fence, Iron pond</v>
          </cell>
          <cell r="L164">
            <v>-6547</v>
          </cell>
        </row>
        <row r="165">
          <cell r="E165" t="str">
            <v>November, 2003</v>
          </cell>
          <cell r="G165" t="str">
            <v>Infrasturcture systems, Inc.</v>
          </cell>
          <cell r="L165">
            <v>-6190</v>
          </cell>
        </row>
        <row r="166">
          <cell r="E166" t="str">
            <v>June, 2004</v>
          </cell>
          <cell r="G166" t="str">
            <v>Reynolds, Inc.</v>
          </cell>
          <cell r="I166" t="str">
            <v>New Filter &amp; Rehab</v>
          </cell>
          <cell r="L166">
            <v>-19283</v>
          </cell>
        </row>
        <row r="168">
          <cell r="E168" t="str">
            <v>Adjustment</v>
          </cell>
          <cell r="L168">
            <v>-25473</v>
          </cell>
        </row>
        <row r="177">
          <cell r="A177" t="str">
            <v>(Continued on next page)</v>
          </cell>
        </row>
        <row r="179">
          <cell r="A179" t="str">
            <v>(Subject to the comments in the attached</v>
          </cell>
        </row>
        <row r="180">
          <cell r="A180" t="str">
            <v>letter dated May 26, 2005 of Umbaugh.)</v>
          </cell>
        </row>
        <row r="182">
          <cell r="A182" t="str">
            <v>4</v>
          </cell>
        </row>
        <row r="183">
          <cell r="A183" t="str">
            <v>BOONVILLE (INDIANA) MUNICIPAL WATER UTILITY</v>
          </cell>
        </row>
        <row r="184">
          <cell r="L184" t="str">
            <v>(Cont'd)</v>
          </cell>
        </row>
        <row r="185">
          <cell r="A185" t="str">
            <v>PRO FORMA ANNUAL CASH OPERATING EXPENSES</v>
          </cell>
        </row>
        <row r="186">
          <cell r="A186" t="str">
            <v>Explanation of adjustments</v>
          </cell>
        </row>
        <row r="187">
          <cell r="A187" t="str">
            <v>No inflation adjustment made.</v>
          </cell>
        </row>
        <row r="190">
          <cell r="A190" t="str">
            <v>Adjustment (8)</v>
          </cell>
        </row>
        <row r="192">
          <cell r="A192" t="str">
            <v>To adjust test year contractual services expense to US Filter to reflect an increase of 1.5%.</v>
          </cell>
        </row>
        <row r="194">
          <cell r="C194" t="str">
            <v>Pro forma US Filter contract</v>
          </cell>
          <cell r="L194">
            <v>441601</v>
          </cell>
        </row>
        <row r="195">
          <cell r="C195" t="str">
            <v>Times 1.5% increase</v>
          </cell>
          <cell r="L195">
            <v>1.4999999999999999E-2</v>
          </cell>
        </row>
        <row r="197">
          <cell r="E197" t="str">
            <v>Adjustment</v>
          </cell>
          <cell r="L197">
            <v>6624.0149999999994</v>
          </cell>
        </row>
        <row r="199">
          <cell r="A199" t="str">
            <v>Adjustment (9)</v>
          </cell>
        </row>
        <row r="201">
          <cell r="A201" t="str">
            <v>To adjust test year contractual services-management fee for those expenditures</v>
          </cell>
        </row>
        <row r="202">
          <cell r="A202" t="str">
            <v>considered capital or non-recurring.</v>
          </cell>
        </row>
        <row r="204">
          <cell r="E204" t="str">
            <v>Date</v>
          </cell>
          <cell r="G204" t="str">
            <v>Vendor</v>
          </cell>
          <cell r="L204" t="str">
            <v xml:space="preserve"> </v>
          </cell>
        </row>
        <row r="205">
          <cell r="C205" t="str">
            <v xml:space="preserve"> </v>
          </cell>
          <cell r="L205" t="str">
            <v xml:space="preserve"> </v>
          </cell>
        </row>
        <row r="206">
          <cell r="E206" t="str">
            <v>September, 2003</v>
          </cell>
          <cell r="G206" t="str">
            <v>Keystone Consulting</v>
          </cell>
          <cell r="L206">
            <v>-1757</v>
          </cell>
        </row>
        <row r="207">
          <cell r="E207" t="str">
            <v>October, 2003</v>
          </cell>
          <cell r="G207" t="str">
            <v>Midwestern Engineers, Inc.</v>
          </cell>
          <cell r="L207">
            <v>-1908</v>
          </cell>
        </row>
        <row r="208">
          <cell r="E208" t="str">
            <v>October, 2003</v>
          </cell>
          <cell r="G208" t="str">
            <v>Reynolds, Inc.</v>
          </cell>
          <cell r="L208">
            <v>-1200</v>
          </cell>
        </row>
        <row r="209">
          <cell r="E209" t="str">
            <v>February, 2004</v>
          </cell>
          <cell r="G209" t="str">
            <v>Midwestern Engineers, Inc.</v>
          </cell>
          <cell r="L209">
            <v>-14119.08</v>
          </cell>
        </row>
        <row r="210">
          <cell r="E210" t="str">
            <v>March, 2004</v>
          </cell>
          <cell r="G210" t="str">
            <v>Midwestern Engineers, Inc.</v>
          </cell>
          <cell r="L210">
            <v>-500</v>
          </cell>
        </row>
        <row r="211">
          <cell r="E211" t="str">
            <v>April, 2004</v>
          </cell>
          <cell r="G211" t="str">
            <v>Midwestern Engineers, Inc.</v>
          </cell>
          <cell r="L211">
            <v>-1620</v>
          </cell>
        </row>
        <row r="212">
          <cell r="C212" t="str">
            <v xml:space="preserve">    </v>
          </cell>
        </row>
        <row r="213">
          <cell r="E213" t="str">
            <v>Adjustment</v>
          </cell>
          <cell r="L213">
            <v>-21104.080000000002</v>
          </cell>
        </row>
        <row r="215">
          <cell r="A215" t="str">
            <v xml:space="preserve">Adjustment (10) </v>
          </cell>
        </row>
        <row r="217">
          <cell r="A217" t="str">
            <v>To adjust for rate case expense amortized over a five year period.</v>
          </cell>
        </row>
        <row r="219">
          <cell r="C219" t="str">
            <v>Pro forma rate case expense</v>
          </cell>
          <cell r="L219">
            <v>25000</v>
          </cell>
        </row>
        <row r="220">
          <cell r="C220" t="str">
            <v>Amortize over 5 years</v>
          </cell>
          <cell r="L220">
            <v>5</v>
          </cell>
        </row>
        <row r="222">
          <cell r="C222" t="str">
            <v>Annual expense</v>
          </cell>
          <cell r="L222">
            <v>5000</v>
          </cell>
        </row>
        <row r="223">
          <cell r="C223" t="str">
            <v>Less test year expense</v>
          </cell>
          <cell r="L223">
            <v>-250</v>
          </cell>
        </row>
        <row r="225">
          <cell r="E225" t="str">
            <v>Adjustment</v>
          </cell>
          <cell r="L225">
            <v>4750</v>
          </cell>
        </row>
        <row r="233">
          <cell r="A233" t="str">
            <v>(Continued on next page)</v>
          </cell>
        </row>
        <row r="235">
          <cell r="A235" t="str">
            <v>(Subject to the comments in the attached</v>
          </cell>
        </row>
        <row r="236">
          <cell r="A236" t="str">
            <v>letter dated May 26, 2005 of Umbaugh.)</v>
          </cell>
        </row>
        <row r="238">
          <cell r="A238" t="str">
            <v>5</v>
          </cell>
        </row>
        <row r="239">
          <cell r="A239" t="str">
            <v>BOONVILLE (INDIANA) MUNICIPAL WATER UTILITY</v>
          </cell>
        </row>
        <row r="240">
          <cell r="L240" t="str">
            <v>(Cont'd)</v>
          </cell>
        </row>
        <row r="241">
          <cell r="A241" t="str">
            <v>PRO FORMA ANNUAL CASH OPERATING EXPENSES</v>
          </cell>
        </row>
        <row r="242">
          <cell r="A242" t="str">
            <v>Explanation of adjustments</v>
          </cell>
        </row>
        <row r="243">
          <cell r="A243" t="str">
            <v>No inflation adjustment made.</v>
          </cell>
        </row>
        <row r="246">
          <cell r="A246" t="str">
            <v xml:space="preserve">Adjustment (11) </v>
          </cell>
        </row>
        <row r="248">
          <cell r="A248" t="str">
            <v>To adjust test year expenses to reflect pro forma annual periodic maintenance expenses,</v>
          </cell>
        </row>
        <row r="249">
          <cell r="A249" t="str">
            <v>as determined by the utility manager.</v>
          </cell>
        </row>
        <row r="251">
          <cell r="A251" t="str">
            <v>A.</v>
          </cell>
          <cell r="C251" t="str">
            <v>Tank Maintenance:</v>
          </cell>
        </row>
        <row r="252">
          <cell r="C252" t="str">
            <v xml:space="preserve">   Elevated tanks (500 MG) (2 @ $97,498)</v>
          </cell>
          <cell r="J252">
            <v>194996</v>
          </cell>
        </row>
        <row r="253">
          <cell r="C253" t="str">
            <v xml:space="preserve">   Ground level tank (1.6 MG)</v>
          </cell>
          <cell r="J253">
            <v>12000</v>
          </cell>
        </row>
        <row r="254">
          <cell r="C254" t="str">
            <v xml:space="preserve">   Ground level tank (500 MG)</v>
          </cell>
          <cell r="J254">
            <v>9250</v>
          </cell>
        </row>
        <row r="256">
          <cell r="C256" t="str">
            <v xml:space="preserve">        Total</v>
          </cell>
          <cell r="J256">
            <v>216246</v>
          </cell>
        </row>
        <row r="257">
          <cell r="C257" t="str">
            <v xml:space="preserve">   Amortize over fifteen years</v>
          </cell>
          <cell r="J257">
            <v>15</v>
          </cell>
        </row>
        <row r="259">
          <cell r="C259" t="str">
            <v xml:space="preserve">        Sub-total</v>
          </cell>
          <cell r="L259">
            <v>14416.4</v>
          </cell>
        </row>
        <row r="261">
          <cell r="A261" t="str">
            <v>B.</v>
          </cell>
          <cell r="C261" t="str">
            <v>Wells:</v>
          </cell>
        </row>
        <row r="262">
          <cell r="C262" t="str">
            <v xml:space="preserve">   Well cleaning (6 wells @ $9,350)</v>
          </cell>
          <cell r="J262">
            <v>56100</v>
          </cell>
        </row>
        <row r="263">
          <cell r="C263" t="str">
            <v xml:space="preserve">   Amortize over 3 years</v>
          </cell>
          <cell r="J263">
            <v>3</v>
          </cell>
        </row>
        <row r="265">
          <cell r="C265" t="str">
            <v xml:space="preserve">        Sub-total</v>
          </cell>
          <cell r="L265">
            <v>18700</v>
          </cell>
        </row>
        <row r="267">
          <cell r="A267" t="str">
            <v>C.</v>
          </cell>
          <cell r="C267" t="str">
            <v>Clear Wells:</v>
          </cell>
        </row>
        <row r="268">
          <cell r="C268" t="str">
            <v xml:space="preserve">   Well cleaning (2 clear wells @ $10,000)</v>
          </cell>
          <cell r="J268">
            <v>20000</v>
          </cell>
        </row>
        <row r="269">
          <cell r="C269" t="str">
            <v xml:space="preserve">   Amortized over 5 years</v>
          </cell>
          <cell r="J269">
            <v>5</v>
          </cell>
        </row>
        <row r="271">
          <cell r="C271" t="str">
            <v xml:space="preserve">        Sub-total</v>
          </cell>
          <cell r="L271">
            <v>4000</v>
          </cell>
        </row>
        <row r="273">
          <cell r="A273" t="str">
            <v>D.</v>
          </cell>
          <cell r="C273" t="str">
            <v>Filters:</v>
          </cell>
        </row>
        <row r="274">
          <cell r="C274" t="str">
            <v xml:space="preserve">   Cost of overhauling filters (6 filters @ $10,000)</v>
          </cell>
          <cell r="J274">
            <v>60000</v>
          </cell>
        </row>
        <row r="275">
          <cell r="C275" t="str">
            <v xml:space="preserve">   Amortize over ten years</v>
          </cell>
          <cell r="J275">
            <v>10</v>
          </cell>
        </row>
        <row r="277">
          <cell r="C277" t="str">
            <v xml:space="preserve">        Sub-total</v>
          </cell>
          <cell r="L277">
            <v>6000</v>
          </cell>
        </row>
        <row r="279">
          <cell r="A279" t="str">
            <v>E.</v>
          </cell>
          <cell r="C279" t="str">
            <v>Pumping:</v>
          </cell>
        </row>
        <row r="280">
          <cell r="C280" t="str">
            <v xml:space="preserve">   High service booster pump maintenance (2 pumps @ $4,000)</v>
          </cell>
          <cell r="J280">
            <v>8000</v>
          </cell>
        </row>
        <row r="281">
          <cell r="C281" t="str">
            <v xml:space="preserve">   Raw booster pump maintenance (2 pumps @ $4,000)</v>
          </cell>
          <cell r="J281">
            <v>8000</v>
          </cell>
        </row>
        <row r="282">
          <cell r="C282" t="str">
            <v xml:space="preserve">   EBY booster pump maintenance (2 pumps @ $4,000)</v>
          </cell>
          <cell r="J282">
            <v>8000</v>
          </cell>
        </row>
        <row r="284">
          <cell r="C284" t="str">
            <v xml:space="preserve">        Total</v>
          </cell>
          <cell r="J284">
            <v>24000</v>
          </cell>
        </row>
        <row r="285">
          <cell r="C285" t="str">
            <v xml:space="preserve">   Amortize over ten years</v>
          </cell>
          <cell r="J285">
            <v>10</v>
          </cell>
        </row>
        <row r="287">
          <cell r="C287" t="str">
            <v xml:space="preserve">        Sub-total</v>
          </cell>
          <cell r="L287">
            <v>2400</v>
          </cell>
        </row>
        <row r="289">
          <cell r="C289" t="str">
            <v>Pro forma annual periodic maintenance expense</v>
          </cell>
          <cell r="L289">
            <v>45516.4</v>
          </cell>
        </row>
        <row r="290">
          <cell r="C290" t="str">
            <v>Less test year periodic maintenance expense</v>
          </cell>
          <cell r="L290">
            <v>-769</v>
          </cell>
        </row>
        <row r="292">
          <cell r="E292" t="str">
            <v>Adjustment</v>
          </cell>
          <cell r="L292">
            <v>44747.4</v>
          </cell>
        </row>
        <row r="294">
          <cell r="A294" t="str">
            <v>(Continued on next page)</v>
          </cell>
        </row>
        <row r="296">
          <cell r="A296" t="str">
            <v>(Subject to the comments in the attached</v>
          </cell>
        </row>
        <row r="297">
          <cell r="A297" t="str">
            <v>letter dated May 26, 2005 of Umbaugh.)</v>
          </cell>
        </row>
        <row r="299">
          <cell r="A299" t="str">
            <v>6</v>
          </cell>
        </row>
        <row r="300">
          <cell r="A300" t="str">
            <v>BOONVILLE (INDIANA) MUNICIPAL WATER UTILITY</v>
          </cell>
        </row>
        <row r="301">
          <cell r="L301" t="str">
            <v>(Cont'd)</v>
          </cell>
        </row>
        <row r="302">
          <cell r="A302" t="str">
            <v>PRO FORMA ANNUAL CASH OPERATING EXPENSES</v>
          </cell>
        </row>
        <row r="303">
          <cell r="A303" t="str">
            <v>Explanation of adjustments</v>
          </cell>
        </row>
        <row r="304">
          <cell r="A304" t="str">
            <v>No inflation adjustment made.</v>
          </cell>
        </row>
        <row r="307">
          <cell r="A307" t="str">
            <v>Adjustment (12)</v>
          </cell>
        </row>
        <row r="309">
          <cell r="A309" t="str">
            <v>To adjust test year expenses to normalize for the pro forma effects of users</v>
          </cell>
        </row>
        <row r="310">
          <cell r="A310" t="str">
            <v>added to the system during the test year.</v>
          </cell>
        </row>
        <row r="312">
          <cell r="A312" t="str">
            <v>(A)</v>
          </cell>
          <cell r="C312" t="str">
            <v>Pro forma annual increase in residential gallons sold due</v>
          </cell>
        </row>
        <row r="313">
          <cell r="C313" t="str">
            <v>to new users (78 monthly bills at 4,800 gallons</v>
          </cell>
        </row>
        <row r="314">
          <cell r="C314" t="str">
            <v>per month, see page 14)</v>
          </cell>
          <cell r="J314">
            <v>3549</v>
          </cell>
          <cell r="L314" t="str">
            <v>/100 gallons</v>
          </cell>
        </row>
        <row r="315">
          <cell r="C315" t="str">
            <v>Pro forma annual increase in commercial gallons sold due</v>
          </cell>
        </row>
        <row r="316">
          <cell r="C316" t="str">
            <v>to new users (10 monthly bills at 19,900 gallons</v>
          </cell>
        </row>
        <row r="317">
          <cell r="C317" t="str">
            <v>per month, see page 15)</v>
          </cell>
          <cell r="J317">
            <v>1716</v>
          </cell>
          <cell r="L317" t="str">
            <v>/100 gallons</v>
          </cell>
        </row>
        <row r="319">
          <cell r="C319" t="str">
            <v>Sub-total</v>
          </cell>
          <cell r="J319">
            <v>5265</v>
          </cell>
        </row>
        <row r="320">
          <cell r="C320" t="str">
            <v>Divide by test year billed flow to residential</v>
          </cell>
        </row>
        <row r="321">
          <cell r="C321" t="str">
            <v xml:space="preserve">  and commercial customers</v>
          </cell>
          <cell r="J321">
            <v>2707960</v>
          </cell>
        </row>
        <row r="323">
          <cell r="C323" t="str">
            <v xml:space="preserve">     Percentage increase</v>
          </cell>
          <cell r="J323">
            <v>0</v>
          </cell>
        </row>
        <row r="326">
          <cell r="H326" t="str">
            <v>Test Year</v>
          </cell>
          <cell r="J326" t="str">
            <v>Percentage</v>
          </cell>
        </row>
        <row r="327">
          <cell r="H327" t="str">
            <v>Expense</v>
          </cell>
          <cell r="J327" t="str">
            <v>Increase</v>
          </cell>
          <cell r="L327" t="str">
            <v>Adjustment</v>
          </cell>
        </row>
        <row r="328">
          <cell r="J328" t="str">
            <v>(%)</v>
          </cell>
        </row>
        <row r="330">
          <cell r="A330" t="str">
            <v>(A)</v>
          </cell>
          <cell r="C330" t="str">
            <v>Purchased power-source of supply</v>
          </cell>
          <cell r="H330">
            <v>43996</v>
          </cell>
          <cell r="J330">
            <v>0</v>
          </cell>
          <cell r="L330">
            <v>0</v>
          </cell>
        </row>
        <row r="331">
          <cell r="A331" t="str">
            <v>(A)</v>
          </cell>
          <cell r="C331" t="str">
            <v>Purchased power-treatment</v>
          </cell>
          <cell r="H331">
            <v>99872</v>
          </cell>
          <cell r="J331">
            <v>0</v>
          </cell>
          <cell r="L331">
            <v>0</v>
          </cell>
        </row>
        <row r="333">
          <cell r="E333" t="str">
            <v>Adjustment</v>
          </cell>
          <cell r="L333">
            <v>0</v>
          </cell>
        </row>
        <row r="355">
          <cell r="A355" t="str">
            <v>(Continued on next page)</v>
          </cell>
        </row>
        <row r="357">
          <cell r="A357" t="str">
            <v>(Subject to the comments in the attached</v>
          </cell>
        </row>
        <row r="358">
          <cell r="A358" t="str">
            <v>letter dated May 26, 2005 of Umbaugh.)</v>
          </cell>
        </row>
        <row r="360">
          <cell r="A360" t="str">
            <v>7</v>
          </cell>
        </row>
        <row r="361">
          <cell r="A361" t="str">
            <v>BOONVILLE (INDIANA) MUNICIPAL WATER UTILITY</v>
          </cell>
        </row>
        <row r="362">
          <cell r="L362" t="str">
            <v>(Cont'd)</v>
          </cell>
        </row>
        <row r="363">
          <cell r="A363" t="str">
            <v>PRO FORMA ANNUAL CASH OPERATING EXPENSES</v>
          </cell>
        </row>
        <row r="364">
          <cell r="A364" t="str">
            <v>Explanation of adjustments</v>
          </cell>
        </row>
        <row r="365">
          <cell r="A365" t="str">
            <v>No inflation adjustment made.</v>
          </cell>
        </row>
        <row r="368">
          <cell r="A368" t="str">
            <v>Adjustment (13)</v>
          </cell>
        </row>
        <row r="370">
          <cell r="A370" t="str">
            <v>To adjust test year telephone expense to reflect the most current monthly service fee.</v>
          </cell>
        </row>
        <row r="372">
          <cell r="B372" t="str">
            <v>Pro forma telephone expenses ($234.70 times 12 months)</v>
          </cell>
          <cell r="L372">
            <v>2816</v>
          </cell>
        </row>
        <row r="373">
          <cell r="B373" t="str">
            <v>Less test year expense</v>
          </cell>
          <cell r="L373">
            <v>-2608</v>
          </cell>
        </row>
        <row r="375">
          <cell r="E375" t="str">
            <v>Adjustment</v>
          </cell>
          <cell r="L375">
            <v>208</v>
          </cell>
        </row>
        <row r="378">
          <cell r="A378" t="str">
            <v>Adjustment (14)</v>
          </cell>
        </row>
        <row r="380">
          <cell r="A380" t="str">
            <v>To adjust test year general liability insurance expense to reflect the most current premium</v>
          </cell>
        </row>
        <row r="381">
          <cell r="A381" t="str">
            <v>and the absorption of costs previously allocated to the electric utility.</v>
          </cell>
        </row>
        <row r="383">
          <cell r="B383" t="str">
            <v xml:space="preserve">Quarterly general liability premium previously </v>
          </cell>
        </row>
        <row r="384">
          <cell r="B384" t="str">
            <v xml:space="preserve">  allocated to the electric utility</v>
          </cell>
          <cell r="L384">
            <v>334</v>
          </cell>
        </row>
        <row r="385">
          <cell r="B385" t="str">
            <v xml:space="preserve">Times pro forma percentage allocable to the water utility </v>
          </cell>
          <cell r="L385">
            <v>0.5</v>
          </cell>
        </row>
        <row r="387">
          <cell r="B387" t="str">
            <v>Sub-total</v>
          </cell>
          <cell r="L387">
            <v>167</v>
          </cell>
        </row>
        <row r="388">
          <cell r="B388" t="str">
            <v>Times 4 quarters</v>
          </cell>
          <cell r="L388">
            <v>4</v>
          </cell>
        </row>
        <row r="390">
          <cell r="B390" t="str">
            <v>Pro forma general liability insurance allocated to the water utility</v>
          </cell>
          <cell r="L390">
            <v>668</v>
          </cell>
        </row>
        <row r="391">
          <cell r="B391" t="str">
            <v>Less test year expense</v>
          </cell>
          <cell r="L391">
            <v>0</v>
          </cell>
        </row>
        <row r="393">
          <cell r="E393" t="str">
            <v>Adjustment</v>
          </cell>
          <cell r="L393">
            <v>668</v>
          </cell>
        </row>
        <row r="416">
          <cell r="A416" t="str">
            <v>(Continued on next page)</v>
          </cell>
        </row>
        <row r="418">
          <cell r="A418" t="str">
            <v>(Subject to the comments in the attached</v>
          </cell>
        </row>
        <row r="419">
          <cell r="A419" t="str">
            <v>letter dated May 26, 2005 of Umbaugh.)</v>
          </cell>
        </row>
        <row r="421">
          <cell r="A421" t="str">
            <v>8</v>
          </cell>
        </row>
        <row r="422">
          <cell r="A422" t="str">
            <v>BOONVILLE (INDIANA) MUNICIPAL WATER UTILITY</v>
          </cell>
        </row>
        <row r="423">
          <cell r="L423" t="str">
            <v>(Cont'd)</v>
          </cell>
        </row>
        <row r="424">
          <cell r="A424" t="str">
            <v>PRO FORMA ANNUAL CASH OPERATING EXPENSES</v>
          </cell>
        </row>
        <row r="425">
          <cell r="A425" t="str">
            <v>Explanation of adjustments</v>
          </cell>
        </row>
        <row r="426">
          <cell r="A426" t="str">
            <v>No inflation adjustment made.</v>
          </cell>
        </row>
        <row r="429">
          <cell r="A429" t="str">
            <v>Adjustment (15)</v>
          </cell>
        </row>
        <row r="431">
          <cell r="A431" t="str">
            <v>To adjust test year property and equipment insurance expense to reflect the most current premium</v>
          </cell>
        </row>
        <row r="432">
          <cell r="A432" t="str">
            <v>and the absorption of costs previously allocated to the electric utility.</v>
          </cell>
        </row>
        <row r="434">
          <cell r="B434" t="str">
            <v>Quarterly property and equipment insurance premium</v>
          </cell>
        </row>
        <row r="435">
          <cell r="B435" t="str">
            <v xml:space="preserve">  previously allocated to the electric utility</v>
          </cell>
          <cell r="L435">
            <v>826.25</v>
          </cell>
        </row>
        <row r="436">
          <cell r="B436" t="str">
            <v xml:space="preserve">Times pro forma percentage allocable to the water utility </v>
          </cell>
          <cell r="L436">
            <v>0.5</v>
          </cell>
        </row>
        <row r="438">
          <cell r="B438" t="str">
            <v>Sub-total</v>
          </cell>
          <cell r="L438">
            <v>413.125</v>
          </cell>
        </row>
        <row r="439">
          <cell r="B439" t="str">
            <v>Add existing quarterly premium allocated to the water utility</v>
          </cell>
          <cell r="L439">
            <v>826.25</v>
          </cell>
        </row>
        <row r="441">
          <cell r="B441" t="str">
            <v>Pro forma quarterly premium</v>
          </cell>
          <cell r="L441">
            <v>1239</v>
          </cell>
        </row>
        <row r="442">
          <cell r="B442" t="str">
            <v>Times 4 quarters</v>
          </cell>
          <cell r="L442">
            <v>4</v>
          </cell>
        </row>
        <row r="444">
          <cell r="B444" t="str">
            <v>Pro forma property and equipment insurance allocated to the water utility</v>
          </cell>
          <cell r="L444">
            <v>4956</v>
          </cell>
        </row>
        <row r="445">
          <cell r="B445" t="str">
            <v>Less test year expense</v>
          </cell>
          <cell r="L445">
            <v>-2476</v>
          </cell>
        </row>
        <row r="447">
          <cell r="E447" t="str">
            <v>Adjustment</v>
          </cell>
          <cell r="L447">
            <v>2480</v>
          </cell>
        </row>
        <row r="450">
          <cell r="A450" t="str">
            <v>Adjustment (16)</v>
          </cell>
        </row>
        <row r="452">
          <cell r="A452" t="str">
            <v>To adjust test year public officials insurance expense to reflect the portion of the most</v>
          </cell>
        </row>
        <row r="453">
          <cell r="A453" t="str">
            <v>current premium to be allocated to the water utility.</v>
          </cell>
        </row>
        <row r="455">
          <cell r="B455" t="str">
            <v>Quarterly public officials insurance premium to be allocated</v>
          </cell>
        </row>
        <row r="456">
          <cell r="B456" t="str">
            <v xml:space="preserve">  to the water utility ($1,650 divided by 6 departments)</v>
          </cell>
          <cell r="L456">
            <v>275</v>
          </cell>
        </row>
        <row r="457">
          <cell r="B457" t="str">
            <v>Times 4 quarters</v>
          </cell>
          <cell r="L457">
            <v>4</v>
          </cell>
        </row>
        <row r="459">
          <cell r="B459" t="str">
            <v>Pro forma public officials insurance allocated to the water utility</v>
          </cell>
          <cell r="L459">
            <v>1100</v>
          </cell>
        </row>
        <row r="460">
          <cell r="B460" t="str">
            <v>Less test year expense</v>
          </cell>
          <cell r="L460">
            <v>0</v>
          </cell>
        </row>
        <row r="462">
          <cell r="E462" t="str">
            <v>Adjustment</v>
          </cell>
          <cell r="L462">
            <v>1100</v>
          </cell>
        </row>
        <row r="477">
          <cell r="A477" t="str">
            <v>(Continued on next page)</v>
          </cell>
        </row>
        <row r="479">
          <cell r="A479" t="str">
            <v>(Subject to the comments in the attached</v>
          </cell>
        </row>
        <row r="480">
          <cell r="A480" t="str">
            <v>letter dated May 26, 2005 of Umbaugh.)</v>
          </cell>
        </row>
        <row r="482">
          <cell r="A482" t="str">
            <v>9</v>
          </cell>
        </row>
        <row r="483">
          <cell r="A483" t="str">
            <v>BOONVILLE (INDIANA) MUNICIPAL WATER UTILITY</v>
          </cell>
        </row>
        <row r="484">
          <cell r="L484" t="str">
            <v>(Cont'd)</v>
          </cell>
        </row>
        <row r="485">
          <cell r="A485" t="str">
            <v>PRO FORMA ANNUAL CASH OPERATING EXPENSES</v>
          </cell>
        </row>
        <row r="486">
          <cell r="A486" t="str">
            <v>Explanation of adjustments</v>
          </cell>
        </row>
        <row r="487">
          <cell r="A487" t="str">
            <v>No inflation adjustment made.</v>
          </cell>
        </row>
        <row r="490">
          <cell r="A490" t="str">
            <v>Adjustment (17)</v>
          </cell>
        </row>
        <row r="492">
          <cell r="A492" t="str">
            <v>To adjust test year water utility operation and maintenance expense to reflect those</v>
          </cell>
        </row>
        <row r="493">
          <cell r="A493" t="str">
            <v>costs previously charged to the electric utility that will remain the responsibility of the</v>
          </cell>
        </row>
        <row r="494">
          <cell r="A494" t="str">
            <v xml:space="preserve">City of Boonville and be charged to other departments.  </v>
          </cell>
        </row>
        <row r="495">
          <cell r="L495" t="str">
            <v>Amount</v>
          </cell>
        </row>
        <row r="496">
          <cell r="L496" t="str">
            <v>Allocated to the</v>
          </cell>
        </row>
        <row r="497">
          <cell r="B497" t="str">
            <v>Vendor</v>
          </cell>
          <cell r="L497" t="str">
            <v>Water Utility</v>
          </cell>
        </row>
        <row r="499">
          <cell r="B499" t="str">
            <v>A.E. Boyce</v>
          </cell>
          <cell r="L499">
            <v>732</v>
          </cell>
        </row>
        <row r="500">
          <cell r="B500" t="str">
            <v>Action Pest Control</v>
          </cell>
          <cell r="L500">
            <v>97</v>
          </cell>
        </row>
        <row r="501">
          <cell r="B501" t="str">
            <v>Aramark Uniform Services</v>
          </cell>
          <cell r="L501">
            <v>409</v>
          </cell>
        </row>
        <row r="502">
          <cell r="B502" t="str">
            <v>Ameritech</v>
          </cell>
          <cell r="L502">
            <v>205</v>
          </cell>
        </row>
        <row r="503">
          <cell r="B503" t="str">
            <v>Boonville Natural Gas</v>
          </cell>
          <cell r="L503">
            <v>366</v>
          </cell>
        </row>
        <row r="504">
          <cell r="B504" t="str">
            <v>CNG Appliances</v>
          </cell>
          <cell r="L504">
            <v>35</v>
          </cell>
        </row>
        <row r="505">
          <cell r="B505" t="str">
            <v>Charmark Computer Services</v>
          </cell>
          <cell r="L505">
            <v>1852</v>
          </cell>
        </row>
        <row r="506">
          <cell r="B506" t="str">
            <v>Diebold Inc.</v>
          </cell>
          <cell r="L506">
            <v>184</v>
          </cell>
        </row>
        <row r="507">
          <cell r="B507" t="str">
            <v>Ikon Office Solutions</v>
          </cell>
          <cell r="L507">
            <v>408</v>
          </cell>
        </row>
        <row r="508">
          <cell r="B508" t="str">
            <v>Killion Office Products</v>
          </cell>
          <cell r="L508">
            <v>2545</v>
          </cell>
        </row>
        <row r="509">
          <cell r="B509" t="str">
            <v>Lang Company</v>
          </cell>
          <cell r="L509">
            <v>488</v>
          </cell>
        </row>
        <row r="510">
          <cell r="B510" t="str">
            <v>McNeely Insurance</v>
          </cell>
          <cell r="L510">
            <v>4703</v>
          </cell>
        </row>
        <row r="511">
          <cell r="B511" t="str">
            <v>Pitney Bowes</v>
          </cell>
          <cell r="L511">
            <v>553</v>
          </cell>
        </row>
        <row r="512">
          <cell r="B512" t="str">
            <v>Starbrite Window Cleaning</v>
          </cell>
          <cell r="L512">
            <v>64</v>
          </cell>
        </row>
        <row r="513">
          <cell r="B513" t="str">
            <v>Servpro</v>
          </cell>
          <cell r="L513">
            <v>291</v>
          </cell>
        </row>
        <row r="514">
          <cell r="B514" t="str">
            <v>US Postmaster</v>
          </cell>
          <cell r="L514">
            <v>4069</v>
          </cell>
        </row>
        <row r="515">
          <cell r="B515" t="str">
            <v>Wal-Mart</v>
          </cell>
          <cell r="L515">
            <v>226</v>
          </cell>
        </row>
        <row r="516">
          <cell r="B516" t="str">
            <v>Xerox Corp.</v>
          </cell>
          <cell r="L516">
            <v>135</v>
          </cell>
        </row>
        <row r="518">
          <cell r="E518" t="str">
            <v>Adjustment</v>
          </cell>
          <cell r="L518">
            <v>17362</v>
          </cell>
        </row>
        <row r="538">
          <cell r="A538" t="str">
            <v>(Continued on next page)</v>
          </cell>
        </row>
        <row r="540">
          <cell r="A540" t="str">
            <v>(Subject to the comments in the attached</v>
          </cell>
        </row>
        <row r="541">
          <cell r="A541" t="str">
            <v>letter dated May 26, 2005 of Umbaugh.)</v>
          </cell>
        </row>
        <row r="543">
          <cell r="A543" t="str">
            <v>10</v>
          </cell>
        </row>
        <row r="544">
          <cell r="A544" t="str">
            <v>BOONVILLE (INDIANA) MUNICIPAL WATER UTILITY</v>
          </cell>
        </row>
        <row r="545">
          <cell r="L545" t="str">
            <v>(Cont'd)</v>
          </cell>
        </row>
        <row r="546">
          <cell r="A546" t="str">
            <v>PRO FORMA ANNUAL CASH OPERATING EXPENSES</v>
          </cell>
        </row>
        <row r="547">
          <cell r="A547" t="str">
            <v>Explanation of adjustments</v>
          </cell>
        </row>
        <row r="548">
          <cell r="A548" t="str">
            <v>No inflation adjustment made.</v>
          </cell>
        </row>
        <row r="551">
          <cell r="A551" t="str">
            <v>Adjustment (18)</v>
          </cell>
        </row>
        <row r="553">
          <cell r="A553" t="str">
            <v xml:space="preserve">To provide for payment in lieu of property taxes which would have been received </v>
          </cell>
        </row>
        <row r="554">
          <cell r="A554" t="str">
            <v>had the Utility been privately owned.</v>
          </cell>
        </row>
        <row r="556">
          <cell r="C556" t="str">
            <v>Utility plant in service at 6/30/04  (unaudited)</v>
          </cell>
          <cell r="L556">
            <v>5169797</v>
          </cell>
        </row>
        <row r="557">
          <cell r="C557" t="str">
            <v>Less accumulated depreciation</v>
          </cell>
          <cell r="L557">
            <v>45810</v>
          </cell>
        </row>
        <row r="558">
          <cell r="C558" t="str">
            <v>Add capitalized items in test year</v>
          </cell>
          <cell r="L558">
            <v>46577.08</v>
          </cell>
        </row>
        <row r="560">
          <cell r="C560" t="str">
            <v>Net utility plant in service</v>
          </cell>
          <cell r="L560">
            <v>5262184.08</v>
          </cell>
        </row>
        <row r="561">
          <cell r="C561" t="str">
            <v>Divide by 3</v>
          </cell>
          <cell r="L561">
            <v>3</v>
          </cell>
        </row>
        <row r="563">
          <cell r="E563" t="str">
            <v>Estimated net assessed value</v>
          </cell>
          <cell r="L563">
            <v>1754061</v>
          </cell>
        </row>
        <row r="565">
          <cell r="C565" t="str">
            <v>Payment in lieu of taxes based on the corporate tax rate of $4.3800</v>
          </cell>
        </row>
        <row r="566">
          <cell r="C566" t="str">
            <v xml:space="preserve">   per $100 of assessed value for taxes payable in 2005 (rate net of </v>
          </cell>
        </row>
        <row r="567">
          <cell r="C567" t="str">
            <v xml:space="preserve">   15.9966% property tax replacement credit is $3.6793)</v>
          </cell>
          <cell r="L567">
            <v>64538</v>
          </cell>
        </row>
        <row r="569">
          <cell r="C569" t="str">
            <v>Less test year expense</v>
          </cell>
          <cell r="L569">
            <v>-5000</v>
          </cell>
        </row>
        <row r="571">
          <cell r="E571" t="str">
            <v>Adjustment</v>
          </cell>
          <cell r="L571">
            <v>59538</v>
          </cell>
        </row>
        <row r="574">
          <cell r="A574" t="str">
            <v>Adjustment (19)</v>
          </cell>
        </row>
        <row r="576">
          <cell r="A576" t="str">
            <v>To provide for pro forma gross income tax.</v>
          </cell>
        </row>
        <row r="578">
          <cell r="C578" t="str">
            <v>Test year revenues</v>
          </cell>
          <cell r="L578">
            <v>2735078</v>
          </cell>
        </row>
        <row r="579">
          <cell r="C579" t="str">
            <v>Plus normalized revenues (see page 14)</v>
          </cell>
          <cell r="L579">
            <v>1770.6</v>
          </cell>
        </row>
        <row r="580">
          <cell r="C580" t="str">
            <v>Less 1/2 of exemption</v>
          </cell>
          <cell r="L580">
            <v>-500</v>
          </cell>
        </row>
        <row r="581">
          <cell r="C581" t="str">
            <v>Less test year municipal hydrant rental</v>
          </cell>
          <cell r="L581">
            <v>-1123562</v>
          </cell>
        </row>
        <row r="583">
          <cell r="C583" t="str">
            <v>Sub-total</v>
          </cell>
          <cell r="L583">
            <v>1612786.6</v>
          </cell>
        </row>
        <row r="584">
          <cell r="C584" t="str">
            <v>Times corporate tax rate</v>
          </cell>
          <cell r="L584">
            <v>1.2E-2</v>
          </cell>
        </row>
        <row r="586">
          <cell r="C586" t="str">
            <v>Pro forma gross income tax</v>
          </cell>
          <cell r="L586">
            <v>19353</v>
          </cell>
        </row>
        <row r="587">
          <cell r="C587" t="str">
            <v>Less test year expense</v>
          </cell>
          <cell r="L587">
            <v>-11865</v>
          </cell>
        </row>
        <row r="589">
          <cell r="E589" t="str">
            <v>Adjustment</v>
          </cell>
          <cell r="L589">
            <v>7488</v>
          </cell>
        </row>
        <row r="599">
          <cell r="A599" t="str">
            <v>(Continued on next page)</v>
          </cell>
        </row>
        <row r="601">
          <cell r="A601" t="str">
            <v>(Subject to the comments in the attached</v>
          </cell>
        </row>
        <row r="602">
          <cell r="A602" t="str">
            <v>letter dated May 26, 2005 of Umbaugh.)</v>
          </cell>
        </row>
        <row r="604">
          <cell r="A604" t="str">
            <v>11</v>
          </cell>
        </row>
      </sheetData>
      <sheetData sheetId="7" refreshError="1">
        <row r="1">
          <cell r="A1" t="str">
            <v>GREENSBURG (INDIANA) MUNICIPAL SEWAGE WORKS</v>
          </cell>
        </row>
        <row r="2">
          <cell r="K2" t="str">
            <v>Phase I</v>
          </cell>
        </row>
        <row r="3">
          <cell r="A3" t="str">
            <v>SUMMARY OF PRO FORMA REVENUE REQUIREMENTS</v>
          </cell>
        </row>
        <row r="4">
          <cell r="A4" t="str">
            <v>AND AVAILABLE REVENUES</v>
          </cell>
        </row>
        <row r="5">
          <cell r="A5" t="str">
            <v>See Explanation of Adjustments, Page 17.</v>
          </cell>
        </row>
        <row r="7">
          <cell r="G7" t="str">
            <v>Alternatives</v>
          </cell>
        </row>
        <row r="8">
          <cell r="G8" t="str">
            <v>A</v>
          </cell>
          <cell r="I8" t="str">
            <v>B</v>
          </cell>
          <cell r="K8" t="str">
            <v>C</v>
          </cell>
        </row>
        <row r="9">
          <cell r="A9" t="str">
            <v>Revenue Requirements:</v>
          </cell>
        </row>
        <row r="10">
          <cell r="B10" t="str">
            <v>Operation and maintenance expense (1)</v>
          </cell>
        </row>
        <row r="12">
          <cell r="B12" t="str">
            <v>Additional gross income tax (2)</v>
          </cell>
        </row>
        <row r="14">
          <cell r="B14" t="str">
            <v>Additional allowance for PILT (2a)</v>
          </cell>
        </row>
        <row r="16">
          <cell r="B16" t="str">
            <v>Debt service:</v>
          </cell>
        </row>
        <row r="17">
          <cell r="C17" t="str">
            <v>Outstanding:</v>
          </cell>
        </row>
        <row r="18">
          <cell r="D18" t="str">
            <v>1989 Bonds (3)</v>
          </cell>
        </row>
        <row r="19">
          <cell r="D19" t="str">
            <v>PSG Loan (4)</v>
          </cell>
        </row>
        <row r="22">
          <cell r="B22" t="str">
            <v>Debt service reserves:</v>
          </cell>
        </row>
        <row r="23">
          <cell r="C23" t="str">
            <v>Proposed (funded over five years)</v>
          </cell>
        </row>
        <row r="25">
          <cell r="B25" t="str">
            <v>Allowance for replacements and improvements (5)</v>
          </cell>
        </row>
        <row r="27">
          <cell r="D27" t="str">
            <v>Sub-total</v>
          </cell>
        </row>
        <row r="28">
          <cell r="B28" t="str">
            <v>Less interest income (6)</v>
          </cell>
        </row>
        <row r="30">
          <cell r="D30" t="str">
            <v>Total Revenue Requirements</v>
          </cell>
        </row>
        <row r="32">
          <cell r="A32" t="str">
            <v>Available Revenues:</v>
          </cell>
        </row>
        <row r="33">
          <cell r="B33" t="str">
            <v>Normalized metered sales (7)</v>
          </cell>
        </row>
        <row r="34">
          <cell r="B34" t="str">
            <v>Hydrant rental (6)</v>
          </cell>
        </row>
        <row r="36">
          <cell r="C36" t="str">
            <v>Sub-total</v>
          </cell>
        </row>
        <row r="37">
          <cell r="B37" t="str">
            <v>Penalties (6)</v>
          </cell>
        </row>
        <row r="38">
          <cell r="B38" t="str">
            <v>Tap-in fees (6)</v>
          </cell>
        </row>
        <row r="39">
          <cell r="B39" t="str">
            <v>Other income (6)</v>
          </cell>
        </row>
        <row r="41">
          <cell r="D41" t="str">
            <v>Total Available Revenues</v>
          </cell>
        </row>
        <row r="43">
          <cell r="A43" t="str">
            <v>Additional Revenues Required</v>
          </cell>
        </row>
        <row r="45">
          <cell r="A45" t="str">
            <v>Percentage Increase Required in Rates and Charges</v>
          </cell>
        </row>
        <row r="47">
          <cell r="A47" t="str">
            <v>Resulting Minimum Monthly Bill</v>
          </cell>
        </row>
        <row r="48">
          <cell r="A48" t="str">
            <v xml:space="preserve">  (Presently $8.68 based on 2,520 gallons)</v>
          </cell>
        </row>
        <row r="50">
          <cell r="A50" t="str">
            <v>Resulting Average Monthly Bill</v>
          </cell>
        </row>
        <row r="51">
          <cell r="A51" t="str">
            <v xml:space="preserve">  (Presently $17.25 based on 5,000 gallons)</v>
          </cell>
        </row>
        <row r="53">
          <cell r="A53" t="str">
            <v>Phase I:</v>
          </cell>
          <cell r="C53" t="str">
            <v>Calculates the immediate additional revenues required.</v>
          </cell>
        </row>
        <row r="54">
          <cell r="A54" t="str">
            <v>Phase II:</v>
          </cell>
          <cell r="C54" t="str">
            <v>Calculates the estimated effects of proposed $8,850,000 in improvement projects.</v>
          </cell>
        </row>
        <row r="55">
          <cell r="A55" t="str">
            <v>Alternative 2:  Represents and allowance for extensions and replacements equal to test year repair and</v>
          </cell>
        </row>
        <row r="56">
          <cell r="A56" t="str">
            <v xml:space="preserve">  maintenance costs in excess of the contracted amount.</v>
          </cell>
        </row>
        <row r="57">
          <cell r="A57" t="str">
            <v>Phase III:</v>
          </cell>
          <cell r="C57" t="str">
            <v>Incorporates the additional depreciation expense and allowance for Payment in Lieu of Taxes resulting</v>
          </cell>
        </row>
        <row r="58">
          <cell r="C58" t="str">
            <v>fromt he proposed improvements.</v>
          </cell>
        </row>
        <row r="60">
          <cell r="A60" t="e">
            <v>#REF!</v>
          </cell>
        </row>
        <row r="62">
          <cell r="A62" t="str">
            <v>(Subject to the comments in the attached</v>
          </cell>
        </row>
        <row r="63">
          <cell r="A63" t="str">
            <v>letter dated May 26, 2005 of Umbaugh.)</v>
          </cell>
        </row>
        <row r="65">
          <cell r="A65" t="str">
            <v>16</v>
          </cell>
        </row>
        <row r="66">
          <cell r="A66" t="str">
            <v>GREENSBURG (INDIANA) MUNICIPAL SEWAGE WORKS</v>
          </cell>
        </row>
        <row r="67">
          <cell r="K67" t="str">
            <v>(Cont'd)</v>
          </cell>
        </row>
        <row r="68">
          <cell r="A68" t="str">
            <v>SUMMARY OF PRO FORMA REVENUE REQUIREMENTS</v>
          </cell>
        </row>
        <row r="69">
          <cell r="A69" t="str">
            <v>AND AVAILABLE REVENUES</v>
          </cell>
        </row>
        <row r="70">
          <cell r="A70" t="str">
            <v>Explanation of Adjustments</v>
          </cell>
        </row>
        <row r="74">
          <cell r="A74">
            <v>-1</v>
          </cell>
          <cell r="B74" t="str">
            <v>To provide for operation and maintenance expenses as explained on pages 2 - 11.</v>
          </cell>
        </row>
        <row r="76">
          <cell r="A76">
            <v>-2</v>
          </cell>
          <cell r="B76" t="str">
            <v>To provide for additional gross income tax.</v>
          </cell>
        </row>
        <row r="77">
          <cell r="B77" t="str">
            <v>Phase I:</v>
          </cell>
        </row>
        <row r="79">
          <cell r="C79" t="str">
            <v>Additional operating revenues requested</v>
          </cell>
          <cell r="K79">
            <v>0</v>
          </cell>
        </row>
        <row r="80">
          <cell r="C80" t="str">
            <v xml:space="preserve">Less portion of increased revenue requirements </v>
          </cell>
        </row>
        <row r="81">
          <cell r="C81" t="str">
            <v xml:space="preserve">  attributable to public fire protection (not subject to tax)</v>
          </cell>
          <cell r="K81">
            <v>0</v>
          </cell>
        </row>
        <row r="83">
          <cell r="D83" t="str">
            <v>Sub-total</v>
          </cell>
          <cell r="K83">
            <v>0</v>
          </cell>
        </row>
        <row r="84">
          <cell r="C84" t="str">
            <v>Times corporate gross income tax rate (1.2%)</v>
          </cell>
          <cell r="K84">
            <v>1.2E-2</v>
          </cell>
        </row>
        <row r="86">
          <cell r="D86" t="str">
            <v>Adjustment</v>
          </cell>
          <cell r="K86">
            <v>0</v>
          </cell>
        </row>
        <row r="88">
          <cell r="B88" t="str">
            <v>Phase II:</v>
          </cell>
        </row>
        <row r="90">
          <cell r="C90" t="str">
            <v>Additional operating revenues requested</v>
          </cell>
          <cell r="K90">
            <v>0</v>
          </cell>
        </row>
        <row r="91">
          <cell r="C91" t="str">
            <v xml:space="preserve">Less portion of increased revenue requirements </v>
          </cell>
        </row>
        <row r="92">
          <cell r="C92" t="str">
            <v xml:space="preserve">  attributable to public fire protection (not subject to tax)</v>
          </cell>
          <cell r="K92">
            <v>0</v>
          </cell>
        </row>
        <row r="94">
          <cell r="D94" t="str">
            <v>Sub-total</v>
          </cell>
          <cell r="K94">
            <v>0</v>
          </cell>
        </row>
        <row r="95">
          <cell r="C95" t="str">
            <v>Times corporate gross income tax rate (1.2%)</v>
          </cell>
          <cell r="K95">
            <v>1.2E-2</v>
          </cell>
        </row>
        <row r="97">
          <cell r="D97" t="str">
            <v>Adjustment</v>
          </cell>
          <cell r="K97">
            <v>0</v>
          </cell>
        </row>
        <row r="99">
          <cell r="B99" t="str">
            <v>Phase III:</v>
          </cell>
        </row>
        <row r="101">
          <cell r="C101" t="str">
            <v>Additional operating revenues requested</v>
          </cell>
          <cell r="K101">
            <v>0</v>
          </cell>
        </row>
        <row r="102">
          <cell r="C102" t="str">
            <v xml:space="preserve">Less portion of increased revenue requirements </v>
          </cell>
        </row>
        <row r="103">
          <cell r="C103" t="str">
            <v xml:space="preserve">  attributable to public fire protection (not subject to tax)</v>
          </cell>
          <cell r="K103">
            <v>0</v>
          </cell>
        </row>
        <row r="105">
          <cell r="D105" t="str">
            <v>Sub-total</v>
          </cell>
          <cell r="K105">
            <v>0</v>
          </cell>
        </row>
        <row r="106">
          <cell r="C106" t="str">
            <v>Times corporate gross income tax rate (1.2%)</v>
          </cell>
          <cell r="K106">
            <v>1.2E-2</v>
          </cell>
        </row>
        <row r="108">
          <cell r="D108" t="str">
            <v>Adjustment</v>
          </cell>
          <cell r="K108">
            <v>0</v>
          </cell>
        </row>
        <row r="110">
          <cell r="A110" t="str">
            <v>(2a)</v>
          </cell>
          <cell r="B110" t="e">
            <v>#VALUE!</v>
          </cell>
        </row>
        <row r="112">
          <cell r="A112">
            <v>-3</v>
          </cell>
          <cell r="B112" t="str">
            <v>To provide for average annual principal and interest on the outstanding bonds, page 28.</v>
          </cell>
        </row>
        <row r="114">
          <cell r="A114">
            <v>-4</v>
          </cell>
          <cell r="B114" t="str">
            <v>To provide for average annual principal and interest on the outstanding Professional Services Group loan, page 29.</v>
          </cell>
        </row>
        <row r="116">
          <cell r="A116">
            <v>-5</v>
          </cell>
          <cell r="B116" t="str">
            <v>Phase I and Phase II:  To provide an allowance for replacements and improvements based on depreciation expense.</v>
          </cell>
        </row>
        <row r="117">
          <cell r="B117" t="str">
            <v>Phase III:  To provide an allowance for replacements and improvements based on depreciation expense - including the</v>
          </cell>
        </row>
        <row r="118">
          <cell r="B118" t="str">
            <v>proposed improvements.</v>
          </cell>
        </row>
        <row r="120">
          <cell r="A120">
            <v>-6</v>
          </cell>
          <cell r="B120" t="str">
            <v>Calculated at test year amounts.</v>
          </cell>
        </row>
        <row r="122">
          <cell r="A122">
            <v>-7</v>
          </cell>
          <cell r="B122" t="str">
            <v>Normalized metered sales, page 14.</v>
          </cell>
        </row>
        <row r="125">
          <cell r="A125" t="str">
            <v>(Subject to the comments in the attached</v>
          </cell>
        </row>
        <row r="126">
          <cell r="A126" t="str">
            <v>letter dated May 26, 2005 of Umbaugh.)</v>
          </cell>
        </row>
        <row r="128">
          <cell r="A128" t="str">
            <v>17</v>
          </cell>
        </row>
      </sheetData>
      <sheetData sheetId="8" refreshError="1"/>
      <sheetData sheetId="9" refreshError="1">
        <row r="1">
          <cell r="A1" t="str">
            <v>GREENSBURG (INDIANA) MUNICIPAL SEWAGE WORKS</v>
          </cell>
        </row>
        <row r="3">
          <cell r="A3" t="str">
            <v>CALCULATION OF NORMALIZED ANNUAL OPERATING REVENUES</v>
          </cell>
        </row>
        <row r="4">
          <cell r="A4" t="str">
            <v>- Residential -</v>
          </cell>
        </row>
        <row r="7">
          <cell r="H7" t="str">
            <v>12 Months</v>
          </cell>
          <cell r="L7" t="str">
            <v>Normalized</v>
          </cell>
        </row>
        <row r="8">
          <cell r="H8" t="str">
            <v>Ended</v>
          </cell>
          <cell r="L8" t="str">
            <v>Annual</v>
          </cell>
        </row>
        <row r="9">
          <cell r="H9">
            <v>38168</v>
          </cell>
          <cell r="J9" t="str">
            <v>Adjustments</v>
          </cell>
          <cell r="L9" t="str">
            <v>Revenues</v>
          </cell>
        </row>
        <row r="10">
          <cell r="A10" t="str">
            <v>Operating Revenues</v>
          </cell>
          <cell r="H10" t="str">
            <v>(Unaudited)</v>
          </cell>
        </row>
        <row r="12">
          <cell r="B12" t="str">
            <v>Metered sales</v>
          </cell>
          <cell r="H12">
            <v>449420</v>
          </cell>
          <cell r="J12">
            <v>1237.8</v>
          </cell>
          <cell r="K12" t="str">
            <v>(1)</v>
          </cell>
          <cell r="L12" t="str">
            <v xml:space="preserve"> </v>
          </cell>
        </row>
        <row r="13">
          <cell r="J13">
            <v>532.79999999999995</v>
          </cell>
          <cell r="K13" t="str">
            <v>(2)</v>
          </cell>
          <cell r="L13">
            <v>451190.6</v>
          </cell>
        </row>
        <row r="14">
          <cell r="B14" t="str">
            <v>Hydrant rental</v>
          </cell>
          <cell r="H14">
            <v>1123562</v>
          </cell>
          <cell r="L14">
            <v>1123562</v>
          </cell>
        </row>
        <row r="15">
          <cell r="B15" t="str">
            <v>Penalties</v>
          </cell>
          <cell r="H15">
            <v>29257</v>
          </cell>
          <cell r="L15">
            <v>29257</v>
          </cell>
        </row>
        <row r="16">
          <cell r="B16" t="str">
            <v>Other income</v>
          </cell>
          <cell r="H16">
            <v>1132839</v>
          </cell>
          <cell r="L16">
            <v>1132839</v>
          </cell>
        </row>
        <row r="18">
          <cell r="B18" t="str">
            <v>Totals</v>
          </cell>
          <cell r="H18">
            <v>2735078</v>
          </cell>
          <cell r="J18">
            <v>1770.6</v>
          </cell>
          <cell r="L18">
            <v>2736848.6</v>
          </cell>
        </row>
        <row r="21">
          <cell r="B21" t="str">
            <v xml:space="preserve">(1)    To adjust test year operating revenues to normalize for the estimated financial effects of </v>
          </cell>
        </row>
        <row r="22">
          <cell r="B22" t="str">
            <v xml:space="preserve">         approximately 7 less users to the system from the beginning of the test year</v>
          </cell>
        </row>
        <row r="23">
          <cell r="B23" t="str">
            <v xml:space="preserve">         (based on billing records).</v>
          </cell>
        </row>
        <row r="25">
          <cell r="B25" t="str">
            <v>Residential Revenues:</v>
          </cell>
          <cell r="F25" t="str">
            <v>Times</v>
          </cell>
        </row>
        <row r="26">
          <cell r="D26" t="str">
            <v>Increase/</v>
          </cell>
          <cell r="F26" t="str">
            <v>Estimated</v>
          </cell>
          <cell r="H26" t="str">
            <v>Additional</v>
          </cell>
          <cell r="J26" t="str">
            <v>Estimated</v>
          </cell>
        </row>
        <row r="27">
          <cell r="B27" t="str">
            <v>Billing</v>
          </cell>
          <cell r="D27" t="str">
            <v>(Decrease)</v>
          </cell>
          <cell r="F27" t="str">
            <v>Additional</v>
          </cell>
          <cell r="H27" t="str">
            <v>Monthly</v>
          </cell>
          <cell r="J27" t="str">
            <v>Monthly</v>
          </cell>
        </row>
        <row r="28">
          <cell r="B28" t="str">
            <v>Cycle</v>
          </cell>
          <cell r="D28" t="str">
            <v>In Users (A)</v>
          </cell>
          <cell r="F28" t="str">
            <v>Monthly Bills</v>
          </cell>
          <cell r="H28" t="str">
            <v>Bills</v>
          </cell>
          <cell r="J28" t="str">
            <v>Bill (B)</v>
          </cell>
          <cell r="L28" t="str">
            <v>Amount</v>
          </cell>
        </row>
        <row r="30">
          <cell r="B30" t="str">
            <v>July 2003</v>
          </cell>
          <cell r="D30">
            <v>4</v>
          </cell>
          <cell r="F30" t="str">
            <v xml:space="preserve"> </v>
          </cell>
          <cell r="H30">
            <v>0</v>
          </cell>
          <cell r="J30">
            <v>15.87</v>
          </cell>
          <cell r="L30">
            <v>0</v>
          </cell>
        </row>
        <row r="31">
          <cell r="B31" t="str">
            <v>August</v>
          </cell>
          <cell r="D31">
            <v>2</v>
          </cell>
          <cell r="F31">
            <v>1</v>
          </cell>
          <cell r="H31">
            <v>2</v>
          </cell>
          <cell r="J31">
            <v>15.87</v>
          </cell>
          <cell r="L31">
            <v>31.7</v>
          </cell>
        </row>
        <row r="32">
          <cell r="B32" t="str">
            <v>September</v>
          </cell>
          <cell r="D32">
            <v>0</v>
          </cell>
          <cell r="F32">
            <v>2</v>
          </cell>
          <cell r="H32">
            <v>0</v>
          </cell>
          <cell r="J32">
            <v>15.87</v>
          </cell>
          <cell r="L32">
            <v>0</v>
          </cell>
        </row>
        <row r="33">
          <cell r="B33" t="str">
            <v>October</v>
          </cell>
          <cell r="D33">
            <v>-4</v>
          </cell>
          <cell r="F33">
            <v>3</v>
          </cell>
          <cell r="H33">
            <v>-12</v>
          </cell>
          <cell r="J33">
            <v>15.87</v>
          </cell>
          <cell r="L33">
            <v>-190.4</v>
          </cell>
        </row>
        <row r="34">
          <cell r="B34" t="str">
            <v>November</v>
          </cell>
          <cell r="D34">
            <v>-16</v>
          </cell>
          <cell r="F34">
            <v>4</v>
          </cell>
          <cell r="H34">
            <v>-64</v>
          </cell>
          <cell r="J34">
            <v>15.87</v>
          </cell>
          <cell r="L34">
            <v>-1015.7</v>
          </cell>
        </row>
        <row r="35">
          <cell r="B35" t="str">
            <v>December</v>
          </cell>
          <cell r="D35">
            <v>-15</v>
          </cell>
          <cell r="F35">
            <v>5</v>
          </cell>
          <cell r="H35">
            <v>-75</v>
          </cell>
          <cell r="J35">
            <v>15.87</v>
          </cell>
          <cell r="L35">
            <v>-1190.3</v>
          </cell>
        </row>
        <row r="36">
          <cell r="B36" t="str">
            <v>January 2004</v>
          </cell>
          <cell r="D36">
            <v>-2</v>
          </cell>
          <cell r="F36">
            <v>6</v>
          </cell>
          <cell r="H36">
            <v>-12</v>
          </cell>
          <cell r="J36">
            <v>15.87</v>
          </cell>
          <cell r="L36">
            <v>-190.4</v>
          </cell>
        </row>
        <row r="37">
          <cell r="B37" t="str">
            <v>February</v>
          </cell>
          <cell r="D37">
            <v>1</v>
          </cell>
          <cell r="F37">
            <v>7</v>
          </cell>
          <cell r="H37">
            <v>7</v>
          </cell>
          <cell r="J37">
            <v>15.87</v>
          </cell>
          <cell r="L37">
            <v>111.1</v>
          </cell>
        </row>
        <row r="38">
          <cell r="B38" t="str">
            <v>March</v>
          </cell>
          <cell r="D38">
            <v>7</v>
          </cell>
          <cell r="F38">
            <v>8</v>
          </cell>
          <cell r="H38">
            <v>56</v>
          </cell>
          <cell r="J38">
            <v>15.87</v>
          </cell>
          <cell r="L38">
            <v>888.7</v>
          </cell>
        </row>
        <row r="39">
          <cell r="B39" t="str">
            <v>April</v>
          </cell>
          <cell r="D39">
            <v>-7</v>
          </cell>
          <cell r="F39">
            <v>9</v>
          </cell>
          <cell r="H39">
            <v>-63</v>
          </cell>
          <cell r="J39">
            <v>15.87</v>
          </cell>
          <cell r="L39">
            <v>-999.8</v>
          </cell>
        </row>
        <row r="40">
          <cell r="B40" t="str">
            <v>May</v>
          </cell>
          <cell r="D40">
            <v>14</v>
          </cell>
          <cell r="F40">
            <v>10</v>
          </cell>
          <cell r="H40">
            <v>140</v>
          </cell>
          <cell r="J40">
            <v>15.87</v>
          </cell>
          <cell r="L40">
            <v>2221.8000000000002</v>
          </cell>
        </row>
        <row r="41">
          <cell r="B41" t="str">
            <v>June</v>
          </cell>
          <cell r="D41">
            <v>9</v>
          </cell>
          <cell r="F41">
            <v>11</v>
          </cell>
          <cell r="H41">
            <v>99</v>
          </cell>
          <cell r="J41">
            <v>15.87</v>
          </cell>
          <cell r="L41">
            <v>1571.1</v>
          </cell>
        </row>
        <row r="43">
          <cell r="B43" t="str">
            <v xml:space="preserve">        Totals</v>
          </cell>
          <cell r="D43">
            <v>-7</v>
          </cell>
          <cell r="H43">
            <v>78</v>
          </cell>
          <cell r="L43">
            <v>1237.8</v>
          </cell>
        </row>
        <row r="46">
          <cell r="B46" t="str">
            <v>(A)    Per utility personnel and monthly billing summaries.</v>
          </cell>
        </row>
        <row r="47">
          <cell r="B47" t="str">
            <v>(B)    Estimated monthly bill assuming average residential consumption of 4,600 gallons priced at</v>
          </cell>
        </row>
        <row r="48">
          <cell r="B48" t="str">
            <v xml:space="preserve">         present rates (average bill calculated based on historical average bill for a residential customer).</v>
          </cell>
        </row>
        <row r="50">
          <cell r="A50" t="str">
            <v>(Continued on next page)</v>
          </cell>
        </row>
        <row r="52">
          <cell r="A52" t="str">
            <v>(Subject to the comments in the attached</v>
          </cell>
        </row>
        <row r="53">
          <cell r="A53" t="str">
            <v>letter dated May 26, 2005 of Umbaugh.)</v>
          </cell>
        </row>
        <row r="55">
          <cell r="A55" t="str">
            <v>14</v>
          </cell>
        </row>
        <row r="56">
          <cell r="A56" t="str">
            <v>GREENSBURG (INDIANA) MUNICIPAL SEWAGE WORKS</v>
          </cell>
        </row>
        <row r="57">
          <cell r="L57" t="str">
            <v>(Cont'd)</v>
          </cell>
        </row>
        <row r="58">
          <cell r="A58" t="str">
            <v>CALCULATION OF NORMALIZED ANNUAL OPERATING REVENUES</v>
          </cell>
        </row>
        <row r="59">
          <cell r="A59" t="str">
            <v>- Commercial -</v>
          </cell>
        </row>
        <row r="62">
          <cell r="B62" t="str">
            <v xml:space="preserve">(2)    To adjust test year operating revenues to normalize for the estimated financial effects of </v>
          </cell>
        </row>
        <row r="63">
          <cell r="B63" t="str">
            <v xml:space="preserve">         approximately 0 new users added to the system from the beginning of the test year</v>
          </cell>
        </row>
        <row r="64">
          <cell r="B64" t="str">
            <v xml:space="preserve">         (based on billing records).</v>
          </cell>
        </row>
        <row r="66">
          <cell r="B66" t="str">
            <v>Commercial Revenues:</v>
          </cell>
          <cell r="F66" t="str">
            <v>Times</v>
          </cell>
        </row>
        <row r="67">
          <cell r="D67" t="str">
            <v>Increase/</v>
          </cell>
          <cell r="F67" t="str">
            <v>Estimated</v>
          </cell>
          <cell r="H67" t="str">
            <v>Additional</v>
          </cell>
          <cell r="J67" t="str">
            <v>Estimated</v>
          </cell>
        </row>
        <row r="68">
          <cell r="B68" t="str">
            <v>Billing</v>
          </cell>
          <cell r="D68" t="str">
            <v>(Decrease)</v>
          </cell>
          <cell r="F68" t="str">
            <v>Additional</v>
          </cell>
          <cell r="H68" t="str">
            <v>Monthly</v>
          </cell>
          <cell r="J68" t="str">
            <v>Monthly</v>
          </cell>
        </row>
        <row r="69">
          <cell r="B69" t="str">
            <v>Cycle</v>
          </cell>
          <cell r="D69" t="str">
            <v>In Users (A)</v>
          </cell>
          <cell r="F69" t="str">
            <v>Monthly Bills</v>
          </cell>
          <cell r="H69" t="str">
            <v>Bills</v>
          </cell>
          <cell r="J69" t="str">
            <v>Bill (B)</v>
          </cell>
          <cell r="L69" t="str">
            <v>Amount</v>
          </cell>
        </row>
        <row r="71">
          <cell r="B71" t="str">
            <v>July 2003</v>
          </cell>
          <cell r="D71">
            <v>1</v>
          </cell>
          <cell r="F71" t="str">
            <v xml:space="preserve"> </v>
          </cell>
          <cell r="H71">
            <v>0</v>
          </cell>
          <cell r="J71">
            <v>53.29</v>
          </cell>
          <cell r="L71">
            <v>0</v>
          </cell>
        </row>
        <row r="72">
          <cell r="B72" t="str">
            <v>August</v>
          </cell>
          <cell r="D72">
            <v>-2</v>
          </cell>
          <cell r="F72">
            <v>1</v>
          </cell>
          <cell r="H72">
            <v>-2</v>
          </cell>
          <cell r="J72">
            <v>53.29</v>
          </cell>
          <cell r="L72">
            <v>-106.6</v>
          </cell>
        </row>
        <row r="73">
          <cell r="B73" t="str">
            <v>September</v>
          </cell>
          <cell r="D73">
            <v>3</v>
          </cell>
          <cell r="F73">
            <v>2</v>
          </cell>
          <cell r="H73">
            <v>6</v>
          </cell>
          <cell r="J73">
            <v>53.29</v>
          </cell>
          <cell r="L73">
            <v>319.7</v>
          </cell>
        </row>
        <row r="74">
          <cell r="B74" t="str">
            <v>October</v>
          </cell>
          <cell r="D74">
            <v>-1</v>
          </cell>
          <cell r="F74">
            <v>3</v>
          </cell>
          <cell r="H74">
            <v>-3</v>
          </cell>
          <cell r="J74">
            <v>53.29</v>
          </cell>
          <cell r="L74">
            <v>-159.9</v>
          </cell>
        </row>
        <row r="75">
          <cell r="B75" t="str">
            <v>November</v>
          </cell>
          <cell r="D75">
            <v>1</v>
          </cell>
          <cell r="F75">
            <v>4</v>
          </cell>
          <cell r="H75">
            <v>4</v>
          </cell>
          <cell r="J75">
            <v>53.29</v>
          </cell>
          <cell r="L75">
            <v>213.2</v>
          </cell>
        </row>
        <row r="76">
          <cell r="B76" t="str">
            <v>December</v>
          </cell>
          <cell r="D76">
            <v>-5</v>
          </cell>
          <cell r="F76">
            <v>5</v>
          </cell>
          <cell r="H76">
            <v>-25</v>
          </cell>
          <cell r="J76">
            <v>53.29</v>
          </cell>
          <cell r="L76">
            <v>-1332.3</v>
          </cell>
        </row>
        <row r="77">
          <cell r="B77" t="str">
            <v>January 2004</v>
          </cell>
          <cell r="D77">
            <v>0</v>
          </cell>
          <cell r="F77">
            <v>6</v>
          </cell>
          <cell r="H77">
            <v>0</v>
          </cell>
          <cell r="J77">
            <v>53.29</v>
          </cell>
          <cell r="L77">
            <v>0</v>
          </cell>
        </row>
        <row r="78">
          <cell r="B78" t="str">
            <v>February</v>
          </cell>
          <cell r="D78">
            <v>0</v>
          </cell>
          <cell r="F78">
            <v>7</v>
          </cell>
          <cell r="H78">
            <v>0</v>
          </cell>
          <cell r="J78">
            <v>53.29</v>
          </cell>
          <cell r="L78">
            <v>0</v>
          </cell>
        </row>
        <row r="79">
          <cell r="B79" t="str">
            <v>March</v>
          </cell>
          <cell r="D79">
            <v>0</v>
          </cell>
          <cell r="F79">
            <v>8</v>
          </cell>
          <cell r="H79">
            <v>0</v>
          </cell>
          <cell r="J79">
            <v>53.29</v>
          </cell>
          <cell r="L79">
            <v>0</v>
          </cell>
        </row>
        <row r="80">
          <cell r="B80" t="str">
            <v>April</v>
          </cell>
          <cell r="D80">
            <v>-1</v>
          </cell>
          <cell r="F80">
            <v>9</v>
          </cell>
          <cell r="H80">
            <v>-9</v>
          </cell>
          <cell r="J80">
            <v>53.29</v>
          </cell>
          <cell r="L80">
            <v>-479.6</v>
          </cell>
        </row>
        <row r="81">
          <cell r="B81" t="str">
            <v>May</v>
          </cell>
          <cell r="D81">
            <v>5</v>
          </cell>
          <cell r="F81">
            <v>10</v>
          </cell>
          <cell r="H81">
            <v>50</v>
          </cell>
          <cell r="J81">
            <v>53.29</v>
          </cell>
          <cell r="L81">
            <v>2664.5</v>
          </cell>
        </row>
        <row r="82">
          <cell r="B82" t="str">
            <v>June</v>
          </cell>
          <cell r="D82">
            <v>-1</v>
          </cell>
          <cell r="F82">
            <v>11</v>
          </cell>
          <cell r="H82">
            <v>-11</v>
          </cell>
          <cell r="J82">
            <v>53.29</v>
          </cell>
          <cell r="L82">
            <v>-586.20000000000005</v>
          </cell>
        </row>
        <row r="84">
          <cell r="B84" t="str">
            <v xml:space="preserve">        Totals</v>
          </cell>
          <cell r="D84">
            <v>0</v>
          </cell>
          <cell r="H84">
            <v>10</v>
          </cell>
          <cell r="L84">
            <v>532.79999999999995</v>
          </cell>
        </row>
        <row r="87">
          <cell r="B87" t="str">
            <v>(A)    Per utility personnel and monthly billing summaries.</v>
          </cell>
        </row>
        <row r="88">
          <cell r="B88" t="str">
            <v>(B)    Estimated monthly bill assuming average commercial consumption of 17,200 gallons priced at</v>
          </cell>
        </row>
        <row r="89">
          <cell r="B89" t="str">
            <v xml:space="preserve">         present rates (average bill calculated based on historical average bill for a commercial customer).</v>
          </cell>
        </row>
        <row r="107">
          <cell r="A107" t="str">
            <v>(Subject to the comments in the attached</v>
          </cell>
        </row>
        <row r="108">
          <cell r="A108" t="str">
            <v>letter dated May 26, 2005 of Umbaugh.)</v>
          </cell>
        </row>
        <row r="110">
          <cell r="A110" t="str">
            <v>15</v>
          </cell>
        </row>
      </sheetData>
      <sheetData sheetId="10" refreshError="1">
        <row r="1">
          <cell r="A1" t="str">
            <v>GREENSBURG (INDIANA) MUNICIPAL SEWAGE WORKS</v>
          </cell>
        </row>
        <row r="3">
          <cell r="A3" t="str">
            <v>SCHEDULE OF ESTIMATED CAPITAL IMPROVEMENT COSTS</v>
          </cell>
        </row>
        <row r="4">
          <cell r="A4" t="str">
            <v xml:space="preserve"> </v>
          </cell>
        </row>
        <row r="7">
          <cell r="A7" t="str">
            <v>Estimated Capital Improvements (Per U.S. Filter):</v>
          </cell>
        </row>
        <row r="9">
          <cell r="B9" t="str">
            <v>Well field improvements and other</v>
          </cell>
          <cell r="I9">
            <v>1530000</v>
          </cell>
        </row>
        <row r="10">
          <cell r="B10" t="str">
            <v>Water main improvements</v>
          </cell>
          <cell r="I10">
            <v>361000</v>
          </cell>
        </row>
        <row r="11">
          <cell r="B11" t="str">
            <v>New water tower on the west side of Boonville</v>
          </cell>
          <cell r="I11">
            <v>780000</v>
          </cell>
        </row>
        <row r="12">
          <cell r="B12" t="str">
            <v>Raw water booster station improvements</v>
          </cell>
          <cell r="I12">
            <v>3595000</v>
          </cell>
        </row>
        <row r="13">
          <cell r="B13" t="str">
            <v>Water treatment facility improvements</v>
          </cell>
          <cell r="I13">
            <v>2583000</v>
          </cell>
        </row>
        <row r="14">
          <cell r="B14" t="str">
            <v>Miscellaneous and rounding</v>
          </cell>
          <cell r="I14">
            <v>1000</v>
          </cell>
        </row>
        <row r="16">
          <cell r="E16" t="str">
            <v>Total Estimated Capital Improvements</v>
          </cell>
          <cell r="I16">
            <v>8850000</v>
          </cell>
        </row>
        <row r="18">
          <cell r="A18" t="str">
            <v>Estimated Project Funding:</v>
          </cell>
        </row>
        <row r="20">
          <cell r="A20" t="str">
            <v xml:space="preserve"> </v>
          </cell>
          <cell r="B20" t="str">
            <v>Waterworks Revenue Bonds of 2000</v>
          </cell>
          <cell r="I20">
            <v>8850000</v>
          </cell>
        </row>
        <row r="44">
          <cell r="A44" t="str">
            <v>(Subject to the comments in the attached</v>
          </cell>
        </row>
        <row r="45">
          <cell r="A45" t="str">
            <v>letter dated May 26, 2005 of Umbaugh.)</v>
          </cell>
        </row>
        <row r="47">
          <cell r="A47" t="str">
            <v>13</v>
          </cell>
        </row>
      </sheetData>
      <sheetData sheetId="11" refreshError="1">
        <row r="1">
          <cell r="A1" t="str">
            <v>GREENSBURG (INDIANA) MUNICIPAL SEWAGE WORKS</v>
          </cell>
        </row>
        <row r="3">
          <cell r="A3" t="str">
            <v>SCHEDULE OF PRESENT AND PROPOSED RATES AND CHARGES</v>
          </cell>
        </row>
        <row r="6">
          <cell r="A6" t="str">
            <v>RECURRING RATES:</v>
          </cell>
        </row>
        <row r="7">
          <cell r="G7" t="str">
            <v>Rate Per 1,000 Gallons</v>
          </cell>
        </row>
        <row r="8">
          <cell r="A8" t="str">
            <v>Metered Rates Per Month:</v>
          </cell>
          <cell r="I8" t="str">
            <v>Alternative 1</v>
          </cell>
          <cell r="K8" t="str">
            <v>Alternative #2</v>
          </cell>
          <cell r="M8" t="str">
            <v>Alternative 2</v>
          </cell>
        </row>
        <row r="9">
          <cell r="G9" t="str">
            <v>Present (1)</v>
          </cell>
          <cell r="I9">
            <v>0</v>
          </cell>
          <cell r="K9">
            <v>0</v>
          </cell>
          <cell r="M9">
            <v>0</v>
          </cell>
        </row>
        <row r="11">
          <cell r="A11" t="str">
            <v>First</v>
          </cell>
          <cell r="B11" t="str">
            <v>10,000</v>
          </cell>
          <cell r="D11" t="str">
            <v>gallons</v>
          </cell>
          <cell r="G11">
            <v>3.45</v>
          </cell>
          <cell r="I11" t="e">
            <v>#NAME?</v>
          </cell>
          <cell r="K11" t="e">
            <v>#NAME?</v>
          </cell>
          <cell r="M11" t="e">
            <v>#NAME?</v>
          </cell>
        </row>
        <row r="12">
          <cell r="A12" t="str">
            <v>Next</v>
          </cell>
          <cell r="B12" t="str">
            <v>20,000</v>
          </cell>
          <cell r="D12" t="str">
            <v>gallons</v>
          </cell>
          <cell r="G12">
            <v>2.61</v>
          </cell>
          <cell r="I12" t="e">
            <v>#NAME?</v>
          </cell>
          <cell r="K12" t="e">
            <v>#NAME?</v>
          </cell>
          <cell r="M12" t="e">
            <v>#NAME?</v>
          </cell>
        </row>
        <row r="13">
          <cell r="A13" t="str">
            <v>Next</v>
          </cell>
          <cell r="B13" t="str">
            <v>70,000</v>
          </cell>
          <cell r="D13" t="str">
            <v>gallons</v>
          </cell>
          <cell r="G13">
            <v>1.73</v>
          </cell>
          <cell r="I13" t="e">
            <v>#NAME?</v>
          </cell>
          <cell r="K13" t="e">
            <v>#NAME?</v>
          </cell>
          <cell r="M13" t="e">
            <v>#NAME?</v>
          </cell>
        </row>
        <row r="14">
          <cell r="A14" t="str">
            <v>Over</v>
          </cell>
          <cell r="B14" t="str">
            <v>100,000</v>
          </cell>
          <cell r="D14" t="str">
            <v>gallons</v>
          </cell>
          <cell r="G14">
            <v>0.87</v>
          </cell>
          <cell r="I14" t="e">
            <v>#NAME?</v>
          </cell>
          <cell r="K14" t="e">
            <v>#NAME?</v>
          </cell>
          <cell r="M14" t="e">
            <v>#NAME?</v>
          </cell>
        </row>
        <row r="17">
          <cell r="D17" t="str">
            <v>Gallons</v>
          </cell>
          <cell r="G17" t="str">
            <v>Per Month</v>
          </cell>
        </row>
        <row r="18">
          <cell r="A18" t="str">
            <v>Minimum Charge:</v>
          </cell>
          <cell r="D18" t="str">
            <v>Allowed</v>
          </cell>
          <cell r="I18" t="str">
            <v>Alternative 1</v>
          </cell>
          <cell r="K18" t="str">
            <v>Alternative #2</v>
          </cell>
          <cell r="M18" t="str">
            <v>Alternative 2</v>
          </cell>
        </row>
        <row r="19">
          <cell r="G19" t="str">
            <v>Present (1)</v>
          </cell>
          <cell r="I19">
            <v>0</v>
          </cell>
          <cell r="K19" t="str">
            <v>Proposed</v>
          </cell>
          <cell r="M19">
            <v>0</v>
          </cell>
        </row>
        <row r="21">
          <cell r="A21" t="str">
            <v>5/8</v>
          </cell>
          <cell r="B21" t="str">
            <v>inch meter</v>
          </cell>
          <cell r="D21">
            <v>2520</v>
          </cell>
          <cell r="G21">
            <v>8.68</v>
          </cell>
          <cell r="I21" t="e">
            <v>#NAME?</v>
          </cell>
          <cell r="K21" t="e">
            <v>#NAME?</v>
          </cell>
          <cell r="M21" t="e">
            <v>#NAME?</v>
          </cell>
        </row>
        <row r="22">
          <cell r="A22" t="str">
            <v>3/4</v>
          </cell>
          <cell r="B22" t="str">
            <v>inch meter</v>
          </cell>
          <cell r="D22">
            <v>2520</v>
          </cell>
          <cell r="G22">
            <v>8.68</v>
          </cell>
          <cell r="I22" t="e">
            <v>#NAME?</v>
          </cell>
          <cell r="K22" t="e">
            <v>#NAME?</v>
          </cell>
          <cell r="M22" t="e">
            <v>#NAME?</v>
          </cell>
        </row>
        <row r="23">
          <cell r="A23" t="str">
            <v>1</v>
          </cell>
          <cell r="B23" t="str">
            <v>inch meter</v>
          </cell>
          <cell r="D23">
            <v>6410</v>
          </cell>
          <cell r="G23">
            <v>21.99</v>
          </cell>
          <cell r="I23" t="e">
            <v>#NAME?</v>
          </cell>
          <cell r="K23" t="e">
            <v>#NAME?</v>
          </cell>
          <cell r="M23" t="e">
            <v>#NAME?</v>
          </cell>
        </row>
        <row r="24">
          <cell r="A24" t="str">
            <v>1 1/2</v>
          </cell>
          <cell r="B24" t="str">
            <v>inch meter</v>
          </cell>
          <cell r="D24">
            <v>15560</v>
          </cell>
          <cell r="G24">
            <v>48.87</v>
          </cell>
          <cell r="I24" t="e">
            <v>#NAME?</v>
          </cell>
          <cell r="K24" t="e">
            <v>#NAME?</v>
          </cell>
          <cell r="M24" t="e">
            <v>#NAME?</v>
          </cell>
        </row>
        <row r="25">
          <cell r="A25" t="str">
            <v>2</v>
          </cell>
          <cell r="B25" t="str">
            <v>inch meter</v>
          </cell>
          <cell r="D25">
            <v>29660</v>
          </cell>
          <cell r="G25">
            <v>85.53</v>
          </cell>
          <cell r="I25" t="e">
            <v>#NAME?</v>
          </cell>
          <cell r="K25" t="e">
            <v>#NAME?</v>
          </cell>
          <cell r="M25" t="e">
            <v>#NAME?</v>
          </cell>
        </row>
        <row r="26">
          <cell r="A26" t="str">
            <v>3</v>
          </cell>
          <cell r="B26" t="str">
            <v>inch meter</v>
          </cell>
          <cell r="D26">
            <v>93130</v>
          </cell>
          <cell r="G26">
            <v>195.48</v>
          </cell>
          <cell r="I26" t="e">
            <v>#NAME?</v>
          </cell>
          <cell r="K26" t="e">
            <v>#NAME?</v>
          </cell>
          <cell r="M26" t="e">
            <v>#NAME?</v>
          </cell>
        </row>
        <row r="27">
          <cell r="A27" t="str">
            <v>4</v>
          </cell>
          <cell r="B27" t="str">
            <v>inch meter</v>
          </cell>
          <cell r="D27">
            <v>268610</v>
          </cell>
          <cell r="G27">
            <v>354.3</v>
          </cell>
          <cell r="I27" t="e">
            <v>#NAME?</v>
          </cell>
          <cell r="K27" t="e">
            <v>#NAME?</v>
          </cell>
          <cell r="M27" t="e">
            <v>#NAME?</v>
          </cell>
        </row>
        <row r="30">
          <cell r="G30" t="str">
            <v>Per Annum</v>
          </cell>
        </row>
        <row r="31">
          <cell r="A31" t="str">
            <v>Fire Protection:</v>
          </cell>
          <cell r="I31" t="str">
            <v>Alternative 1</v>
          </cell>
          <cell r="K31" t="str">
            <v>Alternative #2</v>
          </cell>
          <cell r="M31" t="str">
            <v>Alternative 2</v>
          </cell>
        </row>
        <row r="32">
          <cell r="G32" t="str">
            <v>Present (1)</v>
          </cell>
          <cell r="I32">
            <v>0</v>
          </cell>
          <cell r="K32" t="str">
            <v>Proposed</v>
          </cell>
          <cell r="M32">
            <v>0</v>
          </cell>
        </row>
        <row r="34">
          <cell r="A34" t="str">
            <v>Public fire hydrants - per hydrant</v>
          </cell>
          <cell r="G34">
            <v>439.81</v>
          </cell>
          <cell r="I34" t="e">
            <v>#NAME?</v>
          </cell>
          <cell r="K34" t="e">
            <v>#NAME?</v>
          </cell>
          <cell r="M34" t="e">
            <v>#NAME?</v>
          </cell>
        </row>
        <row r="36">
          <cell r="A36" t="str">
            <v>Private fire hydrants - per hydrant</v>
          </cell>
          <cell r="G36">
            <v>439.81</v>
          </cell>
          <cell r="I36" t="e">
            <v>#NAME?</v>
          </cell>
          <cell r="K36" t="e">
            <v>#NAME?</v>
          </cell>
          <cell r="M36" t="e">
            <v>#NAME?</v>
          </cell>
        </row>
        <row r="38">
          <cell r="A38" t="str">
            <v>Automatic sprinklers:</v>
          </cell>
        </row>
        <row r="39">
          <cell r="B39" t="str">
            <v>2 inch connection and under</v>
          </cell>
          <cell r="G39">
            <v>80.63</v>
          </cell>
          <cell r="I39" t="e">
            <v>#NAME?</v>
          </cell>
          <cell r="K39" t="e">
            <v>#NAME?</v>
          </cell>
          <cell r="M39" t="e">
            <v>#NAME?</v>
          </cell>
        </row>
        <row r="40">
          <cell r="B40" t="str">
            <v>3 inch connection</v>
          </cell>
          <cell r="G40">
            <v>127.07</v>
          </cell>
          <cell r="I40" t="e">
            <v>#NAME?</v>
          </cell>
          <cell r="K40" t="e">
            <v>#NAME?</v>
          </cell>
          <cell r="M40" t="e">
            <v>#NAME?</v>
          </cell>
        </row>
        <row r="41">
          <cell r="B41" t="str">
            <v>4 inch connection</v>
          </cell>
          <cell r="G41">
            <v>171.06</v>
          </cell>
          <cell r="I41" t="e">
            <v>#NAME?</v>
          </cell>
          <cell r="K41" t="e">
            <v>#NAME?</v>
          </cell>
          <cell r="M41" t="e">
            <v>#NAME?</v>
          </cell>
        </row>
        <row r="42">
          <cell r="B42" t="str">
            <v>6 inch connection</v>
          </cell>
          <cell r="G42">
            <v>256.58999999999997</v>
          </cell>
          <cell r="I42" t="e">
            <v>#NAME?</v>
          </cell>
          <cell r="K42" t="e">
            <v>#NAME?</v>
          </cell>
          <cell r="M42" t="e">
            <v>#NAME?</v>
          </cell>
        </row>
        <row r="43">
          <cell r="B43" t="str">
            <v>8 inch connection</v>
          </cell>
          <cell r="G43">
            <v>317.64</v>
          </cell>
          <cell r="I43" t="e">
            <v>#NAME?</v>
          </cell>
          <cell r="K43" t="e">
            <v>#NAME?</v>
          </cell>
          <cell r="M43" t="e">
            <v>#NAME?</v>
          </cell>
        </row>
        <row r="46">
          <cell r="G46" t="str">
            <v>Rate Per 1,000 Gallons</v>
          </cell>
        </row>
        <row r="47">
          <cell r="A47" t="str">
            <v>Special Rates:</v>
          </cell>
          <cell r="I47" t="str">
            <v>Alternative 1</v>
          </cell>
          <cell r="K47" t="str">
            <v>Alternative #2</v>
          </cell>
          <cell r="M47" t="str">
            <v>Alternative 2</v>
          </cell>
        </row>
        <row r="48">
          <cell r="G48" t="str">
            <v>Present (1)</v>
          </cell>
          <cell r="I48">
            <v>0</v>
          </cell>
          <cell r="K48" t="str">
            <v>Proposed</v>
          </cell>
          <cell r="M48">
            <v>0</v>
          </cell>
        </row>
        <row r="50">
          <cell r="A50" t="str">
            <v>Tennyson</v>
          </cell>
          <cell r="G50">
            <v>1.36</v>
          </cell>
          <cell r="I50" t="e">
            <v>#NAME?</v>
          </cell>
          <cell r="K50" t="e">
            <v>#NAME?</v>
          </cell>
          <cell r="M50" t="e">
            <v>#NAME?</v>
          </cell>
        </row>
        <row r="52">
          <cell r="A52" t="str">
            <v>Chandler</v>
          </cell>
          <cell r="G52">
            <v>1.4</v>
          </cell>
          <cell r="I52" t="e">
            <v>#NAME?</v>
          </cell>
          <cell r="K52" t="e">
            <v>#NAME?</v>
          </cell>
          <cell r="M52" t="e">
            <v>#NAME?</v>
          </cell>
        </row>
        <row r="54">
          <cell r="A54" t="str">
            <v>NON-RECURRING RATES:</v>
          </cell>
        </row>
        <row r="56">
          <cell r="A56" t="str">
            <v>No changes in non-recurring rates are being sought as part of this cause.</v>
          </cell>
        </row>
        <row r="58">
          <cell r="A58" t="str">
            <v>Notes:</v>
          </cell>
        </row>
        <row r="59">
          <cell r="A59" t="str">
            <v>(1)  Present rates and charges approved by the Indiana Utility Regulatory Commission in Cause No. 38821</v>
          </cell>
        </row>
        <row r="60">
          <cell r="A60" t="str">
            <v xml:space="preserve">      dated January 7, 1991.</v>
          </cell>
        </row>
        <row r="61">
          <cell r="A61" t="e">
            <v>#NAME?</v>
          </cell>
        </row>
        <row r="62">
          <cell r="A62" t="e">
            <v>#NAME?</v>
          </cell>
        </row>
        <row r="63">
          <cell r="A63" t="e">
            <v>#NAME?</v>
          </cell>
        </row>
        <row r="66">
          <cell r="A66" t="str">
            <v>(Continued on next page)</v>
          </cell>
        </row>
        <row r="68">
          <cell r="A68" t="str">
            <v>(Subject to the comments in the attached</v>
          </cell>
        </row>
        <row r="69">
          <cell r="A69" t="str">
            <v>letter dated May 26, 2005 of Umbaugh.)</v>
          </cell>
        </row>
        <row r="70">
          <cell r="M70" t="str">
            <v xml:space="preserve"> </v>
          </cell>
        </row>
        <row r="71">
          <cell r="A71" t="str">
            <v>18</v>
          </cell>
        </row>
      </sheetData>
      <sheetData sheetId="12" refreshError="1">
        <row r="1">
          <cell r="A1" t="str">
            <v>GREENSBURG (INDIANA) MUNICIPAL SEWAGE WORKS</v>
          </cell>
        </row>
        <row r="3">
          <cell r="A3" t="str">
            <v>RESIDENTIAL RATE COMPARISON FOR COMPARABLE WATER UTILITIES</v>
          </cell>
        </row>
        <row r="5">
          <cell r="C5" t="str">
            <v>BOONVILLE</v>
          </cell>
        </row>
        <row r="6">
          <cell r="E6" t="str">
            <v>Proposed</v>
          </cell>
        </row>
        <row r="7">
          <cell r="C7" t="str">
            <v>Current</v>
          </cell>
          <cell r="E7" t="str">
            <v>Alt. 1</v>
          </cell>
          <cell r="G7" t="str">
            <v>Alt. #2</v>
          </cell>
          <cell r="I7" t="str">
            <v>Alt. 2</v>
          </cell>
        </row>
        <row r="8">
          <cell r="C8">
            <v>1991</v>
          </cell>
          <cell r="E8">
            <v>0</v>
          </cell>
          <cell r="G8">
            <v>0</v>
          </cell>
          <cell r="I8">
            <v>0</v>
          </cell>
        </row>
        <row r="9">
          <cell r="A9" t="str">
            <v>Monthly Billings: (gals.)</v>
          </cell>
        </row>
        <row r="10">
          <cell r="A10" t="str">
            <v>2,000</v>
          </cell>
          <cell r="C10">
            <v>8.68</v>
          </cell>
          <cell r="E10" t="e">
            <v>#NAME?</v>
          </cell>
          <cell r="G10" t="e">
            <v>#NAME?</v>
          </cell>
          <cell r="I10" t="e">
            <v>#NAME?</v>
          </cell>
        </row>
        <row r="11">
          <cell r="A11" t="str">
            <v>3,000</v>
          </cell>
          <cell r="C11" t="e">
            <v>#NAME?</v>
          </cell>
          <cell r="E11" t="e">
            <v>#NAME?</v>
          </cell>
          <cell r="G11" t="e">
            <v>#NAME?</v>
          </cell>
          <cell r="I11" t="e">
            <v>#NAME?</v>
          </cell>
        </row>
        <row r="12">
          <cell r="A12" t="str">
            <v>4,000</v>
          </cell>
          <cell r="C12" t="e">
            <v>#NAME?</v>
          </cell>
          <cell r="E12" t="e">
            <v>#NAME?</v>
          </cell>
          <cell r="G12" t="e">
            <v>#NAME?</v>
          </cell>
          <cell r="I12" t="e">
            <v>#NAME?</v>
          </cell>
        </row>
        <row r="13">
          <cell r="A13" t="str">
            <v>5,000</v>
          </cell>
          <cell r="C13" t="e">
            <v>#NAME?</v>
          </cell>
          <cell r="E13" t="e">
            <v>#NAME?</v>
          </cell>
          <cell r="G13" t="e">
            <v>#NAME?</v>
          </cell>
          <cell r="I13" t="e">
            <v>#NAME?</v>
          </cell>
        </row>
        <row r="14">
          <cell r="A14" t="str">
            <v>10,000</v>
          </cell>
          <cell r="C14" t="e">
            <v>#NAME?</v>
          </cell>
          <cell r="E14" t="e">
            <v>#NAME?</v>
          </cell>
          <cell r="G14" t="e">
            <v>#NAME?</v>
          </cell>
          <cell r="I14" t="e">
            <v>#NAME?</v>
          </cell>
        </row>
        <row r="15">
          <cell r="A15" t="str">
            <v>100,000</v>
          </cell>
          <cell r="C15" t="e">
            <v>#NAME?</v>
          </cell>
          <cell r="E15" t="e">
            <v>#NAME?</v>
          </cell>
          <cell r="G15" t="e">
            <v>#NAME?</v>
          </cell>
          <cell r="I15" t="e">
            <v>#NAME?</v>
          </cell>
        </row>
        <row r="17">
          <cell r="E17" t="str">
            <v>Rockport (1)</v>
          </cell>
          <cell r="G17" t="str">
            <v>Jasper (1)</v>
          </cell>
          <cell r="I17" t="str">
            <v>Lynnville</v>
          </cell>
        </row>
        <row r="18">
          <cell r="E18" t="str">
            <v>(2001)</v>
          </cell>
          <cell r="G18" t="str">
            <v>(2001)</v>
          </cell>
          <cell r="I18" t="str">
            <v>(1995)</v>
          </cell>
        </row>
        <row r="19">
          <cell r="A19" t="str">
            <v>Monthly Billings: (gals.)</v>
          </cell>
        </row>
        <row r="20">
          <cell r="A20" t="str">
            <v>2,000</v>
          </cell>
          <cell r="E20">
            <v>22.35</v>
          </cell>
          <cell r="G20">
            <v>11.11</v>
          </cell>
          <cell r="I20">
            <v>18.170000000000002</v>
          </cell>
        </row>
        <row r="21">
          <cell r="A21" t="str">
            <v>3,000</v>
          </cell>
          <cell r="E21">
            <v>26.830000000000002</v>
          </cell>
          <cell r="G21">
            <v>14.59</v>
          </cell>
          <cell r="I21">
            <v>23.34</v>
          </cell>
        </row>
        <row r="22">
          <cell r="A22" t="str">
            <v>4,000</v>
          </cell>
          <cell r="E22">
            <v>31.310000000000002</v>
          </cell>
          <cell r="G22">
            <v>18.07</v>
          </cell>
          <cell r="I22">
            <v>28.51</v>
          </cell>
        </row>
        <row r="23">
          <cell r="A23" t="str">
            <v>5,000</v>
          </cell>
          <cell r="E23">
            <v>35.790000000000006</v>
          </cell>
          <cell r="G23">
            <v>21.549999999999997</v>
          </cell>
          <cell r="I23">
            <v>33.68</v>
          </cell>
        </row>
        <row r="24">
          <cell r="A24" t="str">
            <v>10,000</v>
          </cell>
          <cell r="E24">
            <v>58.190000000000005</v>
          </cell>
          <cell r="G24">
            <v>38.949999999999996</v>
          </cell>
          <cell r="I24">
            <v>59.53</v>
          </cell>
        </row>
        <row r="25">
          <cell r="A25" t="str">
            <v>100,000</v>
          </cell>
          <cell r="E25">
            <v>461.39000000000004</v>
          </cell>
          <cell r="G25">
            <v>311.52499999999998</v>
          </cell>
          <cell r="I25">
            <v>524.83000000000004</v>
          </cell>
        </row>
        <row r="26">
          <cell r="G26" t="str">
            <v xml:space="preserve"> </v>
          </cell>
        </row>
        <row r="27">
          <cell r="E27" t="str">
            <v>Princeton</v>
          </cell>
          <cell r="G27" t="str">
            <v>Paoli</v>
          </cell>
          <cell r="I27" t="str">
            <v>Chrisney</v>
          </cell>
        </row>
        <row r="28">
          <cell r="E28" t="str">
            <v>(1999)</v>
          </cell>
          <cell r="G28" t="str">
            <v>(1999)</v>
          </cell>
          <cell r="I28" t="str">
            <v>(1997)</v>
          </cell>
        </row>
        <row r="29">
          <cell r="A29" t="str">
            <v>Monthly Billings: (gals.)</v>
          </cell>
        </row>
        <row r="30">
          <cell r="A30" t="str">
            <v>2,000</v>
          </cell>
          <cell r="E30">
            <v>12.11</v>
          </cell>
          <cell r="G30">
            <v>14.9</v>
          </cell>
          <cell r="I30">
            <v>19.399999999999999</v>
          </cell>
        </row>
        <row r="31">
          <cell r="A31" t="str">
            <v>3,000</v>
          </cell>
          <cell r="E31">
            <v>12.15</v>
          </cell>
          <cell r="G31">
            <v>17.760000000000002</v>
          </cell>
          <cell r="I31">
            <v>23.35</v>
          </cell>
        </row>
        <row r="32">
          <cell r="A32" t="str">
            <v>4,000</v>
          </cell>
          <cell r="E32">
            <v>16.2</v>
          </cell>
          <cell r="G32">
            <v>23.42</v>
          </cell>
          <cell r="I32">
            <v>27.3</v>
          </cell>
        </row>
        <row r="33">
          <cell r="A33" t="str">
            <v>5,000</v>
          </cell>
          <cell r="E33">
            <v>20.25</v>
          </cell>
          <cell r="G33">
            <v>29.08</v>
          </cell>
          <cell r="I33">
            <v>31.25</v>
          </cell>
        </row>
        <row r="34">
          <cell r="A34" t="str">
            <v>10,000</v>
          </cell>
          <cell r="E34">
            <v>38.950000000000003</v>
          </cell>
          <cell r="G34">
            <v>57.38</v>
          </cell>
          <cell r="I34">
            <v>36.65</v>
          </cell>
        </row>
        <row r="35">
          <cell r="A35" t="str">
            <v>100,000</v>
          </cell>
          <cell r="E35">
            <v>288.8</v>
          </cell>
          <cell r="G35">
            <v>482.28</v>
          </cell>
          <cell r="I35">
            <v>347.15</v>
          </cell>
        </row>
        <row r="36">
          <cell r="E36" t="str">
            <v xml:space="preserve"> </v>
          </cell>
        </row>
        <row r="37">
          <cell r="E37" t="str">
            <v>Tell City</v>
          </cell>
          <cell r="G37" t="str">
            <v>Chandler</v>
          </cell>
          <cell r="I37" t="str">
            <v>Spurgen</v>
          </cell>
        </row>
        <row r="38">
          <cell r="E38" t="str">
            <v>(2000)</v>
          </cell>
          <cell r="G38" t="str">
            <v>(1999)</v>
          </cell>
          <cell r="I38" t="str">
            <v>(2001)</v>
          </cell>
        </row>
        <row r="39">
          <cell r="A39" t="str">
            <v>Monthly Billings: (gals.)</v>
          </cell>
        </row>
        <row r="40">
          <cell r="A40" t="str">
            <v>2,000</v>
          </cell>
          <cell r="E40">
            <v>8.57</v>
          </cell>
          <cell r="G40">
            <v>12.78</v>
          </cell>
          <cell r="I40">
            <v>17.45</v>
          </cell>
        </row>
        <row r="41">
          <cell r="A41" t="str">
            <v>3,000</v>
          </cell>
          <cell r="E41">
            <v>8.57</v>
          </cell>
          <cell r="G41">
            <v>16.46</v>
          </cell>
          <cell r="I41">
            <v>20.94</v>
          </cell>
        </row>
        <row r="42">
          <cell r="A42" t="str">
            <v>4,000</v>
          </cell>
          <cell r="E42">
            <v>10.28</v>
          </cell>
          <cell r="G42">
            <v>19.190000000000001</v>
          </cell>
          <cell r="I42">
            <v>26.68</v>
          </cell>
        </row>
        <row r="43">
          <cell r="A43" t="str">
            <v>5,000</v>
          </cell>
          <cell r="E43">
            <v>12.85</v>
          </cell>
          <cell r="G43">
            <v>21.92</v>
          </cell>
          <cell r="I43">
            <v>32.42</v>
          </cell>
        </row>
        <row r="44">
          <cell r="A44" t="str">
            <v>10,000</v>
          </cell>
          <cell r="E44">
            <v>25.7</v>
          </cell>
          <cell r="G44">
            <v>35.57</v>
          </cell>
          <cell r="I44">
            <v>59.08</v>
          </cell>
        </row>
        <row r="45">
          <cell r="A45" t="str">
            <v>100,000</v>
          </cell>
          <cell r="E45">
            <v>230</v>
          </cell>
          <cell r="G45">
            <v>218.17000000000002</v>
          </cell>
          <cell r="I45">
            <v>389.22999999999996</v>
          </cell>
        </row>
        <row r="47">
          <cell r="A47" t="str">
            <v>(1) Inside corporate limits</v>
          </cell>
        </row>
        <row r="48">
          <cell r="A48" t="str">
            <v xml:space="preserve"> </v>
          </cell>
        </row>
        <row r="50">
          <cell r="A50" t="str">
            <v>(Subject to the comments in the attached</v>
          </cell>
        </row>
        <row r="51">
          <cell r="A51" t="str">
            <v>letter dated May 26, 2005 of Umbaugh.)</v>
          </cell>
        </row>
        <row r="53">
          <cell r="A53" t="str">
            <v>19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A1" t="str">
            <v>GREENSBURG (INDIANA) MUNICIPAL SEWAGE WORKS</v>
          </cell>
        </row>
        <row r="3">
          <cell r="A3" t="str">
            <v>SCHEDULE OF AMORTIZATION OF $441,000 PRINCIPAL</v>
          </cell>
        </row>
        <row r="4">
          <cell r="A4" t="str">
            <v>AMOUNT OF OUTSTANDING REVENUE BONDS OF 1989</v>
          </cell>
        </row>
        <row r="5">
          <cell r="A5" t="str">
            <v>Principal payable annually January 1st, beginning January 1, 1992.</v>
          </cell>
        </row>
        <row r="6">
          <cell r="A6" t="str">
            <v>Interest payable semiannually on January 1st and July 1st, beginning July 1, 1989.</v>
          </cell>
        </row>
        <row r="7">
          <cell r="A7" t="str">
            <v>Interest rates as indicated.</v>
          </cell>
        </row>
        <row r="8">
          <cell r="A8" t="str">
            <v>(Unaudited)</v>
          </cell>
        </row>
        <row r="10">
          <cell r="C10" t="str">
            <v xml:space="preserve"> </v>
          </cell>
          <cell r="G10" t="str">
            <v xml:space="preserve"> </v>
          </cell>
        </row>
        <row r="11">
          <cell r="A11" t="str">
            <v>Payment</v>
          </cell>
          <cell r="C11" t="str">
            <v>Principal</v>
          </cell>
          <cell r="G11" t="str">
            <v>Interest</v>
          </cell>
          <cell r="I11" t="str">
            <v>Debt Service</v>
          </cell>
          <cell r="M11" t="str">
            <v>Bond Year</v>
          </cell>
        </row>
        <row r="12">
          <cell r="A12" t="str">
            <v>Date</v>
          </cell>
          <cell r="C12" t="str">
            <v>Balance</v>
          </cell>
          <cell r="E12" t="str">
            <v>Principal</v>
          </cell>
          <cell r="G12" t="str">
            <v>Rate(s)</v>
          </cell>
          <cell r="I12" t="str">
            <v>Interest</v>
          </cell>
          <cell r="K12" t="str">
            <v>Total</v>
          </cell>
          <cell r="M12" t="str">
            <v>Total</v>
          </cell>
        </row>
        <row r="13">
          <cell r="C13" t="str">
            <v>(---------In $1,000's----------)</v>
          </cell>
          <cell r="G13" t="str">
            <v>(%)</v>
          </cell>
          <cell r="I13" t="str">
            <v>(--------------------- In Dollars --------------------)</v>
          </cell>
        </row>
        <row r="15">
          <cell r="A15">
            <v>38169</v>
          </cell>
          <cell r="C15">
            <v>174</v>
          </cell>
          <cell r="I15">
            <v>6846.9</v>
          </cell>
          <cell r="K15">
            <v>6846.9</v>
          </cell>
        </row>
        <row r="16">
          <cell r="A16">
            <v>38353</v>
          </cell>
          <cell r="C16">
            <v>174</v>
          </cell>
          <cell r="E16">
            <v>81</v>
          </cell>
          <cell r="G16">
            <v>7.87</v>
          </cell>
          <cell r="I16">
            <v>6846.9</v>
          </cell>
          <cell r="K16">
            <v>87846.9</v>
          </cell>
          <cell r="M16">
            <v>94693.799999999988</v>
          </cell>
        </row>
        <row r="17">
          <cell r="A17">
            <v>38534</v>
          </cell>
          <cell r="C17">
            <v>93</v>
          </cell>
          <cell r="I17">
            <v>3659.55</v>
          </cell>
          <cell r="K17">
            <v>3659.55</v>
          </cell>
        </row>
        <row r="18">
          <cell r="A18">
            <v>38718</v>
          </cell>
          <cell r="C18">
            <v>93</v>
          </cell>
          <cell r="E18">
            <v>87</v>
          </cell>
          <cell r="G18">
            <v>7.87</v>
          </cell>
          <cell r="I18">
            <v>3659.55</v>
          </cell>
          <cell r="K18">
            <v>90659.55</v>
          </cell>
          <cell r="M18">
            <v>94319.1</v>
          </cell>
        </row>
        <row r="19">
          <cell r="A19">
            <v>38899</v>
          </cell>
          <cell r="C19">
            <v>6</v>
          </cell>
          <cell r="I19">
            <v>236.1</v>
          </cell>
          <cell r="K19">
            <v>236.1</v>
          </cell>
        </row>
        <row r="20">
          <cell r="A20">
            <v>39083</v>
          </cell>
          <cell r="C20">
            <v>6</v>
          </cell>
          <cell r="E20">
            <v>6</v>
          </cell>
          <cell r="G20">
            <v>7.87</v>
          </cell>
          <cell r="I20">
            <v>236.1</v>
          </cell>
          <cell r="K20">
            <v>6236.1</v>
          </cell>
          <cell r="M20">
            <v>6472.2000000000007</v>
          </cell>
        </row>
        <row r="22">
          <cell r="A22" t="str">
            <v xml:space="preserve"> </v>
          </cell>
          <cell r="C22" t="str">
            <v>Totals</v>
          </cell>
          <cell r="E22">
            <v>174</v>
          </cell>
          <cell r="I22">
            <v>21485.099999999995</v>
          </cell>
          <cell r="K22">
            <v>195485.1</v>
          </cell>
          <cell r="M22">
            <v>195485.1</v>
          </cell>
        </row>
        <row r="25">
          <cell r="A25" t="str">
            <v>Average annual debt service for the five bond years 2003 through 2006</v>
          </cell>
          <cell r="M25">
            <v>94506.45</v>
          </cell>
        </row>
        <row r="43">
          <cell r="A43" t="str">
            <v>(Subject to the comments in the attached</v>
          </cell>
        </row>
        <row r="44">
          <cell r="A44" t="str">
            <v>letter dated May 26, 2005 of Umbaugh.)</v>
          </cell>
        </row>
        <row r="46">
          <cell r="A46" t="str">
            <v>28</v>
          </cell>
        </row>
      </sheetData>
      <sheetData sheetId="19" refreshError="1">
        <row r="1">
          <cell r="A1" t="str">
            <v>GREENSBURG (INDIANA) MUNICIPAL SEWAGE WORKS</v>
          </cell>
        </row>
        <row r="3">
          <cell r="A3" t="str">
            <v>SCHEDULE OF AMORTIZATION OF $340,748.02 PRINCIPAL AMOUNT</v>
          </cell>
        </row>
        <row r="4">
          <cell r="A4" t="str">
            <v>OF OUTSTANDING LOAN FROM PROFESSIONAL SERVICES GROUP</v>
          </cell>
        </row>
        <row r="5">
          <cell r="A5" t="str">
            <v>Principal and interest payable monthly.</v>
          </cell>
        </row>
        <row r="6">
          <cell r="A6" t="str">
            <v>Interest rate of 9.5%</v>
          </cell>
        </row>
        <row r="7">
          <cell r="A7" t="str">
            <v>(Unaudited)</v>
          </cell>
        </row>
        <row r="10">
          <cell r="C10" t="str">
            <v>Principal</v>
          </cell>
          <cell r="G10" t="str">
            <v>Interest</v>
          </cell>
          <cell r="I10" t="str">
            <v>Debt Service</v>
          </cell>
        </row>
        <row r="11">
          <cell r="A11" t="str">
            <v>Year</v>
          </cell>
          <cell r="C11" t="str">
            <v>Balance</v>
          </cell>
          <cell r="E11" t="str">
            <v>Principal</v>
          </cell>
          <cell r="G11" t="str">
            <v>Rate(s)</v>
          </cell>
          <cell r="I11" t="str">
            <v>Interest</v>
          </cell>
          <cell r="K11" t="str">
            <v>Total</v>
          </cell>
        </row>
        <row r="12">
          <cell r="C12" t="str">
            <v xml:space="preserve">  (--------------In Dollars----------)</v>
          </cell>
          <cell r="G12" t="str">
            <v>(%)</v>
          </cell>
          <cell r="I12" t="str">
            <v xml:space="preserve">  (------------In Dollars-----------)</v>
          </cell>
        </row>
        <row r="14">
          <cell r="A14">
            <v>2004</v>
          </cell>
          <cell r="C14">
            <v>191110.04</v>
          </cell>
          <cell r="E14">
            <v>52676.59</v>
          </cell>
          <cell r="G14">
            <v>9.5</v>
          </cell>
          <cell r="I14">
            <v>15901.009999999998</v>
          </cell>
          <cell r="K14">
            <v>68577.599999999991</v>
          </cell>
        </row>
        <row r="15">
          <cell r="A15">
            <v>2005</v>
          </cell>
          <cell r="C15">
            <v>138433.45000000001</v>
          </cell>
          <cell r="E15">
            <v>57904.61</v>
          </cell>
          <cell r="G15">
            <v>9.5</v>
          </cell>
          <cell r="I15">
            <v>10672.989999999998</v>
          </cell>
          <cell r="K15">
            <v>68577.600000000006</v>
          </cell>
        </row>
        <row r="16">
          <cell r="A16">
            <v>2006</v>
          </cell>
          <cell r="C16">
            <v>80528.840000000011</v>
          </cell>
          <cell r="E16">
            <v>63651.509999999995</v>
          </cell>
          <cell r="G16">
            <v>9.5</v>
          </cell>
          <cell r="I16">
            <v>4926.09</v>
          </cell>
          <cell r="K16">
            <v>68577.599999999991</v>
          </cell>
        </row>
        <row r="17">
          <cell r="A17">
            <v>2007</v>
          </cell>
          <cell r="C17">
            <v>16877.330000000016</v>
          </cell>
          <cell r="E17">
            <v>16877.330000000002</v>
          </cell>
          <cell r="G17">
            <v>9.5</v>
          </cell>
          <cell r="I17">
            <v>267.93</v>
          </cell>
          <cell r="K17">
            <v>17145.260000000002</v>
          </cell>
        </row>
        <row r="19">
          <cell r="A19" t="str">
            <v>Totals</v>
          </cell>
          <cell r="E19">
            <v>191110.03999999998</v>
          </cell>
          <cell r="I19">
            <v>31768.019999999997</v>
          </cell>
          <cell r="K19">
            <v>222878.06</v>
          </cell>
        </row>
        <row r="37">
          <cell r="A37" t="str">
            <v>(Subject to the comments in the attached</v>
          </cell>
        </row>
        <row r="38">
          <cell r="A38" t="str">
            <v>letter dated May 26, 2005 of Umbaugh.)</v>
          </cell>
        </row>
        <row r="40">
          <cell r="A40" t="str">
            <v>29</v>
          </cell>
        </row>
      </sheetData>
      <sheetData sheetId="20" refreshError="1"/>
      <sheetData sheetId="21" refreshError="1"/>
      <sheetData sheetId="22" refreshError="1"/>
      <sheetData sheetId="23" refreshError="1">
        <row r="1">
          <cell r="A1" t="str">
            <v>GREENSBURG (INDIANA) MUNICIPAL SEWAGE WORKS</v>
          </cell>
        </row>
        <row r="3">
          <cell r="A3" t="str">
            <v xml:space="preserve">CALCULATION OF ADDITIONS TO UTILITY PLANT </v>
          </cell>
        </row>
        <row r="4">
          <cell r="A4" t="str">
            <v>AND PRO FORMA DEPRECIATION EXPENSE</v>
          </cell>
        </row>
        <row r="5">
          <cell r="A5" t="str">
            <v>(Unaudited)</v>
          </cell>
        </row>
        <row r="6">
          <cell r="A6" t="str">
            <v xml:space="preserve"> </v>
          </cell>
        </row>
        <row r="7">
          <cell r="A7" t="str">
            <v>I.</v>
          </cell>
          <cell r="B7" t="str">
            <v>Calculation of Average Additions to Plant:</v>
          </cell>
        </row>
        <row r="9">
          <cell r="A9" t="str">
            <v xml:space="preserve">  Estimated utility plant in service at 12/31/98</v>
          </cell>
          <cell r="G9">
            <v>5072920</v>
          </cell>
        </row>
        <row r="11">
          <cell r="C11" t="str">
            <v>Calendar</v>
          </cell>
        </row>
        <row r="12">
          <cell r="C12" t="str">
            <v>Year</v>
          </cell>
          <cell r="E12" t="str">
            <v>Additions</v>
          </cell>
        </row>
        <row r="14">
          <cell r="C14">
            <v>1999</v>
          </cell>
          <cell r="E14">
            <v>173234</v>
          </cell>
        </row>
        <row r="15">
          <cell r="C15">
            <v>2000</v>
          </cell>
          <cell r="E15">
            <v>-299</v>
          </cell>
        </row>
        <row r="16">
          <cell r="C16">
            <v>2001</v>
          </cell>
          <cell r="E16">
            <v>65432</v>
          </cell>
        </row>
        <row r="17">
          <cell r="C17">
            <v>2002</v>
          </cell>
          <cell r="E17">
            <v>31445</v>
          </cell>
        </row>
        <row r="18">
          <cell r="C18">
            <v>2003</v>
          </cell>
        </row>
        <row r="19">
          <cell r="C19">
            <v>2004</v>
          </cell>
          <cell r="D19" t="str">
            <v>(as of 6/30/04)</v>
          </cell>
        </row>
        <row r="20">
          <cell r="C20" t="str">
            <v xml:space="preserve"> </v>
          </cell>
          <cell r="E20" t="str">
            <v xml:space="preserve"> </v>
          </cell>
        </row>
        <row r="21">
          <cell r="C21" t="str">
            <v>Total additions to utility plant</v>
          </cell>
          <cell r="G21">
            <v>96877</v>
          </cell>
        </row>
        <row r="22">
          <cell r="G22" t="str">
            <v xml:space="preserve"> </v>
          </cell>
        </row>
        <row r="23">
          <cell r="A23" t="str">
            <v xml:space="preserve">  Estimated utility plant in service at 06/30/04</v>
          </cell>
          <cell r="G23">
            <v>5169797</v>
          </cell>
        </row>
        <row r="24">
          <cell r="G24" t="str">
            <v xml:space="preserve"> </v>
          </cell>
        </row>
        <row r="26">
          <cell r="B26" t="str">
            <v>Calculation of historical average additions to plant funded through</v>
          </cell>
        </row>
        <row r="27">
          <cell r="B27" t="str">
            <v xml:space="preserve">  operating revenues.</v>
          </cell>
        </row>
        <row r="29">
          <cell r="C29" t="str">
            <v>Total additions to plant</v>
          </cell>
          <cell r="G29">
            <v>96877</v>
          </cell>
        </row>
        <row r="30">
          <cell r="C30" t="str">
            <v>Plus capitalized items</v>
          </cell>
          <cell r="G30">
            <v>25473</v>
          </cell>
        </row>
        <row r="31">
          <cell r="C31" t="str">
            <v>Less contributions</v>
          </cell>
          <cell r="G31">
            <v>-45474</v>
          </cell>
        </row>
        <row r="33">
          <cell r="C33" t="str">
            <v>Net plant additions</v>
          </cell>
          <cell r="G33">
            <v>76876</v>
          </cell>
        </row>
        <row r="34">
          <cell r="C34" t="str">
            <v>Divide by period covered (5 1/2  years)</v>
          </cell>
          <cell r="G34">
            <v>5.5</v>
          </cell>
        </row>
        <row r="36">
          <cell r="C36" t="str">
            <v xml:space="preserve">        Average annual additions to plant</v>
          </cell>
          <cell r="G36">
            <v>13977.454545454546</v>
          </cell>
        </row>
        <row r="39">
          <cell r="A39" t="str">
            <v>II.</v>
          </cell>
          <cell r="B39" t="str">
            <v>Calculation of Annual Depreciation Expense:</v>
          </cell>
        </row>
        <row r="41">
          <cell r="B41" t="str">
            <v>Estimated Utility plant in service, as of 6/30/2004</v>
          </cell>
          <cell r="G41">
            <v>5169797</v>
          </cell>
        </row>
        <row r="42">
          <cell r="B42" t="str">
            <v>Plus capitalized items</v>
          </cell>
          <cell r="G42">
            <v>25473</v>
          </cell>
        </row>
        <row r="43">
          <cell r="B43" t="str">
            <v>Less land</v>
          </cell>
          <cell r="G43">
            <v>-60455</v>
          </cell>
        </row>
        <row r="45">
          <cell r="B45" t="str">
            <v xml:space="preserve">       Sub-total</v>
          </cell>
          <cell r="G45">
            <v>5134815</v>
          </cell>
        </row>
        <row r="46">
          <cell r="B46" t="str">
            <v>Times annual composite depreciation rate</v>
          </cell>
          <cell r="F46" t="str">
            <v xml:space="preserve"> </v>
          </cell>
          <cell r="G46">
            <v>0.02</v>
          </cell>
        </row>
        <row r="48">
          <cell r="B48" t="str">
            <v xml:space="preserve">        Annual Depreciation Expense</v>
          </cell>
          <cell r="G48">
            <v>102696</v>
          </cell>
        </row>
        <row r="57">
          <cell r="A57" t="str">
            <v>(Subject to the comments in the attached</v>
          </cell>
        </row>
        <row r="58">
          <cell r="A58" t="str">
            <v>letter dated May 26, 2005 of Umbaugh.)</v>
          </cell>
        </row>
        <row r="60">
          <cell r="A60" t="str">
            <v>12</v>
          </cell>
        </row>
      </sheetData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rojected Disb."/>
      <sheetName val="Adjustments"/>
      <sheetName val="RevReq"/>
      <sheetName val="Comparison I"/>
      <sheetName val="Comparison"/>
      <sheetName val="Rates"/>
      <sheetName val="Fin Info"/>
      <sheetName val="Rec and Disb"/>
      <sheetName val="Amort"/>
      <sheetName val="Min Bal"/>
      <sheetName val="AddPlant"/>
      <sheetName val="Prom Note 04"/>
      <sheetName val="Prom Note 05"/>
      <sheetName val="Return"/>
      <sheetName val="Alloc Funct"/>
      <sheetName val="Gen Info"/>
      <sheetName val="1989 Bonds"/>
      <sheetName val="Norm Rev"/>
      <sheetName val="PF COE"/>
      <sheetName val="Pres Prop Rt"/>
      <sheetName val="PSG Loan"/>
      <sheetName val="Rev Req I"/>
      <sheetName val="Cap Impr"/>
      <sheetName val="Comp Billings"/>
      <sheetName val="Add Plant"/>
      <sheetName val="Large Users"/>
    </sheetNames>
    <sheetDataSet>
      <sheetData sheetId="0"/>
      <sheetData sheetId="1">
        <row r="1">
          <cell r="A1" t="str">
            <v>DUBLIN (INDIANA) MUNICIPAL WATER UTILITY</v>
          </cell>
        </row>
        <row r="3">
          <cell r="A3" t="str">
            <v>SCHEDULE OF PROJECTED ANNUAL CASH OPERATING DISBURSEMENTS</v>
          </cell>
        </row>
        <row r="4">
          <cell r="A4" t="str">
            <v>See explanation of adjustments, pages 3 - 7.</v>
          </cell>
        </row>
        <row r="7">
          <cell r="A7" t="str">
            <v>Annual cash operating disbursements for the 12 months</v>
          </cell>
        </row>
        <row r="8">
          <cell r="A8" t="str">
            <v xml:space="preserve">   ended December 31, 2005 (Unaudited)</v>
          </cell>
          <cell r="H8">
            <v>137135</v>
          </cell>
        </row>
        <row r="11">
          <cell r="A11" t="str">
            <v>Adjustments:</v>
          </cell>
        </row>
        <row r="13">
          <cell r="A13" t="str">
            <v>(1)</v>
          </cell>
          <cell r="C13" t="str">
            <v>Salaries and wages</v>
          </cell>
          <cell r="H13">
            <v>1696.0999999999985</v>
          </cell>
        </row>
        <row r="14">
          <cell r="A14" t="str">
            <v>(2)</v>
          </cell>
          <cell r="C14" t="str">
            <v>PERF</v>
          </cell>
          <cell r="H14">
            <v>900</v>
          </cell>
        </row>
        <row r="15">
          <cell r="A15" t="str">
            <v>(3)</v>
          </cell>
          <cell r="C15" t="str">
            <v>Employee insurance</v>
          </cell>
          <cell r="H15">
            <v>1311</v>
          </cell>
        </row>
        <row r="16">
          <cell r="A16" t="str">
            <v>(4)</v>
          </cell>
          <cell r="C16" t="str">
            <v>FICA</v>
          </cell>
          <cell r="H16">
            <v>129.5</v>
          </cell>
        </row>
        <row r="17">
          <cell r="A17" t="str">
            <v>(5)</v>
          </cell>
          <cell r="C17" t="str">
            <v>Capital expenditures</v>
          </cell>
          <cell r="H17">
            <v>-10414</v>
          </cell>
        </row>
        <row r="18">
          <cell r="A18" t="str">
            <v>(6)</v>
          </cell>
          <cell r="C18" t="str">
            <v>SBA audit</v>
          </cell>
          <cell r="H18">
            <v>-1382</v>
          </cell>
        </row>
        <row r="19">
          <cell r="A19" t="str">
            <v>(7)</v>
          </cell>
          <cell r="C19" t="str">
            <v>Rate study expense</v>
          </cell>
          <cell r="H19">
            <v>2333.3000000000002</v>
          </cell>
        </row>
        <row r="20">
          <cell r="A20" t="str">
            <v>(8)</v>
          </cell>
          <cell r="C20" t="str">
            <v>Well and pump maintenance</v>
          </cell>
          <cell r="H20">
            <v>4800</v>
          </cell>
        </row>
        <row r="21">
          <cell r="A21" t="str">
            <v>(9)</v>
          </cell>
          <cell r="C21" t="str">
            <v>Payment in lieu of property tax</v>
          </cell>
          <cell r="H21">
            <v>2415</v>
          </cell>
        </row>
        <row r="22">
          <cell r="A22" t="str">
            <v>(10)</v>
          </cell>
          <cell r="C22" t="str">
            <v>IDEM regulatory fee</v>
          </cell>
          <cell r="H22">
            <v>390</v>
          </cell>
        </row>
        <row r="23">
          <cell r="A23" t="str">
            <v>(11)</v>
          </cell>
          <cell r="C23" t="str">
            <v>Utility receipts tax</v>
          </cell>
          <cell r="H23">
            <v>-348</v>
          </cell>
        </row>
        <row r="24">
          <cell r="C24" t="str">
            <v xml:space="preserve">      Sub-total</v>
          </cell>
          <cell r="H24">
            <v>138979.6</v>
          </cell>
        </row>
        <row r="25">
          <cell r="A25" t="str">
            <v>(11)</v>
          </cell>
          <cell r="C25" t="str">
            <v xml:space="preserve">      Sub-total</v>
          </cell>
          <cell r="H25">
            <v>138965.9</v>
          </cell>
        </row>
        <row r="26">
          <cell r="A26" t="str">
            <v>(12)</v>
          </cell>
          <cell r="C26" t="str">
            <v>Inflation and contingencies</v>
          </cell>
          <cell r="H26">
            <v>6948.3</v>
          </cell>
        </row>
        <row r="27">
          <cell r="A27" t="str">
            <v>Projected Annual Cash Operating Disbursements</v>
          </cell>
          <cell r="H27">
            <v>145928.6</v>
          </cell>
        </row>
        <row r="28">
          <cell r="A28" t="str">
            <v>Projected Annual Cash Operating Disbursements</v>
          </cell>
          <cell r="H28">
            <v>145914.19999999998</v>
          </cell>
        </row>
        <row r="36">
          <cell r="A36" t="str">
            <v>(Continued on next page)</v>
          </cell>
        </row>
        <row r="38">
          <cell r="A38" t="str">
            <v>(Subject to the comments in the attached letter</v>
          </cell>
        </row>
        <row r="39">
          <cell r="A39" t="str">
            <v>dated May 9, 2006 of Umbaugh.)</v>
          </cell>
        </row>
        <row r="41">
          <cell r="A41">
            <v>2</v>
          </cell>
        </row>
      </sheetData>
      <sheetData sheetId="2">
        <row r="1">
          <cell r="A1" t="str">
            <v>DUBLIN (INDIANA) MUNICIPAL WATER UTILITY</v>
          </cell>
        </row>
      </sheetData>
      <sheetData sheetId="3">
        <row r="1">
          <cell r="A1" t="str">
            <v>DUBLIN (INDIANA) MUNICIPAL WATER UTILITY</v>
          </cell>
        </row>
      </sheetData>
      <sheetData sheetId="4">
        <row r="1">
          <cell r="A1" t="str">
            <v>DUBLIN (INDIANA) MUNICIPAL WATER UTILITY</v>
          </cell>
        </row>
      </sheetData>
      <sheetData sheetId="5">
        <row r="1">
          <cell r="A1" t="str">
            <v>DUBLIN (INDIANA) MUNICIPAL WATER UTILITY</v>
          </cell>
        </row>
      </sheetData>
      <sheetData sheetId="6">
        <row r="1">
          <cell r="A1" t="str">
            <v>DUBLIN (INDIANA) MUNICIPAL WATER UTILITY</v>
          </cell>
        </row>
      </sheetData>
      <sheetData sheetId="7">
        <row r="1">
          <cell r="A1" t="str">
            <v>DUBLIN (INDIANA) MUNICIPAL WATER UTILITY</v>
          </cell>
        </row>
        <row r="3">
          <cell r="A3" t="str">
            <v>COMPARATIVE SCHEDULE OF SELECTED FINANCIAL</v>
          </cell>
        </row>
        <row r="4">
          <cell r="A4" t="str">
            <v>INFORMATION ARISING FROM CASH TRANSACTIONS</v>
          </cell>
        </row>
        <row r="5">
          <cell r="A5" t="str">
            <v>(Unaudited)</v>
          </cell>
        </row>
        <row r="8">
          <cell r="D8" t="str">
            <v>As of</v>
          </cell>
        </row>
        <row r="9">
          <cell r="A9" t="str">
            <v>Account Balance:</v>
          </cell>
          <cell r="D9">
            <v>38352</v>
          </cell>
          <cell r="F9">
            <v>36891</v>
          </cell>
          <cell r="G9">
            <v>38717</v>
          </cell>
        </row>
        <row r="11">
          <cell r="A11" t="str">
            <v>Operation and maintenance</v>
          </cell>
          <cell r="D11">
            <v>44731</v>
          </cell>
          <cell r="F11">
            <v>38973</v>
          </cell>
          <cell r="G11">
            <v>10786</v>
          </cell>
        </row>
        <row r="13">
          <cell r="A13" t="str">
            <v>Cash reserve</v>
          </cell>
          <cell r="D13">
            <v>8168</v>
          </cell>
          <cell r="G13">
            <v>32992</v>
          </cell>
        </row>
        <row r="15">
          <cell r="A15" t="str">
            <v>Depreciation</v>
          </cell>
          <cell r="D15">
            <v>65771</v>
          </cell>
          <cell r="F15">
            <v>13764</v>
          </cell>
          <cell r="G15">
            <v>76953</v>
          </cell>
        </row>
        <row r="17">
          <cell r="A17" t="str">
            <v>Meter deposits</v>
          </cell>
          <cell r="D17">
            <v>15916</v>
          </cell>
          <cell r="F17">
            <v>7523</v>
          </cell>
          <cell r="G17">
            <v>8382</v>
          </cell>
        </row>
        <row r="19">
          <cell r="B19" t="str">
            <v>Totals</v>
          </cell>
          <cell r="D19">
            <v>134586</v>
          </cell>
          <cell r="F19">
            <v>60260</v>
          </cell>
          <cell r="G19">
            <v>129113</v>
          </cell>
        </row>
        <row r="24">
          <cell r="A24" t="str">
            <v>Indebtedness:</v>
          </cell>
        </row>
        <row r="26">
          <cell r="A26" t="str">
            <v>Wayne Bank &amp; Trust Promissory Note of 1999</v>
          </cell>
          <cell r="D26">
            <v>2002</v>
          </cell>
          <cell r="G26">
            <v>1375</v>
          </cell>
        </row>
        <row r="35">
          <cell r="A35" t="str">
            <v>(Subject to the comments in the attached letter</v>
          </cell>
        </row>
        <row r="36">
          <cell r="A36" t="str">
            <v>dated May 9, 2006 of Umbaugh.)</v>
          </cell>
        </row>
        <row r="38">
          <cell r="A38">
            <v>12</v>
          </cell>
        </row>
      </sheetData>
      <sheetData sheetId="8">
        <row r="1">
          <cell r="A1" t="str">
            <v>DUBLIN (INDIANA) MUNICIPAL WATER UTILITY</v>
          </cell>
        </row>
        <row r="3">
          <cell r="A3" t="str">
            <v>COMPARATIVE SCHEDULE OF CASH RECEIPTS AND DISBURSEMENTS</v>
          </cell>
        </row>
        <row r="4">
          <cell r="A4" t="str">
            <v>(Unaudited)</v>
          </cell>
        </row>
        <row r="7">
          <cell r="E7" t="str">
            <v>12 Months Ended</v>
          </cell>
          <cell r="G7" t="str">
            <v>5 Months Ended</v>
          </cell>
        </row>
        <row r="8">
          <cell r="E8">
            <v>38352</v>
          </cell>
          <cell r="G8">
            <v>36891</v>
          </cell>
          <cell r="H8">
            <v>38717</v>
          </cell>
          <cell r="I8">
            <v>37042</v>
          </cell>
          <cell r="J8">
            <v>38717</v>
          </cell>
        </row>
        <row r="9">
          <cell r="A9" t="str">
            <v>Operating Receipts:</v>
          </cell>
        </row>
        <row r="10">
          <cell r="B10" t="str">
            <v>Metered sales</v>
          </cell>
          <cell r="E10">
            <v>115359</v>
          </cell>
          <cell r="G10">
            <v>41930</v>
          </cell>
          <cell r="I10">
            <v>43822</v>
          </cell>
          <cell r="J10">
            <v>110305</v>
          </cell>
        </row>
        <row r="11">
          <cell r="B11" t="str">
            <v>Hydrant rental</v>
          </cell>
          <cell r="E11">
            <v>12007</v>
          </cell>
          <cell r="J11">
            <v>12007</v>
          </cell>
        </row>
        <row r="12">
          <cell r="B12" t="str">
            <v>Penalties</v>
          </cell>
          <cell r="E12">
            <v>907</v>
          </cell>
          <cell r="G12">
            <v>335</v>
          </cell>
          <cell r="I12">
            <v>308</v>
          </cell>
          <cell r="J12">
            <v>838</v>
          </cell>
        </row>
        <row r="13">
          <cell r="B13" t="str">
            <v>WWRSD payment</v>
          </cell>
          <cell r="E13">
            <v>2103</v>
          </cell>
          <cell r="G13">
            <v>254</v>
          </cell>
          <cell r="I13">
            <v>856</v>
          </cell>
          <cell r="J13">
            <v>2302</v>
          </cell>
        </row>
        <row r="14">
          <cell r="B14" t="str">
            <v>Other</v>
          </cell>
          <cell r="E14">
            <v>811</v>
          </cell>
          <cell r="G14">
            <v>978</v>
          </cell>
          <cell r="I14">
            <v>767</v>
          </cell>
          <cell r="J14">
            <v>4592</v>
          </cell>
        </row>
        <row r="16">
          <cell r="C16" t="str">
            <v>Total Operating Receipts</v>
          </cell>
          <cell r="E16">
            <v>131187</v>
          </cell>
          <cell r="G16">
            <v>43497</v>
          </cell>
          <cell r="I16">
            <v>45753</v>
          </cell>
          <cell r="J16">
            <v>130044</v>
          </cell>
        </row>
        <row r="18">
          <cell r="A18" t="str">
            <v>Operating Disbursements:</v>
          </cell>
        </row>
        <row r="19">
          <cell r="B19" t="str">
            <v>Plant salaries and wages</v>
          </cell>
          <cell r="E19">
            <v>25608</v>
          </cell>
          <cell r="I19">
            <v>5453</v>
          </cell>
          <cell r="J19">
            <v>26296</v>
          </cell>
        </row>
        <row r="20">
          <cell r="B20" t="str">
            <v>Office salaries and wages</v>
          </cell>
          <cell r="E20">
            <v>14818</v>
          </cell>
          <cell r="I20">
            <v>8859</v>
          </cell>
          <cell r="J20">
            <v>15837</v>
          </cell>
        </row>
        <row r="21">
          <cell r="B21" t="str">
            <v>Town council salaries and wages</v>
          </cell>
          <cell r="E21">
            <v>440</v>
          </cell>
          <cell r="I21">
            <v>800</v>
          </cell>
          <cell r="J21">
            <v>439</v>
          </cell>
        </row>
        <row r="22">
          <cell r="B22" t="str">
            <v>PERF</v>
          </cell>
          <cell r="E22">
            <v>2207</v>
          </cell>
          <cell r="J22">
            <v>1949</v>
          </cell>
        </row>
        <row r="23">
          <cell r="B23" t="str">
            <v>FICA</v>
          </cell>
          <cell r="E23">
            <v>3126</v>
          </cell>
          <cell r="G23">
            <v>3929</v>
          </cell>
          <cell r="I23">
            <v>2415</v>
          </cell>
          <cell r="J23">
            <v>3257</v>
          </cell>
        </row>
        <row r="24">
          <cell r="B24" t="str">
            <v>Employee insurance</v>
          </cell>
          <cell r="E24">
            <v>20890</v>
          </cell>
          <cell r="I24">
            <v>831</v>
          </cell>
          <cell r="J24">
            <v>24878</v>
          </cell>
        </row>
        <row r="25">
          <cell r="B25" t="str">
            <v>Purchased power</v>
          </cell>
          <cell r="E25">
            <v>1624</v>
          </cell>
          <cell r="G25">
            <v>604</v>
          </cell>
          <cell r="I25">
            <v>206</v>
          </cell>
          <cell r="J25">
            <v>11606</v>
          </cell>
        </row>
        <row r="26">
          <cell r="B26" t="str">
            <v>Chemicals</v>
          </cell>
          <cell r="E26">
            <v>2832</v>
          </cell>
          <cell r="G26">
            <v>1352</v>
          </cell>
          <cell r="J26">
            <v>1328</v>
          </cell>
        </row>
        <row r="27">
          <cell r="B27" t="str">
            <v>Materials and supplies</v>
          </cell>
          <cell r="E27">
            <v>4680</v>
          </cell>
          <cell r="G27">
            <v>8393</v>
          </cell>
          <cell r="I27">
            <v>4035</v>
          </cell>
          <cell r="J27">
            <v>6414</v>
          </cell>
        </row>
        <row r="28">
          <cell r="B28" t="str">
            <v>Repairs and maintenance</v>
          </cell>
          <cell r="E28">
            <v>1597</v>
          </cell>
          <cell r="J28">
            <v>1561</v>
          </cell>
        </row>
        <row r="29">
          <cell r="B29" t="str">
            <v>Transportation</v>
          </cell>
          <cell r="E29">
            <v>1309</v>
          </cell>
          <cell r="G29">
            <v>1609</v>
          </cell>
          <cell r="I29" t="e">
            <v>#REF!</v>
          </cell>
          <cell r="J29">
            <v>1577</v>
          </cell>
        </row>
        <row r="30">
          <cell r="B30" t="str">
            <v>Contractual services</v>
          </cell>
          <cell r="E30">
            <v>16370</v>
          </cell>
          <cell r="G30">
            <v>421</v>
          </cell>
          <cell r="I30">
            <v>382</v>
          </cell>
          <cell r="J30">
            <v>18907</v>
          </cell>
        </row>
        <row r="31">
          <cell r="B31" t="str">
            <v>Office supplies</v>
          </cell>
          <cell r="E31">
            <v>387</v>
          </cell>
          <cell r="J31">
            <v>2146</v>
          </cell>
        </row>
        <row r="32">
          <cell r="B32" t="str">
            <v>Postage</v>
          </cell>
          <cell r="E32">
            <v>1892</v>
          </cell>
          <cell r="G32">
            <v>1604</v>
          </cell>
          <cell r="I32">
            <v>928</v>
          </cell>
          <cell r="J32">
            <v>1949</v>
          </cell>
        </row>
        <row r="33">
          <cell r="B33" t="str">
            <v>Insurance</v>
          </cell>
          <cell r="E33">
            <v>4910</v>
          </cell>
          <cell r="G33">
            <v>1031</v>
          </cell>
          <cell r="I33">
            <v>908</v>
          </cell>
          <cell r="J33">
            <v>6426</v>
          </cell>
        </row>
        <row r="34">
          <cell r="B34" t="str">
            <v>Taxes</v>
          </cell>
          <cell r="E34">
            <v>2762</v>
          </cell>
          <cell r="I34">
            <v>616</v>
          </cell>
          <cell r="J34">
            <v>1881</v>
          </cell>
        </row>
        <row r="35">
          <cell r="B35" t="str">
            <v>Other</v>
          </cell>
          <cell r="E35">
            <v>9832</v>
          </cell>
          <cell r="G35">
            <v>813</v>
          </cell>
          <cell r="I35">
            <v>34</v>
          </cell>
          <cell r="J35">
            <v>10684</v>
          </cell>
        </row>
        <row r="37">
          <cell r="C37" t="str">
            <v>Total Operating Disbursements</v>
          </cell>
          <cell r="E37">
            <v>115284</v>
          </cell>
          <cell r="G37">
            <v>19756</v>
          </cell>
          <cell r="I37" t="e">
            <v>#REF!</v>
          </cell>
          <cell r="J37">
            <v>137135</v>
          </cell>
        </row>
        <row r="39">
          <cell r="A39" t="str">
            <v>Net Operating Receipts (Loss)</v>
          </cell>
          <cell r="E39">
            <v>15903</v>
          </cell>
          <cell r="G39">
            <v>23741</v>
          </cell>
          <cell r="I39" t="e">
            <v>#REF!</v>
          </cell>
          <cell r="J39">
            <v>-7091</v>
          </cell>
        </row>
        <row r="43">
          <cell r="A43" t="str">
            <v>(Continued on next page)</v>
          </cell>
        </row>
        <row r="44">
          <cell r="A44" t="str">
            <v>(Continued on next page)</v>
          </cell>
        </row>
        <row r="45">
          <cell r="A45" t="str">
            <v>(Subject to the comments in the attached letter</v>
          </cell>
        </row>
        <row r="46">
          <cell r="A46" t="str">
            <v>dated May 9, 2006 of Umbaugh.)</v>
          </cell>
        </row>
        <row r="47">
          <cell r="A47" t="str">
            <v>dated April __, 2006 of Umbaugh.)</v>
          </cell>
        </row>
        <row r="48">
          <cell r="A48">
            <v>13</v>
          </cell>
        </row>
        <row r="49">
          <cell r="A49" t="str">
            <v>DUBLIN (INDIANA) MUNICIPAL WATER UTILITY</v>
          </cell>
        </row>
        <row r="50">
          <cell r="A50" t="str">
            <v>DUBLIN (INDIANA) MUNICIPAL WATER UTILITY</v>
          </cell>
          <cell r="J50" t="str">
            <v>(Cont'd)</v>
          </cell>
        </row>
        <row r="51">
          <cell r="A51" t="str">
            <v>COMPARATIVE SCHEDULE OF CASH RECEIPTS AND DISBURSEMENTS</v>
          </cell>
          <cell r="J51" t="str">
            <v>(Cont'd)</v>
          </cell>
        </row>
        <row r="52">
          <cell r="A52" t="str">
            <v>(Unaudited)</v>
          </cell>
        </row>
        <row r="53">
          <cell r="A53" t="str">
            <v>(Unaudited)</v>
          </cell>
        </row>
        <row r="55">
          <cell r="E55" t="str">
            <v>12 Months Ended</v>
          </cell>
          <cell r="G55" t="str">
            <v>5 Months Ended</v>
          </cell>
        </row>
        <row r="56">
          <cell r="E56">
            <v>38352</v>
          </cell>
          <cell r="G56">
            <v>36891</v>
          </cell>
          <cell r="H56">
            <v>38717</v>
          </cell>
          <cell r="I56">
            <v>37042</v>
          </cell>
          <cell r="J56">
            <v>38717</v>
          </cell>
        </row>
        <row r="57">
          <cell r="A57" t="str">
            <v>Other Receipts:</v>
          </cell>
          <cell r="E57">
            <v>38352</v>
          </cell>
          <cell r="G57">
            <v>36891</v>
          </cell>
          <cell r="H57">
            <v>38717</v>
          </cell>
          <cell r="I57">
            <v>37042</v>
          </cell>
          <cell r="J57">
            <v>38717</v>
          </cell>
        </row>
        <row r="58">
          <cell r="A58" t="str">
            <v>Other Receipts:</v>
          </cell>
          <cell r="B58" t="str">
            <v>Customer deposits (net)</v>
          </cell>
          <cell r="E58">
            <v>-259</v>
          </cell>
          <cell r="G58">
            <v>630</v>
          </cell>
          <cell r="I58">
            <v>410</v>
          </cell>
          <cell r="J58">
            <v>214</v>
          </cell>
        </row>
        <row r="59">
          <cell r="B59" t="str">
            <v>Tap fees</v>
          </cell>
          <cell r="E59">
            <v>950</v>
          </cell>
          <cell r="G59">
            <v>630</v>
          </cell>
          <cell r="I59">
            <v>410</v>
          </cell>
          <cell r="J59">
            <v>214</v>
          </cell>
        </row>
        <row r="60">
          <cell r="B60" t="str">
            <v>Reconnect fees</v>
          </cell>
          <cell r="E60">
            <v>443</v>
          </cell>
          <cell r="I60">
            <v>607</v>
          </cell>
          <cell r="J60">
            <v>475</v>
          </cell>
        </row>
        <row r="61">
          <cell r="B61" t="str">
            <v>Interest income</v>
          </cell>
          <cell r="E61">
            <v>1906</v>
          </cell>
          <cell r="I61">
            <v>8610</v>
          </cell>
          <cell r="J61">
            <v>1682</v>
          </cell>
        </row>
        <row r="62">
          <cell r="B62" t="str">
            <v>Interest income</v>
          </cell>
          <cell r="E62">
            <v>1906</v>
          </cell>
          <cell r="I62">
            <v>8610</v>
          </cell>
          <cell r="J62">
            <v>1682</v>
          </cell>
        </row>
        <row r="63">
          <cell r="C63" t="str">
            <v>Totals</v>
          </cell>
          <cell r="E63">
            <v>3040</v>
          </cell>
          <cell r="G63">
            <v>630</v>
          </cell>
          <cell r="I63">
            <v>9627</v>
          </cell>
          <cell r="J63">
            <v>2371</v>
          </cell>
        </row>
        <row r="64">
          <cell r="C64" t="str">
            <v>Totals</v>
          </cell>
          <cell r="E64">
            <v>3040</v>
          </cell>
          <cell r="G64">
            <v>630</v>
          </cell>
          <cell r="I64">
            <v>9627</v>
          </cell>
          <cell r="J64">
            <v>2371</v>
          </cell>
        </row>
        <row r="65">
          <cell r="A65" t="str">
            <v>Other Disbursements:</v>
          </cell>
        </row>
        <row r="66">
          <cell r="A66" t="str">
            <v>Other Disbursements:</v>
          </cell>
          <cell r="B66" t="str">
            <v>Promissory note</v>
          </cell>
          <cell r="E66">
            <v>753</v>
          </cell>
          <cell r="I66">
            <v>753</v>
          </cell>
          <cell r="J66">
            <v>753</v>
          </cell>
        </row>
        <row r="67">
          <cell r="B67" t="str">
            <v>Capital assets</v>
          </cell>
          <cell r="E67">
            <v>12375</v>
          </cell>
          <cell r="I67">
            <v>1966</v>
          </cell>
          <cell r="J67">
            <v>753</v>
          </cell>
        </row>
        <row r="68">
          <cell r="B68" t="str">
            <v>Capital assets</v>
          </cell>
          <cell r="E68">
            <v>12375</v>
          </cell>
          <cell r="I68">
            <v>1966</v>
          </cell>
        </row>
        <row r="69">
          <cell r="C69" t="str">
            <v>Totals</v>
          </cell>
          <cell r="E69">
            <v>13128</v>
          </cell>
          <cell r="G69">
            <v>0</v>
          </cell>
          <cell r="I69">
            <v>2719</v>
          </cell>
          <cell r="J69">
            <v>753</v>
          </cell>
        </row>
        <row r="70">
          <cell r="C70" t="str">
            <v>Totals</v>
          </cell>
          <cell r="E70">
            <v>13128</v>
          </cell>
          <cell r="G70">
            <v>0</v>
          </cell>
          <cell r="I70">
            <v>2719</v>
          </cell>
          <cell r="J70">
            <v>753</v>
          </cell>
        </row>
        <row r="71">
          <cell r="A71" t="str">
            <v>Cash and cash equivalents:</v>
          </cell>
        </row>
        <row r="72">
          <cell r="A72" t="str">
            <v>Cash and cash equivalents:</v>
          </cell>
          <cell r="B72" t="str">
            <v>Net increase (decrease)</v>
          </cell>
          <cell r="E72">
            <v>5815</v>
          </cell>
          <cell r="G72">
            <v>24371</v>
          </cell>
          <cell r="I72" t="e">
            <v>#REF!</v>
          </cell>
          <cell r="J72">
            <v>-5473</v>
          </cell>
        </row>
        <row r="73">
          <cell r="B73" t="str">
            <v>Beginning balance</v>
          </cell>
          <cell r="E73">
            <v>128771</v>
          </cell>
          <cell r="G73">
            <v>128771</v>
          </cell>
          <cell r="I73">
            <v>134586</v>
          </cell>
          <cell r="J73">
            <v>134586</v>
          </cell>
        </row>
        <row r="74">
          <cell r="B74" t="str">
            <v>Beginning balance</v>
          </cell>
          <cell r="E74">
            <v>128771</v>
          </cell>
          <cell r="G74">
            <v>128771</v>
          </cell>
          <cell r="I74">
            <v>134586</v>
          </cell>
          <cell r="J74">
            <v>134586</v>
          </cell>
        </row>
        <row r="75">
          <cell r="C75" t="str">
            <v>Ending balance</v>
          </cell>
          <cell r="E75">
            <v>134586</v>
          </cell>
          <cell r="G75">
            <v>153142</v>
          </cell>
          <cell r="I75" t="e">
            <v>#REF!</v>
          </cell>
          <cell r="J75">
            <v>129113</v>
          </cell>
        </row>
        <row r="76">
          <cell r="C76" t="str">
            <v>Ending balance</v>
          </cell>
          <cell r="E76">
            <v>134586</v>
          </cell>
          <cell r="G76">
            <v>153142</v>
          </cell>
          <cell r="I76" t="e">
            <v>#REF!</v>
          </cell>
          <cell r="J76">
            <v>129113</v>
          </cell>
        </row>
        <row r="93">
          <cell r="A93" t="str">
            <v>(Subject to the comments in the attached letter</v>
          </cell>
        </row>
        <row r="94">
          <cell r="A94" t="str">
            <v>dated May 9, 2006 of Umbaugh.)</v>
          </cell>
        </row>
        <row r="95">
          <cell r="A95" t="str">
            <v>(Subject to the comments in the attached letter</v>
          </cell>
        </row>
        <row r="96">
          <cell r="A96">
            <v>14</v>
          </cell>
        </row>
      </sheetData>
      <sheetData sheetId="9"/>
      <sheetData sheetId="10">
        <row r="1">
          <cell r="A1" t="str">
            <v>DUBLIN (INDIANA) MUNICIPAL WATER UTILITY</v>
          </cell>
        </row>
      </sheetData>
      <sheetData sheetId="11">
        <row r="1">
          <cell r="A1" t="str">
            <v>DUBLIN (INDIANA) MUNICIPAL WATER UTILITY</v>
          </cell>
        </row>
      </sheetData>
      <sheetData sheetId="12"/>
      <sheetData sheetId="13"/>
      <sheetData sheetId="14">
        <row r="1">
          <cell r="A1" t="str">
            <v>DUBLIN (INDIANA) MUNICIPAL WATER UTILITY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Trial Balance"/>
      <sheetName val="Trial Balance (2)"/>
      <sheetName val="Rev. Req. "/>
      <sheetName val="Rates "/>
      <sheetName val="comp"/>
      <sheetName val="Graph"/>
      <sheetName val="DEBT"/>
      <sheetName val="BAL"/>
      <sheetName val="Inc"/>
      <sheetName val="Scf"/>
      <sheetName val="Disb"/>
      <sheetName val="Min Bal "/>
      <sheetName val="----workpapers----"/>
      <sheetName val="COV"/>
      <sheetName val="Rate Comp"/>
      <sheetName val="UPIS"/>
      <sheetName val="MinBal"/>
    </sheetNames>
    <sheetDataSet>
      <sheetData sheetId="0"/>
      <sheetData sheetId="1"/>
      <sheetData sheetId="2" refreshError="1">
        <row r="141">
          <cell r="O141" t="str">
            <v>PP.1.3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 refreshError="1">
        <row r="1">
          <cell r="A1" t="str">
            <v>TERRE HAUTE (INDIANA) WASTEWATER UTILITY</v>
          </cell>
        </row>
        <row r="3">
          <cell r="A3" t="str">
            <v>COMPARATIVE STATEMENT OF DETAILED OPERATING EXPENSES</v>
          </cell>
        </row>
        <row r="4">
          <cell r="A4" t="str">
            <v>(Unaudited)</v>
          </cell>
        </row>
        <row r="7">
          <cell r="G7" t="str">
            <v>Calendar Year Ended</v>
          </cell>
        </row>
        <row r="8">
          <cell r="A8" t="str">
            <v xml:space="preserve"> </v>
          </cell>
          <cell r="G8">
            <v>37256</v>
          </cell>
          <cell r="I8">
            <v>37621</v>
          </cell>
        </row>
        <row r="10">
          <cell r="A10" t="str">
            <v>Operating Disbursements:</v>
          </cell>
        </row>
        <row r="11">
          <cell r="B11" t="str">
            <v>Collection System:</v>
          </cell>
        </row>
        <row r="12">
          <cell r="C12" t="str">
            <v>Salaries and wages</v>
          </cell>
          <cell r="G12">
            <v>398115</v>
          </cell>
          <cell r="I12">
            <v>422847</v>
          </cell>
        </row>
        <row r="13">
          <cell r="C13" t="str">
            <v>Employee pensions and benefits</v>
          </cell>
          <cell r="G13">
            <v>77519</v>
          </cell>
          <cell r="I13">
            <v>86669</v>
          </cell>
        </row>
        <row r="14">
          <cell r="C14" t="str">
            <v>Materials and supplies</v>
          </cell>
          <cell r="G14">
            <v>6426</v>
          </cell>
          <cell r="I14">
            <v>0</v>
          </cell>
        </row>
        <row r="15">
          <cell r="C15" t="str">
            <v>Other</v>
          </cell>
          <cell r="G15">
            <v>155099</v>
          </cell>
          <cell r="I15">
            <v>333290</v>
          </cell>
        </row>
        <row r="17">
          <cell r="D17" t="str">
            <v>Sub-totals</v>
          </cell>
          <cell r="G17">
            <v>637159</v>
          </cell>
          <cell r="I17">
            <v>842806</v>
          </cell>
        </row>
        <row r="19">
          <cell r="B19" t="str">
            <v>Treatment and Disposal:</v>
          </cell>
          <cell r="G19" t="str">
            <v xml:space="preserve"> </v>
          </cell>
        </row>
        <row r="20">
          <cell r="C20" t="str">
            <v>Salaries and wages</v>
          </cell>
          <cell r="G20">
            <v>954380</v>
          </cell>
          <cell r="I20">
            <v>994161</v>
          </cell>
        </row>
        <row r="21">
          <cell r="C21" t="str">
            <v>Employee pensions and benefits</v>
          </cell>
          <cell r="G21">
            <v>198736</v>
          </cell>
          <cell r="I21">
            <v>196940</v>
          </cell>
        </row>
        <row r="22">
          <cell r="C22" t="str">
            <v>Materials and supplies</v>
          </cell>
          <cell r="G22">
            <v>15623</v>
          </cell>
        </row>
        <row r="23">
          <cell r="C23" t="str">
            <v>Contractual services</v>
          </cell>
          <cell r="G23">
            <v>1631825</v>
          </cell>
          <cell r="I23">
            <v>1584302</v>
          </cell>
        </row>
        <row r="24">
          <cell r="C24" t="str">
            <v>Other</v>
          </cell>
          <cell r="G24">
            <v>8521</v>
          </cell>
          <cell r="I24">
            <v>78622</v>
          </cell>
        </row>
        <row r="25">
          <cell r="G25" t="str">
            <v xml:space="preserve"> </v>
          </cell>
        </row>
        <row r="26">
          <cell r="D26" t="str">
            <v>Sub-totals</v>
          </cell>
          <cell r="G26">
            <v>2809085</v>
          </cell>
          <cell r="I26">
            <v>2854025</v>
          </cell>
        </row>
        <row r="28">
          <cell r="B28" t="str">
            <v>Customer Accounts:</v>
          </cell>
          <cell r="G28" t="str">
            <v xml:space="preserve"> </v>
          </cell>
        </row>
        <row r="29">
          <cell r="C29" t="str">
            <v>Salaries and wages</v>
          </cell>
          <cell r="G29">
            <v>186712</v>
          </cell>
          <cell r="I29">
            <v>173123</v>
          </cell>
        </row>
        <row r="31">
          <cell r="B31" t="str">
            <v>Administrative and General:</v>
          </cell>
          <cell r="G31" t="str">
            <v xml:space="preserve"> </v>
          </cell>
        </row>
        <row r="32">
          <cell r="C32" t="str">
            <v>Salaries and wages</v>
          </cell>
          <cell r="G32">
            <v>67851</v>
          </cell>
          <cell r="I32">
            <v>70497</v>
          </cell>
        </row>
        <row r="33">
          <cell r="C33" t="str">
            <v>Employee pensions and benefits</v>
          </cell>
          <cell r="G33">
            <v>38720</v>
          </cell>
          <cell r="I33">
            <v>28222</v>
          </cell>
        </row>
        <row r="34">
          <cell r="C34" t="str">
            <v>Materials and supplies</v>
          </cell>
          <cell r="G34">
            <v>6648</v>
          </cell>
          <cell r="I34">
            <v>37268</v>
          </cell>
        </row>
        <row r="35">
          <cell r="C35" t="str">
            <v>Contractual services</v>
          </cell>
          <cell r="G35">
            <v>387323</v>
          </cell>
          <cell r="I35">
            <v>349146</v>
          </cell>
        </row>
        <row r="37">
          <cell r="D37" t="str">
            <v>Sub-totals</v>
          </cell>
          <cell r="G37">
            <v>500542</v>
          </cell>
          <cell r="I37">
            <v>485133</v>
          </cell>
        </row>
        <row r="39">
          <cell r="B39" t="str">
            <v>Other</v>
          </cell>
          <cell r="G39">
            <v>112055</v>
          </cell>
          <cell r="I39">
            <v>162283</v>
          </cell>
        </row>
        <row r="41">
          <cell r="C41" t="str">
            <v>Total Operating Disbursements</v>
          </cell>
          <cell r="G41">
            <v>4245553</v>
          </cell>
          <cell r="I41">
            <v>4517370</v>
          </cell>
        </row>
        <row r="44">
          <cell r="A44" t="str">
            <v>DRAFT</v>
          </cell>
        </row>
        <row r="45">
          <cell r="A45" t="str">
            <v>For Discussion Purposes Only</v>
          </cell>
        </row>
      </sheetData>
      <sheetData sheetId="12"/>
      <sheetData sheetId="13"/>
      <sheetData sheetId="14"/>
      <sheetData sheetId="15" refreshError="1">
        <row r="8">
          <cell r="C8" t="str">
            <v>Cubic Ft.</v>
          </cell>
          <cell r="E8" t="str">
            <v>Terre Haute (1)</v>
          </cell>
          <cell r="G8" t="str">
            <v>Lafayette</v>
          </cell>
          <cell r="I8" t="str">
            <v>Kokomo</v>
          </cell>
          <cell r="K8" t="str">
            <v>Anderson</v>
          </cell>
          <cell r="M8" t="str">
            <v>Bloomington</v>
          </cell>
        </row>
        <row r="9">
          <cell r="E9" t="str">
            <v>(1991)</v>
          </cell>
          <cell r="G9">
            <v>-2001</v>
          </cell>
          <cell r="I9">
            <v>-1999</v>
          </cell>
          <cell r="K9" t="str">
            <v>(2002)</v>
          </cell>
          <cell r="M9" t="str">
            <v>(2000)</v>
          </cell>
        </row>
        <row r="11">
          <cell r="C11">
            <v>267</v>
          </cell>
          <cell r="E11">
            <v>3.75</v>
          </cell>
          <cell r="G11">
            <v>8.99</v>
          </cell>
          <cell r="I11">
            <v>8.32</v>
          </cell>
          <cell r="K11">
            <v>21.89</v>
          </cell>
          <cell r="M11">
            <v>10.71</v>
          </cell>
        </row>
        <row r="12">
          <cell r="C12">
            <v>400</v>
          </cell>
          <cell r="E12">
            <v>4.8</v>
          </cell>
          <cell r="G12">
            <v>12.26</v>
          </cell>
          <cell r="I12">
            <v>12.48</v>
          </cell>
          <cell r="K12">
            <v>21.89</v>
          </cell>
          <cell r="M12">
            <v>14.25</v>
          </cell>
        </row>
        <row r="13">
          <cell r="C13">
            <v>533</v>
          </cell>
          <cell r="E13">
            <v>6.4</v>
          </cell>
          <cell r="G13">
            <v>15.53</v>
          </cell>
          <cell r="I13">
            <v>16.64</v>
          </cell>
          <cell r="K13">
            <v>21.89</v>
          </cell>
          <cell r="M13">
            <v>17.79</v>
          </cell>
        </row>
        <row r="14">
          <cell r="C14">
            <v>667</v>
          </cell>
          <cell r="E14">
            <v>8</v>
          </cell>
          <cell r="G14">
            <v>18.8</v>
          </cell>
          <cell r="I14">
            <v>20.8</v>
          </cell>
          <cell r="K14">
            <v>28.66</v>
          </cell>
          <cell r="M14">
            <v>21.33</v>
          </cell>
        </row>
        <row r="15">
          <cell r="C15">
            <v>1333</v>
          </cell>
          <cell r="E15">
            <v>16</v>
          </cell>
          <cell r="G15">
            <v>35.15</v>
          </cell>
          <cell r="I15">
            <v>41.6</v>
          </cell>
          <cell r="K15">
            <v>55.92</v>
          </cell>
          <cell r="M15">
            <v>39.03</v>
          </cell>
        </row>
        <row r="16">
          <cell r="C16">
            <v>13333</v>
          </cell>
          <cell r="E16">
            <v>159.96</v>
          </cell>
          <cell r="G16">
            <v>329.45</v>
          </cell>
          <cell r="I16">
            <v>416</v>
          </cell>
          <cell r="K16">
            <v>546.69000000000005</v>
          </cell>
          <cell r="M16">
            <v>357.63</v>
          </cell>
        </row>
      </sheetData>
      <sheetData sheetId="16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WTB"/>
      <sheetName val="Proj O&amp;M"/>
      <sheetName val="Proj O&amp;M adj"/>
      <sheetName val="RevReq"/>
      <sheetName val="Proj Cost"/>
      <sheetName val="PF COE"/>
      <sheetName val="Rev Req I"/>
      <sheetName val="Rev Req II"/>
      <sheetName val="Norm Rev"/>
      <sheetName val="Cap Impr"/>
      <sheetName val="Pres Prop Rt"/>
      <sheetName val="Comp Billings"/>
      <sheetName val="ST of NA"/>
      <sheetName val="Change in NA"/>
      <sheetName val="Detail Exp"/>
      <sheetName val="Detail Rev"/>
      <sheetName val="2001 Bonds"/>
      <sheetName val="1989 Bonds"/>
      <sheetName val="PSG Loan"/>
      <sheetName val="2005 Prop Bonds"/>
      <sheetName val="2005 Prop SRF"/>
      <sheetName val="Comb Bonds"/>
      <sheetName val="Add Plant"/>
      <sheetName val="CapImp"/>
      <sheetName val="ExpCapImp"/>
      <sheetName val="CapImp2"/>
      <sheetName val="SNA"/>
      <sheetName val="CNA"/>
      <sheetName val="SCF"/>
      <sheetName val="MinBal"/>
      <sheetName val="2000 Bonds"/>
      <sheetName val="2002 Bonds"/>
      <sheetName val="Combined"/>
      <sheetName val="Rates"/>
      <sheetName val="UPIS"/>
      <sheetName val="Comparison"/>
      <sheetName val="Payroll TY"/>
      <sheetName val="Proj Pay"/>
      <sheetName val="Rev"/>
      <sheetName val="CapImp3"/>
      <sheetName val="Intro"/>
      <sheetName val="AddPlant"/>
      <sheetName val="Adjustments"/>
      <sheetName val="Fin Info"/>
      <sheetName val="Min Bal"/>
      <sheetName val="Projected Disb."/>
      <sheetName val="Rec and Disb"/>
      <sheetName val="Retur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BOONVILLE (INDIANA) MUNICIPAL WATER UTILITY</v>
          </cell>
        </row>
        <row r="3">
          <cell r="A3" t="str">
            <v>PRO FORMA ANNUAL CASH OPERATING EXPENSES</v>
          </cell>
        </row>
        <row r="4">
          <cell r="A4" t="str">
            <v>See Explanation of Adjustments, pages 3 to 11.</v>
          </cell>
        </row>
        <row r="5">
          <cell r="A5" t="str">
            <v>No inflation adjustment made.</v>
          </cell>
        </row>
        <row r="8">
          <cell r="A8" t="str">
            <v>Cash operating expenses for the 12 months</v>
          </cell>
        </row>
        <row r="9">
          <cell r="A9" t="str">
            <v xml:space="preserve">   ended June 30, 2004 (unaudited)</v>
          </cell>
          <cell r="L9">
            <v>1284092</v>
          </cell>
        </row>
        <row r="13">
          <cell r="A13" t="str">
            <v>Adjustments:</v>
          </cell>
        </row>
        <row r="15">
          <cell r="A15">
            <v>-1</v>
          </cell>
          <cell r="C15" t="str">
            <v>Payroll</v>
          </cell>
          <cell r="J15">
            <v>-63226</v>
          </cell>
        </row>
        <row r="16">
          <cell r="A16">
            <v>-2</v>
          </cell>
          <cell r="C16" t="str">
            <v>FICA</v>
          </cell>
          <cell r="J16">
            <v>168</v>
          </cell>
        </row>
        <row r="17">
          <cell r="A17">
            <v>-3</v>
          </cell>
          <cell r="C17" t="str">
            <v>Pension expense</v>
          </cell>
          <cell r="J17">
            <v>69</v>
          </cell>
        </row>
        <row r="18">
          <cell r="A18">
            <v>-4</v>
          </cell>
          <cell r="C18" t="str">
            <v>Health insurance</v>
          </cell>
          <cell r="J18">
            <v>2428</v>
          </cell>
        </row>
        <row r="19">
          <cell r="A19">
            <v>-5</v>
          </cell>
          <cell r="C19" t="str">
            <v>Life insurance</v>
          </cell>
          <cell r="J19">
            <v>12</v>
          </cell>
        </row>
        <row r="20">
          <cell r="A20">
            <v>-6</v>
          </cell>
          <cell r="C20" t="str">
            <v>Retirees insurance</v>
          </cell>
          <cell r="J20">
            <v>1242</v>
          </cell>
        </row>
        <row r="21">
          <cell r="A21">
            <v>-7</v>
          </cell>
          <cell r="C21" t="str">
            <v>Non-recurring or capital expenses</v>
          </cell>
          <cell r="J21">
            <v>-25473</v>
          </cell>
        </row>
        <row r="22">
          <cell r="A22">
            <v>-8</v>
          </cell>
          <cell r="C22" t="str">
            <v>Contractual services-US Filter</v>
          </cell>
          <cell r="J22">
            <v>6624.0149999999994</v>
          </cell>
        </row>
        <row r="23">
          <cell r="A23">
            <v>-9</v>
          </cell>
          <cell r="C23" t="str">
            <v>Contractual services-non-recurring or capital expenses</v>
          </cell>
          <cell r="J23">
            <v>-21104.080000000002</v>
          </cell>
        </row>
        <row r="24">
          <cell r="A24">
            <v>-10</v>
          </cell>
          <cell r="C24" t="str">
            <v>Rate case expense</v>
          </cell>
          <cell r="J24">
            <v>4750</v>
          </cell>
        </row>
        <row r="25">
          <cell r="A25">
            <v>-11</v>
          </cell>
          <cell r="C25" t="str">
            <v>Periodic maintenance</v>
          </cell>
          <cell r="J25">
            <v>44747.4</v>
          </cell>
        </row>
        <row r="26">
          <cell r="A26">
            <v>-12</v>
          </cell>
          <cell r="C26" t="str">
            <v>Customer growth</v>
          </cell>
          <cell r="J26">
            <v>0</v>
          </cell>
        </row>
        <row r="27">
          <cell r="A27">
            <v>-13</v>
          </cell>
          <cell r="C27" t="str">
            <v>Telephone expense</v>
          </cell>
          <cell r="J27">
            <v>208</v>
          </cell>
        </row>
        <row r="28">
          <cell r="A28">
            <v>-14</v>
          </cell>
          <cell r="C28" t="str">
            <v>General liability insurance</v>
          </cell>
          <cell r="J28">
            <v>668</v>
          </cell>
        </row>
        <row r="29">
          <cell r="A29">
            <v>-15</v>
          </cell>
          <cell r="C29" t="str">
            <v>Property and equipment insurance</v>
          </cell>
          <cell r="J29">
            <v>2480</v>
          </cell>
        </row>
        <row r="30">
          <cell r="A30">
            <v>-16</v>
          </cell>
          <cell r="C30" t="str">
            <v>Public officials insurance</v>
          </cell>
          <cell r="J30">
            <v>1100</v>
          </cell>
        </row>
        <row r="31">
          <cell r="A31">
            <v>-17</v>
          </cell>
          <cell r="C31" t="str">
            <v>Absorption costs</v>
          </cell>
          <cell r="J31">
            <v>17362</v>
          </cell>
        </row>
        <row r="32">
          <cell r="A32">
            <v>-18</v>
          </cell>
          <cell r="C32" t="str">
            <v>Payment in lieu of taxes</v>
          </cell>
          <cell r="J32">
            <v>59538</v>
          </cell>
        </row>
        <row r="33">
          <cell r="A33">
            <v>-19</v>
          </cell>
          <cell r="C33" t="str">
            <v>Gross income tax</v>
          </cell>
          <cell r="J33">
            <v>7488</v>
          </cell>
        </row>
        <row r="35">
          <cell r="E35" t="str">
            <v>Sub-total</v>
          </cell>
          <cell r="L35">
            <v>39081.334999999999</v>
          </cell>
        </row>
        <row r="37">
          <cell r="E37" t="str">
            <v>Pro Forma Annual Cash Operating Expenses</v>
          </cell>
          <cell r="L37">
            <v>1323173.335</v>
          </cell>
        </row>
        <row r="56">
          <cell r="A56" t="str">
            <v>(Continued on next page)</v>
          </cell>
        </row>
        <row r="58">
          <cell r="A58" t="str">
            <v>(Subject to the comments in the attached</v>
          </cell>
        </row>
        <row r="59">
          <cell r="A59" t="str">
            <v>letter dated May 26, 2005 of Umbaugh.)</v>
          </cell>
        </row>
        <row r="61">
          <cell r="A61" t="str">
            <v>2</v>
          </cell>
        </row>
        <row r="62">
          <cell r="A62" t="str">
            <v>BOONVILLE (INDIANA) MUNICIPAL WATER UTILITY</v>
          </cell>
        </row>
        <row r="63">
          <cell r="L63" t="str">
            <v>(Cont'd)</v>
          </cell>
        </row>
        <row r="64">
          <cell r="A64" t="str">
            <v>PRO FORMA ANNUAL CASH OPERATING EXPENSES</v>
          </cell>
        </row>
        <row r="65">
          <cell r="A65" t="str">
            <v>Explanation of adjustments</v>
          </cell>
        </row>
        <row r="66">
          <cell r="A66" t="str">
            <v>No inflation adjustment made.</v>
          </cell>
        </row>
        <row r="69">
          <cell r="A69" t="str">
            <v>Adjustment (1)</v>
          </cell>
        </row>
        <row r="71">
          <cell r="A71" t="str">
            <v xml:space="preserve">To adjust test year payroll expense to reflect pro forma salaries and wages, </v>
          </cell>
        </row>
        <row r="72">
          <cell r="A72" t="str">
            <v>(based on 2003 salary ordinance ).</v>
          </cell>
        </row>
        <row r="75">
          <cell r="C75" t="str">
            <v>Pro forma payroll</v>
          </cell>
          <cell r="L75">
            <v>59359.32</v>
          </cell>
        </row>
        <row r="76">
          <cell r="C76" t="str">
            <v>Less test year amount</v>
          </cell>
          <cell r="L76">
            <v>-122585</v>
          </cell>
        </row>
        <row r="78">
          <cell r="E78" t="str">
            <v>Adjustment</v>
          </cell>
          <cell r="L78">
            <v>-63226</v>
          </cell>
        </row>
        <row r="80">
          <cell r="A80" t="str">
            <v>Adjustment (2)</v>
          </cell>
        </row>
        <row r="82">
          <cell r="A82" t="str">
            <v>To adjust test year FICA expense to reflect pro forma payroll.</v>
          </cell>
        </row>
        <row r="84">
          <cell r="C84" t="str">
            <v>Pro forma payroll subject to FICA</v>
          </cell>
          <cell r="L84">
            <v>59359.32</v>
          </cell>
        </row>
        <row r="85">
          <cell r="C85" t="str">
            <v>Times FICA rate</v>
          </cell>
          <cell r="L85">
            <v>7.6499999999999999E-2</v>
          </cell>
        </row>
        <row r="87">
          <cell r="C87" t="str">
            <v>Pro forma FICA expense</v>
          </cell>
          <cell r="L87">
            <v>4541</v>
          </cell>
        </row>
        <row r="88">
          <cell r="C88" t="str">
            <v>Less test year amount</v>
          </cell>
          <cell r="L88">
            <v>-4373</v>
          </cell>
        </row>
        <row r="90">
          <cell r="E90" t="str">
            <v>Adjustment</v>
          </cell>
          <cell r="L90">
            <v>168</v>
          </cell>
        </row>
        <row r="92">
          <cell r="A92" t="str">
            <v>Adjustment (3)</v>
          </cell>
        </row>
        <row r="94">
          <cell r="A94" t="str">
            <v>To adjust test year PERF expense to reflect the pro forma payroll and 2001 PERF rate.</v>
          </cell>
        </row>
        <row r="96">
          <cell r="C96" t="str">
            <v>Pro forma payroll subject to PERF</v>
          </cell>
          <cell r="L96">
            <v>59359.32</v>
          </cell>
        </row>
        <row r="97">
          <cell r="C97" t="str">
            <v xml:space="preserve">Times PERF rate </v>
          </cell>
          <cell r="L97">
            <v>0.03</v>
          </cell>
        </row>
        <row r="99">
          <cell r="C99" t="str">
            <v>Pro forma PERF expense</v>
          </cell>
          <cell r="L99">
            <v>1781</v>
          </cell>
        </row>
        <row r="100">
          <cell r="C100" t="str">
            <v>Less test year expense</v>
          </cell>
          <cell r="L100">
            <v>-1712</v>
          </cell>
        </row>
        <row r="102">
          <cell r="E102" t="str">
            <v>Adjustment</v>
          </cell>
          <cell r="L102">
            <v>69</v>
          </cell>
        </row>
        <row r="117">
          <cell r="A117" t="str">
            <v>(Continued on next page)</v>
          </cell>
        </row>
        <row r="119">
          <cell r="A119" t="str">
            <v>(Subject to the comments in the attached</v>
          </cell>
        </row>
        <row r="120">
          <cell r="A120" t="str">
            <v>letter dated May 26, 2005 of Umbaugh.)</v>
          </cell>
        </row>
        <row r="122">
          <cell r="A122" t="str">
            <v>3</v>
          </cell>
        </row>
        <row r="123">
          <cell r="A123" t="str">
            <v>BOONVILLE (INDIANA) MUNICIPAL WATER UTILITY</v>
          </cell>
        </row>
        <row r="124">
          <cell r="L124" t="str">
            <v>(Cont'd)</v>
          </cell>
        </row>
        <row r="125">
          <cell r="A125" t="str">
            <v>PRO FORMA ANNUAL CASH OPERATING EXPENSES</v>
          </cell>
        </row>
        <row r="126">
          <cell r="A126" t="str">
            <v>Explanation of adjustments</v>
          </cell>
        </row>
        <row r="127">
          <cell r="A127" t="str">
            <v>No inflation adjustment made.</v>
          </cell>
        </row>
        <row r="130">
          <cell r="A130" t="str">
            <v xml:space="preserve">Adjustment (4) </v>
          </cell>
        </row>
        <row r="132">
          <cell r="A132" t="str">
            <v>To adjust test year health insurance expense to reflect the most current monthly premiums.</v>
          </cell>
        </row>
        <row r="134">
          <cell r="C134" t="str">
            <v>Pro forma health insurance expense</v>
          </cell>
          <cell r="L134">
            <v>21006</v>
          </cell>
        </row>
        <row r="135">
          <cell r="C135" t="str">
            <v>Less test year expense</v>
          </cell>
          <cell r="L135">
            <v>-18578</v>
          </cell>
        </row>
        <row r="137">
          <cell r="E137" t="str">
            <v>Adjustment</v>
          </cell>
          <cell r="L137">
            <v>2428</v>
          </cell>
        </row>
        <row r="139">
          <cell r="A139" t="str">
            <v xml:space="preserve">Adjustment (5) </v>
          </cell>
        </row>
        <row r="141">
          <cell r="A141" t="str">
            <v>To adjust test year life insurance expense to reflect the most current monthly premiums.</v>
          </cell>
        </row>
        <row r="143">
          <cell r="C143" t="str">
            <v>Pro forma life insurance expense</v>
          </cell>
          <cell r="L143">
            <v>269</v>
          </cell>
        </row>
        <row r="144">
          <cell r="C144" t="str">
            <v>Less test year expense</v>
          </cell>
          <cell r="L144">
            <v>-257</v>
          </cell>
        </row>
        <row r="146">
          <cell r="E146" t="str">
            <v>Adjustment</v>
          </cell>
          <cell r="L146">
            <v>12</v>
          </cell>
        </row>
        <row r="148">
          <cell r="A148" t="str">
            <v xml:space="preserve">Adjustment (6) </v>
          </cell>
        </row>
        <row r="150">
          <cell r="A150" t="str">
            <v>To adjust test year retirees insurance expense to reflect the most current monthly premiums.</v>
          </cell>
        </row>
        <row r="152">
          <cell r="C152" t="str">
            <v>Pro forma retirees insurance expense</v>
          </cell>
          <cell r="L152">
            <v>9043</v>
          </cell>
        </row>
        <row r="153">
          <cell r="C153" t="str">
            <v>Less test year expense</v>
          </cell>
          <cell r="L153">
            <v>-7801</v>
          </cell>
        </row>
        <row r="155">
          <cell r="E155" t="str">
            <v>Adjustment</v>
          </cell>
          <cell r="L155">
            <v>1242</v>
          </cell>
        </row>
        <row r="157">
          <cell r="A157" t="str">
            <v>Adjustment (7)</v>
          </cell>
        </row>
        <row r="159">
          <cell r="A159" t="str">
            <v xml:space="preserve">To eliminate test year expenses that are considered non-recurring or capital </v>
          </cell>
        </row>
        <row r="160">
          <cell r="A160" t="str">
            <v>expenditures.</v>
          </cell>
        </row>
        <row r="162">
          <cell r="E162" t="str">
            <v>Date</v>
          </cell>
          <cell r="G162" t="str">
            <v>Vendor</v>
          </cell>
          <cell r="I162" t="str">
            <v>Description</v>
          </cell>
          <cell r="L162" t="str">
            <v>Amount</v>
          </cell>
        </row>
        <row r="164">
          <cell r="E164" t="str">
            <v>September, 2003</v>
          </cell>
          <cell r="G164" t="str">
            <v>Tri-State Fence Co.</v>
          </cell>
          <cell r="I164" t="str">
            <v>Chain Link Fence, Iron pond</v>
          </cell>
          <cell r="L164">
            <v>-6547</v>
          </cell>
        </row>
        <row r="165">
          <cell r="E165" t="str">
            <v>November, 2003</v>
          </cell>
          <cell r="G165" t="str">
            <v>Infrasturcture systems, Inc.</v>
          </cell>
          <cell r="L165">
            <v>-6190</v>
          </cell>
        </row>
        <row r="166">
          <cell r="E166" t="str">
            <v>June, 2004</v>
          </cell>
          <cell r="G166" t="str">
            <v>Reynolds, Inc.</v>
          </cell>
          <cell r="I166" t="str">
            <v>New Filter &amp; Rehab</v>
          </cell>
          <cell r="L166">
            <v>-19283</v>
          </cell>
        </row>
        <row r="168">
          <cell r="E168" t="str">
            <v>Adjustment</v>
          </cell>
          <cell r="L168">
            <v>-25473</v>
          </cell>
        </row>
        <row r="177">
          <cell r="A177" t="str">
            <v>(Continued on next page)</v>
          </cell>
        </row>
        <row r="179">
          <cell r="A179" t="str">
            <v>(Subject to the comments in the attached</v>
          </cell>
        </row>
        <row r="180">
          <cell r="A180" t="str">
            <v>letter dated May 26, 2005 of Umbaugh.)</v>
          </cell>
        </row>
        <row r="182">
          <cell r="A182" t="str">
            <v>4</v>
          </cell>
        </row>
        <row r="183">
          <cell r="A183" t="str">
            <v>BOONVILLE (INDIANA) MUNICIPAL WATER UTILITY</v>
          </cell>
        </row>
        <row r="184">
          <cell r="L184" t="str">
            <v>(Cont'd)</v>
          </cell>
        </row>
        <row r="185">
          <cell r="A185" t="str">
            <v>PRO FORMA ANNUAL CASH OPERATING EXPENSES</v>
          </cell>
        </row>
        <row r="186">
          <cell r="A186" t="str">
            <v>Explanation of adjustments</v>
          </cell>
        </row>
        <row r="187">
          <cell r="A187" t="str">
            <v>No inflation adjustment made.</v>
          </cell>
        </row>
        <row r="190">
          <cell r="A190" t="str">
            <v>Adjustment (8)</v>
          </cell>
        </row>
        <row r="192">
          <cell r="A192" t="str">
            <v>To adjust test year contractual services expense to US Filter to reflect an increase of 1.5%.</v>
          </cell>
        </row>
        <row r="194">
          <cell r="C194" t="str">
            <v>Pro forma US Filter contract</v>
          </cell>
          <cell r="L194">
            <v>441601</v>
          </cell>
        </row>
        <row r="195">
          <cell r="C195" t="str">
            <v>Times 1.5% increase</v>
          </cell>
          <cell r="L195">
            <v>1.4999999999999999E-2</v>
          </cell>
        </row>
        <row r="197">
          <cell r="E197" t="str">
            <v>Adjustment</v>
          </cell>
          <cell r="L197">
            <v>6624.0149999999994</v>
          </cell>
        </row>
        <row r="199">
          <cell r="A199" t="str">
            <v>Adjustment (9)</v>
          </cell>
        </row>
        <row r="201">
          <cell r="A201" t="str">
            <v>To adjust test year contractual services-management fee for those expenditures</v>
          </cell>
        </row>
        <row r="202">
          <cell r="A202" t="str">
            <v>considered capital or non-recurring.</v>
          </cell>
        </row>
        <row r="204">
          <cell r="E204" t="str">
            <v>Date</v>
          </cell>
          <cell r="G204" t="str">
            <v>Vendor</v>
          </cell>
          <cell r="L204" t="str">
            <v xml:space="preserve"> </v>
          </cell>
        </row>
        <row r="205">
          <cell r="C205" t="str">
            <v xml:space="preserve"> </v>
          </cell>
          <cell r="L205" t="str">
            <v xml:space="preserve"> </v>
          </cell>
        </row>
        <row r="206">
          <cell r="E206" t="str">
            <v>September, 2003</v>
          </cell>
          <cell r="G206" t="str">
            <v>Keystone Consulting</v>
          </cell>
          <cell r="L206">
            <v>-1757</v>
          </cell>
        </row>
        <row r="207">
          <cell r="E207" t="str">
            <v>October, 2003</v>
          </cell>
          <cell r="G207" t="str">
            <v>Midwestern Engineers, Inc.</v>
          </cell>
          <cell r="L207">
            <v>-1908</v>
          </cell>
        </row>
        <row r="208">
          <cell r="E208" t="str">
            <v>October, 2003</v>
          </cell>
          <cell r="G208" t="str">
            <v>Reynolds, Inc.</v>
          </cell>
          <cell r="L208">
            <v>-1200</v>
          </cell>
        </row>
        <row r="209">
          <cell r="E209" t="str">
            <v>February, 2004</v>
          </cell>
          <cell r="G209" t="str">
            <v>Midwestern Engineers, Inc.</v>
          </cell>
          <cell r="L209">
            <v>-14119.08</v>
          </cell>
        </row>
        <row r="210">
          <cell r="E210" t="str">
            <v>March, 2004</v>
          </cell>
          <cell r="G210" t="str">
            <v>Midwestern Engineers, Inc.</v>
          </cell>
          <cell r="L210">
            <v>-500</v>
          </cell>
        </row>
        <row r="211">
          <cell r="E211" t="str">
            <v>April, 2004</v>
          </cell>
          <cell r="G211" t="str">
            <v>Midwestern Engineers, Inc.</v>
          </cell>
          <cell r="L211">
            <v>-1620</v>
          </cell>
        </row>
        <row r="212">
          <cell r="C212" t="str">
            <v xml:space="preserve">    </v>
          </cell>
        </row>
        <row r="213">
          <cell r="E213" t="str">
            <v>Adjustment</v>
          </cell>
          <cell r="L213">
            <v>-21104.080000000002</v>
          </cell>
        </row>
        <row r="215">
          <cell r="A215" t="str">
            <v xml:space="preserve">Adjustment (10) </v>
          </cell>
        </row>
        <row r="217">
          <cell r="A217" t="str">
            <v>To adjust for rate case expense amortized over a five year period.</v>
          </cell>
        </row>
        <row r="219">
          <cell r="C219" t="str">
            <v>Pro forma rate case expense</v>
          </cell>
          <cell r="L219">
            <v>25000</v>
          </cell>
        </row>
        <row r="220">
          <cell r="C220" t="str">
            <v>Amortize over 5 years</v>
          </cell>
          <cell r="L220">
            <v>5</v>
          </cell>
        </row>
        <row r="222">
          <cell r="C222" t="str">
            <v>Annual expense</v>
          </cell>
          <cell r="L222">
            <v>5000</v>
          </cell>
        </row>
        <row r="223">
          <cell r="C223" t="str">
            <v>Less test year expense</v>
          </cell>
          <cell r="L223">
            <v>-250</v>
          </cell>
        </row>
        <row r="225">
          <cell r="E225" t="str">
            <v>Adjustment</v>
          </cell>
          <cell r="L225">
            <v>4750</v>
          </cell>
        </row>
        <row r="233">
          <cell r="A233" t="str">
            <v>(Continued on next page)</v>
          </cell>
        </row>
        <row r="235">
          <cell r="A235" t="str">
            <v>(Subject to the comments in the attached</v>
          </cell>
        </row>
        <row r="236">
          <cell r="A236" t="str">
            <v>letter dated May 26, 2005 of Umbaugh.)</v>
          </cell>
        </row>
        <row r="238">
          <cell r="A238" t="str">
            <v>5</v>
          </cell>
        </row>
        <row r="239">
          <cell r="A239" t="str">
            <v>BOONVILLE (INDIANA) MUNICIPAL WATER UTILITY</v>
          </cell>
        </row>
        <row r="240">
          <cell r="L240" t="str">
            <v>(Cont'd)</v>
          </cell>
        </row>
        <row r="241">
          <cell r="A241" t="str">
            <v>PRO FORMA ANNUAL CASH OPERATING EXPENSES</v>
          </cell>
        </row>
        <row r="242">
          <cell r="A242" t="str">
            <v>Explanation of adjustments</v>
          </cell>
        </row>
        <row r="243">
          <cell r="A243" t="str">
            <v>No inflation adjustment made.</v>
          </cell>
        </row>
        <row r="246">
          <cell r="A246" t="str">
            <v xml:space="preserve">Adjustment (11) </v>
          </cell>
        </row>
        <row r="248">
          <cell r="A248" t="str">
            <v>To adjust test year expenses to reflect pro forma annual periodic maintenance expenses,</v>
          </cell>
        </row>
        <row r="249">
          <cell r="A249" t="str">
            <v>as determined by the utility manager.</v>
          </cell>
        </row>
        <row r="251">
          <cell r="A251" t="str">
            <v>A.</v>
          </cell>
          <cell r="C251" t="str">
            <v>Tank Maintenance:</v>
          </cell>
        </row>
        <row r="252">
          <cell r="C252" t="str">
            <v xml:space="preserve">   Elevated tanks (500 MG) (2 @ $97,498)</v>
          </cell>
          <cell r="J252">
            <v>194996</v>
          </cell>
        </row>
        <row r="253">
          <cell r="C253" t="str">
            <v xml:space="preserve">   Ground level tank (1.6 MG)</v>
          </cell>
          <cell r="J253">
            <v>12000</v>
          </cell>
        </row>
        <row r="254">
          <cell r="C254" t="str">
            <v xml:space="preserve">   Ground level tank (500 MG)</v>
          </cell>
          <cell r="J254">
            <v>9250</v>
          </cell>
        </row>
        <row r="256">
          <cell r="C256" t="str">
            <v xml:space="preserve">        Total</v>
          </cell>
          <cell r="J256">
            <v>216246</v>
          </cell>
        </row>
        <row r="257">
          <cell r="C257" t="str">
            <v xml:space="preserve">   Amortize over fifteen years</v>
          </cell>
          <cell r="J257">
            <v>15</v>
          </cell>
        </row>
        <row r="259">
          <cell r="C259" t="str">
            <v xml:space="preserve">        Sub-total</v>
          </cell>
          <cell r="L259">
            <v>14416.4</v>
          </cell>
        </row>
        <row r="261">
          <cell r="A261" t="str">
            <v>B.</v>
          </cell>
          <cell r="C261" t="str">
            <v>Wells:</v>
          </cell>
        </row>
        <row r="262">
          <cell r="C262" t="str">
            <v xml:space="preserve">   Well cleaning (6 wells @ $9,350)</v>
          </cell>
          <cell r="J262">
            <v>56100</v>
          </cell>
        </row>
        <row r="263">
          <cell r="C263" t="str">
            <v xml:space="preserve">   Amortize over 3 years</v>
          </cell>
          <cell r="J263">
            <v>3</v>
          </cell>
        </row>
        <row r="265">
          <cell r="C265" t="str">
            <v xml:space="preserve">        Sub-total</v>
          </cell>
          <cell r="L265">
            <v>18700</v>
          </cell>
        </row>
        <row r="267">
          <cell r="A267" t="str">
            <v>C.</v>
          </cell>
          <cell r="C267" t="str">
            <v>Clear Wells:</v>
          </cell>
        </row>
        <row r="268">
          <cell r="C268" t="str">
            <v xml:space="preserve">   Well cleaning (2 clear wells @ $10,000)</v>
          </cell>
          <cell r="J268">
            <v>20000</v>
          </cell>
        </row>
        <row r="269">
          <cell r="C269" t="str">
            <v xml:space="preserve">   Amortized over 5 years</v>
          </cell>
          <cell r="J269">
            <v>5</v>
          </cell>
        </row>
        <row r="271">
          <cell r="C271" t="str">
            <v xml:space="preserve">        Sub-total</v>
          </cell>
          <cell r="L271">
            <v>4000</v>
          </cell>
        </row>
        <row r="273">
          <cell r="A273" t="str">
            <v>D.</v>
          </cell>
          <cell r="C273" t="str">
            <v>Filters:</v>
          </cell>
        </row>
        <row r="274">
          <cell r="C274" t="str">
            <v xml:space="preserve">   Cost of overhauling filters (6 filters @ $10,000)</v>
          </cell>
          <cell r="J274">
            <v>60000</v>
          </cell>
        </row>
        <row r="275">
          <cell r="C275" t="str">
            <v xml:space="preserve">   Amortize over ten years</v>
          </cell>
          <cell r="J275">
            <v>10</v>
          </cell>
        </row>
        <row r="277">
          <cell r="C277" t="str">
            <v xml:space="preserve">        Sub-total</v>
          </cell>
          <cell r="L277">
            <v>6000</v>
          </cell>
        </row>
        <row r="279">
          <cell r="A279" t="str">
            <v>E.</v>
          </cell>
          <cell r="C279" t="str">
            <v>Pumping:</v>
          </cell>
        </row>
        <row r="280">
          <cell r="C280" t="str">
            <v xml:space="preserve">   High service booster pump maintenance (2 pumps @ $4,000)</v>
          </cell>
          <cell r="J280">
            <v>8000</v>
          </cell>
        </row>
        <row r="281">
          <cell r="C281" t="str">
            <v xml:space="preserve">   Raw booster pump maintenance (2 pumps @ $4,000)</v>
          </cell>
          <cell r="J281">
            <v>8000</v>
          </cell>
        </row>
        <row r="282">
          <cell r="C282" t="str">
            <v xml:space="preserve">   EBY booster pump maintenance (2 pumps @ $4,000)</v>
          </cell>
          <cell r="J282">
            <v>8000</v>
          </cell>
        </row>
        <row r="284">
          <cell r="C284" t="str">
            <v xml:space="preserve">        Total</v>
          </cell>
          <cell r="J284">
            <v>24000</v>
          </cell>
        </row>
        <row r="285">
          <cell r="C285" t="str">
            <v xml:space="preserve">   Amortize over ten years</v>
          </cell>
          <cell r="J285">
            <v>10</v>
          </cell>
        </row>
        <row r="287">
          <cell r="C287" t="str">
            <v xml:space="preserve">        Sub-total</v>
          </cell>
          <cell r="L287">
            <v>2400</v>
          </cell>
        </row>
        <row r="289">
          <cell r="C289" t="str">
            <v>Pro forma annual periodic maintenance expense</v>
          </cell>
          <cell r="L289">
            <v>45516.4</v>
          </cell>
        </row>
        <row r="290">
          <cell r="C290" t="str">
            <v>Less test year periodic maintenance expense</v>
          </cell>
          <cell r="L290">
            <v>-769</v>
          </cell>
        </row>
        <row r="292">
          <cell r="E292" t="str">
            <v>Adjustment</v>
          </cell>
          <cell r="L292">
            <v>44747.4</v>
          </cell>
        </row>
        <row r="294">
          <cell r="A294" t="str">
            <v>(Continued on next page)</v>
          </cell>
        </row>
        <row r="296">
          <cell r="A296" t="str">
            <v>(Subject to the comments in the attached</v>
          </cell>
        </row>
        <row r="297">
          <cell r="A297" t="str">
            <v>letter dated May 26, 2005 of Umbaugh.)</v>
          </cell>
        </row>
        <row r="299">
          <cell r="A299" t="str">
            <v>6</v>
          </cell>
        </row>
        <row r="300">
          <cell r="A300" t="str">
            <v>BOONVILLE (INDIANA) MUNICIPAL WATER UTILITY</v>
          </cell>
        </row>
        <row r="301">
          <cell r="L301" t="str">
            <v>(Cont'd)</v>
          </cell>
        </row>
        <row r="302">
          <cell r="A302" t="str">
            <v>PRO FORMA ANNUAL CASH OPERATING EXPENSES</v>
          </cell>
        </row>
        <row r="303">
          <cell r="A303" t="str">
            <v>Explanation of adjustments</v>
          </cell>
        </row>
        <row r="304">
          <cell r="A304" t="str">
            <v>No inflation adjustment made.</v>
          </cell>
        </row>
        <row r="307">
          <cell r="A307" t="str">
            <v>Adjustment (12)</v>
          </cell>
        </row>
        <row r="309">
          <cell r="A309" t="str">
            <v>To adjust test year expenses to normalize for the pro forma effects of users</v>
          </cell>
        </row>
        <row r="310">
          <cell r="A310" t="str">
            <v>added to the system during the test year.</v>
          </cell>
        </row>
        <row r="312">
          <cell r="A312" t="str">
            <v>(A)</v>
          </cell>
          <cell r="C312" t="str">
            <v>Pro forma annual increase in residential gallons sold due</v>
          </cell>
        </row>
        <row r="313">
          <cell r="C313" t="str">
            <v>to new users (78 monthly bills at 4,800 gallons</v>
          </cell>
        </row>
        <row r="314">
          <cell r="C314" t="str">
            <v>per month, see page 14)</v>
          </cell>
          <cell r="J314">
            <v>3549</v>
          </cell>
          <cell r="L314" t="str">
            <v>/100 gallons</v>
          </cell>
        </row>
        <row r="315">
          <cell r="C315" t="str">
            <v>Pro forma annual increase in commercial gallons sold due</v>
          </cell>
        </row>
        <row r="316">
          <cell r="C316" t="str">
            <v>to new users (10 monthly bills at 19,900 gallons</v>
          </cell>
        </row>
        <row r="317">
          <cell r="C317" t="str">
            <v>per month, see page 15)</v>
          </cell>
          <cell r="J317">
            <v>1716</v>
          </cell>
          <cell r="L317" t="str">
            <v>/100 gallons</v>
          </cell>
        </row>
        <row r="319">
          <cell r="C319" t="str">
            <v>Sub-total</v>
          </cell>
          <cell r="J319">
            <v>5265</v>
          </cell>
        </row>
        <row r="320">
          <cell r="C320" t="str">
            <v>Divide by test year billed flow to residential</v>
          </cell>
        </row>
        <row r="321">
          <cell r="C321" t="str">
            <v xml:space="preserve">  and commercial customers</v>
          </cell>
          <cell r="J321">
            <v>2707960</v>
          </cell>
        </row>
        <row r="323">
          <cell r="C323" t="str">
            <v xml:space="preserve">     Percentage increase</v>
          </cell>
          <cell r="J323">
            <v>0</v>
          </cell>
        </row>
        <row r="326">
          <cell r="H326" t="str">
            <v>Test Year</v>
          </cell>
          <cell r="J326" t="str">
            <v>Percentage</v>
          </cell>
        </row>
        <row r="327">
          <cell r="H327" t="str">
            <v>Expense</v>
          </cell>
          <cell r="J327" t="str">
            <v>Increase</v>
          </cell>
          <cell r="L327" t="str">
            <v>Adjustment</v>
          </cell>
        </row>
        <row r="328">
          <cell r="J328" t="str">
            <v>(%)</v>
          </cell>
        </row>
        <row r="330">
          <cell r="A330" t="str">
            <v>(A)</v>
          </cell>
          <cell r="C330" t="str">
            <v>Purchased power-source of supply</v>
          </cell>
          <cell r="H330">
            <v>43996</v>
          </cell>
          <cell r="J330">
            <v>0</v>
          </cell>
          <cell r="L330">
            <v>0</v>
          </cell>
        </row>
        <row r="331">
          <cell r="A331" t="str">
            <v>(A)</v>
          </cell>
          <cell r="C331" t="str">
            <v>Purchased power-treatment</v>
          </cell>
          <cell r="H331">
            <v>99872</v>
          </cell>
          <cell r="J331">
            <v>0</v>
          </cell>
          <cell r="L331">
            <v>0</v>
          </cell>
        </row>
        <row r="333">
          <cell r="E333" t="str">
            <v>Adjustment</v>
          </cell>
          <cell r="L333">
            <v>0</v>
          </cell>
        </row>
        <row r="355">
          <cell r="A355" t="str">
            <v>(Continued on next page)</v>
          </cell>
        </row>
        <row r="357">
          <cell r="A357" t="str">
            <v>(Subject to the comments in the attached</v>
          </cell>
        </row>
        <row r="358">
          <cell r="A358" t="str">
            <v>letter dated May 26, 2005 of Umbaugh.)</v>
          </cell>
        </row>
        <row r="360">
          <cell r="A360" t="str">
            <v>7</v>
          </cell>
        </row>
        <row r="361">
          <cell r="A361" t="str">
            <v>BOONVILLE (INDIANA) MUNICIPAL WATER UTILITY</v>
          </cell>
        </row>
        <row r="362">
          <cell r="L362" t="str">
            <v>(Cont'd)</v>
          </cell>
        </row>
        <row r="363">
          <cell r="A363" t="str">
            <v>PRO FORMA ANNUAL CASH OPERATING EXPENSES</v>
          </cell>
        </row>
        <row r="364">
          <cell r="A364" t="str">
            <v>Explanation of adjustments</v>
          </cell>
        </row>
        <row r="365">
          <cell r="A365" t="str">
            <v>No inflation adjustment made.</v>
          </cell>
        </row>
        <row r="368">
          <cell r="A368" t="str">
            <v>Adjustment (13)</v>
          </cell>
        </row>
        <row r="370">
          <cell r="A370" t="str">
            <v>To adjust test year telephone expense to reflect the most current monthly service fee.</v>
          </cell>
        </row>
        <row r="372">
          <cell r="B372" t="str">
            <v>Pro forma telephone expenses ($234.70 times 12 months)</v>
          </cell>
          <cell r="L372">
            <v>2816</v>
          </cell>
        </row>
        <row r="373">
          <cell r="B373" t="str">
            <v>Less test year expense</v>
          </cell>
          <cell r="L373">
            <v>-2608</v>
          </cell>
        </row>
        <row r="375">
          <cell r="E375" t="str">
            <v>Adjustment</v>
          </cell>
          <cell r="L375">
            <v>208</v>
          </cell>
        </row>
        <row r="378">
          <cell r="A378" t="str">
            <v>Adjustment (14)</v>
          </cell>
        </row>
        <row r="380">
          <cell r="A380" t="str">
            <v>To adjust test year general liability insurance expense to reflect the most current premium</v>
          </cell>
        </row>
        <row r="381">
          <cell r="A381" t="str">
            <v>and the absorption of costs previously allocated to the electric utility.</v>
          </cell>
        </row>
        <row r="383">
          <cell r="B383" t="str">
            <v xml:space="preserve">Quarterly general liability premium previously </v>
          </cell>
        </row>
        <row r="384">
          <cell r="B384" t="str">
            <v xml:space="preserve">  allocated to the electric utility</v>
          </cell>
          <cell r="L384">
            <v>334</v>
          </cell>
        </row>
        <row r="385">
          <cell r="B385" t="str">
            <v xml:space="preserve">Times pro forma percentage allocable to the water utility </v>
          </cell>
          <cell r="L385">
            <v>0.5</v>
          </cell>
        </row>
        <row r="387">
          <cell r="B387" t="str">
            <v>Sub-total</v>
          </cell>
          <cell r="L387">
            <v>167</v>
          </cell>
        </row>
        <row r="388">
          <cell r="B388" t="str">
            <v>Times 4 quarters</v>
          </cell>
          <cell r="L388">
            <v>4</v>
          </cell>
        </row>
        <row r="390">
          <cell r="B390" t="str">
            <v>Pro forma general liability insurance allocated to the water utility</v>
          </cell>
          <cell r="L390">
            <v>668</v>
          </cell>
        </row>
        <row r="391">
          <cell r="B391" t="str">
            <v>Less test year expense</v>
          </cell>
          <cell r="L391">
            <v>0</v>
          </cell>
        </row>
        <row r="393">
          <cell r="E393" t="str">
            <v>Adjustment</v>
          </cell>
          <cell r="L393">
            <v>668</v>
          </cell>
        </row>
        <row r="416">
          <cell r="A416" t="str">
            <v>(Continued on next page)</v>
          </cell>
        </row>
        <row r="418">
          <cell r="A418" t="str">
            <v>(Subject to the comments in the attached</v>
          </cell>
        </row>
        <row r="419">
          <cell r="A419" t="str">
            <v>letter dated May 26, 2005 of Umbaugh.)</v>
          </cell>
        </row>
        <row r="421">
          <cell r="A421" t="str">
            <v>8</v>
          </cell>
        </row>
        <row r="422">
          <cell r="A422" t="str">
            <v>BOONVILLE (INDIANA) MUNICIPAL WATER UTILITY</v>
          </cell>
        </row>
        <row r="423">
          <cell r="L423" t="str">
            <v>(Cont'd)</v>
          </cell>
        </row>
        <row r="424">
          <cell r="A424" t="str">
            <v>PRO FORMA ANNUAL CASH OPERATING EXPENSES</v>
          </cell>
        </row>
        <row r="425">
          <cell r="A425" t="str">
            <v>Explanation of adjustments</v>
          </cell>
        </row>
        <row r="426">
          <cell r="A426" t="str">
            <v>No inflation adjustment made.</v>
          </cell>
        </row>
        <row r="429">
          <cell r="A429" t="str">
            <v>Adjustment (15)</v>
          </cell>
        </row>
        <row r="431">
          <cell r="A431" t="str">
            <v>To adjust test year property and equipment insurance expense to reflect the most current premium</v>
          </cell>
        </row>
        <row r="432">
          <cell r="A432" t="str">
            <v>and the absorption of costs previously allocated to the electric utility.</v>
          </cell>
        </row>
        <row r="434">
          <cell r="B434" t="str">
            <v>Quarterly property and equipment insurance premium</v>
          </cell>
        </row>
        <row r="435">
          <cell r="B435" t="str">
            <v xml:space="preserve">  previously allocated to the electric utility</v>
          </cell>
          <cell r="L435">
            <v>826.25</v>
          </cell>
        </row>
        <row r="436">
          <cell r="B436" t="str">
            <v xml:space="preserve">Times pro forma percentage allocable to the water utility </v>
          </cell>
          <cell r="L436">
            <v>0.5</v>
          </cell>
        </row>
        <row r="438">
          <cell r="B438" t="str">
            <v>Sub-total</v>
          </cell>
          <cell r="L438">
            <v>413.125</v>
          </cell>
        </row>
        <row r="439">
          <cell r="B439" t="str">
            <v>Add existing quarterly premium allocated to the water utility</v>
          </cell>
          <cell r="L439">
            <v>826.25</v>
          </cell>
        </row>
        <row r="441">
          <cell r="B441" t="str">
            <v>Pro forma quarterly premium</v>
          </cell>
          <cell r="L441">
            <v>1239</v>
          </cell>
        </row>
        <row r="442">
          <cell r="B442" t="str">
            <v>Times 4 quarters</v>
          </cell>
          <cell r="L442">
            <v>4</v>
          </cell>
        </row>
        <row r="444">
          <cell r="B444" t="str">
            <v>Pro forma property and equipment insurance allocated to the water utility</v>
          </cell>
          <cell r="L444">
            <v>4956</v>
          </cell>
        </row>
        <row r="445">
          <cell r="B445" t="str">
            <v>Less test year expense</v>
          </cell>
          <cell r="L445">
            <v>-2476</v>
          </cell>
        </row>
        <row r="447">
          <cell r="E447" t="str">
            <v>Adjustment</v>
          </cell>
          <cell r="L447">
            <v>2480</v>
          </cell>
        </row>
        <row r="450">
          <cell r="A450" t="str">
            <v>Adjustment (16)</v>
          </cell>
        </row>
        <row r="452">
          <cell r="A452" t="str">
            <v>To adjust test year public officials insurance expense to reflect the portion of the most</v>
          </cell>
        </row>
        <row r="453">
          <cell r="A453" t="str">
            <v>current premium to be allocated to the water utility.</v>
          </cell>
        </row>
        <row r="455">
          <cell r="B455" t="str">
            <v>Quarterly public officials insurance premium to be allocated</v>
          </cell>
        </row>
        <row r="456">
          <cell r="B456" t="str">
            <v xml:space="preserve">  to the water utility ($1,650 divided by 6 departments)</v>
          </cell>
          <cell r="L456">
            <v>275</v>
          </cell>
        </row>
        <row r="457">
          <cell r="B457" t="str">
            <v>Times 4 quarters</v>
          </cell>
          <cell r="L457">
            <v>4</v>
          </cell>
        </row>
        <row r="459">
          <cell r="B459" t="str">
            <v>Pro forma public officials insurance allocated to the water utility</v>
          </cell>
          <cell r="L459">
            <v>1100</v>
          </cell>
        </row>
        <row r="460">
          <cell r="B460" t="str">
            <v>Less test year expense</v>
          </cell>
          <cell r="L460">
            <v>0</v>
          </cell>
        </row>
        <row r="462">
          <cell r="E462" t="str">
            <v>Adjustment</v>
          </cell>
          <cell r="L462">
            <v>1100</v>
          </cell>
        </row>
        <row r="477">
          <cell r="A477" t="str">
            <v>(Continued on next page)</v>
          </cell>
        </row>
        <row r="479">
          <cell r="A479" t="str">
            <v>(Subject to the comments in the attached</v>
          </cell>
        </row>
        <row r="480">
          <cell r="A480" t="str">
            <v>letter dated May 26, 2005 of Umbaugh.)</v>
          </cell>
        </row>
        <row r="482">
          <cell r="A482" t="str">
            <v>9</v>
          </cell>
        </row>
        <row r="483">
          <cell r="A483" t="str">
            <v>BOONVILLE (INDIANA) MUNICIPAL WATER UTILITY</v>
          </cell>
        </row>
        <row r="484">
          <cell r="L484" t="str">
            <v>(Cont'd)</v>
          </cell>
        </row>
        <row r="485">
          <cell r="A485" t="str">
            <v>PRO FORMA ANNUAL CASH OPERATING EXPENSES</v>
          </cell>
        </row>
        <row r="486">
          <cell r="A486" t="str">
            <v>Explanation of adjustments</v>
          </cell>
        </row>
        <row r="487">
          <cell r="A487" t="str">
            <v>No inflation adjustment made.</v>
          </cell>
        </row>
        <row r="490">
          <cell r="A490" t="str">
            <v>Adjustment (17)</v>
          </cell>
        </row>
        <row r="492">
          <cell r="A492" t="str">
            <v>To adjust test year water utility operation and maintenance expense to reflect those</v>
          </cell>
        </row>
        <row r="493">
          <cell r="A493" t="str">
            <v>costs previously charged to the electric utility that will remain the responsibility of the</v>
          </cell>
        </row>
        <row r="494">
          <cell r="A494" t="str">
            <v xml:space="preserve">City of Boonville and be charged to other departments.  </v>
          </cell>
        </row>
        <row r="495">
          <cell r="L495" t="str">
            <v>Amount</v>
          </cell>
        </row>
        <row r="496">
          <cell r="L496" t="str">
            <v>Allocated to the</v>
          </cell>
        </row>
        <row r="497">
          <cell r="B497" t="str">
            <v>Vendor</v>
          </cell>
          <cell r="L497" t="str">
            <v>Water Utility</v>
          </cell>
        </row>
        <row r="499">
          <cell r="B499" t="str">
            <v>A.E. Boyce</v>
          </cell>
          <cell r="L499">
            <v>732</v>
          </cell>
        </row>
        <row r="500">
          <cell r="B500" t="str">
            <v>Action Pest Control</v>
          </cell>
          <cell r="L500">
            <v>97</v>
          </cell>
        </row>
        <row r="501">
          <cell r="B501" t="str">
            <v>Aramark Uniform Services</v>
          </cell>
          <cell r="L501">
            <v>409</v>
          </cell>
        </row>
        <row r="502">
          <cell r="B502" t="str">
            <v>Ameritech</v>
          </cell>
          <cell r="L502">
            <v>205</v>
          </cell>
        </row>
        <row r="503">
          <cell r="B503" t="str">
            <v>Boonville Natural Gas</v>
          </cell>
          <cell r="L503">
            <v>366</v>
          </cell>
        </row>
        <row r="504">
          <cell r="B504" t="str">
            <v>CNG Appliances</v>
          </cell>
          <cell r="L504">
            <v>35</v>
          </cell>
        </row>
        <row r="505">
          <cell r="B505" t="str">
            <v>Charmark Computer Services</v>
          </cell>
          <cell r="L505">
            <v>1852</v>
          </cell>
        </row>
        <row r="506">
          <cell r="B506" t="str">
            <v>Diebold Inc.</v>
          </cell>
          <cell r="L506">
            <v>184</v>
          </cell>
        </row>
        <row r="507">
          <cell r="B507" t="str">
            <v>Ikon Office Solutions</v>
          </cell>
          <cell r="L507">
            <v>408</v>
          </cell>
        </row>
        <row r="508">
          <cell r="B508" t="str">
            <v>Killion Office Products</v>
          </cell>
          <cell r="L508">
            <v>2545</v>
          </cell>
        </row>
        <row r="509">
          <cell r="B509" t="str">
            <v>Lang Company</v>
          </cell>
          <cell r="L509">
            <v>488</v>
          </cell>
        </row>
        <row r="510">
          <cell r="B510" t="str">
            <v>McNeely Insurance</v>
          </cell>
          <cell r="L510">
            <v>4703</v>
          </cell>
        </row>
        <row r="511">
          <cell r="B511" t="str">
            <v>Pitney Bowes</v>
          </cell>
          <cell r="L511">
            <v>553</v>
          </cell>
        </row>
        <row r="512">
          <cell r="B512" t="str">
            <v>Starbrite Window Cleaning</v>
          </cell>
          <cell r="L512">
            <v>64</v>
          </cell>
        </row>
        <row r="513">
          <cell r="B513" t="str">
            <v>Servpro</v>
          </cell>
          <cell r="L513">
            <v>291</v>
          </cell>
        </row>
        <row r="514">
          <cell r="B514" t="str">
            <v>US Postmaster</v>
          </cell>
          <cell r="L514">
            <v>4069</v>
          </cell>
        </row>
        <row r="515">
          <cell r="B515" t="str">
            <v>Wal-Mart</v>
          </cell>
          <cell r="L515">
            <v>226</v>
          </cell>
        </row>
        <row r="516">
          <cell r="B516" t="str">
            <v>Xerox Corp.</v>
          </cell>
          <cell r="L516">
            <v>135</v>
          </cell>
        </row>
        <row r="518">
          <cell r="E518" t="str">
            <v>Adjustment</v>
          </cell>
          <cell r="L518">
            <v>17362</v>
          </cell>
        </row>
        <row r="538">
          <cell r="A538" t="str">
            <v>(Continued on next page)</v>
          </cell>
        </row>
        <row r="540">
          <cell r="A540" t="str">
            <v>(Subject to the comments in the attached</v>
          </cell>
        </row>
        <row r="541">
          <cell r="A541" t="str">
            <v>letter dated May 26, 2005 of Umbaugh.)</v>
          </cell>
        </row>
        <row r="543">
          <cell r="A543" t="str">
            <v>10</v>
          </cell>
        </row>
        <row r="544">
          <cell r="A544" t="str">
            <v>BOONVILLE (INDIANA) MUNICIPAL WATER UTILITY</v>
          </cell>
        </row>
        <row r="545">
          <cell r="L545" t="str">
            <v>(Cont'd)</v>
          </cell>
        </row>
        <row r="546">
          <cell r="A546" t="str">
            <v>PRO FORMA ANNUAL CASH OPERATING EXPENSES</v>
          </cell>
        </row>
        <row r="547">
          <cell r="A547" t="str">
            <v>Explanation of adjustments</v>
          </cell>
        </row>
        <row r="548">
          <cell r="A548" t="str">
            <v>No inflation adjustment made.</v>
          </cell>
        </row>
        <row r="551">
          <cell r="A551" t="str">
            <v>Adjustment (18)</v>
          </cell>
        </row>
        <row r="553">
          <cell r="A553" t="str">
            <v xml:space="preserve">To provide for payment in lieu of property taxes which would have been received </v>
          </cell>
        </row>
        <row r="554">
          <cell r="A554" t="str">
            <v>had the Utility been privately owned.</v>
          </cell>
        </row>
        <row r="556">
          <cell r="C556" t="str">
            <v>Utility plant in service at 6/30/04  (unaudited)</v>
          </cell>
          <cell r="L556">
            <v>5169797</v>
          </cell>
        </row>
        <row r="557">
          <cell r="C557" t="str">
            <v>Less accumulated depreciation</v>
          </cell>
          <cell r="L557">
            <v>45810</v>
          </cell>
        </row>
        <row r="558">
          <cell r="C558" t="str">
            <v>Add capitalized items in test year</v>
          </cell>
          <cell r="L558">
            <v>46577.08</v>
          </cell>
        </row>
        <row r="560">
          <cell r="C560" t="str">
            <v>Net utility plant in service</v>
          </cell>
          <cell r="L560">
            <v>5262184.08</v>
          </cell>
        </row>
        <row r="561">
          <cell r="C561" t="str">
            <v>Divide by 3</v>
          </cell>
          <cell r="L561">
            <v>3</v>
          </cell>
        </row>
        <row r="563">
          <cell r="E563" t="str">
            <v>Estimated net assessed value</v>
          </cell>
          <cell r="L563">
            <v>1754061</v>
          </cell>
        </row>
        <row r="565">
          <cell r="C565" t="str">
            <v>Payment in lieu of taxes based on the corporate tax rate of $4.3800</v>
          </cell>
        </row>
        <row r="566">
          <cell r="C566" t="str">
            <v xml:space="preserve">   per $100 of assessed value for taxes payable in 2005 (rate net of </v>
          </cell>
        </row>
        <row r="567">
          <cell r="C567" t="str">
            <v xml:space="preserve">   15.9966% property tax replacement credit is $3.6793)</v>
          </cell>
          <cell r="L567">
            <v>64538</v>
          </cell>
        </row>
        <row r="569">
          <cell r="C569" t="str">
            <v>Less test year expense</v>
          </cell>
          <cell r="L569">
            <v>-5000</v>
          </cell>
        </row>
        <row r="571">
          <cell r="E571" t="str">
            <v>Adjustment</v>
          </cell>
          <cell r="L571">
            <v>59538</v>
          </cell>
        </row>
        <row r="574">
          <cell r="A574" t="str">
            <v>Adjustment (19)</v>
          </cell>
        </row>
        <row r="576">
          <cell r="A576" t="str">
            <v>To provide for pro forma gross income tax.</v>
          </cell>
        </row>
        <row r="578">
          <cell r="C578" t="str">
            <v>Test year revenues</v>
          </cell>
          <cell r="L578">
            <v>2735078</v>
          </cell>
        </row>
        <row r="579">
          <cell r="C579" t="str">
            <v>Plus normalized revenues (see page 14)</v>
          </cell>
          <cell r="L579">
            <v>1770.6</v>
          </cell>
        </row>
        <row r="580">
          <cell r="C580" t="str">
            <v>Less 1/2 of exemption</v>
          </cell>
          <cell r="L580">
            <v>-500</v>
          </cell>
        </row>
        <row r="581">
          <cell r="C581" t="str">
            <v>Less test year municipal hydrant rental</v>
          </cell>
          <cell r="L581">
            <v>-1123562</v>
          </cell>
        </row>
        <row r="583">
          <cell r="C583" t="str">
            <v>Sub-total</v>
          </cell>
          <cell r="L583">
            <v>1612786.6</v>
          </cell>
        </row>
        <row r="584">
          <cell r="C584" t="str">
            <v>Times corporate tax rate</v>
          </cell>
          <cell r="L584">
            <v>1.2E-2</v>
          </cell>
        </row>
        <row r="586">
          <cell r="C586" t="str">
            <v>Pro forma gross income tax</v>
          </cell>
          <cell r="L586">
            <v>19353</v>
          </cell>
        </row>
        <row r="587">
          <cell r="C587" t="str">
            <v>Less test year expense</v>
          </cell>
          <cell r="L587">
            <v>-11865</v>
          </cell>
        </row>
        <row r="589">
          <cell r="E589" t="str">
            <v>Adjustment</v>
          </cell>
          <cell r="L589">
            <v>7488</v>
          </cell>
        </row>
        <row r="599">
          <cell r="A599" t="str">
            <v>(Continued on next page)</v>
          </cell>
        </row>
        <row r="601">
          <cell r="A601" t="str">
            <v>(Subject to the comments in the attached</v>
          </cell>
        </row>
        <row r="602">
          <cell r="A602" t="str">
            <v>letter dated May 26, 2005 of Umbaugh.)</v>
          </cell>
        </row>
        <row r="604">
          <cell r="A604" t="str">
            <v>11</v>
          </cell>
        </row>
      </sheetData>
      <sheetData sheetId="7" refreshError="1">
        <row r="1">
          <cell r="A1" t="str">
            <v>GREENSBURG (INDIANA) MUNICIPAL SEWAGE WORKS</v>
          </cell>
        </row>
        <row r="2">
          <cell r="K2" t="str">
            <v>Phase I</v>
          </cell>
        </row>
        <row r="3">
          <cell r="A3" t="str">
            <v>SUMMARY OF PRO FORMA REVENUE REQUIREMENTS</v>
          </cell>
        </row>
        <row r="4">
          <cell r="A4" t="str">
            <v>AND AVAILABLE REVENUES</v>
          </cell>
        </row>
        <row r="5">
          <cell r="A5" t="str">
            <v>See Explanation of Adjustments, Page 17.</v>
          </cell>
        </row>
        <row r="7">
          <cell r="G7" t="str">
            <v>Alternatives</v>
          </cell>
        </row>
        <row r="8">
          <cell r="G8" t="str">
            <v>A</v>
          </cell>
          <cell r="I8" t="str">
            <v>B</v>
          </cell>
          <cell r="K8" t="str">
            <v>C</v>
          </cell>
        </row>
        <row r="9">
          <cell r="A9" t="str">
            <v>Revenue Requirements:</v>
          </cell>
        </row>
        <row r="10">
          <cell r="B10" t="str">
            <v>Operation and maintenance expense (1)</v>
          </cell>
        </row>
        <row r="12">
          <cell r="B12" t="str">
            <v>Additional gross income tax (2)</v>
          </cell>
        </row>
        <row r="14">
          <cell r="B14" t="str">
            <v>Additional allowance for PILT (2a)</v>
          </cell>
        </row>
        <row r="16">
          <cell r="B16" t="str">
            <v>Debt service:</v>
          </cell>
        </row>
        <row r="17">
          <cell r="C17" t="str">
            <v>Outstanding:</v>
          </cell>
        </row>
        <row r="18">
          <cell r="D18" t="str">
            <v>1989 Bonds (3)</v>
          </cell>
        </row>
        <row r="19">
          <cell r="D19" t="str">
            <v>PSG Loan (4)</v>
          </cell>
        </row>
        <row r="22">
          <cell r="B22" t="str">
            <v>Debt service reserves:</v>
          </cell>
        </row>
        <row r="23">
          <cell r="C23" t="str">
            <v>Proposed (funded over five years)</v>
          </cell>
        </row>
        <row r="25">
          <cell r="B25" t="str">
            <v>Allowance for replacements and improvements (5)</v>
          </cell>
        </row>
        <row r="27">
          <cell r="D27" t="str">
            <v>Sub-total</v>
          </cell>
        </row>
        <row r="28">
          <cell r="B28" t="str">
            <v>Less interest income (6)</v>
          </cell>
        </row>
        <row r="30">
          <cell r="D30" t="str">
            <v>Total Revenue Requirements</v>
          </cell>
        </row>
        <row r="32">
          <cell r="A32" t="str">
            <v>Available Revenues:</v>
          </cell>
        </row>
        <row r="33">
          <cell r="B33" t="str">
            <v>Normalized metered sales (7)</v>
          </cell>
        </row>
        <row r="34">
          <cell r="B34" t="str">
            <v>Hydrant rental (6)</v>
          </cell>
        </row>
        <row r="36">
          <cell r="C36" t="str">
            <v>Sub-total</v>
          </cell>
        </row>
        <row r="37">
          <cell r="B37" t="str">
            <v>Penalties (6)</v>
          </cell>
        </row>
        <row r="38">
          <cell r="B38" t="str">
            <v>Tap-in fees (6)</v>
          </cell>
        </row>
        <row r="39">
          <cell r="B39" t="str">
            <v>Other income (6)</v>
          </cell>
        </row>
        <row r="41">
          <cell r="D41" t="str">
            <v>Total Available Revenues</v>
          </cell>
        </row>
        <row r="43">
          <cell r="A43" t="str">
            <v>Additional Revenues Required</v>
          </cell>
        </row>
        <row r="45">
          <cell r="A45" t="str">
            <v>Percentage Increase Required in Rates and Charges</v>
          </cell>
        </row>
        <row r="47">
          <cell r="A47" t="str">
            <v>Resulting Minimum Monthly Bill</v>
          </cell>
        </row>
        <row r="48">
          <cell r="A48" t="str">
            <v xml:space="preserve">  (Presently $8.68 based on 2,520 gallons)</v>
          </cell>
        </row>
        <row r="50">
          <cell r="A50" t="str">
            <v>Resulting Average Monthly Bill</v>
          </cell>
        </row>
        <row r="51">
          <cell r="A51" t="str">
            <v xml:space="preserve">  (Presently $17.25 based on 5,000 gallons)</v>
          </cell>
        </row>
        <row r="53">
          <cell r="A53" t="str">
            <v>Phase I:</v>
          </cell>
          <cell r="C53" t="str">
            <v>Calculates the immediate additional revenues required.</v>
          </cell>
        </row>
        <row r="54">
          <cell r="A54" t="str">
            <v>Phase II:</v>
          </cell>
          <cell r="C54" t="str">
            <v>Calculates the estimated effects of proposed $8,850,000 in improvement projects.</v>
          </cell>
        </row>
        <row r="55">
          <cell r="A55" t="str">
            <v>Alternative 2:  Represents and allowance for extensions and replacements equal to test year repair and</v>
          </cell>
        </row>
        <row r="56">
          <cell r="A56" t="str">
            <v xml:space="preserve">  maintenance costs in excess of the contracted amount.</v>
          </cell>
        </row>
        <row r="57">
          <cell r="A57" t="str">
            <v>Phase III:</v>
          </cell>
          <cell r="C57" t="str">
            <v>Incorporates the additional depreciation expense and allowance for Payment in Lieu of Taxes resulting</v>
          </cell>
        </row>
        <row r="58">
          <cell r="C58" t="str">
            <v>fromt he proposed improvements.</v>
          </cell>
        </row>
        <row r="60">
          <cell r="A60" t="e">
            <v>#REF!</v>
          </cell>
        </row>
        <row r="62">
          <cell r="A62" t="str">
            <v>(Subject to the comments in the attached</v>
          </cell>
        </row>
        <row r="63">
          <cell r="A63" t="str">
            <v>letter dated May 26, 2005 of Umbaugh.)</v>
          </cell>
        </row>
        <row r="65">
          <cell r="A65" t="str">
            <v>16</v>
          </cell>
        </row>
        <row r="66">
          <cell r="A66" t="str">
            <v>GREENSBURG (INDIANA) MUNICIPAL SEWAGE WORKS</v>
          </cell>
        </row>
        <row r="67">
          <cell r="K67" t="str">
            <v>(Cont'd)</v>
          </cell>
        </row>
        <row r="68">
          <cell r="A68" t="str">
            <v>SUMMARY OF PRO FORMA REVENUE REQUIREMENTS</v>
          </cell>
        </row>
        <row r="69">
          <cell r="A69" t="str">
            <v>AND AVAILABLE REVENUES</v>
          </cell>
        </row>
        <row r="70">
          <cell r="A70" t="str">
            <v>Explanation of Adjustments</v>
          </cell>
        </row>
        <row r="74">
          <cell r="A74">
            <v>-1</v>
          </cell>
          <cell r="B74" t="str">
            <v>To provide for operation and maintenance expenses as explained on pages 2 - 11.</v>
          </cell>
        </row>
        <row r="76">
          <cell r="A76">
            <v>-2</v>
          </cell>
          <cell r="B76" t="str">
            <v>To provide for additional gross income tax.</v>
          </cell>
        </row>
        <row r="77">
          <cell r="B77" t="str">
            <v>Phase I:</v>
          </cell>
        </row>
        <row r="79">
          <cell r="C79" t="str">
            <v>Additional operating revenues requested</v>
          </cell>
          <cell r="K79">
            <v>0</v>
          </cell>
        </row>
        <row r="80">
          <cell r="C80" t="str">
            <v xml:space="preserve">Less portion of increased revenue requirements </v>
          </cell>
        </row>
        <row r="81">
          <cell r="C81" t="str">
            <v xml:space="preserve">  attributable to public fire protection (not subject to tax)</v>
          </cell>
          <cell r="K81">
            <v>0</v>
          </cell>
        </row>
        <row r="83">
          <cell r="D83" t="str">
            <v>Sub-total</v>
          </cell>
          <cell r="K83">
            <v>0</v>
          </cell>
        </row>
        <row r="84">
          <cell r="C84" t="str">
            <v>Times corporate gross income tax rate (1.2%)</v>
          </cell>
          <cell r="K84">
            <v>1.2E-2</v>
          </cell>
        </row>
        <row r="86">
          <cell r="D86" t="str">
            <v>Adjustment</v>
          </cell>
          <cell r="K86">
            <v>0</v>
          </cell>
        </row>
        <row r="88">
          <cell r="B88" t="str">
            <v>Phase II:</v>
          </cell>
        </row>
        <row r="90">
          <cell r="C90" t="str">
            <v>Additional operating revenues requested</v>
          </cell>
          <cell r="K90">
            <v>0</v>
          </cell>
        </row>
        <row r="91">
          <cell r="C91" t="str">
            <v xml:space="preserve">Less portion of increased revenue requirements </v>
          </cell>
        </row>
        <row r="92">
          <cell r="C92" t="str">
            <v xml:space="preserve">  attributable to public fire protection (not subject to tax)</v>
          </cell>
          <cell r="K92">
            <v>0</v>
          </cell>
        </row>
        <row r="94">
          <cell r="D94" t="str">
            <v>Sub-total</v>
          </cell>
          <cell r="K94">
            <v>0</v>
          </cell>
        </row>
        <row r="95">
          <cell r="C95" t="str">
            <v>Times corporate gross income tax rate (1.2%)</v>
          </cell>
          <cell r="K95">
            <v>1.2E-2</v>
          </cell>
        </row>
        <row r="97">
          <cell r="D97" t="str">
            <v>Adjustment</v>
          </cell>
          <cell r="K97">
            <v>0</v>
          </cell>
        </row>
        <row r="99">
          <cell r="B99" t="str">
            <v>Phase III:</v>
          </cell>
        </row>
        <row r="101">
          <cell r="C101" t="str">
            <v>Additional operating revenues requested</v>
          </cell>
          <cell r="K101">
            <v>0</v>
          </cell>
        </row>
        <row r="102">
          <cell r="C102" t="str">
            <v xml:space="preserve">Less portion of increased revenue requirements </v>
          </cell>
        </row>
        <row r="103">
          <cell r="C103" t="str">
            <v xml:space="preserve">  attributable to public fire protection (not subject to tax)</v>
          </cell>
          <cell r="K103">
            <v>0</v>
          </cell>
        </row>
        <row r="105">
          <cell r="D105" t="str">
            <v>Sub-total</v>
          </cell>
          <cell r="K105">
            <v>0</v>
          </cell>
        </row>
        <row r="106">
          <cell r="C106" t="str">
            <v>Times corporate gross income tax rate (1.2%)</v>
          </cell>
          <cell r="K106">
            <v>1.2E-2</v>
          </cell>
        </row>
        <row r="108">
          <cell r="D108" t="str">
            <v>Adjustment</v>
          </cell>
          <cell r="K108">
            <v>0</v>
          </cell>
        </row>
        <row r="110">
          <cell r="A110" t="str">
            <v>(2a)</v>
          </cell>
          <cell r="B110" t="e">
            <v>#VALUE!</v>
          </cell>
        </row>
        <row r="112">
          <cell r="A112">
            <v>-3</v>
          </cell>
          <cell r="B112" t="str">
            <v>To provide for average annual principal and interest on the outstanding bonds, page 28.</v>
          </cell>
        </row>
        <row r="114">
          <cell r="A114">
            <v>-4</v>
          </cell>
          <cell r="B114" t="str">
            <v>To provide for average annual principal and interest on the outstanding Professional Services Group loan, page 29.</v>
          </cell>
        </row>
        <row r="116">
          <cell r="A116">
            <v>-5</v>
          </cell>
          <cell r="B116" t="str">
            <v>Phase I and Phase II:  To provide an allowance for replacements and improvements based on depreciation expense.</v>
          </cell>
        </row>
        <row r="117">
          <cell r="B117" t="str">
            <v>Phase III:  To provide an allowance for replacements and improvements based on depreciation expense - including the</v>
          </cell>
        </row>
        <row r="118">
          <cell r="B118" t="str">
            <v>proposed improvements.</v>
          </cell>
        </row>
        <row r="120">
          <cell r="A120">
            <v>-6</v>
          </cell>
          <cell r="B120" t="str">
            <v>Calculated at test year amounts.</v>
          </cell>
        </row>
        <row r="122">
          <cell r="A122">
            <v>-7</v>
          </cell>
          <cell r="B122" t="str">
            <v>Normalized metered sales, page 14.</v>
          </cell>
        </row>
        <row r="125">
          <cell r="A125" t="str">
            <v>(Subject to the comments in the attached</v>
          </cell>
        </row>
        <row r="126">
          <cell r="A126" t="str">
            <v>letter dated May 26, 2005 of Umbaugh.)</v>
          </cell>
        </row>
        <row r="128">
          <cell r="A128" t="str">
            <v>17</v>
          </cell>
        </row>
      </sheetData>
      <sheetData sheetId="8" refreshError="1"/>
      <sheetData sheetId="9" refreshError="1">
        <row r="1">
          <cell r="A1" t="str">
            <v>GREENSBURG (INDIANA) MUNICIPAL SEWAGE WORKS</v>
          </cell>
        </row>
        <row r="3">
          <cell r="A3" t="str">
            <v>CALCULATION OF NORMALIZED ANNUAL OPERATING REVENUES</v>
          </cell>
        </row>
        <row r="4">
          <cell r="A4" t="str">
            <v>- Residential -</v>
          </cell>
        </row>
        <row r="7">
          <cell r="H7" t="str">
            <v>12 Months</v>
          </cell>
          <cell r="L7" t="str">
            <v>Normalized</v>
          </cell>
        </row>
        <row r="8">
          <cell r="H8" t="str">
            <v>Ended</v>
          </cell>
          <cell r="L8" t="str">
            <v>Annual</v>
          </cell>
        </row>
        <row r="9">
          <cell r="H9">
            <v>38168</v>
          </cell>
          <cell r="J9" t="str">
            <v>Adjustments</v>
          </cell>
          <cell r="L9" t="str">
            <v>Revenues</v>
          </cell>
        </row>
        <row r="10">
          <cell r="A10" t="str">
            <v>Operating Revenues</v>
          </cell>
          <cell r="H10" t="str">
            <v>(Unaudited)</v>
          </cell>
        </row>
        <row r="12">
          <cell r="B12" t="str">
            <v>Metered sales</v>
          </cell>
          <cell r="H12">
            <v>449420</v>
          </cell>
          <cell r="J12">
            <v>1237.8</v>
          </cell>
          <cell r="K12" t="str">
            <v>(1)</v>
          </cell>
          <cell r="L12" t="str">
            <v xml:space="preserve"> </v>
          </cell>
        </row>
        <row r="13">
          <cell r="J13">
            <v>532.79999999999995</v>
          </cell>
          <cell r="K13" t="str">
            <v>(2)</v>
          </cell>
          <cell r="L13">
            <v>451190.6</v>
          </cell>
        </row>
        <row r="14">
          <cell r="B14" t="str">
            <v>Hydrant rental</v>
          </cell>
          <cell r="H14">
            <v>1123562</v>
          </cell>
          <cell r="L14">
            <v>1123562</v>
          </cell>
        </row>
        <row r="15">
          <cell r="B15" t="str">
            <v>Penalties</v>
          </cell>
          <cell r="H15">
            <v>29257</v>
          </cell>
          <cell r="L15">
            <v>29257</v>
          </cell>
        </row>
        <row r="16">
          <cell r="B16" t="str">
            <v>Other income</v>
          </cell>
          <cell r="H16">
            <v>1132839</v>
          </cell>
          <cell r="L16">
            <v>1132839</v>
          </cell>
        </row>
        <row r="18">
          <cell r="B18" t="str">
            <v>Totals</v>
          </cell>
          <cell r="H18">
            <v>2735078</v>
          </cell>
          <cell r="J18">
            <v>1770.6</v>
          </cell>
          <cell r="L18">
            <v>2736848.6</v>
          </cell>
        </row>
        <row r="21">
          <cell r="B21" t="str">
            <v xml:space="preserve">(1)    To adjust test year operating revenues to normalize for the estimated financial effects of </v>
          </cell>
        </row>
        <row r="22">
          <cell r="B22" t="str">
            <v xml:space="preserve">         approximately 7 less users to the system from the beginning of the test year</v>
          </cell>
        </row>
        <row r="23">
          <cell r="B23" t="str">
            <v xml:space="preserve">         (based on billing records).</v>
          </cell>
        </row>
        <row r="25">
          <cell r="B25" t="str">
            <v>Residential Revenues:</v>
          </cell>
          <cell r="F25" t="str">
            <v>Times</v>
          </cell>
        </row>
        <row r="26">
          <cell r="D26" t="str">
            <v>Increase/</v>
          </cell>
          <cell r="F26" t="str">
            <v>Estimated</v>
          </cell>
          <cell r="H26" t="str">
            <v>Additional</v>
          </cell>
          <cell r="J26" t="str">
            <v>Estimated</v>
          </cell>
        </row>
        <row r="27">
          <cell r="B27" t="str">
            <v>Billing</v>
          </cell>
          <cell r="D27" t="str">
            <v>(Decrease)</v>
          </cell>
          <cell r="F27" t="str">
            <v>Additional</v>
          </cell>
          <cell r="H27" t="str">
            <v>Monthly</v>
          </cell>
          <cell r="J27" t="str">
            <v>Monthly</v>
          </cell>
        </row>
        <row r="28">
          <cell r="B28" t="str">
            <v>Cycle</v>
          </cell>
          <cell r="D28" t="str">
            <v>In Users (A)</v>
          </cell>
          <cell r="F28" t="str">
            <v>Monthly Bills</v>
          </cell>
          <cell r="H28" t="str">
            <v>Bills</v>
          </cell>
          <cell r="J28" t="str">
            <v>Bill (B)</v>
          </cell>
          <cell r="L28" t="str">
            <v>Amount</v>
          </cell>
        </row>
        <row r="30">
          <cell r="B30" t="str">
            <v>July 2003</v>
          </cell>
          <cell r="D30">
            <v>4</v>
          </cell>
          <cell r="F30" t="str">
            <v xml:space="preserve"> </v>
          </cell>
          <cell r="H30">
            <v>0</v>
          </cell>
          <cell r="J30">
            <v>15.87</v>
          </cell>
          <cell r="L30">
            <v>0</v>
          </cell>
        </row>
        <row r="31">
          <cell r="B31" t="str">
            <v>August</v>
          </cell>
          <cell r="D31">
            <v>2</v>
          </cell>
          <cell r="F31">
            <v>1</v>
          </cell>
          <cell r="H31">
            <v>2</v>
          </cell>
          <cell r="J31">
            <v>15.87</v>
          </cell>
          <cell r="L31">
            <v>31.7</v>
          </cell>
        </row>
        <row r="32">
          <cell r="B32" t="str">
            <v>September</v>
          </cell>
          <cell r="D32">
            <v>0</v>
          </cell>
          <cell r="F32">
            <v>2</v>
          </cell>
          <cell r="H32">
            <v>0</v>
          </cell>
          <cell r="J32">
            <v>15.87</v>
          </cell>
          <cell r="L32">
            <v>0</v>
          </cell>
        </row>
        <row r="33">
          <cell r="B33" t="str">
            <v>October</v>
          </cell>
          <cell r="D33">
            <v>-4</v>
          </cell>
          <cell r="F33">
            <v>3</v>
          </cell>
          <cell r="H33">
            <v>-12</v>
          </cell>
          <cell r="J33">
            <v>15.87</v>
          </cell>
          <cell r="L33">
            <v>-190.4</v>
          </cell>
        </row>
        <row r="34">
          <cell r="B34" t="str">
            <v>November</v>
          </cell>
          <cell r="D34">
            <v>-16</v>
          </cell>
          <cell r="F34">
            <v>4</v>
          </cell>
          <cell r="H34">
            <v>-64</v>
          </cell>
          <cell r="J34">
            <v>15.87</v>
          </cell>
          <cell r="L34">
            <v>-1015.7</v>
          </cell>
        </row>
        <row r="35">
          <cell r="B35" t="str">
            <v>December</v>
          </cell>
          <cell r="D35">
            <v>-15</v>
          </cell>
          <cell r="F35">
            <v>5</v>
          </cell>
          <cell r="H35">
            <v>-75</v>
          </cell>
          <cell r="J35">
            <v>15.87</v>
          </cell>
          <cell r="L35">
            <v>-1190.3</v>
          </cell>
        </row>
        <row r="36">
          <cell r="B36" t="str">
            <v>January 2004</v>
          </cell>
          <cell r="D36">
            <v>-2</v>
          </cell>
          <cell r="F36">
            <v>6</v>
          </cell>
          <cell r="H36">
            <v>-12</v>
          </cell>
          <cell r="J36">
            <v>15.87</v>
          </cell>
          <cell r="L36">
            <v>-190.4</v>
          </cell>
        </row>
        <row r="37">
          <cell r="B37" t="str">
            <v>February</v>
          </cell>
          <cell r="D37">
            <v>1</v>
          </cell>
          <cell r="F37">
            <v>7</v>
          </cell>
          <cell r="H37">
            <v>7</v>
          </cell>
          <cell r="J37">
            <v>15.87</v>
          </cell>
          <cell r="L37">
            <v>111.1</v>
          </cell>
        </row>
        <row r="38">
          <cell r="B38" t="str">
            <v>March</v>
          </cell>
          <cell r="D38">
            <v>7</v>
          </cell>
          <cell r="F38">
            <v>8</v>
          </cell>
          <cell r="H38">
            <v>56</v>
          </cell>
          <cell r="J38">
            <v>15.87</v>
          </cell>
          <cell r="L38">
            <v>888.7</v>
          </cell>
        </row>
        <row r="39">
          <cell r="B39" t="str">
            <v>April</v>
          </cell>
          <cell r="D39">
            <v>-7</v>
          </cell>
          <cell r="F39">
            <v>9</v>
          </cell>
          <cell r="H39">
            <v>-63</v>
          </cell>
          <cell r="J39">
            <v>15.87</v>
          </cell>
          <cell r="L39">
            <v>-999.8</v>
          </cell>
        </row>
        <row r="40">
          <cell r="B40" t="str">
            <v>May</v>
          </cell>
          <cell r="D40">
            <v>14</v>
          </cell>
          <cell r="F40">
            <v>10</v>
          </cell>
          <cell r="H40">
            <v>140</v>
          </cell>
          <cell r="J40">
            <v>15.87</v>
          </cell>
          <cell r="L40">
            <v>2221.8000000000002</v>
          </cell>
        </row>
        <row r="41">
          <cell r="B41" t="str">
            <v>June</v>
          </cell>
          <cell r="D41">
            <v>9</v>
          </cell>
          <cell r="F41">
            <v>11</v>
          </cell>
          <cell r="H41">
            <v>99</v>
          </cell>
          <cell r="J41">
            <v>15.87</v>
          </cell>
          <cell r="L41">
            <v>1571.1</v>
          </cell>
        </row>
        <row r="43">
          <cell r="B43" t="str">
            <v xml:space="preserve">        Totals</v>
          </cell>
          <cell r="D43">
            <v>-7</v>
          </cell>
          <cell r="H43">
            <v>78</v>
          </cell>
          <cell r="L43">
            <v>1237.8</v>
          </cell>
        </row>
        <row r="46">
          <cell r="B46" t="str">
            <v>(A)    Per utility personnel and monthly billing summaries.</v>
          </cell>
        </row>
        <row r="47">
          <cell r="B47" t="str">
            <v>(B)    Estimated monthly bill assuming average residential consumption of 4,600 gallons priced at</v>
          </cell>
        </row>
        <row r="48">
          <cell r="B48" t="str">
            <v xml:space="preserve">         present rates (average bill calculated based on historical average bill for a residential customer).</v>
          </cell>
        </row>
        <row r="50">
          <cell r="A50" t="str">
            <v>(Continued on next page)</v>
          </cell>
        </row>
        <row r="52">
          <cell r="A52" t="str">
            <v>(Subject to the comments in the attached</v>
          </cell>
        </row>
        <row r="53">
          <cell r="A53" t="str">
            <v>letter dated May 26, 2005 of Umbaugh.)</v>
          </cell>
        </row>
        <row r="55">
          <cell r="A55" t="str">
            <v>14</v>
          </cell>
        </row>
        <row r="56">
          <cell r="A56" t="str">
            <v>GREENSBURG (INDIANA) MUNICIPAL SEWAGE WORKS</v>
          </cell>
        </row>
        <row r="57">
          <cell r="L57" t="str">
            <v>(Cont'd)</v>
          </cell>
        </row>
        <row r="58">
          <cell r="A58" t="str">
            <v>CALCULATION OF NORMALIZED ANNUAL OPERATING REVENUES</v>
          </cell>
        </row>
        <row r="59">
          <cell r="A59" t="str">
            <v>- Commercial -</v>
          </cell>
        </row>
        <row r="62">
          <cell r="B62" t="str">
            <v xml:space="preserve">(2)    To adjust test year operating revenues to normalize for the estimated financial effects of </v>
          </cell>
        </row>
        <row r="63">
          <cell r="B63" t="str">
            <v xml:space="preserve">         approximately 0 new users added to the system from the beginning of the test year</v>
          </cell>
        </row>
        <row r="64">
          <cell r="B64" t="str">
            <v xml:space="preserve">         (based on billing records).</v>
          </cell>
        </row>
        <row r="66">
          <cell r="B66" t="str">
            <v>Commercial Revenues:</v>
          </cell>
          <cell r="F66" t="str">
            <v>Times</v>
          </cell>
        </row>
        <row r="67">
          <cell r="D67" t="str">
            <v>Increase/</v>
          </cell>
          <cell r="F67" t="str">
            <v>Estimated</v>
          </cell>
          <cell r="H67" t="str">
            <v>Additional</v>
          </cell>
          <cell r="J67" t="str">
            <v>Estimated</v>
          </cell>
        </row>
        <row r="68">
          <cell r="B68" t="str">
            <v>Billing</v>
          </cell>
          <cell r="D68" t="str">
            <v>(Decrease)</v>
          </cell>
          <cell r="F68" t="str">
            <v>Additional</v>
          </cell>
          <cell r="H68" t="str">
            <v>Monthly</v>
          </cell>
          <cell r="J68" t="str">
            <v>Monthly</v>
          </cell>
        </row>
        <row r="69">
          <cell r="B69" t="str">
            <v>Cycle</v>
          </cell>
          <cell r="D69" t="str">
            <v>In Users (A)</v>
          </cell>
          <cell r="F69" t="str">
            <v>Monthly Bills</v>
          </cell>
          <cell r="H69" t="str">
            <v>Bills</v>
          </cell>
          <cell r="J69" t="str">
            <v>Bill (B)</v>
          </cell>
          <cell r="L69" t="str">
            <v>Amount</v>
          </cell>
        </row>
        <row r="71">
          <cell r="B71" t="str">
            <v>July 2003</v>
          </cell>
          <cell r="D71">
            <v>1</v>
          </cell>
          <cell r="F71" t="str">
            <v xml:space="preserve"> </v>
          </cell>
          <cell r="H71">
            <v>0</v>
          </cell>
          <cell r="J71">
            <v>53.29</v>
          </cell>
          <cell r="L71">
            <v>0</v>
          </cell>
        </row>
        <row r="72">
          <cell r="B72" t="str">
            <v>August</v>
          </cell>
          <cell r="D72">
            <v>-2</v>
          </cell>
          <cell r="F72">
            <v>1</v>
          </cell>
          <cell r="H72">
            <v>-2</v>
          </cell>
          <cell r="J72">
            <v>53.29</v>
          </cell>
          <cell r="L72">
            <v>-106.6</v>
          </cell>
        </row>
        <row r="73">
          <cell r="B73" t="str">
            <v>September</v>
          </cell>
          <cell r="D73">
            <v>3</v>
          </cell>
          <cell r="F73">
            <v>2</v>
          </cell>
          <cell r="H73">
            <v>6</v>
          </cell>
          <cell r="J73">
            <v>53.29</v>
          </cell>
          <cell r="L73">
            <v>319.7</v>
          </cell>
        </row>
        <row r="74">
          <cell r="B74" t="str">
            <v>October</v>
          </cell>
          <cell r="D74">
            <v>-1</v>
          </cell>
          <cell r="F74">
            <v>3</v>
          </cell>
          <cell r="H74">
            <v>-3</v>
          </cell>
          <cell r="J74">
            <v>53.29</v>
          </cell>
          <cell r="L74">
            <v>-159.9</v>
          </cell>
        </row>
        <row r="75">
          <cell r="B75" t="str">
            <v>November</v>
          </cell>
          <cell r="D75">
            <v>1</v>
          </cell>
          <cell r="F75">
            <v>4</v>
          </cell>
          <cell r="H75">
            <v>4</v>
          </cell>
          <cell r="J75">
            <v>53.29</v>
          </cell>
          <cell r="L75">
            <v>213.2</v>
          </cell>
        </row>
        <row r="76">
          <cell r="B76" t="str">
            <v>December</v>
          </cell>
          <cell r="D76">
            <v>-5</v>
          </cell>
          <cell r="F76">
            <v>5</v>
          </cell>
          <cell r="H76">
            <v>-25</v>
          </cell>
          <cell r="J76">
            <v>53.29</v>
          </cell>
          <cell r="L76">
            <v>-1332.3</v>
          </cell>
        </row>
        <row r="77">
          <cell r="B77" t="str">
            <v>January 2004</v>
          </cell>
          <cell r="D77">
            <v>0</v>
          </cell>
          <cell r="F77">
            <v>6</v>
          </cell>
          <cell r="H77">
            <v>0</v>
          </cell>
          <cell r="J77">
            <v>53.29</v>
          </cell>
          <cell r="L77">
            <v>0</v>
          </cell>
        </row>
        <row r="78">
          <cell r="B78" t="str">
            <v>February</v>
          </cell>
          <cell r="D78">
            <v>0</v>
          </cell>
          <cell r="F78">
            <v>7</v>
          </cell>
          <cell r="H78">
            <v>0</v>
          </cell>
          <cell r="J78">
            <v>53.29</v>
          </cell>
          <cell r="L78">
            <v>0</v>
          </cell>
        </row>
        <row r="79">
          <cell r="B79" t="str">
            <v>March</v>
          </cell>
          <cell r="D79">
            <v>0</v>
          </cell>
          <cell r="F79">
            <v>8</v>
          </cell>
          <cell r="H79">
            <v>0</v>
          </cell>
          <cell r="J79">
            <v>53.29</v>
          </cell>
          <cell r="L79">
            <v>0</v>
          </cell>
        </row>
        <row r="80">
          <cell r="B80" t="str">
            <v>April</v>
          </cell>
          <cell r="D80">
            <v>-1</v>
          </cell>
          <cell r="F80">
            <v>9</v>
          </cell>
          <cell r="H80">
            <v>-9</v>
          </cell>
          <cell r="J80">
            <v>53.29</v>
          </cell>
          <cell r="L80">
            <v>-479.6</v>
          </cell>
        </row>
        <row r="81">
          <cell r="B81" t="str">
            <v>May</v>
          </cell>
          <cell r="D81">
            <v>5</v>
          </cell>
          <cell r="F81">
            <v>10</v>
          </cell>
          <cell r="H81">
            <v>50</v>
          </cell>
          <cell r="J81">
            <v>53.29</v>
          </cell>
          <cell r="L81">
            <v>2664.5</v>
          </cell>
        </row>
        <row r="82">
          <cell r="B82" t="str">
            <v>June</v>
          </cell>
          <cell r="D82">
            <v>-1</v>
          </cell>
          <cell r="F82">
            <v>11</v>
          </cell>
          <cell r="H82">
            <v>-11</v>
          </cell>
          <cell r="J82">
            <v>53.29</v>
          </cell>
          <cell r="L82">
            <v>-586.20000000000005</v>
          </cell>
        </row>
        <row r="84">
          <cell r="B84" t="str">
            <v xml:space="preserve">        Totals</v>
          </cell>
          <cell r="D84">
            <v>0</v>
          </cell>
          <cell r="H84">
            <v>10</v>
          </cell>
          <cell r="L84">
            <v>532.79999999999995</v>
          </cell>
        </row>
        <row r="87">
          <cell r="B87" t="str">
            <v>(A)    Per utility personnel and monthly billing summaries.</v>
          </cell>
        </row>
        <row r="88">
          <cell r="B88" t="str">
            <v>(B)    Estimated monthly bill assuming average commercial consumption of 17,200 gallons priced at</v>
          </cell>
        </row>
        <row r="89">
          <cell r="B89" t="str">
            <v xml:space="preserve">         present rates (average bill calculated based on historical average bill for a commercial customer).</v>
          </cell>
        </row>
        <row r="107">
          <cell r="A107" t="str">
            <v>(Subject to the comments in the attached</v>
          </cell>
        </row>
        <row r="108">
          <cell r="A108" t="str">
            <v>letter dated May 26, 2005 of Umbaugh.)</v>
          </cell>
        </row>
        <row r="110">
          <cell r="A110" t="str">
            <v>15</v>
          </cell>
        </row>
      </sheetData>
      <sheetData sheetId="10" refreshError="1"/>
      <sheetData sheetId="11" refreshError="1">
        <row r="1">
          <cell r="A1" t="str">
            <v>GREENSBURG (INDIANA) MUNICIPAL SEWAGE WORKS</v>
          </cell>
        </row>
        <row r="3">
          <cell r="A3" t="str">
            <v>SCHEDULE OF PRESENT AND PROPOSED RATES AND CHARGES</v>
          </cell>
        </row>
        <row r="6">
          <cell r="A6" t="str">
            <v>RECURRING RATES:</v>
          </cell>
        </row>
        <row r="7">
          <cell r="G7" t="str">
            <v>Rate Per 1,000 Gallons</v>
          </cell>
        </row>
        <row r="8">
          <cell r="A8" t="str">
            <v>Metered Rates Per Month:</v>
          </cell>
          <cell r="I8" t="str">
            <v>Alternative 1</v>
          </cell>
          <cell r="K8" t="str">
            <v>Alternative #2</v>
          </cell>
          <cell r="M8" t="str">
            <v>Alternative 2</v>
          </cell>
        </row>
        <row r="9">
          <cell r="G9" t="str">
            <v>Present (1)</v>
          </cell>
          <cell r="I9">
            <v>0</v>
          </cell>
          <cell r="K9">
            <v>0</v>
          </cell>
          <cell r="M9">
            <v>0</v>
          </cell>
        </row>
        <row r="11">
          <cell r="A11" t="str">
            <v>First</v>
          </cell>
          <cell r="B11" t="str">
            <v>10,000</v>
          </cell>
          <cell r="D11" t="str">
            <v>gallons</v>
          </cell>
          <cell r="G11">
            <v>3.45</v>
          </cell>
          <cell r="I11" t="e">
            <v>#NAME?</v>
          </cell>
          <cell r="K11" t="e">
            <v>#NAME?</v>
          </cell>
          <cell r="M11" t="e">
            <v>#NAME?</v>
          </cell>
        </row>
        <row r="12">
          <cell r="A12" t="str">
            <v>Next</v>
          </cell>
          <cell r="B12" t="str">
            <v>20,000</v>
          </cell>
          <cell r="D12" t="str">
            <v>gallons</v>
          </cell>
          <cell r="G12">
            <v>2.61</v>
          </cell>
          <cell r="I12" t="e">
            <v>#NAME?</v>
          </cell>
          <cell r="K12" t="e">
            <v>#NAME?</v>
          </cell>
          <cell r="M12" t="e">
            <v>#NAME?</v>
          </cell>
        </row>
        <row r="13">
          <cell r="A13" t="str">
            <v>Next</v>
          </cell>
          <cell r="B13" t="str">
            <v>70,000</v>
          </cell>
          <cell r="D13" t="str">
            <v>gallons</v>
          </cell>
          <cell r="G13">
            <v>1.73</v>
          </cell>
          <cell r="I13" t="e">
            <v>#NAME?</v>
          </cell>
          <cell r="K13" t="e">
            <v>#NAME?</v>
          </cell>
          <cell r="M13" t="e">
            <v>#NAME?</v>
          </cell>
        </row>
        <row r="14">
          <cell r="A14" t="str">
            <v>Over</v>
          </cell>
          <cell r="B14" t="str">
            <v>100,000</v>
          </cell>
          <cell r="D14" t="str">
            <v>gallons</v>
          </cell>
          <cell r="G14">
            <v>0.87</v>
          </cell>
          <cell r="I14" t="e">
            <v>#NAME?</v>
          </cell>
          <cell r="K14" t="e">
            <v>#NAME?</v>
          </cell>
          <cell r="M14" t="e">
            <v>#NAME?</v>
          </cell>
        </row>
        <row r="17">
          <cell r="D17" t="str">
            <v>Gallons</v>
          </cell>
          <cell r="G17" t="str">
            <v>Per Month</v>
          </cell>
        </row>
        <row r="18">
          <cell r="A18" t="str">
            <v>Minimum Charge:</v>
          </cell>
          <cell r="D18" t="str">
            <v>Allowed</v>
          </cell>
          <cell r="I18" t="str">
            <v>Alternative 1</v>
          </cell>
          <cell r="K18" t="str">
            <v>Alternative #2</v>
          </cell>
          <cell r="M18" t="str">
            <v>Alternative 2</v>
          </cell>
        </row>
        <row r="19">
          <cell r="G19" t="str">
            <v>Present (1)</v>
          </cell>
          <cell r="I19">
            <v>0</v>
          </cell>
          <cell r="K19" t="str">
            <v>Proposed</v>
          </cell>
          <cell r="M19">
            <v>0</v>
          </cell>
        </row>
        <row r="21">
          <cell r="A21" t="str">
            <v>5/8</v>
          </cell>
          <cell r="B21" t="str">
            <v>inch meter</v>
          </cell>
          <cell r="D21">
            <v>2520</v>
          </cell>
          <cell r="G21">
            <v>8.68</v>
          </cell>
          <cell r="I21" t="e">
            <v>#NAME?</v>
          </cell>
          <cell r="K21" t="e">
            <v>#NAME?</v>
          </cell>
          <cell r="M21" t="e">
            <v>#NAME?</v>
          </cell>
        </row>
        <row r="22">
          <cell r="A22" t="str">
            <v>3/4</v>
          </cell>
          <cell r="B22" t="str">
            <v>inch meter</v>
          </cell>
          <cell r="D22">
            <v>2520</v>
          </cell>
          <cell r="G22">
            <v>8.68</v>
          </cell>
          <cell r="I22" t="e">
            <v>#NAME?</v>
          </cell>
          <cell r="K22" t="e">
            <v>#NAME?</v>
          </cell>
          <cell r="M22" t="e">
            <v>#NAME?</v>
          </cell>
        </row>
        <row r="23">
          <cell r="A23" t="str">
            <v>1</v>
          </cell>
          <cell r="B23" t="str">
            <v>inch meter</v>
          </cell>
          <cell r="D23">
            <v>6410</v>
          </cell>
          <cell r="G23">
            <v>21.99</v>
          </cell>
          <cell r="I23" t="e">
            <v>#NAME?</v>
          </cell>
          <cell r="K23" t="e">
            <v>#NAME?</v>
          </cell>
          <cell r="M23" t="e">
            <v>#NAME?</v>
          </cell>
        </row>
        <row r="24">
          <cell r="A24" t="str">
            <v>1 1/2</v>
          </cell>
          <cell r="B24" t="str">
            <v>inch meter</v>
          </cell>
          <cell r="D24">
            <v>15560</v>
          </cell>
          <cell r="G24">
            <v>48.87</v>
          </cell>
          <cell r="I24" t="e">
            <v>#NAME?</v>
          </cell>
          <cell r="K24" t="e">
            <v>#NAME?</v>
          </cell>
          <cell r="M24" t="e">
            <v>#NAME?</v>
          </cell>
        </row>
        <row r="25">
          <cell r="A25" t="str">
            <v>2</v>
          </cell>
          <cell r="B25" t="str">
            <v>inch meter</v>
          </cell>
          <cell r="D25">
            <v>29660</v>
          </cell>
          <cell r="G25">
            <v>85.53</v>
          </cell>
          <cell r="I25" t="e">
            <v>#NAME?</v>
          </cell>
          <cell r="K25" t="e">
            <v>#NAME?</v>
          </cell>
          <cell r="M25" t="e">
            <v>#NAME?</v>
          </cell>
        </row>
        <row r="26">
          <cell r="A26" t="str">
            <v>3</v>
          </cell>
          <cell r="B26" t="str">
            <v>inch meter</v>
          </cell>
          <cell r="D26">
            <v>93130</v>
          </cell>
          <cell r="G26">
            <v>195.48</v>
          </cell>
          <cell r="I26" t="e">
            <v>#NAME?</v>
          </cell>
          <cell r="K26" t="e">
            <v>#NAME?</v>
          </cell>
          <cell r="M26" t="e">
            <v>#NAME?</v>
          </cell>
        </row>
        <row r="27">
          <cell r="A27" t="str">
            <v>4</v>
          </cell>
          <cell r="B27" t="str">
            <v>inch meter</v>
          </cell>
          <cell r="D27">
            <v>268610</v>
          </cell>
          <cell r="G27">
            <v>354.3</v>
          </cell>
          <cell r="I27" t="e">
            <v>#NAME?</v>
          </cell>
          <cell r="K27" t="e">
            <v>#NAME?</v>
          </cell>
          <cell r="M27" t="e">
            <v>#NAME?</v>
          </cell>
        </row>
        <row r="30">
          <cell r="G30" t="str">
            <v>Per Annum</v>
          </cell>
        </row>
        <row r="31">
          <cell r="A31" t="str">
            <v>Fire Protection:</v>
          </cell>
          <cell r="I31" t="str">
            <v>Alternative 1</v>
          </cell>
          <cell r="K31" t="str">
            <v>Alternative #2</v>
          </cell>
          <cell r="M31" t="str">
            <v>Alternative 2</v>
          </cell>
        </row>
        <row r="32">
          <cell r="G32" t="str">
            <v>Present (1)</v>
          </cell>
          <cell r="I32">
            <v>0</v>
          </cell>
          <cell r="K32" t="str">
            <v>Proposed</v>
          </cell>
          <cell r="M32">
            <v>0</v>
          </cell>
        </row>
        <row r="34">
          <cell r="A34" t="str">
            <v>Public fire hydrants - per hydrant</v>
          </cell>
          <cell r="G34">
            <v>439.81</v>
          </cell>
          <cell r="I34" t="e">
            <v>#NAME?</v>
          </cell>
          <cell r="K34" t="e">
            <v>#NAME?</v>
          </cell>
          <cell r="M34" t="e">
            <v>#NAME?</v>
          </cell>
        </row>
        <row r="36">
          <cell r="A36" t="str">
            <v>Private fire hydrants - per hydrant</v>
          </cell>
          <cell r="G36">
            <v>439.81</v>
          </cell>
          <cell r="I36" t="e">
            <v>#NAME?</v>
          </cell>
          <cell r="K36" t="e">
            <v>#NAME?</v>
          </cell>
          <cell r="M36" t="e">
            <v>#NAME?</v>
          </cell>
        </row>
        <row r="38">
          <cell r="A38" t="str">
            <v>Automatic sprinklers:</v>
          </cell>
        </row>
        <row r="39">
          <cell r="B39" t="str">
            <v>2 inch connection and under</v>
          </cell>
          <cell r="G39">
            <v>80.63</v>
          </cell>
          <cell r="I39" t="e">
            <v>#NAME?</v>
          </cell>
          <cell r="K39" t="e">
            <v>#NAME?</v>
          </cell>
          <cell r="M39" t="e">
            <v>#NAME?</v>
          </cell>
        </row>
        <row r="40">
          <cell r="B40" t="str">
            <v>3 inch connection</v>
          </cell>
          <cell r="G40">
            <v>127.07</v>
          </cell>
          <cell r="I40" t="e">
            <v>#NAME?</v>
          </cell>
          <cell r="K40" t="e">
            <v>#NAME?</v>
          </cell>
          <cell r="M40" t="e">
            <v>#NAME?</v>
          </cell>
        </row>
        <row r="41">
          <cell r="B41" t="str">
            <v>4 inch connection</v>
          </cell>
          <cell r="G41">
            <v>171.06</v>
          </cell>
          <cell r="I41" t="e">
            <v>#NAME?</v>
          </cell>
          <cell r="K41" t="e">
            <v>#NAME?</v>
          </cell>
          <cell r="M41" t="e">
            <v>#NAME?</v>
          </cell>
        </row>
        <row r="42">
          <cell r="B42" t="str">
            <v>6 inch connection</v>
          </cell>
          <cell r="G42">
            <v>256.58999999999997</v>
          </cell>
          <cell r="I42" t="e">
            <v>#NAME?</v>
          </cell>
          <cell r="K42" t="e">
            <v>#NAME?</v>
          </cell>
          <cell r="M42" t="e">
            <v>#NAME?</v>
          </cell>
        </row>
        <row r="43">
          <cell r="B43" t="str">
            <v>8 inch connection</v>
          </cell>
          <cell r="G43">
            <v>317.64</v>
          </cell>
          <cell r="I43" t="e">
            <v>#NAME?</v>
          </cell>
          <cell r="K43" t="e">
            <v>#NAME?</v>
          </cell>
          <cell r="M43" t="e">
            <v>#NAME?</v>
          </cell>
        </row>
        <row r="46">
          <cell r="G46" t="str">
            <v>Rate Per 1,000 Gallons</v>
          </cell>
        </row>
        <row r="47">
          <cell r="A47" t="str">
            <v>Special Rates:</v>
          </cell>
          <cell r="I47" t="str">
            <v>Alternative 1</v>
          </cell>
          <cell r="K47" t="str">
            <v>Alternative #2</v>
          </cell>
          <cell r="M47" t="str">
            <v>Alternative 2</v>
          </cell>
        </row>
        <row r="48">
          <cell r="G48" t="str">
            <v>Present (1)</v>
          </cell>
          <cell r="I48">
            <v>0</v>
          </cell>
          <cell r="K48" t="str">
            <v>Proposed</v>
          </cell>
          <cell r="M48">
            <v>0</v>
          </cell>
        </row>
        <row r="50">
          <cell r="A50" t="str">
            <v>Tennyson</v>
          </cell>
          <cell r="G50">
            <v>1.36</v>
          </cell>
          <cell r="I50" t="e">
            <v>#NAME?</v>
          </cell>
          <cell r="K50" t="e">
            <v>#NAME?</v>
          </cell>
          <cell r="M50" t="e">
            <v>#NAME?</v>
          </cell>
        </row>
        <row r="52">
          <cell r="A52" t="str">
            <v>Chandler</v>
          </cell>
          <cell r="G52">
            <v>1.4</v>
          </cell>
          <cell r="I52" t="e">
            <v>#NAME?</v>
          </cell>
          <cell r="K52" t="e">
            <v>#NAME?</v>
          </cell>
          <cell r="M52" t="e">
            <v>#NAME?</v>
          </cell>
        </row>
        <row r="54">
          <cell r="A54" t="str">
            <v>NON-RECURRING RATES:</v>
          </cell>
        </row>
        <row r="56">
          <cell r="A56" t="str">
            <v>No changes in non-recurring rates are being sought as part of this cause.</v>
          </cell>
        </row>
        <row r="58">
          <cell r="A58" t="str">
            <v>Notes:</v>
          </cell>
        </row>
        <row r="59">
          <cell r="A59" t="str">
            <v>(1)  Present rates and charges approved by the Indiana Utility Regulatory Commission in Cause No. 38821</v>
          </cell>
        </row>
        <row r="60">
          <cell r="A60" t="str">
            <v xml:space="preserve">      dated January 7, 1991.</v>
          </cell>
        </row>
        <row r="61">
          <cell r="A61" t="e">
            <v>#NAME?</v>
          </cell>
        </row>
        <row r="62">
          <cell r="A62" t="e">
            <v>#NAME?</v>
          </cell>
        </row>
        <row r="63">
          <cell r="A63" t="e">
            <v>#NAME?</v>
          </cell>
        </row>
        <row r="66">
          <cell r="A66" t="str">
            <v>(Continued on next page)</v>
          </cell>
        </row>
        <row r="68">
          <cell r="A68" t="str">
            <v>(Subject to the comments in the attached</v>
          </cell>
        </row>
        <row r="69">
          <cell r="A69" t="str">
            <v>letter dated May 26, 2005 of Umbaugh.)</v>
          </cell>
        </row>
        <row r="70">
          <cell r="M70" t="str">
            <v xml:space="preserve"> </v>
          </cell>
        </row>
        <row r="71">
          <cell r="A71" t="str">
            <v>18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GREENSBURG (INDIANA) MUNICIPAL SEWAGE WORKS</v>
          </cell>
        </row>
        <row r="3">
          <cell r="A3" t="str">
            <v>SCHEDULE OF AMORTIZATION OF $340,748.02 PRINCIPAL AMOUNT</v>
          </cell>
        </row>
        <row r="4">
          <cell r="A4" t="str">
            <v>OF OUTSTANDING LOAN FROM PROFESSIONAL SERVICES GROUP</v>
          </cell>
        </row>
        <row r="5">
          <cell r="A5" t="str">
            <v>Principal and interest payable monthly.</v>
          </cell>
        </row>
        <row r="6">
          <cell r="A6" t="str">
            <v>Interest rate of 9.5%</v>
          </cell>
        </row>
        <row r="7">
          <cell r="A7" t="str">
            <v>(Unaudited)</v>
          </cell>
        </row>
        <row r="10">
          <cell r="C10" t="str">
            <v>Principal</v>
          </cell>
          <cell r="G10" t="str">
            <v>Interest</v>
          </cell>
          <cell r="I10" t="str">
            <v>Debt Service</v>
          </cell>
        </row>
        <row r="11">
          <cell r="A11" t="str">
            <v>Year</v>
          </cell>
          <cell r="C11" t="str">
            <v>Balance</v>
          </cell>
          <cell r="E11" t="str">
            <v>Principal</v>
          </cell>
          <cell r="G11" t="str">
            <v>Rate(s)</v>
          </cell>
          <cell r="I11" t="str">
            <v>Interest</v>
          </cell>
          <cell r="K11" t="str">
            <v>Total</v>
          </cell>
        </row>
        <row r="12">
          <cell r="C12" t="str">
            <v xml:space="preserve">  (--------------In Dollars----------)</v>
          </cell>
          <cell r="G12" t="str">
            <v>(%)</v>
          </cell>
          <cell r="I12" t="str">
            <v xml:space="preserve">  (------------In Dollars-----------)</v>
          </cell>
        </row>
        <row r="14">
          <cell r="A14">
            <v>2004</v>
          </cell>
          <cell r="C14">
            <v>191110.04</v>
          </cell>
          <cell r="E14">
            <v>52676.59</v>
          </cell>
          <cell r="G14">
            <v>9.5</v>
          </cell>
          <cell r="I14">
            <v>15901.009999999998</v>
          </cell>
          <cell r="K14">
            <v>68577.599999999991</v>
          </cell>
        </row>
        <row r="15">
          <cell r="A15">
            <v>2005</v>
          </cell>
          <cell r="C15">
            <v>138433.45000000001</v>
          </cell>
          <cell r="E15">
            <v>57904.61</v>
          </cell>
          <cell r="G15">
            <v>9.5</v>
          </cell>
          <cell r="I15">
            <v>10672.989999999998</v>
          </cell>
          <cell r="K15">
            <v>68577.600000000006</v>
          </cell>
        </row>
        <row r="16">
          <cell r="A16">
            <v>2006</v>
          </cell>
          <cell r="C16">
            <v>80528.840000000011</v>
          </cell>
          <cell r="E16">
            <v>63651.509999999995</v>
          </cell>
          <cell r="G16">
            <v>9.5</v>
          </cell>
          <cell r="I16">
            <v>4926.09</v>
          </cell>
          <cell r="K16">
            <v>68577.599999999991</v>
          </cell>
        </row>
        <row r="17">
          <cell r="A17">
            <v>2007</v>
          </cell>
          <cell r="C17">
            <v>16877.330000000016</v>
          </cell>
          <cell r="E17">
            <v>16877.330000000002</v>
          </cell>
          <cell r="G17">
            <v>9.5</v>
          </cell>
          <cell r="I17">
            <v>267.93</v>
          </cell>
          <cell r="K17">
            <v>17145.260000000002</v>
          </cell>
        </row>
        <row r="19">
          <cell r="A19" t="str">
            <v>Totals</v>
          </cell>
          <cell r="E19">
            <v>191110.03999999998</v>
          </cell>
          <cell r="I19">
            <v>31768.019999999997</v>
          </cell>
          <cell r="K19">
            <v>222878.06</v>
          </cell>
        </row>
        <row r="37">
          <cell r="A37" t="str">
            <v>(Subject to the comments in the attached</v>
          </cell>
        </row>
        <row r="38">
          <cell r="A38" t="str">
            <v>letter dated May 26, 2005 of Umbaugh.)</v>
          </cell>
        </row>
        <row r="40">
          <cell r="A40" t="str">
            <v>29</v>
          </cell>
        </row>
      </sheetData>
      <sheetData sheetId="20" refreshError="1"/>
      <sheetData sheetId="21" refreshError="1"/>
      <sheetData sheetId="22" refreshError="1"/>
      <sheetData sheetId="23" refreshError="1">
        <row r="1">
          <cell r="A1" t="str">
            <v>GREENSBURG (INDIANA) MUNICIPAL SEWAGE WORKS</v>
          </cell>
        </row>
        <row r="3">
          <cell r="A3" t="str">
            <v xml:space="preserve">CALCULATION OF ADDITIONS TO UTILITY PLANT </v>
          </cell>
        </row>
        <row r="4">
          <cell r="A4" t="str">
            <v>AND PRO FORMA DEPRECIATION EXPENSE</v>
          </cell>
        </row>
        <row r="5">
          <cell r="A5" t="str">
            <v>(Unaudited)</v>
          </cell>
        </row>
        <row r="6">
          <cell r="A6" t="str">
            <v xml:space="preserve"> </v>
          </cell>
        </row>
        <row r="7">
          <cell r="A7" t="str">
            <v>I.</v>
          </cell>
          <cell r="B7" t="str">
            <v>Calculation of Average Additions to Plant:</v>
          </cell>
        </row>
        <row r="9">
          <cell r="A9" t="str">
            <v xml:space="preserve">  Estimated utility plant in service at 12/31/98</v>
          </cell>
          <cell r="G9">
            <v>5072920</v>
          </cell>
        </row>
        <row r="11">
          <cell r="C11" t="str">
            <v>Calendar</v>
          </cell>
        </row>
        <row r="12">
          <cell r="C12" t="str">
            <v>Year</v>
          </cell>
          <cell r="E12" t="str">
            <v>Additions</v>
          </cell>
        </row>
        <row r="14">
          <cell r="C14">
            <v>1999</v>
          </cell>
          <cell r="E14">
            <v>173234</v>
          </cell>
        </row>
        <row r="15">
          <cell r="C15">
            <v>2000</v>
          </cell>
          <cell r="E15">
            <v>-299</v>
          </cell>
        </row>
        <row r="16">
          <cell r="C16">
            <v>2001</v>
          </cell>
          <cell r="E16">
            <v>65432</v>
          </cell>
        </row>
        <row r="17">
          <cell r="C17">
            <v>2002</v>
          </cell>
          <cell r="E17">
            <v>31445</v>
          </cell>
        </row>
        <row r="18">
          <cell r="C18">
            <v>2003</v>
          </cell>
        </row>
        <row r="19">
          <cell r="C19">
            <v>2004</v>
          </cell>
          <cell r="D19" t="str">
            <v>(as of 6/30/04)</v>
          </cell>
        </row>
        <row r="20">
          <cell r="C20" t="str">
            <v xml:space="preserve"> </v>
          </cell>
          <cell r="E20" t="str">
            <v xml:space="preserve"> </v>
          </cell>
        </row>
        <row r="21">
          <cell r="C21" t="str">
            <v>Total additions to utility plant</v>
          </cell>
          <cell r="G21">
            <v>96877</v>
          </cell>
        </row>
        <row r="22">
          <cell r="G22" t="str">
            <v xml:space="preserve"> </v>
          </cell>
        </row>
        <row r="23">
          <cell r="A23" t="str">
            <v xml:space="preserve">  Estimated utility plant in service at 06/30/04</v>
          </cell>
          <cell r="G23">
            <v>5169797</v>
          </cell>
        </row>
        <row r="24">
          <cell r="G24" t="str">
            <v xml:space="preserve"> </v>
          </cell>
        </row>
        <row r="26">
          <cell r="B26" t="str">
            <v>Calculation of historical average additions to plant funded through</v>
          </cell>
        </row>
        <row r="27">
          <cell r="B27" t="str">
            <v xml:space="preserve">  operating revenues.</v>
          </cell>
        </row>
        <row r="29">
          <cell r="C29" t="str">
            <v>Total additions to plant</v>
          </cell>
          <cell r="G29">
            <v>96877</v>
          </cell>
        </row>
        <row r="30">
          <cell r="C30" t="str">
            <v>Plus capitalized items</v>
          </cell>
          <cell r="G30">
            <v>25473</v>
          </cell>
        </row>
        <row r="31">
          <cell r="C31" t="str">
            <v>Less contributions</v>
          </cell>
          <cell r="G31">
            <v>-45474</v>
          </cell>
        </row>
        <row r="33">
          <cell r="C33" t="str">
            <v>Net plant additions</v>
          </cell>
          <cell r="G33">
            <v>76876</v>
          </cell>
        </row>
        <row r="34">
          <cell r="C34" t="str">
            <v>Divide by period covered (5 1/2  years)</v>
          </cell>
          <cell r="G34">
            <v>5.5</v>
          </cell>
        </row>
        <row r="36">
          <cell r="C36" t="str">
            <v xml:space="preserve">        Average annual additions to plant</v>
          </cell>
          <cell r="G36">
            <v>13977.454545454546</v>
          </cell>
        </row>
        <row r="39">
          <cell r="A39" t="str">
            <v>II.</v>
          </cell>
          <cell r="B39" t="str">
            <v>Calculation of Annual Depreciation Expense:</v>
          </cell>
        </row>
        <row r="41">
          <cell r="B41" t="str">
            <v>Estimated Utility plant in service, as of 6/30/2004</v>
          </cell>
          <cell r="G41">
            <v>5169797</v>
          </cell>
        </row>
        <row r="42">
          <cell r="B42" t="str">
            <v>Plus capitalized items</v>
          </cell>
          <cell r="G42">
            <v>25473</v>
          </cell>
        </row>
        <row r="43">
          <cell r="B43" t="str">
            <v>Less land</v>
          </cell>
          <cell r="G43">
            <v>-60455</v>
          </cell>
        </row>
        <row r="45">
          <cell r="B45" t="str">
            <v xml:space="preserve">       Sub-total</v>
          </cell>
          <cell r="G45">
            <v>5134815</v>
          </cell>
        </row>
        <row r="46">
          <cell r="B46" t="str">
            <v>Times annual composite depreciation rate</v>
          </cell>
          <cell r="F46" t="str">
            <v xml:space="preserve"> </v>
          </cell>
          <cell r="G46">
            <v>0.02</v>
          </cell>
        </row>
        <row r="48">
          <cell r="B48" t="str">
            <v xml:space="preserve">        Annual Depreciation Expense</v>
          </cell>
          <cell r="G48">
            <v>102696</v>
          </cell>
        </row>
        <row r="57">
          <cell r="A57" t="str">
            <v>(Subject to the comments in the attached</v>
          </cell>
        </row>
        <row r="58">
          <cell r="A58" t="str">
            <v>letter dated May 26, 2005 of Umbaugh.)</v>
          </cell>
        </row>
        <row r="60">
          <cell r="A60" t="str">
            <v>12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rojected Disb."/>
      <sheetName val="Adjustments"/>
      <sheetName val="RevReq"/>
      <sheetName val="Rates"/>
      <sheetName val="Comparison I"/>
      <sheetName val="Comparison"/>
      <sheetName val="Fin Info"/>
      <sheetName val="Rec and Disb"/>
      <sheetName val="Amort"/>
      <sheetName val="Min Bal"/>
      <sheetName val="AddPlant"/>
      <sheetName val="Prom Note 04"/>
      <sheetName val="Prom Note 05"/>
      <sheetName val="Return"/>
      <sheetName val="Alloc Funct"/>
      <sheetName val="Gen Info"/>
      <sheetName val="1989 Bonds"/>
      <sheetName val="Norm Rev"/>
      <sheetName val="PF COE"/>
      <sheetName val="Pres Prop Rt"/>
      <sheetName val="PSG Loan"/>
      <sheetName val="Rev Req I"/>
      <sheetName val="Cap Impr"/>
      <sheetName val="Comp Billings"/>
      <sheetName val="Add Plant"/>
      <sheetName val="Large Users"/>
    </sheetNames>
    <sheetDataSet>
      <sheetData sheetId="0"/>
      <sheetData sheetId="1">
        <row r="1">
          <cell r="A1" t="str">
            <v>DUBLIN (INDIANA) MUNICIPAL WATER UTILITY</v>
          </cell>
        </row>
        <row r="3">
          <cell r="A3" t="str">
            <v>SCHEDULE OF PROJECTED ANNUAL CASH OPERATING DISBURSEMENTS</v>
          </cell>
        </row>
        <row r="4">
          <cell r="A4" t="str">
            <v>See explanation of adjustments, pages 3 - 7.</v>
          </cell>
        </row>
        <row r="7">
          <cell r="A7" t="str">
            <v>Annual cash operating disbursements for the 12 months</v>
          </cell>
        </row>
        <row r="8">
          <cell r="A8" t="str">
            <v xml:space="preserve">   ended December 31, 2005 (Unaudited)</v>
          </cell>
          <cell r="H8">
            <v>137135</v>
          </cell>
        </row>
        <row r="11">
          <cell r="A11" t="str">
            <v>Adjustments:</v>
          </cell>
        </row>
        <row r="13">
          <cell r="A13" t="str">
            <v>(1)</v>
          </cell>
          <cell r="C13" t="str">
            <v>Salaries and wages</v>
          </cell>
          <cell r="H13">
            <v>1696.0999999999985</v>
          </cell>
        </row>
        <row r="14">
          <cell r="A14" t="str">
            <v>(2)</v>
          </cell>
          <cell r="C14" t="str">
            <v>PERF</v>
          </cell>
          <cell r="H14">
            <v>900</v>
          </cell>
        </row>
        <row r="15">
          <cell r="A15" t="str">
            <v>(3)</v>
          </cell>
          <cell r="C15" t="str">
            <v>Employee insurance</v>
          </cell>
          <cell r="H15">
            <v>1311</v>
          </cell>
        </row>
        <row r="16">
          <cell r="A16" t="str">
            <v>(4)</v>
          </cell>
          <cell r="C16" t="str">
            <v>FICA</v>
          </cell>
          <cell r="H16">
            <v>129.5</v>
          </cell>
        </row>
        <row r="17">
          <cell r="A17" t="str">
            <v>(5)</v>
          </cell>
          <cell r="C17" t="str">
            <v>Capital expenditures</v>
          </cell>
          <cell r="H17">
            <v>-10414</v>
          </cell>
        </row>
        <row r="18">
          <cell r="A18" t="str">
            <v>(6)</v>
          </cell>
          <cell r="C18" t="str">
            <v>SBA audit</v>
          </cell>
          <cell r="H18">
            <v>-1382</v>
          </cell>
        </row>
        <row r="19">
          <cell r="A19" t="str">
            <v>(7)</v>
          </cell>
          <cell r="C19" t="str">
            <v>Rate study expense</v>
          </cell>
          <cell r="H19">
            <v>2333.3000000000002</v>
          </cell>
        </row>
        <row r="20">
          <cell r="A20" t="str">
            <v>(8)</v>
          </cell>
          <cell r="C20" t="str">
            <v>Well and pump maintenance</v>
          </cell>
          <cell r="H20">
            <v>4800</v>
          </cell>
        </row>
        <row r="21">
          <cell r="A21" t="str">
            <v>(9)</v>
          </cell>
          <cell r="C21" t="str">
            <v>Payment in lieu of property tax</v>
          </cell>
          <cell r="H21">
            <v>2415</v>
          </cell>
        </row>
        <row r="22">
          <cell r="A22" t="str">
            <v>(10)</v>
          </cell>
          <cell r="C22" t="str">
            <v>IDEM regulatory fee</v>
          </cell>
          <cell r="H22">
            <v>390</v>
          </cell>
        </row>
        <row r="23">
          <cell r="A23" t="str">
            <v>(11)</v>
          </cell>
          <cell r="C23" t="str">
            <v>Utility receipts tax</v>
          </cell>
          <cell r="H23">
            <v>-348</v>
          </cell>
        </row>
        <row r="24">
          <cell r="C24" t="str">
            <v xml:space="preserve">      Sub-total</v>
          </cell>
          <cell r="H24">
            <v>138979.6</v>
          </cell>
        </row>
        <row r="25">
          <cell r="A25" t="str">
            <v>(11)</v>
          </cell>
          <cell r="C25" t="str">
            <v xml:space="preserve">      Sub-total</v>
          </cell>
          <cell r="H25">
            <v>138965.9</v>
          </cell>
        </row>
        <row r="26">
          <cell r="A26" t="str">
            <v>(12)</v>
          </cell>
          <cell r="C26" t="str">
            <v>Inflation and contingencies</v>
          </cell>
          <cell r="H26">
            <v>6948.3</v>
          </cell>
        </row>
        <row r="27">
          <cell r="A27" t="str">
            <v>Projected Annual Cash Operating Disbursements</v>
          </cell>
          <cell r="H27">
            <v>145928.6</v>
          </cell>
        </row>
        <row r="28">
          <cell r="A28" t="str">
            <v>Projected Annual Cash Operating Disbursements</v>
          </cell>
          <cell r="H28">
            <v>145914.19999999998</v>
          </cell>
        </row>
        <row r="36">
          <cell r="A36" t="str">
            <v>(Continued on next page)</v>
          </cell>
        </row>
        <row r="38">
          <cell r="A38" t="str">
            <v>(Subject to the comments in the attached letter</v>
          </cell>
        </row>
        <row r="39">
          <cell r="A39" t="str">
            <v>dated May 9, 2006 of Umbaugh.)</v>
          </cell>
        </row>
        <row r="41">
          <cell r="A41">
            <v>2</v>
          </cell>
        </row>
      </sheetData>
      <sheetData sheetId="2">
        <row r="1">
          <cell r="A1" t="str">
            <v>DUBLIN (INDIANA) MUNICIPAL WATER UTILITY</v>
          </cell>
        </row>
        <row r="2">
          <cell r="K2" t="str">
            <v>(Cont'd)</v>
          </cell>
        </row>
        <row r="3">
          <cell r="A3" t="str">
            <v>SCHEDULE OF PROJECTED ANNUAL CASH OPERATING DISBURSEMENTS</v>
          </cell>
        </row>
        <row r="4">
          <cell r="A4" t="str">
            <v>Explanation of Adjustments</v>
          </cell>
        </row>
        <row r="6">
          <cell r="A6" t="str">
            <v>Adjustment (1)</v>
          </cell>
        </row>
        <row r="8">
          <cell r="A8" t="str">
            <v>To adjust test year payroll disbursements to reflect the 2006 salary and wage ordinance.</v>
          </cell>
        </row>
        <row r="10">
          <cell r="C10" t="str">
            <v>Projected payroll</v>
          </cell>
          <cell r="K10">
            <v>44268.1</v>
          </cell>
        </row>
        <row r="11">
          <cell r="C11" t="str">
            <v>Less test year payroll</v>
          </cell>
          <cell r="K11">
            <v>-42572</v>
          </cell>
        </row>
        <row r="13">
          <cell r="C13" t="str">
            <v xml:space="preserve">   Adjustment</v>
          </cell>
          <cell r="K13">
            <v>1696.0999999999985</v>
          </cell>
        </row>
        <row r="15">
          <cell r="A15" t="str">
            <v>Adjustment (2)</v>
          </cell>
        </row>
        <row r="17">
          <cell r="A17" t="str">
            <v>To adjust test year PERF disbursements to reflect projected payroll and the 2006</v>
          </cell>
        </row>
        <row r="18">
          <cell r="A18" t="str">
            <v>PERF contribution rate.</v>
          </cell>
        </row>
        <row r="19">
          <cell r="C19" t="str">
            <v>Projected covered payroll</v>
          </cell>
          <cell r="K19">
            <v>43829</v>
          </cell>
        </row>
        <row r="20">
          <cell r="C20" t="str">
            <v>Projected covered payroll</v>
          </cell>
          <cell r="K20">
            <v>43829</v>
          </cell>
        </row>
        <row r="21">
          <cell r="C21" t="str">
            <v>Times PERF rate</v>
          </cell>
          <cell r="K21">
            <v>6.5000000000000002E-2</v>
          </cell>
        </row>
        <row r="22">
          <cell r="C22" t="str">
            <v>Projected PERF disbursement</v>
          </cell>
          <cell r="K22">
            <v>2849</v>
          </cell>
        </row>
        <row r="23">
          <cell r="C23" t="str">
            <v>Projected PERF disbursement</v>
          </cell>
          <cell r="K23">
            <v>2849</v>
          </cell>
        </row>
        <row r="24">
          <cell r="C24" t="str">
            <v>Less test year disbursements</v>
          </cell>
          <cell r="K24">
            <v>-1949</v>
          </cell>
        </row>
        <row r="25">
          <cell r="C25" t="str">
            <v xml:space="preserve">   Adjustment</v>
          </cell>
          <cell r="K25">
            <v>900</v>
          </cell>
        </row>
        <row r="26">
          <cell r="C26" t="str">
            <v xml:space="preserve">   Adjustment</v>
          </cell>
          <cell r="K26">
            <v>900</v>
          </cell>
        </row>
        <row r="27">
          <cell r="A27" t="str">
            <v>Adjustment (3)</v>
          </cell>
        </row>
        <row r="28">
          <cell r="A28" t="str">
            <v>Adjustment (3)</v>
          </cell>
        </row>
        <row r="29">
          <cell r="A29" t="str">
            <v>To adjust test year employee insurance disbursements to reflect most current premiums.</v>
          </cell>
        </row>
        <row r="30">
          <cell r="A30" t="str">
            <v>To adjust test year employee insurance disbursements to reflect the most current premiums.</v>
          </cell>
        </row>
        <row r="31">
          <cell r="C31" t="str">
            <v>Projected employee insurance</v>
          </cell>
          <cell r="K31">
            <v>26189</v>
          </cell>
        </row>
        <row r="32">
          <cell r="C32" t="str">
            <v>Projected employee insurance</v>
          </cell>
          <cell r="K32">
            <v>26189</v>
          </cell>
        </row>
        <row r="33">
          <cell r="C33" t="str">
            <v>Less test year disbursements</v>
          </cell>
          <cell r="K33">
            <v>-24878</v>
          </cell>
        </row>
        <row r="34">
          <cell r="C34" t="str">
            <v xml:space="preserve">   Adjustment</v>
          </cell>
          <cell r="K34">
            <v>1311</v>
          </cell>
        </row>
        <row r="35">
          <cell r="C35" t="str">
            <v xml:space="preserve">   Adjustment</v>
          </cell>
          <cell r="K35">
            <v>1311</v>
          </cell>
        </row>
        <row r="42">
          <cell r="A42" t="str">
            <v>(Continued on next page)</v>
          </cell>
        </row>
        <row r="43">
          <cell r="A43" t="str">
            <v>(Continued on next page)</v>
          </cell>
        </row>
        <row r="44">
          <cell r="A44" t="str">
            <v>(Subject to the comments in the attached letter</v>
          </cell>
        </row>
        <row r="45">
          <cell r="A45" t="str">
            <v>dated May 9, 2006 of Umbaugh.)</v>
          </cell>
        </row>
        <row r="46">
          <cell r="A46" t="str">
            <v>dated April __, 2006 of Umbaugh.)</v>
          </cell>
        </row>
        <row r="47">
          <cell r="A47">
            <v>3</v>
          </cell>
        </row>
        <row r="48">
          <cell r="A48" t="str">
            <v>DUBLIN (INDIANA) MUNICIPAL WATER UTILITY</v>
          </cell>
        </row>
        <row r="49">
          <cell r="A49" t="str">
            <v>DUBLIN (INDIANA) MUNICIPAL WATER UTILITY</v>
          </cell>
          <cell r="K49" t="str">
            <v>(Cont'd)</v>
          </cell>
        </row>
        <row r="50">
          <cell r="A50" t="str">
            <v>SCHEDULE OF PROJECTED ANNUAL CASH OPERATING DISBURSEMENTS</v>
          </cell>
          <cell r="K50" t="str">
            <v>(Cont'd)</v>
          </cell>
        </row>
        <row r="51">
          <cell r="A51" t="str">
            <v>Explanation of Adjustments</v>
          </cell>
        </row>
        <row r="52">
          <cell r="A52" t="str">
            <v>Explanation of Adjustments</v>
          </cell>
        </row>
        <row r="53">
          <cell r="A53" t="str">
            <v>Adjustment (4)</v>
          </cell>
        </row>
        <row r="54">
          <cell r="A54" t="str">
            <v>Adjustment (4)</v>
          </cell>
        </row>
        <row r="55">
          <cell r="A55" t="str">
            <v>To adjust test year FICA disbursements to reflect projected payroll.</v>
          </cell>
        </row>
        <row r="56">
          <cell r="A56" t="str">
            <v>To adjust test year FICA disbursements to reflect projected payroll.</v>
          </cell>
        </row>
        <row r="57">
          <cell r="C57" t="str">
            <v>Projected payroll</v>
          </cell>
          <cell r="K57">
            <v>44268.1</v>
          </cell>
        </row>
        <row r="58">
          <cell r="C58" t="str">
            <v>Times FICA rate</v>
          </cell>
          <cell r="K58">
            <v>7.6499999999999999E-2</v>
          </cell>
        </row>
        <row r="59">
          <cell r="C59" t="str">
            <v>Times FICA rate</v>
          </cell>
          <cell r="K59">
            <v>7.6499999999999999E-2</v>
          </cell>
        </row>
        <row r="60">
          <cell r="C60" t="str">
            <v>Projected FICA disbursements</v>
          </cell>
          <cell r="K60">
            <v>3386.5</v>
          </cell>
        </row>
        <row r="61">
          <cell r="C61" t="str">
            <v>Less test year disbursements</v>
          </cell>
          <cell r="K61">
            <v>-3257</v>
          </cell>
        </row>
        <row r="62">
          <cell r="C62" t="str">
            <v>Less test year disbursements</v>
          </cell>
          <cell r="K62">
            <v>-3257</v>
          </cell>
        </row>
        <row r="63">
          <cell r="C63" t="str">
            <v xml:space="preserve">   Adjustment</v>
          </cell>
          <cell r="K63">
            <v>129.5</v>
          </cell>
        </row>
        <row r="64">
          <cell r="C64" t="str">
            <v xml:space="preserve">   Adjustment</v>
          </cell>
          <cell r="K64">
            <v>129.5</v>
          </cell>
        </row>
        <row r="65">
          <cell r="A65" t="str">
            <v>Adjustment (5)</v>
          </cell>
        </row>
        <row r="66">
          <cell r="A66" t="str">
            <v>Adjustment (5)</v>
          </cell>
        </row>
        <row r="67">
          <cell r="A67" t="str">
            <v>To eliminate test year disbursements that are considered capital expenditures or nonrecurring in nature.</v>
          </cell>
        </row>
        <row r="68">
          <cell r="A68" t="str">
            <v>To eliminate test year disbursements that are considered capital expenditures or nonrecurring in nature.</v>
          </cell>
        </row>
        <row r="69">
          <cell r="A69" t="str">
            <v>Date</v>
          </cell>
          <cell r="E69" t="str">
            <v>Description</v>
          </cell>
          <cell r="I69" t="str">
            <v>Category</v>
          </cell>
          <cell r="K69" t="str">
            <v>Amount</v>
          </cell>
        </row>
        <row r="70">
          <cell r="A70" t="str">
            <v>Date</v>
          </cell>
          <cell r="E70" t="str">
            <v>Description</v>
          </cell>
          <cell r="I70" t="str">
            <v>Category</v>
          </cell>
          <cell r="K70" t="str">
            <v>Amount</v>
          </cell>
        </row>
        <row r="71">
          <cell r="A71" t="str">
            <v>April, 2005</v>
          </cell>
          <cell r="E71" t="str">
            <v>Payment for town building construction</v>
          </cell>
          <cell r="I71" t="str">
            <v>Other</v>
          </cell>
          <cell r="K71">
            <v>-3775</v>
          </cell>
        </row>
        <row r="72">
          <cell r="A72" t="str">
            <v>May, 2005</v>
          </cell>
          <cell r="E72" t="str">
            <v>Software</v>
          </cell>
          <cell r="I72" t="str">
            <v>Other</v>
          </cell>
          <cell r="K72">
            <v>-3442</v>
          </cell>
        </row>
        <row r="73">
          <cell r="A73" t="str">
            <v>June, 2005</v>
          </cell>
          <cell r="E73" t="str">
            <v>Engineering design for utilities</v>
          </cell>
          <cell r="I73" t="str">
            <v>Contractual services</v>
          </cell>
          <cell r="K73">
            <v>-834</v>
          </cell>
        </row>
        <row r="74">
          <cell r="A74" t="str">
            <v>October, 2005</v>
          </cell>
          <cell r="E74" t="str">
            <v>Engineering design for utilities</v>
          </cell>
          <cell r="I74" t="str">
            <v>Contractual services</v>
          </cell>
          <cell r="K74">
            <v>-1100</v>
          </cell>
        </row>
        <row r="75">
          <cell r="A75" t="str">
            <v>November, 2005</v>
          </cell>
          <cell r="E75" t="str">
            <v>Engineering design for utilities</v>
          </cell>
          <cell r="I75" t="str">
            <v>Contractual services</v>
          </cell>
          <cell r="K75">
            <v>-1263</v>
          </cell>
        </row>
        <row r="76">
          <cell r="A76" t="str">
            <v>November, 2005</v>
          </cell>
          <cell r="E76" t="str">
            <v>Engineering design for utilities</v>
          </cell>
          <cell r="I76" t="str">
            <v>Contractual services</v>
          </cell>
          <cell r="K76">
            <v>-1263</v>
          </cell>
        </row>
        <row r="77">
          <cell r="C77" t="str">
            <v xml:space="preserve">   Adjustment</v>
          </cell>
          <cell r="K77">
            <v>-10414</v>
          </cell>
        </row>
        <row r="78">
          <cell r="C78" t="str">
            <v xml:space="preserve">   Adjustment</v>
          </cell>
          <cell r="K78">
            <v>-10414</v>
          </cell>
        </row>
        <row r="90">
          <cell r="A90" t="str">
            <v>(Continued on next page)</v>
          </cell>
        </row>
        <row r="92">
          <cell r="A92" t="str">
            <v>(Subject to the comments in the attached letter</v>
          </cell>
        </row>
        <row r="93">
          <cell r="A93" t="str">
            <v>dated May 9, 2006 of Umbaugh.)</v>
          </cell>
        </row>
        <row r="94">
          <cell r="A94" t="str">
            <v>(Subject to the comments in the attached letter</v>
          </cell>
        </row>
        <row r="95">
          <cell r="A95">
            <v>4</v>
          </cell>
        </row>
        <row r="96">
          <cell r="A96" t="str">
            <v>DUBLIN (INDIANA) MUNICIPAL WATER UTILITY</v>
          </cell>
        </row>
        <row r="97">
          <cell r="A97">
            <v>4</v>
          </cell>
          <cell r="K97" t="str">
            <v>(Cont'd)</v>
          </cell>
        </row>
        <row r="98">
          <cell r="A98" t="str">
            <v>SCHEDULE OF PROJECTED ANNUAL CASH OPERATING DISBURSEMENTS</v>
          </cell>
        </row>
        <row r="99">
          <cell r="A99" t="str">
            <v>Explanation of Adjustments</v>
          </cell>
          <cell r="K99" t="str">
            <v>(Cont'd)</v>
          </cell>
        </row>
        <row r="100">
          <cell r="A100" t="str">
            <v>SCHEDULE OF PROJECTED ANNUAL CASH OPERATING DISBURSEMENTS</v>
          </cell>
        </row>
        <row r="101">
          <cell r="A101" t="str">
            <v>Adjustment (6)</v>
          </cell>
        </row>
        <row r="103">
          <cell r="A103" t="str">
            <v>To amortize the cost of a two year SBA audit over a two year period.</v>
          </cell>
        </row>
        <row r="105">
          <cell r="A105" t="str">
            <v>To amortize the cost of a three year SBA audit over a two year period.</v>
          </cell>
          <cell r="C105" t="str">
            <v>Projected SBA audit expense</v>
          </cell>
          <cell r="K105">
            <v>2764</v>
          </cell>
        </row>
        <row r="106">
          <cell r="C106" t="str">
            <v>Amortize over two years</v>
          </cell>
          <cell r="K106">
            <v>2</v>
          </cell>
        </row>
        <row r="107">
          <cell r="C107" t="str">
            <v>Projected SBA audit expense</v>
          </cell>
          <cell r="K107">
            <v>2764</v>
          </cell>
        </row>
        <row r="108">
          <cell r="C108" t="str">
            <v xml:space="preserve">   Sub-total</v>
          </cell>
          <cell r="K108">
            <v>1382</v>
          </cell>
        </row>
        <row r="109">
          <cell r="C109" t="str">
            <v>Less test year disbursements</v>
          </cell>
          <cell r="K109">
            <v>-2764</v>
          </cell>
        </row>
        <row r="110">
          <cell r="C110" t="str">
            <v>Sub-total</v>
          </cell>
          <cell r="K110">
            <v>1382</v>
          </cell>
        </row>
        <row r="111">
          <cell r="C111" t="str">
            <v xml:space="preserve">   Adjustment</v>
          </cell>
          <cell r="K111">
            <v>-1382</v>
          </cell>
        </row>
        <row r="113">
          <cell r="A113" t="str">
            <v>Adjustment (7)</v>
          </cell>
          <cell r="C113" t="str">
            <v xml:space="preserve">   Adjustment</v>
          </cell>
          <cell r="K113">
            <v>-1382</v>
          </cell>
        </row>
        <row r="115">
          <cell r="A115" t="str">
            <v>To amortize the cost of a rate study over a three year period.</v>
          </cell>
        </row>
        <row r="117">
          <cell r="A117" t="str">
            <v>To amortize the cost of a rate study over a three year period.</v>
          </cell>
          <cell r="C117" t="str">
            <v>Projected rate study expense</v>
          </cell>
          <cell r="K117">
            <v>7000</v>
          </cell>
        </row>
        <row r="118">
          <cell r="C118" t="str">
            <v>Amortize over three years</v>
          </cell>
          <cell r="K118">
            <v>3</v>
          </cell>
        </row>
        <row r="119">
          <cell r="C119" t="str">
            <v>Projected rate study expense</v>
          </cell>
          <cell r="K119">
            <v>6000</v>
          </cell>
        </row>
        <row r="120">
          <cell r="C120" t="str">
            <v xml:space="preserve">   Sub-total</v>
          </cell>
          <cell r="K120">
            <v>2333.3000000000002</v>
          </cell>
        </row>
        <row r="121">
          <cell r="C121" t="str">
            <v>Less test year disbursements</v>
          </cell>
          <cell r="K121">
            <v>0</v>
          </cell>
        </row>
        <row r="122">
          <cell r="C122" t="str">
            <v>Sub-total</v>
          </cell>
          <cell r="K122">
            <v>2000</v>
          </cell>
        </row>
        <row r="123">
          <cell r="C123" t="str">
            <v xml:space="preserve">   Adjustment</v>
          </cell>
          <cell r="K123">
            <v>2333.3000000000002</v>
          </cell>
        </row>
        <row r="125">
          <cell r="C125" t="str">
            <v xml:space="preserve">   Adjustment</v>
          </cell>
          <cell r="K125">
            <v>2000</v>
          </cell>
        </row>
        <row r="138">
          <cell r="A138" t="str">
            <v>(Continued on next page)</v>
          </cell>
        </row>
        <row r="140">
          <cell r="A140" t="str">
            <v>(Subject to the comments in the attached letter</v>
          </cell>
        </row>
        <row r="141">
          <cell r="A141" t="str">
            <v>dated May 9, 2006 of Umbaugh.)</v>
          </cell>
        </row>
        <row r="143">
          <cell r="A143">
            <v>5</v>
          </cell>
        </row>
        <row r="144">
          <cell r="A144" t="str">
            <v>DUBLIN (INDIANA) MUNICIPAL WATER UTILITY</v>
          </cell>
        </row>
        <row r="145">
          <cell r="K145" t="str">
            <v>(Cont'd)</v>
          </cell>
        </row>
        <row r="146">
          <cell r="A146" t="str">
            <v>SCHEDULE OF PROJECTED ANNUAL CASH OPERATING DISBURSEMENTS</v>
          </cell>
        </row>
        <row r="147">
          <cell r="A147" t="str">
            <v>Explanation of Adjustments</v>
          </cell>
        </row>
        <row r="148">
          <cell r="K148" t="str">
            <v>(Cont'd)</v>
          </cell>
        </row>
        <row r="149">
          <cell r="A149" t="str">
            <v>Adjustment (8)</v>
          </cell>
        </row>
        <row r="150">
          <cell r="A150" t="str">
            <v>Explanation of Adjustments</v>
          </cell>
        </row>
        <row r="151">
          <cell r="A151" t="str">
            <v>To amortize the cost of cleaning two wells and maintaining two high service pumps</v>
          </cell>
        </row>
        <row r="152">
          <cell r="A152" t="str">
            <v>(per utility management).</v>
          </cell>
        </row>
        <row r="154">
          <cell r="A154" t="str">
            <v>To amortize the cost of cleaning two wells and maintaining two high service pumps</v>
          </cell>
          <cell r="C154" t="str">
            <v>Projected annual provision to clean wells</v>
          </cell>
        </row>
        <row r="155">
          <cell r="A155" t="str">
            <v>(per utility management).</v>
          </cell>
          <cell r="C155" t="str">
            <v xml:space="preserve">   ($12,000 over 5 years.)</v>
          </cell>
          <cell r="K155">
            <v>2400</v>
          </cell>
        </row>
        <row r="157">
          <cell r="C157" t="str">
            <v>Projected annual provision to replace high service pumps</v>
          </cell>
        </row>
        <row r="158">
          <cell r="C158" t="str">
            <v xml:space="preserve">   ($12,000 over 5 years.)</v>
          </cell>
          <cell r="K158">
            <v>2400</v>
          </cell>
        </row>
        <row r="160">
          <cell r="C160" t="str">
            <v xml:space="preserve">   Sub-total</v>
          </cell>
          <cell r="K160">
            <v>4800</v>
          </cell>
        </row>
        <row r="161">
          <cell r="C161" t="str">
            <v>Less test year disbursements</v>
          </cell>
          <cell r="K161">
            <v>0</v>
          </cell>
        </row>
        <row r="163">
          <cell r="C163" t="str">
            <v xml:space="preserve">   Sub-total</v>
          </cell>
          <cell r="K163">
            <v>4800</v>
          </cell>
        </row>
        <row r="164">
          <cell r="C164" t="str">
            <v>Less test year disbursements</v>
          </cell>
          <cell r="K164">
            <v>0</v>
          </cell>
        </row>
        <row r="165">
          <cell r="A165" t="str">
            <v>Adjustment (9)</v>
          </cell>
        </row>
        <row r="166">
          <cell r="C166" t="str">
            <v xml:space="preserve">   Adjustment</v>
          </cell>
          <cell r="K166">
            <v>4800</v>
          </cell>
        </row>
        <row r="167">
          <cell r="A167" t="str">
            <v>To adjust the test year to provide an allowance for payment in lieu of taxes.</v>
          </cell>
        </row>
        <row r="168">
          <cell r="A168" t="str">
            <v>Adjustment (9)</v>
          </cell>
        </row>
        <row r="169">
          <cell r="C169" t="str">
            <v>Capital assets at 12/31/05</v>
          </cell>
          <cell r="K169">
            <v>1360363</v>
          </cell>
        </row>
        <row r="170">
          <cell r="A170" t="str">
            <v>To adjust test year to provide and allowance for payment in lieu of taxes.</v>
          </cell>
          <cell r="C170" t="str">
            <v>Plus capitalized items</v>
          </cell>
          <cell r="K170">
            <v>10414</v>
          </cell>
        </row>
        <row r="171">
          <cell r="C171" t="str">
            <v>Less accumulated depreciation at 12/31/05</v>
          </cell>
          <cell r="K171">
            <v>-491648.41000000003</v>
          </cell>
        </row>
        <row r="172">
          <cell r="C172" t="str">
            <v>Capital assets at 12/31/05</v>
          </cell>
          <cell r="K172">
            <v>1360363</v>
          </cell>
        </row>
        <row r="173">
          <cell r="C173" t="str">
            <v xml:space="preserve">   Estimated assessed value</v>
          </cell>
          <cell r="K173">
            <v>879128.59</v>
          </cell>
        </row>
        <row r="174">
          <cell r="C174" t="str">
            <v>Times corporate tax rate $.3241 per $100 (net of PTRC of  15.2291%)</v>
          </cell>
          <cell r="K174">
            <v>0.27474248690000003</v>
          </cell>
        </row>
        <row r="176">
          <cell r="C176" t="str">
            <v xml:space="preserve">   Adjustment</v>
          </cell>
          <cell r="D176" t="str">
            <v>Estimated assessed value</v>
          </cell>
          <cell r="K176">
            <v>2415</v>
          </cell>
        </row>
        <row r="177">
          <cell r="C177" t="str">
            <v>Times corporate tax rate $.3241 per $100 (net of PTRC of  15.2291%)</v>
          </cell>
          <cell r="K177">
            <v>0.27474248690000003</v>
          </cell>
        </row>
        <row r="179">
          <cell r="D179" t="str">
            <v>Adjustment</v>
          </cell>
          <cell r="K179">
            <v>2414</v>
          </cell>
        </row>
        <row r="186">
          <cell r="A186" t="str">
            <v>(Continued on next page)</v>
          </cell>
        </row>
        <row r="188">
          <cell r="A188" t="str">
            <v>(Subject to the comments in the attached letter</v>
          </cell>
        </row>
        <row r="189">
          <cell r="A189" t="str">
            <v>dated May 9, 2006 of Umbaugh.)</v>
          </cell>
        </row>
        <row r="190">
          <cell r="A190" t="str">
            <v>(Continued on next page)</v>
          </cell>
        </row>
        <row r="191">
          <cell r="A191">
            <v>6</v>
          </cell>
        </row>
        <row r="192">
          <cell r="A192" t="str">
            <v>DUBLIN (INDIANA) MUNICIPAL WATER UTILITY</v>
          </cell>
        </row>
        <row r="193">
          <cell r="A193" t="str">
            <v>dated April __, 2006 of Umbaugh.)</v>
          </cell>
        </row>
        <row r="194">
          <cell r="A194" t="str">
            <v>SCHEDULE OF PROJECTED ANNUAL CASH OPERATING DISBURSEMENTS</v>
          </cell>
        </row>
        <row r="195">
          <cell r="A195" t="str">
            <v>Explanation of Adjustments</v>
          </cell>
        </row>
        <row r="196">
          <cell r="A196" t="str">
            <v>DUBLIN (INDIANA) MUNICIPAL WATER UTILITY</v>
          </cell>
        </row>
        <row r="197">
          <cell r="A197" t="str">
            <v>Adjustment (10)</v>
          </cell>
        </row>
        <row r="198">
          <cell r="A198" t="str">
            <v>SCHEDULE OF PROJECTED ANNUAL CASH OPERATING DISBURSEMENTS</v>
          </cell>
        </row>
        <row r="199">
          <cell r="A199" t="str">
            <v>To adjust the test year to reflect projected IDEM regulatory fee disbursements.</v>
          </cell>
        </row>
        <row r="201">
          <cell r="A201" t="str">
            <v>Adjustment (10)</v>
          </cell>
          <cell r="C201" t="str">
            <v>Number of customer connections at 12/31/05</v>
          </cell>
          <cell r="K201">
            <v>411</v>
          </cell>
        </row>
        <row r="202">
          <cell r="C202" t="str">
            <v>Times annual fee per connection</v>
          </cell>
          <cell r="K202">
            <v>0.95</v>
          </cell>
        </row>
        <row r="203">
          <cell r="A203" t="str">
            <v>To adjust test year to reflect projected IDEM regulatory fee expense.</v>
          </cell>
        </row>
        <row r="204">
          <cell r="D204" t="str">
            <v>Adjustment</v>
          </cell>
          <cell r="K204">
            <v>390</v>
          </cell>
        </row>
        <row r="205">
          <cell r="C205" t="str">
            <v>Number of customer connections at 12/31/05</v>
          </cell>
          <cell r="K205">
            <v>411</v>
          </cell>
        </row>
        <row r="206">
          <cell r="A206" t="str">
            <v>Adjustment (11)</v>
          </cell>
          <cell r="C206" t="str">
            <v>Times annual fee per connection</v>
          </cell>
          <cell r="K206">
            <v>0.95</v>
          </cell>
        </row>
        <row r="208">
          <cell r="A208" t="str">
            <v>To adjust the test year to reflect a normal amount of utility receipts tax.</v>
          </cell>
          <cell r="D208" t="str">
            <v>Adjustment</v>
          </cell>
          <cell r="K208">
            <v>390</v>
          </cell>
        </row>
        <row r="210">
          <cell r="A210" t="str">
            <v>Adjustment (11)</v>
          </cell>
          <cell r="C210" t="str">
            <v>Taxable utility receipts</v>
          </cell>
          <cell r="K210">
            <v>110305</v>
          </cell>
        </row>
        <row r="211">
          <cell r="C211" t="str">
            <v>Less exemption</v>
          </cell>
          <cell r="K211">
            <v>-500</v>
          </cell>
        </row>
        <row r="212">
          <cell r="A212" t="str">
            <v>To adjust test year disbursements to provide for inflation and unforeseen contingencies.</v>
          </cell>
        </row>
        <row r="213">
          <cell r="C213" t="str">
            <v xml:space="preserve">   Sub-total</v>
          </cell>
          <cell r="K213">
            <v>109805</v>
          </cell>
        </row>
        <row r="214">
          <cell r="C214" t="str">
            <v>Times utility receipts tax rate</v>
          </cell>
          <cell r="K214">
            <v>1.4E-2</v>
          </cell>
        </row>
        <row r="215">
          <cell r="C215" t="str">
            <v>Times 5%</v>
          </cell>
          <cell r="K215">
            <v>0.05</v>
          </cell>
        </row>
        <row r="216">
          <cell r="C216" t="str">
            <v>Utility receipts tax due</v>
          </cell>
          <cell r="K216">
            <v>1537</v>
          </cell>
        </row>
        <row r="217">
          <cell r="C217" t="str">
            <v>Less test year amount</v>
          </cell>
          <cell r="K217">
            <v>-1885</v>
          </cell>
        </row>
        <row r="219">
          <cell r="C219" t="str">
            <v xml:space="preserve">   Adjustment</v>
          </cell>
          <cell r="K219">
            <v>-348</v>
          </cell>
        </row>
        <row r="221">
          <cell r="A221" t="str">
            <v>Adjustment (12)</v>
          </cell>
        </row>
        <row r="223">
          <cell r="A223" t="str">
            <v>To adjust test year disbursements to provide for inflation and unforeseen contingencies.</v>
          </cell>
        </row>
        <row r="225">
          <cell r="C225" t="str">
            <v>Projected cash operating disbursements</v>
          </cell>
          <cell r="K225">
            <v>138965.9</v>
          </cell>
        </row>
        <row r="226">
          <cell r="C226" t="str">
            <v>Times 5%</v>
          </cell>
          <cell r="K226">
            <v>0.05</v>
          </cell>
        </row>
        <row r="228">
          <cell r="C228" t="str">
            <v xml:space="preserve">   Adjustment</v>
          </cell>
          <cell r="K228">
            <v>6948.3</v>
          </cell>
        </row>
        <row r="236">
          <cell r="A236" t="str">
            <v>(Subject to the comments in the attached letter</v>
          </cell>
        </row>
        <row r="237">
          <cell r="A237" t="str">
            <v>dated May 9, 2006 of Umbaugh.)</v>
          </cell>
        </row>
        <row r="239">
          <cell r="A239">
            <v>7</v>
          </cell>
        </row>
      </sheetData>
      <sheetData sheetId="3">
        <row r="1">
          <cell r="A1" t="str">
            <v>DUBLIN (INDIANA) MUNICIPAL WATER UTILITY</v>
          </cell>
        </row>
      </sheetData>
      <sheetData sheetId="4">
        <row r="1">
          <cell r="A1" t="str">
            <v>DUBLIN (INDIANA) MUNICIPAL WATER UTILITY</v>
          </cell>
        </row>
      </sheetData>
      <sheetData sheetId="5">
        <row r="1">
          <cell r="A1" t="str">
            <v>DUBLIN (INDIANA) MUNICIPAL WATER UTILITY</v>
          </cell>
        </row>
      </sheetData>
      <sheetData sheetId="6">
        <row r="1">
          <cell r="A1" t="str">
            <v>DUBLIN (INDIANA) MUNICIPAL WATER UTILITY</v>
          </cell>
        </row>
      </sheetData>
      <sheetData sheetId="7">
        <row r="1">
          <cell r="A1" t="str">
            <v>DUBLIN (INDIANA) MUNICIPAL WATER UTILITY</v>
          </cell>
        </row>
        <row r="3">
          <cell r="A3" t="str">
            <v>COMPARATIVE SCHEDULE OF SELECTED FINANCIAL</v>
          </cell>
        </row>
        <row r="4">
          <cell r="A4" t="str">
            <v>INFORMATION ARISING FROM CASH TRANSACTIONS</v>
          </cell>
        </row>
        <row r="5">
          <cell r="A5" t="str">
            <v>(Unaudited)</v>
          </cell>
        </row>
        <row r="8">
          <cell r="D8" t="str">
            <v>As of</v>
          </cell>
        </row>
        <row r="9">
          <cell r="A9" t="str">
            <v>Account Balance:</v>
          </cell>
          <cell r="D9">
            <v>38352</v>
          </cell>
          <cell r="F9">
            <v>36891</v>
          </cell>
          <cell r="G9">
            <v>38717</v>
          </cell>
        </row>
        <row r="11">
          <cell r="A11" t="str">
            <v>Operation and maintenance</v>
          </cell>
          <cell r="D11">
            <v>44731</v>
          </cell>
          <cell r="F11">
            <v>38973</v>
          </cell>
          <cell r="G11">
            <v>10786</v>
          </cell>
        </row>
        <row r="13">
          <cell r="A13" t="str">
            <v>Cash reserve</v>
          </cell>
          <cell r="D13">
            <v>8168</v>
          </cell>
          <cell r="G13">
            <v>32992</v>
          </cell>
        </row>
        <row r="15">
          <cell r="A15" t="str">
            <v>Depreciation</v>
          </cell>
          <cell r="D15">
            <v>65771</v>
          </cell>
          <cell r="F15">
            <v>13764</v>
          </cell>
          <cell r="G15">
            <v>76953</v>
          </cell>
        </row>
        <row r="17">
          <cell r="A17" t="str">
            <v>Meter deposits</v>
          </cell>
          <cell r="D17">
            <v>15916</v>
          </cell>
          <cell r="F17">
            <v>7523</v>
          </cell>
          <cell r="G17">
            <v>8382</v>
          </cell>
        </row>
        <row r="19">
          <cell r="B19" t="str">
            <v>Totals</v>
          </cell>
          <cell r="D19">
            <v>134586</v>
          </cell>
          <cell r="F19">
            <v>60260</v>
          </cell>
          <cell r="G19">
            <v>129113</v>
          </cell>
        </row>
        <row r="24">
          <cell r="A24" t="str">
            <v>Indebtedness:</v>
          </cell>
        </row>
        <row r="26">
          <cell r="A26" t="str">
            <v>Wayne Bank &amp; Trust Promissory Note of 1999</v>
          </cell>
          <cell r="D26">
            <v>2002</v>
          </cell>
          <cell r="G26">
            <v>1375</v>
          </cell>
        </row>
        <row r="35">
          <cell r="A35" t="str">
            <v>(Subject to the comments in the attached letter</v>
          </cell>
        </row>
        <row r="36">
          <cell r="A36" t="str">
            <v>dated May 9, 2006 of Umbaugh.)</v>
          </cell>
        </row>
        <row r="38">
          <cell r="A38">
            <v>12</v>
          </cell>
        </row>
      </sheetData>
      <sheetData sheetId="8">
        <row r="1">
          <cell r="A1" t="str">
            <v>DUBLIN (INDIANA) MUNICIPAL WATER UTILITY</v>
          </cell>
        </row>
        <row r="3">
          <cell r="A3" t="str">
            <v>COMPARATIVE SCHEDULE OF CASH RECEIPTS AND DISBURSEMENTS</v>
          </cell>
        </row>
        <row r="4">
          <cell r="A4" t="str">
            <v>(Unaudited)</v>
          </cell>
        </row>
        <row r="7">
          <cell r="E7" t="str">
            <v>12 Months Ended</v>
          </cell>
          <cell r="G7" t="str">
            <v>5 Months Ended</v>
          </cell>
        </row>
        <row r="8">
          <cell r="E8">
            <v>38352</v>
          </cell>
          <cell r="G8">
            <v>36891</v>
          </cell>
          <cell r="H8">
            <v>38717</v>
          </cell>
          <cell r="I8">
            <v>37042</v>
          </cell>
          <cell r="J8">
            <v>38717</v>
          </cell>
        </row>
        <row r="9">
          <cell r="A9" t="str">
            <v>Operating Receipts:</v>
          </cell>
        </row>
        <row r="10">
          <cell r="B10" t="str">
            <v>Metered sales</v>
          </cell>
          <cell r="E10">
            <v>115359</v>
          </cell>
          <cell r="G10">
            <v>41930</v>
          </cell>
          <cell r="I10">
            <v>43822</v>
          </cell>
          <cell r="J10">
            <v>110305</v>
          </cell>
        </row>
        <row r="11">
          <cell r="B11" t="str">
            <v>Hydrant rental</v>
          </cell>
          <cell r="E11">
            <v>12007</v>
          </cell>
          <cell r="J11">
            <v>12007</v>
          </cell>
        </row>
        <row r="12">
          <cell r="B12" t="str">
            <v>Penalties</v>
          </cell>
          <cell r="E12">
            <v>907</v>
          </cell>
          <cell r="G12">
            <v>335</v>
          </cell>
          <cell r="I12">
            <v>308</v>
          </cell>
          <cell r="J12">
            <v>838</v>
          </cell>
        </row>
        <row r="13">
          <cell r="B13" t="str">
            <v>WWRSD payment</v>
          </cell>
          <cell r="E13">
            <v>2103</v>
          </cell>
          <cell r="G13">
            <v>254</v>
          </cell>
          <cell r="I13">
            <v>856</v>
          </cell>
          <cell r="J13">
            <v>2302</v>
          </cell>
        </row>
        <row r="14">
          <cell r="B14" t="str">
            <v>Other</v>
          </cell>
          <cell r="E14">
            <v>811</v>
          </cell>
          <cell r="G14">
            <v>978</v>
          </cell>
          <cell r="I14">
            <v>767</v>
          </cell>
          <cell r="J14">
            <v>4592</v>
          </cell>
        </row>
        <row r="16">
          <cell r="C16" t="str">
            <v>Total Operating Receipts</v>
          </cell>
          <cell r="E16">
            <v>131187</v>
          </cell>
          <cell r="G16">
            <v>43497</v>
          </cell>
          <cell r="I16">
            <v>45753</v>
          </cell>
          <cell r="J16">
            <v>130044</v>
          </cell>
        </row>
        <row r="18">
          <cell r="A18" t="str">
            <v>Operating Disbursements:</v>
          </cell>
        </row>
        <row r="19">
          <cell r="B19" t="str">
            <v>Plant salaries and wages</v>
          </cell>
          <cell r="E19">
            <v>25608</v>
          </cell>
          <cell r="I19">
            <v>5453</v>
          </cell>
          <cell r="J19">
            <v>26296</v>
          </cell>
        </row>
        <row r="20">
          <cell r="B20" t="str">
            <v>Office salaries and wages</v>
          </cell>
          <cell r="E20">
            <v>14818</v>
          </cell>
          <cell r="I20">
            <v>8859</v>
          </cell>
          <cell r="J20">
            <v>15837</v>
          </cell>
        </row>
        <row r="21">
          <cell r="B21" t="str">
            <v>Town council salaries and wages</v>
          </cell>
          <cell r="E21">
            <v>440</v>
          </cell>
          <cell r="I21">
            <v>800</v>
          </cell>
          <cell r="J21">
            <v>439</v>
          </cell>
        </row>
        <row r="22">
          <cell r="B22" t="str">
            <v>PERF</v>
          </cell>
          <cell r="E22">
            <v>2207</v>
          </cell>
          <cell r="J22">
            <v>1949</v>
          </cell>
        </row>
        <row r="23">
          <cell r="B23" t="str">
            <v>FICA</v>
          </cell>
          <cell r="E23">
            <v>3126</v>
          </cell>
          <cell r="G23">
            <v>3929</v>
          </cell>
          <cell r="I23">
            <v>2415</v>
          </cell>
          <cell r="J23">
            <v>3257</v>
          </cell>
        </row>
        <row r="24">
          <cell r="B24" t="str">
            <v>Employee insurance</v>
          </cell>
          <cell r="E24">
            <v>20890</v>
          </cell>
          <cell r="I24">
            <v>831</v>
          </cell>
          <cell r="J24">
            <v>24878</v>
          </cell>
        </row>
        <row r="25">
          <cell r="B25" t="str">
            <v>Purchased power</v>
          </cell>
          <cell r="E25">
            <v>1624</v>
          </cell>
          <cell r="G25">
            <v>604</v>
          </cell>
          <cell r="I25">
            <v>206</v>
          </cell>
          <cell r="J25">
            <v>11606</v>
          </cell>
        </row>
        <row r="26">
          <cell r="B26" t="str">
            <v>Chemicals</v>
          </cell>
          <cell r="E26">
            <v>2832</v>
          </cell>
          <cell r="G26">
            <v>1352</v>
          </cell>
          <cell r="J26">
            <v>1328</v>
          </cell>
        </row>
        <row r="27">
          <cell r="B27" t="str">
            <v>Materials and supplies</v>
          </cell>
          <cell r="E27">
            <v>4680</v>
          </cell>
          <cell r="G27">
            <v>8393</v>
          </cell>
          <cell r="I27">
            <v>4035</v>
          </cell>
          <cell r="J27">
            <v>6414</v>
          </cell>
        </row>
        <row r="28">
          <cell r="B28" t="str">
            <v>Repairs and maintenance</v>
          </cell>
          <cell r="E28">
            <v>1597</v>
          </cell>
          <cell r="J28">
            <v>1561</v>
          </cell>
        </row>
        <row r="29">
          <cell r="B29" t="str">
            <v>Transportation</v>
          </cell>
          <cell r="E29">
            <v>1309</v>
          </cell>
          <cell r="G29">
            <v>1609</v>
          </cell>
          <cell r="I29" t="e">
            <v>#REF!</v>
          </cell>
          <cell r="J29">
            <v>1577</v>
          </cell>
        </row>
        <row r="30">
          <cell r="B30" t="str">
            <v>Contractual services</v>
          </cell>
          <cell r="E30">
            <v>16370</v>
          </cell>
          <cell r="G30">
            <v>421</v>
          </cell>
          <cell r="I30">
            <v>382</v>
          </cell>
          <cell r="J30">
            <v>18907</v>
          </cell>
        </row>
        <row r="31">
          <cell r="B31" t="str">
            <v>Office supplies</v>
          </cell>
          <cell r="E31">
            <v>387</v>
          </cell>
          <cell r="J31">
            <v>2146</v>
          </cell>
        </row>
        <row r="32">
          <cell r="B32" t="str">
            <v>Postage</v>
          </cell>
          <cell r="E32">
            <v>1892</v>
          </cell>
          <cell r="G32">
            <v>1604</v>
          </cell>
          <cell r="I32">
            <v>928</v>
          </cell>
          <cell r="J32">
            <v>1949</v>
          </cell>
        </row>
        <row r="33">
          <cell r="B33" t="str">
            <v>Insurance</v>
          </cell>
          <cell r="E33">
            <v>4910</v>
          </cell>
          <cell r="G33">
            <v>1031</v>
          </cell>
          <cell r="I33">
            <v>908</v>
          </cell>
          <cell r="J33">
            <v>6426</v>
          </cell>
        </row>
        <row r="34">
          <cell r="B34" t="str">
            <v>Taxes</v>
          </cell>
          <cell r="E34">
            <v>2762</v>
          </cell>
          <cell r="I34">
            <v>616</v>
          </cell>
          <cell r="J34">
            <v>1881</v>
          </cell>
        </row>
        <row r="35">
          <cell r="B35" t="str">
            <v>Other</v>
          </cell>
          <cell r="E35">
            <v>9832</v>
          </cell>
          <cell r="G35">
            <v>813</v>
          </cell>
          <cell r="I35">
            <v>34</v>
          </cell>
          <cell r="J35">
            <v>10684</v>
          </cell>
        </row>
        <row r="37">
          <cell r="C37" t="str">
            <v>Total Operating Disbursements</v>
          </cell>
          <cell r="E37">
            <v>115284</v>
          </cell>
          <cell r="G37">
            <v>19756</v>
          </cell>
          <cell r="I37" t="e">
            <v>#REF!</v>
          </cell>
          <cell r="J37">
            <v>137135</v>
          </cell>
        </row>
        <row r="39">
          <cell r="A39" t="str">
            <v>Net Operating Receipts (Loss)</v>
          </cell>
          <cell r="E39">
            <v>15903</v>
          </cell>
          <cell r="G39">
            <v>23741</v>
          </cell>
          <cell r="I39" t="e">
            <v>#REF!</v>
          </cell>
          <cell r="J39">
            <v>-7091</v>
          </cell>
        </row>
        <row r="43">
          <cell r="A43" t="str">
            <v>(Continued on next page)</v>
          </cell>
        </row>
        <row r="44">
          <cell r="A44" t="str">
            <v>(Continued on next page)</v>
          </cell>
        </row>
        <row r="45">
          <cell r="A45" t="str">
            <v>(Subject to the comments in the attached letter</v>
          </cell>
        </row>
        <row r="46">
          <cell r="A46" t="str">
            <v>dated May 9, 2006 of Umbaugh.)</v>
          </cell>
        </row>
        <row r="47">
          <cell r="A47" t="str">
            <v>dated April __, 2006 of Umbaugh.)</v>
          </cell>
        </row>
        <row r="48">
          <cell r="A48">
            <v>13</v>
          </cell>
        </row>
        <row r="49">
          <cell r="A49" t="str">
            <v>DUBLIN (INDIANA) MUNICIPAL WATER UTILITY</v>
          </cell>
        </row>
        <row r="50">
          <cell r="A50" t="str">
            <v>DUBLIN (INDIANA) MUNICIPAL WATER UTILITY</v>
          </cell>
          <cell r="J50" t="str">
            <v>(Cont'd)</v>
          </cell>
        </row>
        <row r="51">
          <cell r="A51" t="str">
            <v>COMPARATIVE SCHEDULE OF CASH RECEIPTS AND DISBURSEMENTS</v>
          </cell>
          <cell r="J51" t="str">
            <v>(Cont'd)</v>
          </cell>
        </row>
        <row r="52">
          <cell r="A52" t="str">
            <v>(Unaudited)</v>
          </cell>
        </row>
        <row r="53">
          <cell r="A53" t="str">
            <v>(Unaudited)</v>
          </cell>
        </row>
        <row r="55">
          <cell r="E55" t="str">
            <v>12 Months Ended</v>
          </cell>
          <cell r="G55" t="str">
            <v>5 Months Ended</v>
          </cell>
        </row>
        <row r="56">
          <cell r="E56">
            <v>38352</v>
          </cell>
          <cell r="G56">
            <v>36891</v>
          </cell>
          <cell r="H56">
            <v>38717</v>
          </cell>
          <cell r="I56">
            <v>37042</v>
          </cell>
          <cell r="J56">
            <v>38717</v>
          </cell>
        </row>
        <row r="57">
          <cell r="A57" t="str">
            <v>Other Receipts:</v>
          </cell>
          <cell r="E57">
            <v>38352</v>
          </cell>
          <cell r="G57">
            <v>36891</v>
          </cell>
          <cell r="H57">
            <v>38717</v>
          </cell>
          <cell r="I57">
            <v>37042</v>
          </cell>
          <cell r="J57">
            <v>38717</v>
          </cell>
        </row>
        <row r="58">
          <cell r="A58" t="str">
            <v>Other Receipts:</v>
          </cell>
          <cell r="B58" t="str">
            <v>Customer deposits (net)</v>
          </cell>
          <cell r="E58">
            <v>-259</v>
          </cell>
          <cell r="G58">
            <v>630</v>
          </cell>
          <cell r="I58">
            <v>410</v>
          </cell>
          <cell r="J58">
            <v>214</v>
          </cell>
        </row>
        <row r="59">
          <cell r="B59" t="str">
            <v>Tap fees</v>
          </cell>
          <cell r="E59">
            <v>950</v>
          </cell>
          <cell r="G59">
            <v>630</v>
          </cell>
          <cell r="I59">
            <v>410</v>
          </cell>
          <cell r="J59">
            <v>214</v>
          </cell>
        </row>
        <row r="60">
          <cell r="B60" t="str">
            <v>Reconnect fees</v>
          </cell>
          <cell r="E60">
            <v>443</v>
          </cell>
          <cell r="I60">
            <v>607</v>
          </cell>
          <cell r="J60">
            <v>475</v>
          </cell>
        </row>
        <row r="61">
          <cell r="B61" t="str">
            <v>Interest income</v>
          </cell>
          <cell r="E61">
            <v>1906</v>
          </cell>
          <cell r="I61">
            <v>8610</v>
          </cell>
          <cell r="J61">
            <v>1682</v>
          </cell>
        </row>
        <row r="62">
          <cell r="B62" t="str">
            <v>Interest income</v>
          </cell>
          <cell r="E62">
            <v>1906</v>
          </cell>
          <cell r="I62">
            <v>8610</v>
          </cell>
          <cell r="J62">
            <v>1682</v>
          </cell>
        </row>
        <row r="63">
          <cell r="C63" t="str">
            <v>Totals</v>
          </cell>
          <cell r="E63">
            <v>3040</v>
          </cell>
          <cell r="G63">
            <v>630</v>
          </cell>
          <cell r="I63">
            <v>9627</v>
          </cell>
          <cell r="J63">
            <v>2371</v>
          </cell>
        </row>
        <row r="64">
          <cell r="C64" t="str">
            <v>Totals</v>
          </cell>
          <cell r="E64">
            <v>3040</v>
          </cell>
          <cell r="G64">
            <v>630</v>
          </cell>
          <cell r="I64">
            <v>9627</v>
          </cell>
          <cell r="J64">
            <v>2371</v>
          </cell>
        </row>
        <row r="65">
          <cell r="A65" t="str">
            <v>Other Disbursements:</v>
          </cell>
        </row>
        <row r="66">
          <cell r="A66" t="str">
            <v>Other Disbursements:</v>
          </cell>
          <cell r="B66" t="str">
            <v>Promissory note</v>
          </cell>
          <cell r="E66">
            <v>753</v>
          </cell>
          <cell r="I66">
            <v>753</v>
          </cell>
          <cell r="J66">
            <v>753</v>
          </cell>
        </row>
        <row r="67">
          <cell r="B67" t="str">
            <v>Capital assets</v>
          </cell>
          <cell r="E67">
            <v>12375</v>
          </cell>
          <cell r="I67">
            <v>1966</v>
          </cell>
          <cell r="J67">
            <v>753</v>
          </cell>
        </row>
        <row r="68">
          <cell r="B68" t="str">
            <v>Capital assets</v>
          </cell>
          <cell r="E68">
            <v>12375</v>
          </cell>
          <cell r="I68">
            <v>1966</v>
          </cell>
        </row>
        <row r="69">
          <cell r="C69" t="str">
            <v>Totals</v>
          </cell>
          <cell r="E69">
            <v>13128</v>
          </cell>
          <cell r="G69">
            <v>0</v>
          </cell>
          <cell r="I69">
            <v>2719</v>
          </cell>
          <cell r="J69">
            <v>753</v>
          </cell>
        </row>
        <row r="70">
          <cell r="C70" t="str">
            <v>Totals</v>
          </cell>
          <cell r="E70">
            <v>13128</v>
          </cell>
          <cell r="G70">
            <v>0</v>
          </cell>
          <cell r="I70">
            <v>2719</v>
          </cell>
          <cell r="J70">
            <v>753</v>
          </cell>
        </row>
        <row r="71">
          <cell r="A71" t="str">
            <v>Cash and cash equivalents:</v>
          </cell>
        </row>
        <row r="72">
          <cell r="A72" t="str">
            <v>Cash and cash equivalents:</v>
          </cell>
          <cell r="B72" t="str">
            <v>Net increase (decrease)</v>
          </cell>
          <cell r="E72">
            <v>5815</v>
          </cell>
          <cell r="G72">
            <v>24371</v>
          </cell>
          <cell r="I72" t="e">
            <v>#REF!</v>
          </cell>
          <cell r="J72">
            <v>-5473</v>
          </cell>
        </row>
        <row r="73">
          <cell r="B73" t="str">
            <v>Beginning balance</v>
          </cell>
          <cell r="E73">
            <v>128771</v>
          </cell>
          <cell r="G73">
            <v>128771</v>
          </cell>
          <cell r="I73">
            <v>134586</v>
          </cell>
          <cell r="J73">
            <v>134586</v>
          </cell>
        </row>
        <row r="74">
          <cell r="B74" t="str">
            <v>Beginning balance</v>
          </cell>
          <cell r="E74">
            <v>128771</v>
          </cell>
          <cell r="G74">
            <v>128771</v>
          </cell>
          <cell r="I74">
            <v>134586</v>
          </cell>
          <cell r="J74">
            <v>134586</v>
          </cell>
        </row>
        <row r="75">
          <cell r="C75" t="str">
            <v>Ending balance</v>
          </cell>
          <cell r="E75">
            <v>134586</v>
          </cell>
          <cell r="G75">
            <v>153142</v>
          </cell>
          <cell r="I75" t="e">
            <v>#REF!</v>
          </cell>
          <cell r="J75">
            <v>129113</v>
          </cell>
        </row>
        <row r="76">
          <cell r="C76" t="str">
            <v>Ending balance</v>
          </cell>
          <cell r="E76">
            <v>134586</v>
          </cell>
          <cell r="G76">
            <v>153142</v>
          </cell>
          <cell r="I76" t="e">
            <v>#REF!</v>
          </cell>
          <cell r="J76">
            <v>129113</v>
          </cell>
        </row>
        <row r="93">
          <cell r="A93" t="str">
            <v>(Subject to the comments in the attached letter</v>
          </cell>
        </row>
        <row r="94">
          <cell r="A94" t="str">
            <v>dated May 9, 2006 of Umbaugh.)</v>
          </cell>
        </row>
        <row r="95">
          <cell r="A95" t="str">
            <v>(Subject to the comments in the attached letter</v>
          </cell>
        </row>
        <row r="96">
          <cell r="A96">
            <v>14</v>
          </cell>
        </row>
      </sheetData>
      <sheetData sheetId="9"/>
      <sheetData sheetId="10">
        <row r="1">
          <cell r="A1" t="str">
            <v>DUBLIN (INDIANA) MUNICIPAL WATER UTILITY</v>
          </cell>
        </row>
      </sheetData>
      <sheetData sheetId="11">
        <row r="1">
          <cell r="A1" t="str">
            <v>DUBLIN (INDIANA) MUNICIPAL WATER UTILITY</v>
          </cell>
        </row>
      </sheetData>
      <sheetData sheetId="12"/>
      <sheetData sheetId="13"/>
      <sheetData sheetId="14">
        <row r="1">
          <cell r="A1" t="str">
            <v>DUBLIN (INDIANA) MUNICIPAL WATER UTILITY</v>
          </cell>
        </row>
        <row r="3">
          <cell r="A3" t="str">
            <v>CALCULATION OF PROJECTED RETURN ON UTILITY PLANT</v>
          </cell>
        </row>
        <row r="7">
          <cell r="A7" t="str">
            <v>Net Utility Plant</v>
          </cell>
        </row>
        <row r="9">
          <cell r="B9" t="str">
            <v>Estimated utility plant in service at 05/31/01</v>
          </cell>
          <cell r="J9">
            <v>1360363</v>
          </cell>
        </row>
        <row r="10">
          <cell r="B10" t="str">
            <v>Less accumulated depreciation (1)</v>
          </cell>
          <cell r="J10" t="e">
            <v>#REF!</v>
          </cell>
        </row>
        <row r="11">
          <cell r="B11" t="str">
            <v>Less contributions-in-aid of construction</v>
          </cell>
          <cell r="J11">
            <v>-1020468</v>
          </cell>
        </row>
        <row r="13">
          <cell r="C13" t="str">
            <v>Net Utility Plant</v>
          </cell>
          <cell r="J13" t="e">
            <v>#REF!</v>
          </cell>
        </row>
        <row r="16">
          <cell r="A16" t="str">
            <v>Return on Utility Plant</v>
          </cell>
        </row>
        <row r="18">
          <cell r="B18" t="str">
            <v>Projected annual operating revenues</v>
          </cell>
          <cell r="J18" t="e">
            <v>#NAME?</v>
          </cell>
        </row>
        <row r="19">
          <cell r="B19" t="str">
            <v>Less projected annual cash operating disbursements</v>
          </cell>
          <cell r="J19" t="e">
            <v>#NAME?</v>
          </cell>
        </row>
        <row r="20">
          <cell r="B20" t="str">
            <v>Less depreciation (see page 15)</v>
          </cell>
          <cell r="J20">
            <v>-27323</v>
          </cell>
        </row>
        <row r="22">
          <cell r="C22" t="str">
            <v>Net Operating Income</v>
          </cell>
          <cell r="J22" t="e">
            <v>#NAME?</v>
          </cell>
        </row>
        <row r="25">
          <cell r="C25" t="str">
            <v>Return on Net Utility Plant</v>
          </cell>
          <cell r="J25" t="e">
            <v>#NAME?</v>
          </cell>
        </row>
        <row r="28">
          <cell r="A28" t="str">
            <v>(1)</v>
          </cell>
          <cell r="B28" t="str">
            <v>Accumulated depreciation 12/31/98</v>
          </cell>
          <cell r="H28">
            <v>170376</v>
          </cell>
        </row>
        <row r="29">
          <cell r="B29" t="str">
            <v xml:space="preserve">   Add -</v>
          </cell>
          <cell r="D29" t="str">
            <v>1999 (see page 15)</v>
          </cell>
          <cell r="H29" t="e">
            <v>#REF!</v>
          </cell>
        </row>
        <row r="30">
          <cell r="D30" t="str">
            <v>2000 (see page 15)</v>
          </cell>
          <cell r="H30">
            <v>0</v>
          </cell>
        </row>
        <row r="31">
          <cell r="D31" t="str">
            <v>2001 through 05/31/01 (see page 15)</v>
          </cell>
          <cell r="H31">
            <v>0</v>
          </cell>
        </row>
        <row r="33">
          <cell r="C33" t="str">
            <v>Accumulated depreciation 05/31/01</v>
          </cell>
          <cell r="H33" t="e">
            <v>#REF!</v>
          </cell>
        </row>
        <row r="38">
          <cell r="A38" t="str">
            <v>(Subject to the comments in the attached letter</v>
          </cell>
        </row>
        <row r="39">
          <cell r="A39" t="str">
            <v>dated May 9, 2006 of Umbaugh.)</v>
          </cell>
        </row>
        <row r="41">
          <cell r="A41" t="str">
            <v>-7-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WTB"/>
      <sheetName val="PFOE"/>
      <sheetName val="Pro Forma"/>
      <sheetName val="Pro Forma Adj"/>
      <sheetName val="Proj Cost"/>
      <sheetName val="Normalize Rev"/>
      <sheetName val="CIP"/>
      <sheetName val="Rev Req CIP"/>
      <sheetName val="Rev Req I"/>
      <sheetName val="Rates CIP"/>
      <sheetName val="Rates"/>
      <sheetName val="Comparison"/>
      <sheetName val="Flysheet"/>
      <sheetName val="Bal"/>
      <sheetName val="Inc"/>
      <sheetName val="SCF"/>
      <sheetName val="Min Bal"/>
      <sheetName val="Add Plant"/>
      <sheetName val="Worksheet"/>
      <sheetName val="Combined"/>
      <sheetName val="1987 RD Bonds"/>
      <sheetName val="1994 RD Bonds"/>
      <sheetName val="Adj Add Plant 2004"/>
      <sheetName val="Adj Add Plant 2003"/>
      <sheetName val="Adj Add Plant 2002"/>
      <sheetName val="Adj Add Plant 2001"/>
      <sheetName val="UP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POSEY TOWNSHIP WATER CORPORATION</v>
          </cell>
        </row>
        <row r="3">
          <cell r="A3" t="str">
            <v>PRO FORMA REVENUE REQUIREMENTS AND ANNUAL REVENUES</v>
          </cell>
        </row>
        <row r="4">
          <cell r="A4" t="str">
            <v>See Explanation of Adjustments, Page 9</v>
          </cell>
        </row>
        <row r="7">
          <cell r="G7" t="str">
            <v>12 Months</v>
          </cell>
        </row>
        <row r="8">
          <cell r="G8" t="str">
            <v>Ended</v>
          </cell>
          <cell r="M8" t="str">
            <v>Pro Forma</v>
          </cell>
        </row>
        <row r="9">
          <cell r="G9">
            <v>38656</v>
          </cell>
          <cell r="I9" t="str">
            <v>Adjustments</v>
          </cell>
          <cell r="K9" t="str">
            <v>Ref.</v>
          </cell>
          <cell r="M9">
            <v>2006</v>
          </cell>
        </row>
        <row r="10">
          <cell r="A10" t="str">
            <v>Annual Revenue Requirements:</v>
          </cell>
          <cell r="G10" t="str">
            <v>(Unaudited)</v>
          </cell>
        </row>
        <row r="12">
          <cell r="B12" t="str">
            <v xml:space="preserve">Operation and maintenance expense </v>
          </cell>
          <cell r="G12">
            <v>344011</v>
          </cell>
          <cell r="I12">
            <v>-26696</v>
          </cell>
          <cell r="K12">
            <v>-1</v>
          </cell>
          <cell r="M12">
            <v>317315</v>
          </cell>
        </row>
        <row r="14">
          <cell r="B14" t="str">
            <v>Debt service:</v>
          </cell>
        </row>
        <row r="15">
          <cell r="C15" t="str">
            <v>Outstanding debt</v>
          </cell>
        </row>
        <row r="16">
          <cell r="D16" t="str">
            <v xml:space="preserve">1987 Bonds </v>
          </cell>
          <cell r="G16">
            <v>25044</v>
          </cell>
          <cell r="K16">
            <v>-2</v>
          </cell>
          <cell r="M16">
            <v>25044</v>
          </cell>
        </row>
        <row r="17">
          <cell r="D17" t="str">
            <v xml:space="preserve">1994 Bonds </v>
          </cell>
          <cell r="G17">
            <v>77340</v>
          </cell>
          <cell r="K17">
            <v>-2</v>
          </cell>
          <cell r="M17">
            <v>77340</v>
          </cell>
        </row>
        <row r="19">
          <cell r="B19" t="str">
            <v>Debt service reserve:</v>
          </cell>
        </row>
        <row r="22">
          <cell r="B22" t="str">
            <v xml:space="preserve">Allowance for replacements and improvements </v>
          </cell>
        </row>
        <row r="23">
          <cell r="C23" t="str">
            <v>Average annual replacements</v>
          </cell>
          <cell r="G23">
            <v>35762</v>
          </cell>
          <cell r="I23">
            <v>-5173</v>
          </cell>
          <cell r="K23">
            <v>-3</v>
          </cell>
          <cell r="M23">
            <v>30589</v>
          </cell>
        </row>
        <row r="25">
          <cell r="D25" t="str">
            <v xml:space="preserve">     Total Revenue Requirements</v>
          </cell>
          <cell r="G25">
            <v>482157</v>
          </cell>
          <cell r="I25">
            <v>-31869</v>
          </cell>
          <cell r="M25">
            <v>450288</v>
          </cell>
        </row>
        <row r="27">
          <cell r="B27" t="str">
            <v>Less interest income</v>
          </cell>
          <cell r="G27">
            <v>-4813</v>
          </cell>
          <cell r="K27">
            <v>-4</v>
          </cell>
          <cell r="M27">
            <v>-4813</v>
          </cell>
        </row>
        <row r="28">
          <cell r="B28" t="str">
            <v xml:space="preserve">Less penalties </v>
          </cell>
          <cell r="G28">
            <v>-1448</v>
          </cell>
          <cell r="K28">
            <v>-4</v>
          </cell>
          <cell r="M28">
            <v>-1448</v>
          </cell>
        </row>
        <row r="29">
          <cell r="B29" t="str">
            <v xml:space="preserve">Less other income </v>
          </cell>
          <cell r="G29">
            <v>-8720</v>
          </cell>
          <cell r="K29">
            <v>-4</v>
          </cell>
          <cell r="M29">
            <v>-8720</v>
          </cell>
        </row>
        <row r="31">
          <cell r="D31" t="str">
            <v xml:space="preserve">     Total Net Revenue Requirements</v>
          </cell>
          <cell r="G31">
            <v>467176</v>
          </cell>
          <cell r="I31">
            <v>-31869</v>
          </cell>
          <cell r="M31">
            <v>435307</v>
          </cell>
        </row>
        <row r="33">
          <cell r="A33" t="str">
            <v>Available Revenues:</v>
          </cell>
        </row>
        <row r="35">
          <cell r="B35" t="str">
            <v xml:space="preserve">Metered sales </v>
          </cell>
          <cell r="G35">
            <v>362772</v>
          </cell>
          <cell r="I35">
            <v>6028</v>
          </cell>
          <cell r="K35">
            <v>-5</v>
          </cell>
          <cell r="M35">
            <v>368800</v>
          </cell>
        </row>
        <row r="36">
          <cell r="B36" t="str">
            <v>Additional revenues from tracker (7)</v>
          </cell>
          <cell r="I36">
            <v>10214</v>
          </cell>
          <cell r="K36">
            <v>-6</v>
          </cell>
          <cell r="M36">
            <v>10214</v>
          </cell>
        </row>
        <row r="38">
          <cell r="D38" t="str">
            <v xml:space="preserve">     Total Available Revenues</v>
          </cell>
          <cell r="G38">
            <v>362772</v>
          </cell>
          <cell r="I38">
            <v>16242</v>
          </cell>
          <cell r="M38">
            <v>379014</v>
          </cell>
        </row>
        <row r="40">
          <cell r="A40" t="str">
            <v>Additional Revenues Required</v>
          </cell>
          <cell r="G40">
            <v>104404</v>
          </cell>
          <cell r="I40">
            <v>-48111</v>
          </cell>
          <cell r="M40">
            <v>56293</v>
          </cell>
        </row>
        <row r="42">
          <cell r="A42" t="str">
            <v>Approximate Across-The-Board Increase</v>
          </cell>
        </row>
        <row r="43">
          <cell r="A43" t="str">
            <v xml:space="preserve">   In Present Rates and Charges</v>
          </cell>
          <cell r="M43">
            <v>0.14849999999999999</v>
          </cell>
        </row>
        <row r="45">
          <cell r="A45" t="str">
            <v>Resulting Approximate Average Residential Monthly Bill</v>
          </cell>
        </row>
        <row r="46">
          <cell r="A46" t="str">
            <v xml:space="preserve">  (Presently $22.39* based on 4,000 gallons)</v>
          </cell>
          <cell r="M46">
            <v>25.7</v>
          </cell>
        </row>
        <row r="49">
          <cell r="A49" t="str">
            <v>* Assumes a $0.13 per 1,000 gallons tracker is included.</v>
          </cell>
        </row>
        <row r="62">
          <cell r="A62" t="str">
            <v>(Continued on next page)</v>
          </cell>
        </row>
        <row r="64">
          <cell r="A64" t="str">
            <v>(Subject to the comments in the attached</v>
          </cell>
        </row>
        <row r="65">
          <cell r="A65" t="str">
            <v>letter dated January 16, 2006 of Umbaugh)</v>
          </cell>
        </row>
        <row r="67">
          <cell r="A67">
            <v>8</v>
          </cell>
        </row>
        <row r="68">
          <cell r="A68" t="str">
            <v>POSEY TOWNSHIP WATER CORPORATION</v>
          </cell>
        </row>
        <row r="69">
          <cell r="M69" t="str">
            <v>(Cont'd)</v>
          </cell>
        </row>
        <row r="70">
          <cell r="A70" t="str">
            <v>PRO FORMA REVENUE REQUIREMENTS AND ANNUAL REVENUES</v>
          </cell>
        </row>
        <row r="71">
          <cell r="A71" t="str">
            <v>Explanation of Adjustments</v>
          </cell>
        </row>
        <row r="74">
          <cell r="A74">
            <v>-1</v>
          </cell>
          <cell r="B74" t="str">
            <v>To reflect pro forma operation and maintenance expense as calculated on pages 2 - 6.</v>
          </cell>
        </row>
        <row r="76">
          <cell r="A76">
            <v>-2</v>
          </cell>
          <cell r="B76" t="str">
            <v>To reflect average annual debt service on the outstanding Rural Development ("RD") Bonds.</v>
          </cell>
        </row>
        <row r="77">
          <cell r="B77" t="str">
            <v xml:space="preserve">  See page 19.</v>
          </cell>
        </row>
        <row r="79">
          <cell r="A79">
            <v>-3</v>
          </cell>
          <cell r="B79" t="str">
            <v xml:space="preserve">To provide an annual allowance for replacements and improvements equal to </v>
          </cell>
        </row>
        <row r="80">
          <cell r="B80" t="str">
            <v xml:space="preserve">  average replacements, see page 18.</v>
          </cell>
        </row>
        <row r="82">
          <cell r="A82">
            <v>-4</v>
          </cell>
          <cell r="B82" t="str">
            <v>Assumed at test year amounts.</v>
          </cell>
        </row>
        <row r="84">
          <cell r="A84">
            <v>-5</v>
          </cell>
          <cell r="B84" t="str">
            <v>To normalize test year operating revenues for additional customers added to the system.</v>
          </cell>
        </row>
        <row r="85">
          <cell r="B85" t="str">
            <v xml:space="preserve">  See page 7.</v>
          </cell>
        </row>
        <row r="87">
          <cell r="A87">
            <v>-6</v>
          </cell>
          <cell r="B87" t="str">
            <v xml:space="preserve">Normalize metered water sales with rate tracker increase of $.13 / thousand gallons that is effective </v>
          </cell>
        </row>
        <row r="88">
          <cell r="B88" t="str">
            <v xml:space="preserve">  with December 2005 consumption.</v>
          </cell>
        </row>
        <row r="90">
          <cell r="C90" t="str">
            <v>Metered water sales during test year November, 2004 through October, 2005 (thousand gallons)</v>
          </cell>
          <cell r="M90">
            <v>78570</v>
          </cell>
        </row>
        <row r="92">
          <cell r="C92" t="str">
            <v>Rate tracker increase</v>
          </cell>
          <cell r="M92">
            <v>0.13</v>
          </cell>
        </row>
        <row r="94">
          <cell r="D94" t="str">
            <v>Adjustment - increase</v>
          </cell>
          <cell r="M94">
            <v>10214</v>
          </cell>
        </row>
        <row r="124">
          <cell r="A124" t="str">
            <v>(Subject to the comments in the attached</v>
          </cell>
        </row>
        <row r="125">
          <cell r="A125" t="str">
            <v>letter dated January 16, 2006 of Umbaugh)</v>
          </cell>
        </row>
        <row r="127">
          <cell r="A127">
            <v>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">
          <cell r="A1" t="str">
            <v>POSEY TOWNSHIP WATER CORPORATION</v>
          </cell>
        </row>
        <row r="3">
          <cell r="A3" t="str">
            <v>COMPARISON OF ACCOUNT BALANCES</v>
          </cell>
        </row>
        <row r="4">
          <cell r="A4" t="str">
            <v>WITH MINIMUM BALANCES REQUIRED</v>
          </cell>
        </row>
        <row r="7">
          <cell r="G7" t="str">
            <v>Account</v>
          </cell>
          <cell r="I7" t="str">
            <v>Minimum</v>
          </cell>
        </row>
        <row r="8">
          <cell r="G8" t="str">
            <v>Balance  at</v>
          </cell>
          <cell r="I8" t="str">
            <v>Balance</v>
          </cell>
        </row>
        <row r="9">
          <cell r="A9" t="str">
            <v>Account</v>
          </cell>
          <cell r="G9">
            <v>38656</v>
          </cell>
          <cell r="I9" t="str">
            <v>Required *</v>
          </cell>
          <cell r="K9" t="str">
            <v>(Ref.)</v>
          </cell>
          <cell r="M9" t="str">
            <v>Variance</v>
          </cell>
        </row>
        <row r="10">
          <cell r="G10" t="str">
            <v>(Unaudited)</v>
          </cell>
        </row>
        <row r="12">
          <cell r="A12" t="str">
            <v>Operation and maintenance</v>
          </cell>
          <cell r="G12">
            <v>177900</v>
          </cell>
          <cell r="I12">
            <v>52896</v>
          </cell>
          <cell r="K12" t="str">
            <v>(1)</v>
          </cell>
          <cell r="M12">
            <v>125004</v>
          </cell>
        </row>
        <row r="14">
          <cell r="A14" t="str">
            <v>Principal and interest</v>
          </cell>
          <cell r="K14" t="str">
            <v>(2)</v>
          </cell>
        </row>
        <row r="16">
          <cell r="A16" t="str">
            <v>Debt service reserve</v>
          </cell>
          <cell r="G16">
            <v>105079</v>
          </cell>
          <cell r="I16">
            <v>102383.5</v>
          </cell>
          <cell r="K16" t="str">
            <v>(3)</v>
          </cell>
          <cell r="M16">
            <v>2695.5</v>
          </cell>
        </row>
        <row r="18">
          <cell r="A18" t="str">
            <v>Construction</v>
          </cell>
          <cell r="G18">
            <v>2257</v>
          </cell>
          <cell r="K18" t="str">
            <v>(4)</v>
          </cell>
          <cell r="M18">
            <v>2257</v>
          </cell>
        </row>
        <row r="20">
          <cell r="A20" t="str">
            <v>Depreciation/improvement fund</v>
          </cell>
          <cell r="I20">
            <v>129117</v>
          </cell>
          <cell r="K20" t="str">
            <v>(5)</v>
          </cell>
          <cell r="M20">
            <v>-129117</v>
          </cell>
        </row>
        <row r="22">
          <cell r="C22" t="str">
            <v>Totals</v>
          </cell>
          <cell r="G22">
            <v>285236</v>
          </cell>
          <cell r="I22">
            <v>284396.5</v>
          </cell>
          <cell r="M22">
            <v>839.5</v>
          </cell>
        </row>
        <row r="24">
          <cell r="A24" t="str">
            <v>*</v>
          </cell>
          <cell r="B24" t="str">
            <v>Per outstanding Loan Resolutions and policies of management.</v>
          </cell>
        </row>
        <row r="26">
          <cell r="A26" t="str">
            <v>(1)</v>
          </cell>
          <cell r="B26" t="str">
            <v>The balance maintained in the operation and maintenance account should</v>
          </cell>
        </row>
        <row r="27">
          <cell r="B27" t="str">
            <v>be sufficient to pay the expenses of operation, repair, and maintenance</v>
          </cell>
        </row>
        <row r="28">
          <cell r="B28" t="str">
            <v>of the utility for the next succeeding two (2) calendar months.</v>
          </cell>
        </row>
        <row r="30">
          <cell r="C30" t="str">
            <v>Pro forma operation and maintenance expenses, page 2.</v>
          </cell>
          <cell r="M30">
            <v>317315.10149999999</v>
          </cell>
        </row>
        <row r="31">
          <cell r="C31" t="str">
            <v>Times factor for 2 months</v>
          </cell>
          <cell r="M31">
            <v>0.16669999999999999</v>
          </cell>
        </row>
        <row r="33">
          <cell r="D33" t="str">
            <v>Minimum balance required</v>
          </cell>
          <cell r="M33">
            <v>52896</v>
          </cell>
        </row>
        <row r="35">
          <cell r="A35" t="str">
            <v>(2)</v>
          </cell>
          <cell r="B35" t="str">
            <v>Principal and interest are paid monthly.</v>
          </cell>
        </row>
        <row r="37">
          <cell r="A37" t="str">
            <v>(3)</v>
          </cell>
          <cell r="B37" t="str">
            <v>Assumed to be the average annual principal and interest payment</v>
          </cell>
        </row>
        <row r="38">
          <cell r="B38" t="str">
            <v>on the outstanding loans.</v>
          </cell>
        </row>
        <row r="40">
          <cell r="D40" t="str">
            <v>Minimum Balance Required</v>
          </cell>
          <cell r="M40">
            <v>102383.5</v>
          </cell>
        </row>
        <row r="42">
          <cell r="A42" t="str">
            <v>(4)</v>
          </cell>
          <cell r="B42" t="str">
            <v>Available for replacements and improvements.</v>
          </cell>
        </row>
        <row r="44">
          <cell r="A44" t="str">
            <v>(5)</v>
          </cell>
          <cell r="B44" t="str">
            <v>As a general rule an amount equal to one (1) year's depreciation expense</v>
          </cell>
        </row>
        <row r="45">
          <cell r="B45" t="str">
            <v>should be kept on hand as a reserve for unforeseen contingencies.</v>
          </cell>
        </row>
        <row r="46">
          <cell r="B46" t="str">
            <v>See page 20.</v>
          </cell>
        </row>
        <row r="48">
          <cell r="D48" t="str">
            <v>Minimum Balance Suggested</v>
          </cell>
          <cell r="M48">
            <v>129117</v>
          </cell>
        </row>
        <row r="50">
          <cell r="A50" t="str">
            <v>(Subject to the comments in the attached</v>
          </cell>
        </row>
        <row r="51">
          <cell r="A51" t="str">
            <v>letter dated January 16, 2006 of Umbaugh)</v>
          </cell>
        </row>
        <row r="53">
          <cell r="A53">
            <v>19</v>
          </cell>
        </row>
      </sheetData>
      <sheetData sheetId="18" refreshError="1">
        <row r="1">
          <cell r="A1" t="str">
            <v>POSEY TOWNSHIP WATER CORPORATION</v>
          </cell>
        </row>
        <row r="3">
          <cell r="A3" t="str">
            <v xml:space="preserve">CALCULATION OF HISTORICAL ADDITIONS TO UTILITY PLANT </v>
          </cell>
        </row>
        <row r="4">
          <cell r="A4" t="str">
            <v>AND PRO FORMA DEPRECIATION EXPENSE</v>
          </cell>
        </row>
        <row r="5">
          <cell r="A5" t="str">
            <v>(Unaudited)</v>
          </cell>
        </row>
        <row r="6">
          <cell r="A6" t="str">
            <v xml:space="preserve"> </v>
          </cell>
        </row>
        <row r="7">
          <cell r="A7" t="str">
            <v>I.</v>
          </cell>
          <cell r="B7" t="str">
            <v>Calculation of Average Additions to Plant:</v>
          </cell>
        </row>
        <row r="9">
          <cell r="A9" t="str">
            <v xml:space="preserve">  Estimated utility plant in service at 12/31/02</v>
          </cell>
          <cell r="G9">
            <v>6378033</v>
          </cell>
        </row>
        <row r="11">
          <cell r="C11" t="str">
            <v>Calendar</v>
          </cell>
        </row>
        <row r="12">
          <cell r="C12" t="str">
            <v>Year</v>
          </cell>
          <cell r="E12" t="str">
            <v>Additions</v>
          </cell>
        </row>
        <row r="14">
          <cell r="C14">
            <v>2002</v>
          </cell>
        </row>
        <row r="15">
          <cell r="C15">
            <v>2003</v>
          </cell>
          <cell r="E15">
            <v>5100</v>
          </cell>
        </row>
        <row r="16">
          <cell r="C16">
            <v>2004</v>
          </cell>
          <cell r="E16">
            <v>26020</v>
          </cell>
        </row>
        <row r="17">
          <cell r="C17">
            <v>2005</v>
          </cell>
          <cell r="D17" t="str">
            <v>(10 Months)</v>
          </cell>
          <cell r="E17">
            <v>20320</v>
          </cell>
        </row>
        <row r="18">
          <cell r="C18" t="str">
            <v xml:space="preserve"> </v>
          </cell>
          <cell r="E18" t="str">
            <v xml:space="preserve"> </v>
          </cell>
        </row>
        <row r="19">
          <cell r="C19" t="str">
            <v>Total additions to utility plant</v>
          </cell>
          <cell r="G19">
            <v>51440</v>
          </cell>
        </row>
        <row r="20">
          <cell r="G20" t="str">
            <v xml:space="preserve"> </v>
          </cell>
        </row>
        <row r="21">
          <cell r="A21" t="str">
            <v xml:space="preserve">  Estimated utility plant in service at 10/31/05</v>
          </cell>
          <cell r="G21">
            <v>6429473</v>
          </cell>
        </row>
        <row r="22">
          <cell r="G22" t="str">
            <v xml:space="preserve"> </v>
          </cell>
        </row>
        <row r="24">
          <cell r="B24" t="str">
            <v>Calculation of historical average additions to plant funded through</v>
          </cell>
        </row>
        <row r="25">
          <cell r="B25" t="str">
            <v xml:space="preserve">  operating revenues.</v>
          </cell>
        </row>
        <row r="27">
          <cell r="C27" t="str">
            <v>Total additions to plant</v>
          </cell>
          <cell r="G27">
            <v>51440</v>
          </cell>
        </row>
        <row r="28">
          <cell r="C28" t="str">
            <v>Plus capitalized items 1/1/2003 - 10/31/05</v>
          </cell>
          <cell r="G28">
            <v>103697.72999999998</v>
          </cell>
        </row>
        <row r="29">
          <cell r="C29" t="str">
            <v>Plus construction in progress</v>
          </cell>
          <cell r="G29">
            <v>2960</v>
          </cell>
        </row>
        <row r="30">
          <cell r="C30" t="str">
            <v>Less contributions</v>
          </cell>
          <cell r="G30">
            <v>-71532</v>
          </cell>
        </row>
        <row r="32">
          <cell r="C32" t="str">
            <v>Net plant additions</v>
          </cell>
          <cell r="G32">
            <v>86565.729999999981</v>
          </cell>
        </row>
        <row r="33">
          <cell r="C33" t="str">
            <v>Divide by period covered (2 years 10 months)</v>
          </cell>
          <cell r="G33">
            <v>2.83</v>
          </cell>
        </row>
        <row r="35">
          <cell r="C35" t="str">
            <v xml:space="preserve">        Average annual additions to plant</v>
          </cell>
          <cell r="G35">
            <v>30589</v>
          </cell>
        </row>
        <row r="38">
          <cell r="A38" t="str">
            <v>II.</v>
          </cell>
          <cell r="B38" t="str">
            <v>Calculation of Annual Depreciation Expense:</v>
          </cell>
        </row>
        <row r="40">
          <cell r="B40" t="str">
            <v>Estimated Utility plant in service, as of 10/31/2005</v>
          </cell>
          <cell r="G40">
            <v>6429473</v>
          </cell>
        </row>
        <row r="41">
          <cell r="B41" t="str">
            <v>Plus capitalized items</v>
          </cell>
          <cell r="G41">
            <v>103697.72999999998</v>
          </cell>
        </row>
        <row r="42">
          <cell r="B42" t="str">
            <v>Less land</v>
          </cell>
          <cell r="G42">
            <v>-77300</v>
          </cell>
        </row>
        <row r="44">
          <cell r="B44" t="str">
            <v xml:space="preserve">       Sub-total</v>
          </cell>
          <cell r="G44">
            <v>6455870.7300000004</v>
          </cell>
        </row>
        <row r="45">
          <cell r="B45" t="str">
            <v>Times annual composite depreciation rate</v>
          </cell>
          <cell r="F45" t="str">
            <v xml:space="preserve"> </v>
          </cell>
          <cell r="G45">
            <v>0.02</v>
          </cell>
        </row>
        <row r="47">
          <cell r="B47" t="str">
            <v xml:space="preserve">        Annual Depreciation Expense</v>
          </cell>
          <cell r="G47">
            <v>129117</v>
          </cell>
        </row>
        <row r="56">
          <cell r="A56" t="str">
            <v>(Subject to the comments in the attached</v>
          </cell>
        </row>
        <row r="57">
          <cell r="A57" t="str">
            <v>letter dated January 16, 2006 of Umbaugh)</v>
          </cell>
        </row>
        <row r="59">
          <cell r="A59">
            <v>20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Projected Disb."/>
      <sheetName val="Adjustments"/>
      <sheetName val="RevReq"/>
      <sheetName val="Rates"/>
      <sheetName val="Comparison I"/>
      <sheetName val="Comparison"/>
      <sheetName val="Fin Info"/>
      <sheetName val="Rec and Disb"/>
      <sheetName val="Amort"/>
      <sheetName val="Min Bal"/>
      <sheetName val="AddPlant"/>
      <sheetName val="Prom Note 04"/>
      <sheetName val="Prom Note 05"/>
      <sheetName val="Return"/>
      <sheetName val="Alloc Funct"/>
      <sheetName val="Gen Info"/>
    </sheetNames>
    <sheetDataSet>
      <sheetData sheetId="0" refreshError="1"/>
      <sheetData sheetId="1" refreshError="1">
        <row r="1">
          <cell r="A1" t="str">
            <v>DUBLIN (INDIANA) MUNICIPAL WATER UTILITY</v>
          </cell>
        </row>
        <row r="3">
          <cell r="A3" t="str">
            <v>SCHEDULE OF PROJECTED ANNUAL CASH OPERATING DISBURSEMENTS</v>
          </cell>
        </row>
        <row r="4">
          <cell r="A4" t="str">
            <v>See explanation of adjustments, pages 3 - 7.</v>
          </cell>
        </row>
        <row r="7">
          <cell r="A7" t="str">
            <v>Annual cash operating disbursements for the 12 months</v>
          </cell>
        </row>
        <row r="8">
          <cell r="A8" t="str">
            <v xml:space="preserve">   ended December 31, 2005 (Unaudited)</v>
          </cell>
          <cell r="H8">
            <v>137135</v>
          </cell>
        </row>
        <row r="11">
          <cell r="A11" t="str">
            <v>Adjustments:</v>
          </cell>
        </row>
        <row r="13">
          <cell r="A13" t="str">
            <v>(1)</v>
          </cell>
          <cell r="C13" t="str">
            <v>Salaries and wages</v>
          </cell>
          <cell r="H13">
            <v>1696.0999999999985</v>
          </cell>
        </row>
        <row r="14">
          <cell r="A14" t="str">
            <v>(2)</v>
          </cell>
          <cell r="C14" t="str">
            <v>PERF</v>
          </cell>
          <cell r="H14">
            <v>900</v>
          </cell>
        </row>
        <row r="15">
          <cell r="A15" t="str">
            <v>(3)</v>
          </cell>
          <cell r="C15" t="str">
            <v>Employee insurance</v>
          </cell>
          <cell r="H15">
            <v>1311</v>
          </cell>
        </row>
        <row r="16">
          <cell r="A16" t="str">
            <v>(4)</v>
          </cell>
          <cell r="C16" t="str">
            <v>FICA</v>
          </cell>
          <cell r="H16">
            <v>129.5</v>
          </cell>
        </row>
        <row r="17">
          <cell r="A17" t="str">
            <v>(5)</v>
          </cell>
          <cell r="C17" t="str">
            <v>Capital expenditures</v>
          </cell>
          <cell r="H17">
            <v>-10414</v>
          </cell>
        </row>
        <row r="18">
          <cell r="A18" t="str">
            <v>(6)</v>
          </cell>
          <cell r="C18" t="str">
            <v>SBA audit</v>
          </cell>
          <cell r="H18">
            <v>-1382</v>
          </cell>
        </row>
        <row r="19">
          <cell r="A19" t="str">
            <v>(7)</v>
          </cell>
          <cell r="C19" t="str">
            <v>Rate study expense</v>
          </cell>
          <cell r="H19">
            <v>2333.3000000000002</v>
          </cell>
        </row>
        <row r="20">
          <cell r="A20" t="str">
            <v>(8)</v>
          </cell>
          <cell r="C20" t="str">
            <v>Well and pump maintenance</v>
          </cell>
          <cell r="H20">
            <v>4800</v>
          </cell>
        </row>
        <row r="21">
          <cell r="A21" t="str">
            <v>(9)</v>
          </cell>
          <cell r="C21" t="str">
            <v>Payment in lieu of property tax</v>
          </cell>
          <cell r="H21">
            <v>2415</v>
          </cell>
        </row>
        <row r="22">
          <cell r="A22" t="str">
            <v>(10)</v>
          </cell>
          <cell r="C22" t="str">
            <v>IDEM regulatory fee</v>
          </cell>
          <cell r="H22">
            <v>390</v>
          </cell>
        </row>
        <row r="23">
          <cell r="A23" t="str">
            <v>(11)</v>
          </cell>
          <cell r="C23" t="str">
            <v>Utility receipts tax</v>
          </cell>
          <cell r="H23">
            <v>-348</v>
          </cell>
        </row>
        <row r="24">
          <cell r="C24" t="str">
            <v xml:space="preserve">      Sub-total</v>
          </cell>
          <cell r="H24">
            <v>138979.6</v>
          </cell>
        </row>
        <row r="25">
          <cell r="A25" t="str">
            <v>(11)</v>
          </cell>
          <cell r="C25" t="str">
            <v xml:space="preserve">      Sub-total</v>
          </cell>
          <cell r="H25">
            <v>138965.9</v>
          </cell>
        </row>
        <row r="26">
          <cell r="A26" t="str">
            <v>(12)</v>
          </cell>
          <cell r="C26" t="str">
            <v>Inflation and contingencies</v>
          </cell>
          <cell r="H26">
            <v>6948.3</v>
          </cell>
        </row>
        <row r="27">
          <cell r="A27" t="str">
            <v>Projected Annual Cash Operating Disbursements</v>
          </cell>
          <cell r="H27">
            <v>145928.6</v>
          </cell>
        </row>
        <row r="28">
          <cell r="A28" t="str">
            <v>Projected Annual Cash Operating Disbursements</v>
          </cell>
          <cell r="H28">
            <v>145914.19999999998</v>
          </cell>
        </row>
        <row r="36">
          <cell r="A36" t="str">
            <v>(Continued on next page)</v>
          </cell>
        </row>
        <row r="38">
          <cell r="A38" t="str">
            <v>(Subject to the comments in the attached letter</v>
          </cell>
        </row>
        <row r="39">
          <cell r="A39" t="str">
            <v>dated May 9, 2006 of Umbaugh.)</v>
          </cell>
        </row>
        <row r="41">
          <cell r="A4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A1" t="str">
            <v>DUBLIN (INDIANA) MUNICIPAL WATER UTILITY</v>
          </cell>
        </row>
        <row r="3">
          <cell r="A3" t="str">
            <v>COMPARATIVE SCHEDULE OF SELECTED FINANCIAL</v>
          </cell>
        </row>
        <row r="4">
          <cell r="A4" t="str">
            <v>INFORMATION ARISING FROM CASH TRANSACTIONS</v>
          </cell>
        </row>
        <row r="5">
          <cell r="A5" t="str">
            <v>(Unaudited)</v>
          </cell>
        </row>
        <row r="8">
          <cell r="D8" t="str">
            <v>As of</v>
          </cell>
        </row>
        <row r="9">
          <cell r="A9" t="str">
            <v>Account Balance:</v>
          </cell>
          <cell r="D9">
            <v>38352</v>
          </cell>
          <cell r="F9">
            <v>36891</v>
          </cell>
          <cell r="G9">
            <v>38717</v>
          </cell>
        </row>
        <row r="11">
          <cell r="A11" t="str">
            <v>Operation and maintenance</v>
          </cell>
          <cell r="D11">
            <v>44731</v>
          </cell>
          <cell r="F11">
            <v>38973</v>
          </cell>
          <cell r="G11">
            <v>10786</v>
          </cell>
        </row>
        <row r="13">
          <cell r="A13" t="str">
            <v>Cash reserve</v>
          </cell>
          <cell r="D13">
            <v>8168</v>
          </cell>
          <cell r="G13">
            <v>32992</v>
          </cell>
        </row>
        <row r="15">
          <cell r="A15" t="str">
            <v>Depreciation</v>
          </cell>
          <cell r="D15">
            <v>65771</v>
          </cell>
          <cell r="F15">
            <v>13764</v>
          </cell>
          <cell r="G15">
            <v>76953</v>
          </cell>
        </row>
        <row r="17">
          <cell r="A17" t="str">
            <v>Meter deposits</v>
          </cell>
          <cell r="D17">
            <v>15916</v>
          </cell>
          <cell r="F17">
            <v>7523</v>
          </cell>
          <cell r="G17">
            <v>8382</v>
          </cell>
        </row>
        <row r="19">
          <cell r="B19" t="str">
            <v>Totals</v>
          </cell>
          <cell r="D19">
            <v>134586</v>
          </cell>
          <cell r="F19">
            <v>60260</v>
          </cell>
          <cell r="G19">
            <v>129113</v>
          </cell>
        </row>
        <row r="24">
          <cell r="A24" t="str">
            <v>Indebtedness:</v>
          </cell>
        </row>
        <row r="26">
          <cell r="A26" t="str">
            <v>Wayne Bank &amp; Trust Promissory Note of 1999</v>
          </cell>
          <cell r="D26">
            <v>2002</v>
          </cell>
          <cell r="G26">
            <v>1375</v>
          </cell>
        </row>
        <row r="35">
          <cell r="A35" t="str">
            <v>(Subject to the comments in the attached letter</v>
          </cell>
        </row>
        <row r="36">
          <cell r="A36" t="str">
            <v>dated May 9, 2006 of Umbaugh.)</v>
          </cell>
        </row>
        <row r="38">
          <cell r="A38">
            <v>12</v>
          </cell>
        </row>
      </sheetData>
      <sheetData sheetId="8" refreshError="1">
        <row r="1">
          <cell r="A1" t="str">
            <v>DUBLIN (INDIANA) MUNICIPAL WATER UTILITY</v>
          </cell>
        </row>
        <row r="3">
          <cell r="A3" t="str">
            <v>COMPARATIVE SCHEDULE OF CASH RECEIPTS AND DISBURSEMENTS</v>
          </cell>
        </row>
        <row r="4">
          <cell r="A4" t="str">
            <v>(Unaudited)</v>
          </cell>
        </row>
        <row r="7">
          <cell r="E7" t="str">
            <v>12 Months Ended</v>
          </cell>
          <cell r="G7" t="str">
            <v>5 Months Ended</v>
          </cell>
        </row>
        <row r="8">
          <cell r="E8">
            <v>38352</v>
          </cell>
          <cell r="G8">
            <v>36891</v>
          </cell>
          <cell r="H8">
            <v>38717</v>
          </cell>
          <cell r="I8">
            <v>37042</v>
          </cell>
          <cell r="J8">
            <v>38717</v>
          </cell>
        </row>
        <row r="9">
          <cell r="A9" t="str">
            <v>Operating Receipts:</v>
          </cell>
        </row>
        <row r="10">
          <cell r="B10" t="str">
            <v>Metered sales</v>
          </cell>
          <cell r="E10">
            <v>115359</v>
          </cell>
          <cell r="G10">
            <v>41930</v>
          </cell>
          <cell r="I10">
            <v>43822</v>
          </cell>
          <cell r="J10">
            <v>110305</v>
          </cell>
        </row>
        <row r="11">
          <cell r="B11" t="str">
            <v>Hydrant rental</v>
          </cell>
          <cell r="E11">
            <v>12007</v>
          </cell>
          <cell r="J11">
            <v>12007</v>
          </cell>
        </row>
        <row r="12">
          <cell r="B12" t="str">
            <v>Penalties</v>
          </cell>
          <cell r="E12">
            <v>907</v>
          </cell>
          <cell r="G12">
            <v>335</v>
          </cell>
          <cell r="I12">
            <v>308</v>
          </cell>
          <cell r="J12">
            <v>838</v>
          </cell>
        </row>
        <row r="13">
          <cell r="B13" t="str">
            <v>WWRSD payment</v>
          </cell>
          <cell r="E13">
            <v>2103</v>
          </cell>
          <cell r="G13">
            <v>254</v>
          </cell>
          <cell r="I13">
            <v>856</v>
          </cell>
          <cell r="J13">
            <v>2302</v>
          </cell>
        </row>
        <row r="14">
          <cell r="B14" t="str">
            <v>Other</v>
          </cell>
          <cell r="E14">
            <v>811</v>
          </cell>
          <cell r="G14">
            <v>978</v>
          </cell>
          <cell r="I14">
            <v>767</v>
          </cell>
          <cell r="J14">
            <v>4592</v>
          </cell>
        </row>
        <row r="16">
          <cell r="C16" t="str">
            <v>Total Operating Receipts</v>
          </cell>
          <cell r="E16">
            <v>131187</v>
          </cell>
          <cell r="G16">
            <v>43497</v>
          </cell>
          <cell r="I16">
            <v>45753</v>
          </cell>
          <cell r="J16">
            <v>130044</v>
          </cell>
        </row>
        <row r="18">
          <cell r="A18" t="str">
            <v>Operating Disbursements:</v>
          </cell>
        </row>
        <row r="19">
          <cell r="B19" t="str">
            <v>Plant salaries and wages</v>
          </cell>
          <cell r="E19">
            <v>25608</v>
          </cell>
          <cell r="I19">
            <v>5453</v>
          </cell>
          <cell r="J19">
            <v>26296</v>
          </cell>
        </row>
        <row r="20">
          <cell r="B20" t="str">
            <v>Office salaries and wages</v>
          </cell>
          <cell r="E20">
            <v>14818</v>
          </cell>
          <cell r="I20">
            <v>8859</v>
          </cell>
          <cell r="J20">
            <v>15837</v>
          </cell>
        </row>
        <row r="21">
          <cell r="B21" t="str">
            <v>Town council salaries and wages</v>
          </cell>
          <cell r="E21">
            <v>440</v>
          </cell>
          <cell r="I21">
            <v>800</v>
          </cell>
          <cell r="J21">
            <v>439</v>
          </cell>
        </row>
        <row r="22">
          <cell r="B22" t="str">
            <v>PERF</v>
          </cell>
          <cell r="E22">
            <v>2207</v>
          </cell>
          <cell r="J22">
            <v>1949</v>
          </cell>
        </row>
        <row r="23">
          <cell r="B23" t="str">
            <v>FICA</v>
          </cell>
          <cell r="E23">
            <v>3126</v>
          </cell>
          <cell r="G23">
            <v>3929</v>
          </cell>
          <cell r="I23">
            <v>2415</v>
          </cell>
          <cell r="J23">
            <v>3257</v>
          </cell>
        </row>
        <row r="24">
          <cell r="B24" t="str">
            <v>Employee insurance</v>
          </cell>
          <cell r="E24">
            <v>20890</v>
          </cell>
          <cell r="I24">
            <v>831</v>
          </cell>
          <cell r="J24">
            <v>24878</v>
          </cell>
        </row>
        <row r="25">
          <cell r="B25" t="str">
            <v>Purchased power</v>
          </cell>
          <cell r="E25">
            <v>1624</v>
          </cell>
          <cell r="G25">
            <v>604</v>
          </cell>
          <cell r="I25">
            <v>206</v>
          </cell>
          <cell r="J25">
            <v>11606</v>
          </cell>
        </row>
        <row r="26">
          <cell r="B26" t="str">
            <v>Chemicals</v>
          </cell>
          <cell r="E26">
            <v>2832</v>
          </cell>
          <cell r="G26">
            <v>1352</v>
          </cell>
          <cell r="J26">
            <v>1328</v>
          </cell>
        </row>
        <row r="27">
          <cell r="B27" t="str">
            <v>Materials and supplies</v>
          </cell>
          <cell r="E27">
            <v>4680</v>
          </cell>
          <cell r="G27">
            <v>8393</v>
          </cell>
          <cell r="I27">
            <v>4035</v>
          </cell>
          <cell r="J27">
            <v>6414</v>
          </cell>
        </row>
        <row r="28">
          <cell r="B28" t="str">
            <v>Repairs and maintenance</v>
          </cell>
          <cell r="E28">
            <v>1597</v>
          </cell>
          <cell r="J28">
            <v>1561</v>
          </cell>
        </row>
        <row r="29">
          <cell r="B29" t="str">
            <v>Transportation</v>
          </cell>
          <cell r="E29">
            <v>1309</v>
          </cell>
          <cell r="G29">
            <v>1609</v>
          </cell>
          <cell r="I29" t="e">
            <v>#REF!</v>
          </cell>
          <cell r="J29">
            <v>1577</v>
          </cell>
        </row>
        <row r="30">
          <cell r="B30" t="str">
            <v>Contractual services</v>
          </cell>
          <cell r="E30">
            <v>16370</v>
          </cell>
          <cell r="G30">
            <v>421</v>
          </cell>
          <cell r="I30">
            <v>382</v>
          </cell>
          <cell r="J30">
            <v>18907</v>
          </cell>
        </row>
        <row r="31">
          <cell r="B31" t="str">
            <v>Office supplies</v>
          </cell>
          <cell r="E31">
            <v>387</v>
          </cell>
          <cell r="J31">
            <v>2146</v>
          </cell>
        </row>
        <row r="32">
          <cell r="B32" t="str">
            <v>Postage</v>
          </cell>
          <cell r="E32">
            <v>1892</v>
          </cell>
          <cell r="G32">
            <v>1604</v>
          </cell>
          <cell r="I32">
            <v>928</v>
          </cell>
          <cell r="J32">
            <v>1949</v>
          </cell>
        </row>
        <row r="33">
          <cell r="B33" t="str">
            <v>Insurance</v>
          </cell>
          <cell r="E33">
            <v>4910</v>
          </cell>
          <cell r="G33">
            <v>1031</v>
          </cell>
          <cell r="I33">
            <v>908</v>
          </cell>
          <cell r="J33">
            <v>6426</v>
          </cell>
        </row>
        <row r="34">
          <cell r="B34" t="str">
            <v>Taxes</v>
          </cell>
          <cell r="E34">
            <v>2762</v>
          </cell>
          <cell r="I34">
            <v>616</v>
          </cell>
          <cell r="J34">
            <v>1881</v>
          </cell>
        </row>
        <row r="35">
          <cell r="B35" t="str">
            <v>Other</v>
          </cell>
          <cell r="E35">
            <v>9832</v>
          </cell>
          <cell r="G35">
            <v>813</v>
          </cell>
          <cell r="I35">
            <v>34</v>
          </cell>
          <cell r="J35">
            <v>10684</v>
          </cell>
        </row>
        <row r="37">
          <cell r="C37" t="str">
            <v>Total Operating Disbursements</v>
          </cell>
          <cell r="E37">
            <v>115284</v>
          </cell>
          <cell r="G37">
            <v>19756</v>
          </cell>
          <cell r="I37" t="e">
            <v>#REF!</v>
          </cell>
          <cell r="J37">
            <v>137135</v>
          </cell>
        </row>
        <row r="39">
          <cell r="A39" t="str">
            <v>Net Operating Receipts (Loss)</v>
          </cell>
          <cell r="E39">
            <v>15903</v>
          </cell>
          <cell r="G39">
            <v>23741</v>
          </cell>
          <cell r="I39" t="e">
            <v>#REF!</v>
          </cell>
          <cell r="J39">
            <v>-7091</v>
          </cell>
        </row>
        <row r="43">
          <cell r="A43" t="str">
            <v>(Continued on next page)</v>
          </cell>
        </row>
        <row r="44">
          <cell r="A44" t="str">
            <v>(Continued on next page)</v>
          </cell>
        </row>
        <row r="45">
          <cell r="A45" t="str">
            <v>(Subject to the comments in the attached letter</v>
          </cell>
        </row>
        <row r="46">
          <cell r="A46" t="str">
            <v>dated May 9, 2006 of Umbaugh.)</v>
          </cell>
        </row>
        <row r="47">
          <cell r="A47" t="str">
            <v>dated April __, 2006 of Umbaugh.)</v>
          </cell>
        </row>
        <row r="48">
          <cell r="A48">
            <v>13</v>
          </cell>
        </row>
        <row r="49">
          <cell r="A49" t="str">
            <v>DUBLIN (INDIANA) MUNICIPAL WATER UTILITY</v>
          </cell>
        </row>
        <row r="50">
          <cell r="A50" t="str">
            <v>DUBLIN (INDIANA) MUNICIPAL WATER UTILITY</v>
          </cell>
          <cell r="J50" t="str">
            <v>(Cont'd)</v>
          </cell>
        </row>
        <row r="51">
          <cell r="A51" t="str">
            <v>COMPARATIVE SCHEDULE OF CASH RECEIPTS AND DISBURSEMENTS</v>
          </cell>
          <cell r="J51" t="str">
            <v>(Cont'd)</v>
          </cell>
        </row>
        <row r="52">
          <cell r="A52" t="str">
            <v>(Unaudited)</v>
          </cell>
        </row>
        <row r="53">
          <cell r="A53" t="str">
            <v>(Unaudited)</v>
          </cell>
        </row>
        <row r="55">
          <cell r="E55" t="str">
            <v>12 Months Ended</v>
          </cell>
          <cell r="G55" t="str">
            <v>5 Months Ended</v>
          </cell>
        </row>
        <row r="56">
          <cell r="E56">
            <v>38352</v>
          </cell>
          <cell r="G56">
            <v>36891</v>
          </cell>
          <cell r="H56">
            <v>38717</v>
          </cell>
          <cell r="I56">
            <v>37042</v>
          </cell>
          <cell r="J56">
            <v>38717</v>
          </cell>
        </row>
        <row r="57">
          <cell r="A57" t="str">
            <v>Other Receipts:</v>
          </cell>
          <cell r="E57">
            <v>38352</v>
          </cell>
          <cell r="G57">
            <v>36891</v>
          </cell>
          <cell r="H57">
            <v>38717</v>
          </cell>
          <cell r="I57">
            <v>37042</v>
          </cell>
          <cell r="J57">
            <v>38717</v>
          </cell>
        </row>
        <row r="58">
          <cell r="A58" t="str">
            <v>Other Receipts:</v>
          </cell>
          <cell r="B58" t="str">
            <v>Customer deposits (net)</v>
          </cell>
          <cell r="E58">
            <v>-259</v>
          </cell>
          <cell r="G58">
            <v>630</v>
          </cell>
          <cell r="I58">
            <v>410</v>
          </cell>
          <cell r="J58">
            <v>214</v>
          </cell>
        </row>
        <row r="59">
          <cell r="B59" t="str">
            <v>Tap fees</v>
          </cell>
          <cell r="E59">
            <v>950</v>
          </cell>
          <cell r="G59">
            <v>630</v>
          </cell>
          <cell r="I59">
            <v>410</v>
          </cell>
          <cell r="J59">
            <v>214</v>
          </cell>
        </row>
        <row r="60">
          <cell r="B60" t="str">
            <v>Reconnect fees</v>
          </cell>
          <cell r="E60">
            <v>443</v>
          </cell>
          <cell r="I60">
            <v>607</v>
          </cell>
          <cell r="J60">
            <v>475</v>
          </cell>
        </row>
        <row r="61">
          <cell r="B61" t="str">
            <v>Interest income</v>
          </cell>
          <cell r="E61">
            <v>1906</v>
          </cell>
          <cell r="I61">
            <v>8610</v>
          </cell>
          <cell r="J61">
            <v>1682</v>
          </cell>
        </row>
        <row r="62">
          <cell r="B62" t="str">
            <v>Interest income</v>
          </cell>
          <cell r="E62">
            <v>1906</v>
          </cell>
          <cell r="I62">
            <v>8610</v>
          </cell>
          <cell r="J62">
            <v>1682</v>
          </cell>
        </row>
        <row r="63">
          <cell r="C63" t="str">
            <v>Totals</v>
          </cell>
          <cell r="E63">
            <v>3040</v>
          </cell>
          <cell r="G63">
            <v>630</v>
          </cell>
          <cell r="I63">
            <v>9627</v>
          </cell>
          <cell r="J63">
            <v>2371</v>
          </cell>
        </row>
        <row r="64">
          <cell r="C64" t="str">
            <v>Totals</v>
          </cell>
          <cell r="E64">
            <v>3040</v>
          </cell>
          <cell r="G64">
            <v>630</v>
          </cell>
          <cell r="I64">
            <v>9627</v>
          </cell>
          <cell r="J64">
            <v>2371</v>
          </cell>
        </row>
        <row r="65">
          <cell r="A65" t="str">
            <v>Other Disbursements:</v>
          </cell>
        </row>
        <row r="66">
          <cell r="A66" t="str">
            <v>Other Disbursements:</v>
          </cell>
          <cell r="B66" t="str">
            <v>Promissory note</v>
          </cell>
          <cell r="E66">
            <v>753</v>
          </cell>
          <cell r="I66">
            <v>753</v>
          </cell>
          <cell r="J66">
            <v>753</v>
          </cell>
        </row>
        <row r="67">
          <cell r="B67" t="str">
            <v>Capital assets</v>
          </cell>
          <cell r="E67">
            <v>12375</v>
          </cell>
          <cell r="I67">
            <v>1966</v>
          </cell>
          <cell r="J67">
            <v>753</v>
          </cell>
        </row>
        <row r="68">
          <cell r="B68" t="str">
            <v>Capital assets</v>
          </cell>
          <cell r="E68">
            <v>12375</v>
          </cell>
          <cell r="I68">
            <v>1966</v>
          </cell>
        </row>
        <row r="69">
          <cell r="C69" t="str">
            <v>Totals</v>
          </cell>
          <cell r="E69">
            <v>13128</v>
          </cell>
          <cell r="G69">
            <v>0</v>
          </cell>
          <cell r="I69">
            <v>2719</v>
          </cell>
          <cell r="J69">
            <v>753</v>
          </cell>
        </row>
        <row r="70">
          <cell r="C70" t="str">
            <v>Totals</v>
          </cell>
          <cell r="E70">
            <v>13128</v>
          </cell>
          <cell r="G70">
            <v>0</v>
          </cell>
          <cell r="I70">
            <v>2719</v>
          </cell>
          <cell r="J70">
            <v>753</v>
          </cell>
        </row>
        <row r="71">
          <cell r="A71" t="str">
            <v>Cash and cash equivalents:</v>
          </cell>
        </row>
        <row r="72">
          <cell r="A72" t="str">
            <v>Cash and cash equivalents:</v>
          </cell>
          <cell r="B72" t="str">
            <v>Net increase (decrease)</v>
          </cell>
          <cell r="E72">
            <v>5815</v>
          </cell>
          <cell r="G72">
            <v>24371</v>
          </cell>
          <cell r="I72" t="e">
            <v>#REF!</v>
          </cell>
          <cell r="J72">
            <v>-5473</v>
          </cell>
        </row>
        <row r="73">
          <cell r="B73" t="str">
            <v>Beginning balance</v>
          </cell>
          <cell r="E73">
            <v>128771</v>
          </cell>
          <cell r="G73">
            <v>128771</v>
          </cell>
          <cell r="I73">
            <v>134586</v>
          </cell>
          <cell r="J73">
            <v>134586</v>
          </cell>
        </row>
        <row r="74">
          <cell r="B74" t="str">
            <v>Beginning balance</v>
          </cell>
          <cell r="E74">
            <v>128771</v>
          </cell>
          <cell r="G74">
            <v>128771</v>
          </cell>
          <cell r="I74">
            <v>134586</v>
          </cell>
          <cell r="J74">
            <v>134586</v>
          </cell>
        </row>
        <row r="75">
          <cell r="C75" t="str">
            <v>Ending balance</v>
          </cell>
          <cell r="E75">
            <v>134586</v>
          </cell>
          <cell r="G75">
            <v>153142</v>
          </cell>
          <cell r="I75" t="e">
            <v>#REF!</v>
          </cell>
          <cell r="J75">
            <v>129113</v>
          </cell>
        </row>
        <row r="76">
          <cell r="C76" t="str">
            <v>Ending balance</v>
          </cell>
          <cell r="E76">
            <v>134586</v>
          </cell>
          <cell r="G76">
            <v>153142</v>
          </cell>
          <cell r="I76" t="e">
            <v>#REF!</v>
          </cell>
          <cell r="J76">
            <v>129113</v>
          </cell>
        </row>
        <row r="93">
          <cell r="A93" t="str">
            <v>(Subject to the comments in the attached letter</v>
          </cell>
        </row>
        <row r="94">
          <cell r="A94" t="str">
            <v>dated May 9, 2006 of Umbaugh.)</v>
          </cell>
        </row>
        <row r="95">
          <cell r="A95" t="str">
            <v>(Subject to the comments in the attached letter</v>
          </cell>
        </row>
        <row r="96">
          <cell r="A96">
            <v>14</v>
          </cell>
        </row>
        <row r="98">
          <cell r="A98">
            <v>14</v>
          </cell>
        </row>
      </sheetData>
      <sheetData sheetId="9" refreshError="1"/>
      <sheetData sheetId="10" refreshError="1">
        <row r="1">
          <cell r="A1" t="str">
            <v>DUBLIN (INDIANA) MUNICIPAL WATER UTILITY</v>
          </cell>
        </row>
        <row r="3">
          <cell r="A3" t="str">
            <v>COMPARISON OF ACCOUNT BALANCES WITH</v>
          </cell>
        </row>
        <row r="4">
          <cell r="A4" t="str">
            <v>SUGGESTED MINIMUM BALANCES</v>
          </cell>
        </row>
        <row r="7">
          <cell r="F7" t="str">
            <v>Minimum</v>
          </cell>
        </row>
        <row r="8">
          <cell r="D8" t="str">
            <v>As of</v>
          </cell>
          <cell r="F8" t="str">
            <v>Balance</v>
          </cell>
        </row>
        <row r="9">
          <cell r="D9">
            <v>38717</v>
          </cell>
          <cell r="F9" t="str">
            <v>Suggested</v>
          </cell>
          <cell r="H9" t="str">
            <v>Ref.</v>
          </cell>
          <cell r="J9" t="str">
            <v>Variance</v>
          </cell>
        </row>
        <row r="10">
          <cell r="A10" t="str">
            <v>Accounts:</v>
          </cell>
          <cell r="D10" t="str">
            <v>(Unaudited)</v>
          </cell>
        </row>
        <row r="12">
          <cell r="A12" t="str">
            <v>Operation and maintenance</v>
          </cell>
          <cell r="D12">
            <v>10786</v>
          </cell>
          <cell r="F12">
            <v>24444</v>
          </cell>
          <cell r="H12" t="str">
            <v>(1)</v>
          </cell>
          <cell r="J12">
            <v>-13658</v>
          </cell>
        </row>
        <row r="14">
          <cell r="A14" t="str">
            <v>Cash reserve</v>
          </cell>
          <cell r="D14">
            <v>32992</v>
          </cell>
          <cell r="H14" t="str">
            <v>(3)</v>
          </cell>
          <cell r="J14">
            <v>32992</v>
          </cell>
        </row>
        <row r="16">
          <cell r="A16" t="str">
            <v>Depreciation</v>
          </cell>
          <cell r="D16">
            <v>76953</v>
          </cell>
          <cell r="F16">
            <v>27323</v>
          </cell>
          <cell r="H16" t="str">
            <v>(2)</v>
          </cell>
          <cell r="J16">
            <v>49630</v>
          </cell>
        </row>
        <row r="18">
          <cell r="A18" t="str">
            <v>Deposits</v>
          </cell>
          <cell r="D18">
            <v>8382</v>
          </cell>
          <cell r="F18">
            <v>8382</v>
          </cell>
          <cell r="H18" t="str">
            <v>(3)</v>
          </cell>
        </row>
        <row r="20">
          <cell r="A20" t="str">
            <v xml:space="preserve">          Totals</v>
          </cell>
          <cell r="D20">
            <v>129114</v>
          </cell>
          <cell r="F20">
            <v>60149</v>
          </cell>
          <cell r="J20">
            <v>68964</v>
          </cell>
        </row>
        <row r="23">
          <cell r="A23" t="str">
            <v>(1)  Minimum balances suggested based on standard industry guidelines.</v>
          </cell>
        </row>
        <row r="24">
          <cell r="A24" t="str">
            <v>(1)  A balance sufficient to provide for the cost of operation, repair and maintenance of</v>
          </cell>
        </row>
        <row r="25">
          <cell r="A25" t="str">
            <v xml:space="preserve">      the Water Utility for the then next succeeding two calendar months.  </v>
          </cell>
        </row>
        <row r="26">
          <cell r="A26" t="str">
            <v xml:space="preserve">      the Water Utility for the then next succeeding two calendar months.  </v>
          </cell>
        </row>
        <row r="27">
          <cell r="B27" t="str">
            <v>Projected operation and maintenance disbursements</v>
          </cell>
          <cell r="J27">
            <v>146636.6</v>
          </cell>
        </row>
        <row r="28">
          <cell r="B28" t="str">
            <v>Times two month factor</v>
          </cell>
          <cell r="J28">
            <v>0.16669999999999999</v>
          </cell>
        </row>
        <row r="29">
          <cell r="B29" t="str">
            <v>Times two month factor</v>
          </cell>
          <cell r="J29">
            <v>0.16669999999999999</v>
          </cell>
        </row>
        <row r="30">
          <cell r="B30" t="str">
            <v xml:space="preserve">     Minimum balance required</v>
          </cell>
          <cell r="J30">
            <v>24444</v>
          </cell>
        </row>
        <row r="31">
          <cell r="B31" t="str">
            <v xml:space="preserve">     Minimum balance required</v>
          </cell>
          <cell r="J31">
            <v>24442</v>
          </cell>
        </row>
        <row r="32">
          <cell r="A32" t="str">
            <v>(2)  No minimum balance required.</v>
          </cell>
        </row>
        <row r="33">
          <cell r="A33" t="str">
            <v>(3)  No minimum balance required.</v>
          </cell>
        </row>
        <row r="34">
          <cell r="A34" t="str">
            <v>(3)  No minimum balance required. However, as a general rule, an amount equal</v>
          </cell>
        </row>
        <row r="35">
          <cell r="A35" t="str">
            <v xml:space="preserve">       to one year's depreciation expense is typically set aside in this account to</v>
          </cell>
        </row>
        <row r="36">
          <cell r="A36" t="str">
            <v xml:space="preserve">       provide funds for emergency repairs and unexpected capital costs.</v>
          </cell>
        </row>
        <row r="37">
          <cell r="A37" t="str">
            <v xml:space="preserve">       provide funds for emergency repairs and unexpected capital costs.</v>
          </cell>
        </row>
        <row r="39">
          <cell r="A39" t="str">
            <v>(4)  Funds are fully restricted.</v>
          </cell>
        </row>
        <row r="40">
          <cell r="A40" t="str">
            <v>(5)  Funds are fully restricted.</v>
          </cell>
        </row>
        <row r="45">
          <cell r="A45" t="str">
            <v>(Subject to the comments in the attached letter</v>
          </cell>
        </row>
        <row r="46">
          <cell r="A46" t="str">
            <v>(Subject to the comments in the attached letter</v>
          </cell>
        </row>
        <row r="47">
          <cell r="A47" t="str">
            <v>dated April __, 2006 of Umbaugh.)</v>
          </cell>
        </row>
        <row r="48">
          <cell r="A48">
            <v>15</v>
          </cell>
        </row>
        <row r="49">
          <cell r="A49">
            <v>15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WTB"/>
      <sheetName val="Proj O&amp;M"/>
      <sheetName val="Proj O&amp;M adj"/>
      <sheetName val="RevReq"/>
      <sheetName val="Proj Cost"/>
      <sheetName val="PF COE"/>
      <sheetName val="Rev Req I"/>
      <sheetName val="Rev Req II"/>
      <sheetName val="Norm Rev"/>
      <sheetName val="Cap Impr"/>
      <sheetName val="Pres Prop Rt"/>
      <sheetName val="Comp Billings"/>
      <sheetName val="ST of NA"/>
      <sheetName val="Change in NA"/>
      <sheetName val="Detail Exp"/>
      <sheetName val="Detail Rev"/>
      <sheetName val="2001 Bonds"/>
      <sheetName val="1989 Bonds"/>
      <sheetName val="PSG Loan"/>
      <sheetName val="2005 Prop Bonds"/>
      <sheetName val="2005 Prop SRF"/>
      <sheetName val="Comb Bonds"/>
      <sheetName val="Add Plant"/>
      <sheetName val="CapImp"/>
      <sheetName val="ExpCapImp"/>
      <sheetName val="CapImp2"/>
      <sheetName val="SNA"/>
      <sheetName val="CNA"/>
      <sheetName val="SCF"/>
      <sheetName val="MinBal"/>
      <sheetName val="2000 Bonds"/>
      <sheetName val="2002 Bonds"/>
      <sheetName val="Combined"/>
      <sheetName val="Rates"/>
      <sheetName val="UPIS"/>
      <sheetName val="Comparison"/>
      <sheetName val="Payroll TY"/>
      <sheetName val="Proj Pay"/>
      <sheetName val="Rev"/>
      <sheetName val="CapImp3"/>
      <sheetName val="Intro"/>
      <sheetName val="AddPlant"/>
      <sheetName val="Adjustments"/>
      <sheetName val="Fin Info"/>
      <sheetName val="Min Bal"/>
      <sheetName val="Projected Disb."/>
      <sheetName val="Rec and Disb"/>
      <sheetName val="Retur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A1" t="str">
            <v>GREENSBURG (INDIANA) MUNICIPAL SEWAGE WORKS</v>
          </cell>
        </row>
        <row r="3">
          <cell r="A3" t="str">
            <v>CALCULATION OF NORMALIZED ANNUAL OPERATING REVENUES</v>
          </cell>
        </row>
        <row r="4">
          <cell r="A4" t="str">
            <v>- Residential -</v>
          </cell>
        </row>
        <row r="7">
          <cell r="H7" t="str">
            <v>12 Months</v>
          </cell>
          <cell r="L7" t="str">
            <v>Normalized</v>
          </cell>
        </row>
        <row r="8">
          <cell r="H8" t="str">
            <v>Ended</v>
          </cell>
          <cell r="L8" t="str">
            <v>Annual</v>
          </cell>
        </row>
        <row r="9">
          <cell r="H9">
            <v>38168</v>
          </cell>
          <cell r="J9" t="str">
            <v>Adjustments</v>
          </cell>
          <cell r="L9" t="str">
            <v>Revenues</v>
          </cell>
        </row>
        <row r="10">
          <cell r="A10" t="str">
            <v>Operating Revenues</v>
          </cell>
          <cell r="H10" t="str">
            <v>(Unaudited)</v>
          </cell>
        </row>
        <row r="12">
          <cell r="B12" t="str">
            <v>Metered sales</v>
          </cell>
          <cell r="H12">
            <v>449420</v>
          </cell>
          <cell r="J12">
            <v>1237.8</v>
          </cell>
          <cell r="K12" t="str">
            <v>(1)</v>
          </cell>
          <cell r="L12" t="str">
            <v xml:space="preserve"> </v>
          </cell>
        </row>
        <row r="13">
          <cell r="J13">
            <v>532.79999999999995</v>
          </cell>
          <cell r="K13" t="str">
            <v>(2)</v>
          </cell>
          <cell r="L13">
            <v>451190.6</v>
          </cell>
        </row>
        <row r="14">
          <cell r="B14" t="str">
            <v>Hydrant rental</v>
          </cell>
          <cell r="H14">
            <v>1123562</v>
          </cell>
          <cell r="L14">
            <v>1123562</v>
          </cell>
        </row>
        <row r="15">
          <cell r="B15" t="str">
            <v>Penalties</v>
          </cell>
          <cell r="H15">
            <v>29257</v>
          </cell>
          <cell r="L15">
            <v>29257</v>
          </cell>
        </row>
        <row r="16">
          <cell r="B16" t="str">
            <v>Other income</v>
          </cell>
          <cell r="H16">
            <v>1132839</v>
          </cell>
          <cell r="L16">
            <v>1132839</v>
          </cell>
        </row>
        <row r="18">
          <cell r="B18" t="str">
            <v>Totals</v>
          </cell>
          <cell r="H18">
            <v>2735078</v>
          </cell>
          <cell r="J18">
            <v>1770.6</v>
          </cell>
          <cell r="L18">
            <v>2736848.6</v>
          </cell>
        </row>
        <row r="21">
          <cell r="B21" t="str">
            <v xml:space="preserve">(1)    To adjust test year operating revenues to normalize for the estimated financial effects of </v>
          </cell>
        </row>
        <row r="22">
          <cell r="B22" t="str">
            <v xml:space="preserve">         approximately 7 less users to the system from the beginning of the test year</v>
          </cell>
        </row>
        <row r="23">
          <cell r="B23" t="str">
            <v xml:space="preserve">         (based on billing records).</v>
          </cell>
        </row>
        <row r="25">
          <cell r="B25" t="str">
            <v>Residential Revenues:</v>
          </cell>
          <cell r="F25" t="str">
            <v>Times</v>
          </cell>
        </row>
        <row r="26">
          <cell r="D26" t="str">
            <v>Increase/</v>
          </cell>
          <cell r="F26" t="str">
            <v>Estimated</v>
          </cell>
          <cell r="H26" t="str">
            <v>Additional</v>
          </cell>
          <cell r="J26" t="str">
            <v>Estimated</v>
          </cell>
        </row>
        <row r="27">
          <cell r="B27" t="str">
            <v>Billing</v>
          </cell>
          <cell r="D27" t="str">
            <v>(Decrease)</v>
          </cell>
          <cell r="F27" t="str">
            <v>Additional</v>
          </cell>
          <cell r="H27" t="str">
            <v>Monthly</v>
          </cell>
          <cell r="J27" t="str">
            <v>Monthly</v>
          </cell>
        </row>
        <row r="28">
          <cell r="B28" t="str">
            <v>Cycle</v>
          </cell>
          <cell r="D28" t="str">
            <v>In Users (A)</v>
          </cell>
          <cell r="F28" t="str">
            <v>Monthly Bills</v>
          </cell>
          <cell r="H28" t="str">
            <v>Bills</v>
          </cell>
          <cell r="J28" t="str">
            <v>Bill (B)</v>
          </cell>
          <cell r="L28" t="str">
            <v>Amount</v>
          </cell>
        </row>
        <row r="30">
          <cell r="B30" t="str">
            <v>July 2003</v>
          </cell>
          <cell r="D30">
            <v>4</v>
          </cell>
          <cell r="F30" t="str">
            <v xml:space="preserve"> </v>
          </cell>
          <cell r="H30">
            <v>0</v>
          </cell>
          <cell r="J30">
            <v>15.87</v>
          </cell>
          <cell r="L30">
            <v>0</v>
          </cell>
        </row>
        <row r="31">
          <cell r="B31" t="str">
            <v>August</v>
          </cell>
          <cell r="D31">
            <v>2</v>
          </cell>
          <cell r="F31">
            <v>1</v>
          </cell>
          <cell r="H31">
            <v>2</v>
          </cell>
          <cell r="J31">
            <v>15.87</v>
          </cell>
          <cell r="L31">
            <v>31.7</v>
          </cell>
        </row>
        <row r="32">
          <cell r="B32" t="str">
            <v>September</v>
          </cell>
          <cell r="D32">
            <v>0</v>
          </cell>
          <cell r="F32">
            <v>2</v>
          </cell>
          <cell r="H32">
            <v>0</v>
          </cell>
          <cell r="J32">
            <v>15.87</v>
          </cell>
          <cell r="L32">
            <v>0</v>
          </cell>
        </row>
        <row r="33">
          <cell r="B33" t="str">
            <v>October</v>
          </cell>
          <cell r="D33">
            <v>-4</v>
          </cell>
          <cell r="F33">
            <v>3</v>
          </cell>
          <cell r="H33">
            <v>-12</v>
          </cell>
          <cell r="J33">
            <v>15.87</v>
          </cell>
          <cell r="L33">
            <v>-190.4</v>
          </cell>
        </row>
        <row r="34">
          <cell r="B34" t="str">
            <v>November</v>
          </cell>
          <cell r="D34">
            <v>-16</v>
          </cell>
          <cell r="F34">
            <v>4</v>
          </cell>
          <cell r="H34">
            <v>-64</v>
          </cell>
          <cell r="J34">
            <v>15.87</v>
          </cell>
          <cell r="L34">
            <v>-1015.7</v>
          </cell>
        </row>
        <row r="35">
          <cell r="B35" t="str">
            <v>December</v>
          </cell>
          <cell r="D35">
            <v>-15</v>
          </cell>
          <cell r="F35">
            <v>5</v>
          </cell>
          <cell r="H35">
            <v>-75</v>
          </cell>
          <cell r="J35">
            <v>15.87</v>
          </cell>
          <cell r="L35">
            <v>-1190.3</v>
          </cell>
        </row>
        <row r="36">
          <cell r="B36" t="str">
            <v>January 2004</v>
          </cell>
          <cell r="D36">
            <v>-2</v>
          </cell>
          <cell r="F36">
            <v>6</v>
          </cell>
          <cell r="H36">
            <v>-12</v>
          </cell>
          <cell r="J36">
            <v>15.87</v>
          </cell>
          <cell r="L36">
            <v>-190.4</v>
          </cell>
        </row>
        <row r="37">
          <cell r="B37" t="str">
            <v>February</v>
          </cell>
          <cell r="D37">
            <v>1</v>
          </cell>
          <cell r="F37">
            <v>7</v>
          </cell>
          <cell r="H37">
            <v>7</v>
          </cell>
          <cell r="J37">
            <v>15.87</v>
          </cell>
          <cell r="L37">
            <v>111.1</v>
          </cell>
        </row>
        <row r="38">
          <cell r="B38" t="str">
            <v>March</v>
          </cell>
          <cell r="D38">
            <v>7</v>
          </cell>
          <cell r="F38">
            <v>8</v>
          </cell>
          <cell r="H38">
            <v>56</v>
          </cell>
          <cell r="J38">
            <v>15.87</v>
          </cell>
          <cell r="L38">
            <v>888.7</v>
          </cell>
        </row>
        <row r="39">
          <cell r="B39" t="str">
            <v>April</v>
          </cell>
          <cell r="D39">
            <v>-7</v>
          </cell>
          <cell r="F39">
            <v>9</v>
          </cell>
          <cell r="H39">
            <v>-63</v>
          </cell>
          <cell r="J39">
            <v>15.87</v>
          </cell>
          <cell r="L39">
            <v>-999.8</v>
          </cell>
        </row>
        <row r="40">
          <cell r="B40" t="str">
            <v>May</v>
          </cell>
          <cell r="D40">
            <v>14</v>
          </cell>
          <cell r="F40">
            <v>10</v>
          </cell>
          <cell r="H40">
            <v>140</v>
          </cell>
          <cell r="J40">
            <v>15.87</v>
          </cell>
          <cell r="L40">
            <v>2221.8000000000002</v>
          </cell>
        </row>
        <row r="41">
          <cell r="B41" t="str">
            <v>June</v>
          </cell>
          <cell r="D41">
            <v>9</v>
          </cell>
          <cell r="F41">
            <v>11</v>
          </cell>
          <cell r="H41">
            <v>99</v>
          </cell>
          <cell r="J41">
            <v>15.87</v>
          </cell>
          <cell r="L41">
            <v>1571.1</v>
          </cell>
        </row>
        <row r="43">
          <cell r="B43" t="str">
            <v xml:space="preserve">        Totals</v>
          </cell>
          <cell r="D43">
            <v>-7</v>
          </cell>
          <cell r="H43">
            <v>78</v>
          </cell>
          <cell r="L43">
            <v>1237.8</v>
          </cell>
        </row>
        <row r="46">
          <cell r="B46" t="str">
            <v>(A)    Per utility personnel and monthly billing summaries.</v>
          </cell>
        </row>
        <row r="47">
          <cell r="B47" t="str">
            <v>(B)    Estimated monthly bill assuming average residential consumption of 4,600 gallons priced at</v>
          </cell>
        </row>
        <row r="48">
          <cell r="B48" t="str">
            <v xml:space="preserve">         present rates (average bill calculated based on historical average bill for a residential customer).</v>
          </cell>
        </row>
        <row r="50">
          <cell r="A50" t="str">
            <v>(Continued on next page)</v>
          </cell>
        </row>
        <row r="52">
          <cell r="A52" t="str">
            <v>(Subject to the comments in the attached</v>
          </cell>
        </row>
        <row r="53">
          <cell r="A53" t="str">
            <v>letter dated May 26, 2005 of Umbaugh.)</v>
          </cell>
        </row>
        <row r="55">
          <cell r="A55" t="str">
            <v>14</v>
          </cell>
        </row>
        <row r="56">
          <cell r="A56" t="str">
            <v>GREENSBURG (INDIANA) MUNICIPAL SEWAGE WORKS</v>
          </cell>
        </row>
        <row r="57">
          <cell r="L57" t="str">
            <v>(Cont'd)</v>
          </cell>
        </row>
        <row r="58">
          <cell r="A58" t="str">
            <v>CALCULATION OF NORMALIZED ANNUAL OPERATING REVENUES</v>
          </cell>
        </row>
        <row r="59">
          <cell r="A59" t="str">
            <v>- Commercial -</v>
          </cell>
        </row>
        <row r="62">
          <cell r="B62" t="str">
            <v xml:space="preserve">(2)    To adjust test year operating revenues to normalize for the estimated financial effects of </v>
          </cell>
        </row>
        <row r="63">
          <cell r="B63" t="str">
            <v xml:space="preserve">         approximately 0 new users added to the system from the beginning of the test year</v>
          </cell>
        </row>
        <row r="64">
          <cell r="B64" t="str">
            <v xml:space="preserve">         (based on billing records).</v>
          </cell>
        </row>
        <row r="66">
          <cell r="B66" t="str">
            <v>Commercial Revenues:</v>
          </cell>
          <cell r="F66" t="str">
            <v>Times</v>
          </cell>
        </row>
        <row r="67">
          <cell r="D67" t="str">
            <v>Increase/</v>
          </cell>
          <cell r="F67" t="str">
            <v>Estimated</v>
          </cell>
          <cell r="H67" t="str">
            <v>Additional</v>
          </cell>
          <cell r="J67" t="str">
            <v>Estimated</v>
          </cell>
        </row>
        <row r="68">
          <cell r="B68" t="str">
            <v>Billing</v>
          </cell>
          <cell r="D68" t="str">
            <v>(Decrease)</v>
          </cell>
          <cell r="F68" t="str">
            <v>Additional</v>
          </cell>
          <cell r="H68" t="str">
            <v>Monthly</v>
          </cell>
          <cell r="J68" t="str">
            <v>Monthly</v>
          </cell>
        </row>
        <row r="69">
          <cell r="B69" t="str">
            <v>Cycle</v>
          </cell>
          <cell r="D69" t="str">
            <v>In Users (A)</v>
          </cell>
          <cell r="F69" t="str">
            <v>Monthly Bills</v>
          </cell>
          <cell r="H69" t="str">
            <v>Bills</v>
          </cell>
          <cell r="J69" t="str">
            <v>Bill (B)</v>
          </cell>
          <cell r="L69" t="str">
            <v>Amount</v>
          </cell>
        </row>
        <row r="71">
          <cell r="B71" t="str">
            <v>July 2003</v>
          </cell>
          <cell r="D71">
            <v>1</v>
          </cell>
          <cell r="F71" t="str">
            <v xml:space="preserve"> </v>
          </cell>
          <cell r="H71">
            <v>0</v>
          </cell>
          <cell r="J71">
            <v>53.29</v>
          </cell>
          <cell r="L71">
            <v>0</v>
          </cell>
        </row>
        <row r="72">
          <cell r="B72" t="str">
            <v>August</v>
          </cell>
          <cell r="D72">
            <v>-2</v>
          </cell>
          <cell r="F72">
            <v>1</v>
          </cell>
          <cell r="H72">
            <v>-2</v>
          </cell>
          <cell r="J72">
            <v>53.29</v>
          </cell>
          <cell r="L72">
            <v>-106.6</v>
          </cell>
        </row>
        <row r="73">
          <cell r="B73" t="str">
            <v>September</v>
          </cell>
          <cell r="D73">
            <v>3</v>
          </cell>
          <cell r="F73">
            <v>2</v>
          </cell>
          <cell r="H73">
            <v>6</v>
          </cell>
          <cell r="J73">
            <v>53.29</v>
          </cell>
          <cell r="L73">
            <v>319.7</v>
          </cell>
        </row>
        <row r="74">
          <cell r="B74" t="str">
            <v>October</v>
          </cell>
          <cell r="D74">
            <v>-1</v>
          </cell>
          <cell r="F74">
            <v>3</v>
          </cell>
          <cell r="H74">
            <v>-3</v>
          </cell>
          <cell r="J74">
            <v>53.29</v>
          </cell>
          <cell r="L74">
            <v>-159.9</v>
          </cell>
        </row>
        <row r="75">
          <cell r="B75" t="str">
            <v>November</v>
          </cell>
          <cell r="D75">
            <v>1</v>
          </cell>
          <cell r="F75">
            <v>4</v>
          </cell>
          <cell r="H75">
            <v>4</v>
          </cell>
          <cell r="J75">
            <v>53.29</v>
          </cell>
          <cell r="L75">
            <v>213.2</v>
          </cell>
        </row>
        <row r="76">
          <cell r="B76" t="str">
            <v>December</v>
          </cell>
          <cell r="D76">
            <v>-5</v>
          </cell>
          <cell r="F76">
            <v>5</v>
          </cell>
          <cell r="H76">
            <v>-25</v>
          </cell>
          <cell r="J76">
            <v>53.29</v>
          </cell>
          <cell r="L76">
            <v>-1332.3</v>
          </cell>
        </row>
        <row r="77">
          <cell r="B77" t="str">
            <v>January 2004</v>
          </cell>
          <cell r="D77">
            <v>0</v>
          </cell>
          <cell r="F77">
            <v>6</v>
          </cell>
          <cell r="H77">
            <v>0</v>
          </cell>
          <cell r="J77">
            <v>53.29</v>
          </cell>
          <cell r="L77">
            <v>0</v>
          </cell>
        </row>
        <row r="78">
          <cell r="B78" t="str">
            <v>February</v>
          </cell>
          <cell r="D78">
            <v>0</v>
          </cell>
          <cell r="F78">
            <v>7</v>
          </cell>
          <cell r="H78">
            <v>0</v>
          </cell>
          <cell r="J78">
            <v>53.29</v>
          </cell>
          <cell r="L78">
            <v>0</v>
          </cell>
        </row>
        <row r="79">
          <cell r="B79" t="str">
            <v>March</v>
          </cell>
          <cell r="D79">
            <v>0</v>
          </cell>
          <cell r="F79">
            <v>8</v>
          </cell>
          <cell r="H79">
            <v>0</v>
          </cell>
          <cell r="J79">
            <v>53.29</v>
          </cell>
          <cell r="L79">
            <v>0</v>
          </cell>
        </row>
        <row r="80">
          <cell r="B80" t="str">
            <v>April</v>
          </cell>
          <cell r="D80">
            <v>-1</v>
          </cell>
          <cell r="F80">
            <v>9</v>
          </cell>
          <cell r="H80">
            <v>-9</v>
          </cell>
          <cell r="J80">
            <v>53.29</v>
          </cell>
          <cell r="L80">
            <v>-479.6</v>
          </cell>
        </row>
        <row r="81">
          <cell r="B81" t="str">
            <v>May</v>
          </cell>
          <cell r="D81">
            <v>5</v>
          </cell>
          <cell r="F81">
            <v>10</v>
          </cell>
          <cell r="H81">
            <v>50</v>
          </cell>
          <cell r="J81">
            <v>53.29</v>
          </cell>
          <cell r="L81">
            <v>2664.5</v>
          </cell>
        </row>
        <row r="82">
          <cell r="B82" t="str">
            <v>June</v>
          </cell>
          <cell r="D82">
            <v>-1</v>
          </cell>
          <cell r="F82">
            <v>11</v>
          </cell>
          <cell r="H82">
            <v>-11</v>
          </cell>
          <cell r="J82">
            <v>53.29</v>
          </cell>
          <cell r="L82">
            <v>-586.20000000000005</v>
          </cell>
        </row>
        <row r="84">
          <cell r="B84" t="str">
            <v xml:space="preserve">        Totals</v>
          </cell>
          <cell r="D84">
            <v>0</v>
          </cell>
          <cell r="H84">
            <v>10</v>
          </cell>
          <cell r="L84">
            <v>532.79999999999995</v>
          </cell>
        </row>
        <row r="87">
          <cell r="B87" t="str">
            <v>(A)    Per utility personnel and monthly billing summaries.</v>
          </cell>
        </row>
        <row r="88">
          <cell r="B88" t="str">
            <v>(B)    Estimated monthly bill assuming average commercial consumption of 17,200 gallons priced at</v>
          </cell>
        </row>
        <row r="89">
          <cell r="B89" t="str">
            <v xml:space="preserve">         present rates (average bill calculated based on historical average bill for a commercial customer).</v>
          </cell>
        </row>
        <row r="107">
          <cell r="A107" t="str">
            <v>(Subject to the comments in the attached</v>
          </cell>
        </row>
        <row r="108">
          <cell r="A108" t="str">
            <v>letter dated May 26, 2005 of Umbaugh.)</v>
          </cell>
        </row>
        <row r="110">
          <cell r="A110" t="str">
            <v>15</v>
          </cell>
        </row>
      </sheetData>
      <sheetData sheetId="10" refreshError="1"/>
      <sheetData sheetId="11" refreshError="1">
        <row r="1">
          <cell r="A1" t="str">
            <v>GREENSBURG (INDIANA) MUNICIPAL SEWAGE WORKS</v>
          </cell>
        </row>
        <row r="3">
          <cell r="A3" t="str">
            <v>SCHEDULE OF PRESENT AND PROPOSED RATES AND CHARGES</v>
          </cell>
        </row>
        <row r="6">
          <cell r="A6" t="str">
            <v>RECURRING RATES:</v>
          </cell>
        </row>
        <row r="7">
          <cell r="G7" t="str">
            <v>Rate Per 1,000 Gallons</v>
          </cell>
        </row>
        <row r="8">
          <cell r="A8" t="str">
            <v>Metered Rates Per Month:</v>
          </cell>
          <cell r="I8" t="str">
            <v>Alternative 1</v>
          </cell>
          <cell r="K8" t="str">
            <v>Alternative #2</v>
          </cell>
          <cell r="M8" t="str">
            <v>Alternative 2</v>
          </cell>
        </row>
        <row r="9">
          <cell r="G9" t="str">
            <v>Present (1)</v>
          </cell>
          <cell r="I9">
            <v>0</v>
          </cell>
          <cell r="K9">
            <v>0</v>
          </cell>
          <cell r="M9">
            <v>0</v>
          </cell>
        </row>
        <row r="11">
          <cell r="A11" t="str">
            <v>First</v>
          </cell>
          <cell r="B11" t="str">
            <v>10,000</v>
          </cell>
          <cell r="D11" t="str">
            <v>gallons</v>
          </cell>
          <cell r="G11">
            <v>3.45</v>
          </cell>
          <cell r="I11" t="e">
            <v>#NAME?</v>
          </cell>
          <cell r="K11" t="e">
            <v>#NAME?</v>
          </cell>
          <cell r="M11" t="e">
            <v>#NAME?</v>
          </cell>
        </row>
        <row r="12">
          <cell r="A12" t="str">
            <v>Next</v>
          </cell>
          <cell r="B12" t="str">
            <v>20,000</v>
          </cell>
          <cell r="D12" t="str">
            <v>gallons</v>
          </cell>
          <cell r="G12">
            <v>2.61</v>
          </cell>
          <cell r="I12" t="e">
            <v>#NAME?</v>
          </cell>
          <cell r="K12" t="e">
            <v>#NAME?</v>
          </cell>
          <cell r="M12" t="e">
            <v>#NAME?</v>
          </cell>
        </row>
        <row r="13">
          <cell r="A13" t="str">
            <v>Next</v>
          </cell>
          <cell r="B13" t="str">
            <v>70,000</v>
          </cell>
          <cell r="D13" t="str">
            <v>gallons</v>
          </cell>
          <cell r="G13">
            <v>1.73</v>
          </cell>
          <cell r="I13" t="e">
            <v>#NAME?</v>
          </cell>
          <cell r="K13" t="e">
            <v>#NAME?</v>
          </cell>
          <cell r="M13" t="e">
            <v>#NAME?</v>
          </cell>
        </row>
        <row r="14">
          <cell r="A14" t="str">
            <v>Over</v>
          </cell>
          <cell r="B14" t="str">
            <v>100,000</v>
          </cell>
          <cell r="D14" t="str">
            <v>gallons</v>
          </cell>
          <cell r="G14">
            <v>0.87</v>
          </cell>
          <cell r="I14" t="e">
            <v>#NAME?</v>
          </cell>
          <cell r="K14" t="e">
            <v>#NAME?</v>
          </cell>
          <cell r="M14" t="e">
            <v>#NAME?</v>
          </cell>
        </row>
        <row r="17">
          <cell r="D17" t="str">
            <v>Gallons</v>
          </cell>
          <cell r="G17" t="str">
            <v>Per Month</v>
          </cell>
        </row>
        <row r="18">
          <cell r="A18" t="str">
            <v>Minimum Charge:</v>
          </cell>
          <cell r="D18" t="str">
            <v>Allowed</v>
          </cell>
          <cell r="I18" t="str">
            <v>Alternative 1</v>
          </cell>
          <cell r="K18" t="str">
            <v>Alternative #2</v>
          </cell>
          <cell r="M18" t="str">
            <v>Alternative 2</v>
          </cell>
        </row>
        <row r="19">
          <cell r="G19" t="str">
            <v>Present (1)</v>
          </cell>
          <cell r="I19">
            <v>0</v>
          </cell>
          <cell r="K19" t="str">
            <v>Proposed</v>
          </cell>
          <cell r="M19">
            <v>0</v>
          </cell>
        </row>
        <row r="21">
          <cell r="A21" t="str">
            <v>5/8</v>
          </cell>
          <cell r="B21" t="str">
            <v>inch meter</v>
          </cell>
          <cell r="D21">
            <v>2520</v>
          </cell>
          <cell r="G21">
            <v>8.68</v>
          </cell>
          <cell r="I21" t="e">
            <v>#NAME?</v>
          </cell>
          <cell r="K21" t="e">
            <v>#NAME?</v>
          </cell>
          <cell r="M21" t="e">
            <v>#NAME?</v>
          </cell>
        </row>
        <row r="22">
          <cell r="A22" t="str">
            <v>3/4</v>
          </cell>
          <cell r="B22" t="str">
            <v>inch meter</v>
          </cell>
          <cell r="D22">
            <v>2520</v>
          </cell>
          <cell r="G22">
            <v>8.68</v>
          </cell>
          <cell r="I22" t="e">
            <v>#NAME?</v>
          </cell>
          <cell r="K22" t="e">
            <v>#NAME?</v>
          </cell>
          <cell r="M22" t="e">
            <v>#NAME?</v>
          </cell>
        </row>
        <row r="23">
          <cell r="A23" t="str">
            <v>1</v>
          </cell>
          <cell r="B23" t="str">
            <v>inch meter</v>
          </cell>
          <cell r="D23">
            <v>6410</v>
          </cell>
          <cell r="G23">
            <v>21.99</v>
          </cell>
          <cell r="I23" t="e">
            <v>#NAME?</v>
          </cell>
          <cell r="K23" t="e">
            <v>#NAME?</v>
          </cell>
          <cell r="M23" t="e">
            <v>#NAME?</v>
          </cell>
        </row>
        <row r="24">
          <cell r="A24" t="str">
            <v>1 1/2</v>
          </cell>
          <cell r="B24" t="str">
            <v>inch meter</v>
          </cell>
          <cell r="D24">
            <v>15560</v>
          </cell>
          <cell r="G24">
            <v>48.87</v>
          </cell>
          <cell r="I24" t="e">
            <v>#NAME?</v>
          </cell>
          <cell r="K24" t="e">
            <v>#NAME?</v>
          </cell>
          <cell r="M24" t="e">
            <v>#NAME?</v>
          </cell>
        </row>
        <row r="25">
          <cell r="A25" t="str">
            <v>2</v>
          </cell>
          <cell r="B25" t="str">
            <v>inch meter</v>
          </cell>
          <cell r="D25">
            <v>29660</v>
          </cell>
          <cell r="G25">
            <v>85.53</v>
          </cell>
          <cell r="I25" t="e">
            <v>#NAME?</v>
          </cell>
          <cell r="K25" t="e">
            <v>#NAME?</v>
          </cell>
          <cell r="M25" t="e">
            <v>#NAME?</v>
          </cell>
        </row>
        <row r="26">
          <cell r="A26" t="str">
            <v>3</v>
          </cell>
          <cell r="B26" t="str">
            <v>inch meter</v>
          </cell>
          <cell r="D26">
            <v>93130</v>
          </cell>
          <cell r="G26">
            <v>195.48</v>
          </cell>
          <cell r="I26" t="e">
            <v>#NAME?</v>
          </cell>
          <cell r="K26" t="e">
            <v>#NAME?</v>
          </cell>
          <cell r="M26" t="e">
            <v>#NAME?</v>
          </cell>
        </row>
        <row r="27">
          <cell r="A27" t="str">
            <v>4</v>
          </cell>
          <cell r="B27" t="str">
            <v>inch meter</v>
          </cell>
          <cell r="D27">
            <v>268610</v>
          </cell>
          <cell r="G27">
            <v>354.3</v>
          </cell>
          <cell r="I27" t="e">
            <v>#NAME?</v>
          </cell>
          <cell r="K27" t="e">
            <v>#NAME?</v>
          </cell>
          <cell r="M27" t="e">
            <v>#NAME?</v>
          </cell>
        </row>
        <row r="30">
          <cell r="G30" t="str">
            <v>Per Annum</v>
          </cell>
        </row>
        <row r="31">
          <cell r="A31" t="str">
            <v>Fire Protection:</v>
          </cell>
          <cell r="I31" t="str">
            <v>Alternative 1</v>
          </cell>
          <cell r="K31" t="str">
            <v>Alternative #2</v>
          </cell>
          <cell r="M31" t="str">
            <v>Alternative 2</v>
          </cell>
        </row>
        <row r="32">
          <cell r="G32" t="str">
            <v>Present (1)</v>
          </cell>
          <cell r="I32">
            <v>0</v>
          </cell>
          <cell r="K32" t="str">
            <v>Proposed</v>
          </cell>
          <cell r="M32">
            <v>0</v>
          </cell>
        </row>
        <row r="34">
          <cell r="A34" t="str">
            <v>Public fire hydrants - per hydrant</v>
          </cell>
          <cell r="G34">
            <v>439.81</v>
          </cell>
          <cell r="I34" t="e">
            <v>#NAME?</v>
          </cell>
          <cell r="K34" t="e">
            <v>#NAME?</v>
          </cell>
          <cell r="M34" t="e">
            <v>#NAME?</v>
          </cell>
        </row>
        <row r="36">
          <cell r="A36" t="str">
            <v>Private fire hydrants - per hydrant</v>
          </cell>
          <cell r="G36">
            <v>439.81</v>
          </cell>
          <cell r="I36" t="e">
            <v>#NAME?</v>
          </cell>
          <cell r="K36" t="e">
            <v>#NAME?</v>
          </cell>
          <cell r="M36" t="e">
            <v>#NAME?</v>
          </cell>
        </row>
        <row r="38">
          <cell r="A38" t="str">
            <v>Automatic sprinklers:</v>
          </cell>
        </row>
        <row r="39">
          <cell r="B39" t="str">
            <v>2 inch connection and under</v>
          </cell>
          <cell r="G39">
            <v>80.63</v>
          </cell>
          <cell r="I39" t="e">
            <v>#NAME?</v>
          </cell>
          <cell r="K39" t="e">
            <v>#NAME?</v>
          </cell>
          <cell r="M39" t="e">
            <v>#NAME?</v>
          </cell>
        </row>
        <row r="40">
          <cell r="B40" t="str">
            <v>3 inch connection</v>
          </cell>
          <cell r="G40">
            <v>127.07</v>
          </cell>
          <cell r="I40" t="e">
            <v>#NAME?</v>
          </cell>
          <cell r="K40" t="e">
            <v>#NAME?</v>
          </cell>
          <cell r="M40" t="e">
            <v>#NAME?</v>
          </cell>
        </row>
        <row r="41">
          <cell r="B41" t="str">
            <v>4 inch connection</v>
          </cell>
          <cell r="G41">
            <v>171.06</v>
          </cell>
          <cell r="I41" t="e">
            <v>#NAME?</v>
          </cell>
          <cell r="K41" t="e">
            <v>#NAME?</v>
          </cell>
          <cell r="M41" t="e">
            <v>#NAME?</v>
          </cell>
        </row>
        <row r="42">
          <cell r="B42" t="str">
            <v>6 inch connection</v>
          </cell>
          <cell r="G42">
            <v>256.58999999999997</v>
          </cell>
          <cell r="I42" t="e">
            <v>#NAME?</v>
          </cell>
          <cell r="K42" t="e">
            <v>#NAME?</v>
          </cell>
          <cell r="M42" t="e">
            <v>#NAME?</v>
          </cell>
        </row>
        <row r="43">
          <cell r="B43" t="str">
            <v>8 inch connection</v>
          </cell>
          <cell r="G43">
            <v>317.64</v>
          </cell>
          <cell r="I43" t="e">
            <v>#NAME?</v>
          </cell>
          <cell r="K43" t="e">
            <v>#NAME?</v>
          </cell>
          <cell r="M43" t="e">
            <v>#NAME?</v>
          </cell>
        </row>
        <row r="46">
          <cell r="G46" t="str">
            <v>Rate Per 1,000 Gallons</v>
          </cell>
        </row>
        <row r="47">
          <cell r="A47" t="str">
            <v>Special Rates:</v>
          </cell>
          <cell r="I47" t="str">
            <v>Alternative 1</v>
          </cell>
          <cell r="K47" t="str">
            <v>Alternative #2</v>
          </cell>
          <cell r="M47" t="str">
            <v>Alternative 2</v>
          </cell>
        </row>
        <row r="48">
          <cell r="G48" t="str">
            <v>Present (1)</v>
          </cell>
          <cell r="I48">
            <v>0</v>
          </cell>
          <cell r="K48" t="str">
            <v>Proposed</v>
          </cell>
          <cell r="M48">
            <v>0</v>
          </cell>
        </row>
        <row r="50">
          <cell r="A50" t="str">
            <v>Tennyson</v>
          </cell>
          <cell r="G50">
            <v>1.36</v>
          </cell>
          <cell r="I50" t="e">
            <v>#NAME?</v>
          </cell>
          <cell r="K50" t="e">
            <v>#NAME?</v>
          </cell>
          <cell r="M50" t="e">
            <v>#NAME?</v>
          </cell>
        </row>
        <row r="52">
          <cell r="A52" t="str">
            <v>Chandler</v>
          </cell>
          <cell r="G52">
            <v>1.4</v>
          </cell>
          <cell r="I52" t="e">
            <v>#NAME?</v>
          </cell>
          <cell r="K52" t="e">
            <v>#NAME?</v>
          </cell>
          <cell r="M52" t="e">
            <v>#NAME?</v>
          </cell>
        </row>
        <row r="54">
          <cell r="A54" t="str">
            <v>NON-RECURRING RATES:</v>
          </cell>
        </row>
        <row r="56">
          <cell r="A56" t="str">
            <v>No changes in non-recurring rates are being sought as part of this cause.</v>
          </cell>
        </row>
        <row r="58">
          <cell r="A58" t="str">
            <v>Notes:</v>
          </cell>
        </row>
        <row r="59">
          <cell r="A59" t="str">
            <v>(1)  Present rates and charges approved by the Indiana Utility Regulatory Commission in Cause No. 38821</v>
          </cell>
        </row>
        <row r="60">
          <cell r="A60" t="str">
            <v xml:space="preserve">      dated January 7, 1991.</v>
          </cell>
        </row>
        <row r="61">
          <cell r="A61" t="e">
            <v>#NAME?</v>
          </cell>
        </row>
        <row r="62">
          <cell r="A62" t="e">
            <v>#NAME?</v>
          </cell>
        </row>
        <row r="63">
          <cell r="A63" t="e">
            <v>#NAME?</v>
          </cell>
        </row>
        <row r="66">
          <cell r="A66" t="str">
            <v>(Continued on next page)</v>
          </cell>
        </row>
        <row r="68">
          <cell r="A68" t="str">
            <v>(Subject to the comments in the attached</v>
          </cell>
        </row>
        <row r="69">
          <cell r="A69" t="str">
            <v>letter dated May 26, 2005 of Umbaugh.)</v>
          </cell>
        </row>
        <row r="70">
          <cell r="M70" t="str">
            <v xml:space="preserve"> </v>
          </cell>
        </row>
        <row r="71">
          <cell r="A71" t="str">
            <v>18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GREENSBURG (INDIANA) MUNICIPAL SEWAGE WORKS</v>
          </cell>
        </row>
        <row r="3">
          <cell r="A3" t="str">
            <v>SCHEDULE OF AMORTIZATION OF $340,748.02 PRINCIPAL AMOUNT</v>
          </cell>
        </row>
        <row r="4">
          <cell r="A4" t="str">
            <v>OF OUTSTANDING LOAN FROM PROFESSIONAL SERVICES GROUP</v>
          </cell>
        </row>
        <row r="5">
          <cell r="A5" t="str">
            <v>Principal and interest payable monthly.</v>
          </cell>
        </row>
        <row r="6">
          <cell r="A6" t="str">
            <v>Interest rate of 9.5%</v>
          </cell>
        </row>
        <row r="7">
          <cell r="A7" t="str">
            <v>(Unaudited)</v>
          </cell>
        </row>
        <row r="10">
          <cell r="C10" t="str">
            <v>Principal</v>
          </cell>
          <cell r="G10" t="str">
            <v>Interest</v>
          </cell>
          <cell r="I10" t="str">
            <v>Debt Service</v>
          </cell>
        </row>
        <row r="11">
          <cell r="A11" t="str">
            <v>Year</v>
          </cell>
          <cell r="C11" t="str">
            <v>Balance</v>
          </cell>
          <cell r="E11" t="str">
            <v>Principal</v>
          </cell>
          <cell r="G11" t="str">
            <v>Rate(s)</v>
          </cell>
          <cell r="I11" t="str">
            <v>Interest</v>
          </cell>
          <cell r="K11" t="str">
            <v>Total</v>
          </cell>
        </row>
        <row r="12">
          <cell r="C12" t="str">
            <v xml:space="preserve">  (--------------In Dollars----------)</v>
          </cell>
          <cell r="G12" t="str">
            <v>(%)</v>
          </cell>
          <cell r="I12" t="str">
            <v xml:space="preserve">  (------------In Dollars-----------)</v>
          </cell>
        </row>
        <row r="14">
          <cell r="A14">
            <v>2004</v>
          </cell>
          <cell r="C14">
            <v>191110.04</v>
          </cell>
          <cell r="E14">
            <v>52676.59</v>
          </cell>
          <cell r="G14">
            <v>9.5</v>
          </cell>
          <cell r="I14">
            <v>15901.009999999998</v>
          </cell>
          <cell r="K14">
            <v>68577.599999999991</v>
          </cell>
        </row>
        <row r="15">
          <cell r="A15">
            <v>2005</v>
          </cell>
          <cell r="C15">
            <v>138433.45000000001</v>
          </cell>
          <cell r="E15">
            <v>57904.61</v>
          </cell>
          <cell r="G15">
            <v>9.5</v>
          </cell>
          <cell r="I15">
            <v>10672.989999999998</v>
          </cell>
          <cell r="K15">
            <v>68577.600000000006</v>
          </cell>
        </row>
        <row r="16">
          <cell r="A16">
            <v>2006</v>
          </cell>
          <cell r="C16">
            <v>80528.840000000011</v>
          </cell>
          <cell r="E16">
            <v>63651.509999999995</v>
          </cell>
          <cell r="G16">
            <v>9.5</v>
          </cell>
          <cell r="I16">
            <v>4926.09</v>
          </cell>
          <cell r="K16">
            <v>68577.599999999991</v>
          </cell>
        </row>
        <row r="17">
          <cell r="A17">
            <v>2007</v>
          </cell>
          <cell r="C17">
            <v>16877.330000000016</v>
          </cell>
          <cell r="E17">
            <v>16877.330000000002</v>
          </cell>
          <cell r="G17">
            <v>9.5</v>
          </cell>
          <cell r="I17">
            <v>267.93</v>
          </cell>
          <cell r="K17">
            <v>17145.260000000002</v>
          </cell>
        </row>
        <row r="19">
          <cell r="A19" t="str">
            <v>Totals</v>
          </cell>
          <cell r="E19">
            <v>191110.03999999998</v>
          </cell>
          <cell r="I19">
            <v>31768.019999999997</v>
          </cell>
          <cell r="K19">
            <v>222878.06</v>
          </cell>
        </row>
        <row r="37">
          <cell r="A37" t="str">
            <v>(Subject to the comments in the attached</v>
          </cell>
        </row>
        <row r="38">
          <cell r="A38" t="str">
            <v>letter dated May 26, 2005 of Umbaugh.)</v>
          </cell>
        </row>
        <row r="40">
          <cell r="A40" t="str">
            <v>29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Trial Balance"/>
      <sheetName val="Trial Balance (2)"/>
      <sheetName val="Rev. Req. "/>
      <sheetName val="Rates "/>
      <sheetName val="comp"/>
      <sheetName val="Graph"/>
      <sheetName val="DEBT"/>
      <sheetName val="BAL"/>
      <sheetName val="Inc"/>
      <sheetName val="Scf"/>
      <sheetName val="Disb"/>
      <sheetName val="Min Bal "/>
      <sheetName val="----workpapers----"/>
      <sheetName val="COV"/>
      <sheetName val="Rate Comp"/>
      <sheetName val="UPIS"/>
      <sheetName val="Norm Rev"/>
      <sheetName val="PF COE"/>
      <sheetName val="Pres Prop Rt"/>
      <sheetName val="PSG Loan"/>
      <sheetName val="Rev Req I"/>
      <sheetName val="Cap Impr"/>
      <sheetName val="Comp Billings"/>
      <sheetName val="Add Pla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TERRE HAUTE (INDIANA) WASTEWATER UTILITY</v>
          </cell>
        </row>
        <row r="3">
          <cell r="A3" t="str">
            <v>COMPARATIVE STATEMENT OF DETAILED OPERATING EXPENSES</v>
          </cell>
        </row>
        <row r="4">
          <cell r="A4" t="str">
            <v>(Unaudited)</v>
          </cell>
        </row>
        <row r="7">
          <cell r="G7" t="str">
            <v>Calendar Year Ended</v>
          </cell>
        </row>
        <row r="8">
          <cell r="A8" t="str">
            <v xml:space="preserve"> </v>
          </cell>
          <cell r="G8">
            <v>37256</v>
          </cell>
          <cell r="I8">
            <v>37621</v>
          </cell>
        </row>
        <row r="10">
          <cell r="A10" t="str">
            <v>Operating Disbursements:</v>
          </cell>
        </row>
        <row r="11">
          <cell r="B11" t="str">
            <v>Collection System:</v>
          </cell>
        </row>
        <row r="12">
          <cell r="C12" t="str">
            <v>Salaries and wages</v>
          </cell>
          <cell r="G12">
            <v>398115</v>
          </cell>
          <cell r="I12">
            <v>422847</v>
          </cell>
        </row>
        <row r="13">
          <cell r="C13" t="str">
            <v>Employee pensions and benefits</v>
          </cell>
          <cell r="G13">
            <v>77519</v>
          </cell>
          <cell r="I13">
            <v>86669</v>
          </cell>
        </row>
        <row r="14">
          <cell r="C14" t="str">
            <v>Materials and supplies</v>
          </cell>
          <cell r="G14">
            <v>6426</v>
          </cell>
          <cell r="I14">
            <v>0</v>
          </cell>
        </row>
        <row r="15">
          <cell r="C15" t="str">
            <v>Other</v>
          </cell>
          <cell r="G15">
            <v>155099</v>
          </cell>
          <cell r="I15">
            <v>333290</v>
          </cell>
        </row>
        <row r="17">
          <cell r="D17" t="str">
            <v>Sub-totals</v>
          </cell>
          <cell r="G17">
            <v>637159</v>
          </cell>
          <cell r="I17">
            <v>842806</v>
          </cell>
        </row>
        <row r="19">
          <cell r="B19" t="str">
            <v>Treatment and Disposal:</v>
          </cell>
          <cell r="G19" t="str">
            <v xml:space="preserve"> </v>
          </cell>
        </row>
        <row r="20">
          <cell r="C20" t="str">
            <v>Salaries and wages</v>
          </cell>
          <cell r="G20">
            <v>954380</v>
          </cell>
          <cell r="I20">
            <v>994161</v>
          </cell>
        </row>
        <row r="21">
          <cell r="C21" t="str">
            <v>Employee pensions and benefits</v>
          </cell>
          <cell r="G21">
            <v>198736</v>
          </cell>
          <cell r="I21">
            <v>196940</v>
          </cell>
        </row>
        <row r="22">
          <cell r="C22" t="str">
            <v>Materials and supplies</v>
          </cell>
          <cell r="G22">
            <v>15623</v>
          </cell>
        </row>
        <row r="23">
          <cell r="C23" t="str">
            <v>Contractual services</v>
          </cell>
          <cell r="G23">
            <v>1631825</v>
          </cell>
          <cell r="I23">
            <v>1584302</v>
          </cell>
        </row>
        <row r="24">
          <cell r="C24" t="str">
            <v>Other</v>
          </cell>
          <cell r="G24">
            <v>8521</v>
          </cell>
          <cell r="I24">
            <v>78622</v>
          </cell>
        </row>
        <row r="25">
          <cell r="G25" t="str">
            <v xml:space="preserve"> </v>
          </cell>
        </row>
        <row r="26">
          <cell r="D26" t="str">
            <v>Sub-totals</v>
          </cell>
          <cell r="G26">
            <v>2809085</v>
          </cell>
          <cell r="I26">
            <v>2854025</v>
          </cell>
        </row>
        <row r="28">
          <cell r="B28" t="str">
            <v>Customer Accounts:</v>
          </cell>
          <cell r="G28" t="str">
            <v xml:space="preserve"> </v>
          </cell>
        </row>
        <row r="29">
          <cell r="C29" t="str">
            <v>Salaries and wages</v>
          </cell>
          <cell r="G29">
            <v>186712</v>
          </cell>
          <cell r="I29">
            <v>173123</v>
          </cell>
        </row>
        <row r="31">
          <cell r="B31" t="str">
            <v>Administrative and General:</v>
          </cell>
          <cell r="G31" t="str">
            <v xml:space="preserve"> </v>
          </cell>
        </row>
        <row r="32">
          <cell r="C32" t="str">
            <v>Salaries and wages</v>
          </cell>
          <cell r="G32">
            <v>67851</v>
          </cell>
          <cell r="I32">
            <v>70497</v>
          </cell>
        </row>
        <row r="33">
          <cell r="C33" t="str">
            <v>Employee pensions and benefits</v>
          </cell>
          <cell r="G33">
            <v>38720</v>
          </cell>
          <cell r="I33">
            <v>28222</v>
          </cell>
        </row>
        <row r="34">
          <cell r="C34" t="str">
            <v>Materials and supplies</v>
          </cell>
          <cell r="G34">
            <v>6648</v>
          </cell>
          <cell r="I34">
            <v>37268</v>
          </cell>
        </row>
        <row r="35">
          <cell r="C35" t="str">
            <v>Contractual services</v>
          </cell>
          <cell r="G35">
            <v>387323</v>
          </cell>
          <cell r="I35">
            <v>349146</v>
          </cell>
        </row>
        <row r="37">
          <cell r="D37" t="str">
            <v>Sub-totals</v>
          </cell>
          <cell r="G37">
            <v>500542</v>
          </cell>
          <cell r="I37">
            <v>485133</v>
          </cell>
        </row>
        <row r="39">
          <cell r="B39" t="str">
            <v>Other</v>
          </cell>
          <cell r="G39">
            <v>112055</v>
          </cell>
          <cell r="I39">
            <v>162283</v>
          </cell>
        </row>
        <row r="41">
          <cell r="C41" t="str">
            <v>Total Operating Disbursements</v>
          </cell>
          <cell r="G41">
            <v>4245553</v>
          </cell>
          <cell r="I41">
            <v>4517370</v>
          </cell>
        </row>
        <row r="44">
          <cell r="A44" t="str">
            <v>DRAFT</v>
          </cell>
        </row>
        <row r="45">
          <cell r="A45" t="str">
            <v>For Discussion Purposes Only</v>
          </cell>
        </row>
      </sheetData>
      <sheetData sheetId="12" refreshError="1"/>
      <sheetData sheetId="13" refreshError="1"/>
      <sheetData sheetId="14" refreshError="1"/>
      <sheetData sheetId="15" refreshError="1">
        <row r="8">
          <cell r="C8" t="str">
            <v>Cubic Ft.</v>
          </cell>
          <cell r="E8" t="str">
            <v>Terre Haute (1)</v>
          </cell>
          <cell r="G8" t="str">
            <v>Lafayette</v>
          </cell>
          <cell r="I8" t="str">
            <v>Kokomo</v>
          </cell>
          <cell r="K8" t="str">
            <v>Anderson</v>
          </cell>
          <cell r="M8" t="str">
            <v>Bloomington</v>
          </cell>
        </row>
        <row r="9">
          <cell r="E9" t="str">
            <v>(1991)</v>
          </cell>
          <cell r="G9">
            <v>-2001</v>
          </cell>
          <cell r="I9">
            <v>-1999</v>
          </cell>
          <cell r="K9" t="str">
            <v>(2002)</v>
          </cell>
          <cell r="M9" t="str">
            <v>(2000)</v>
          </cell>
        </row>
        <row r="11">
          <cell r="C11">
            <v>267</v>
          </cell>
          <cell r="E11">
            <v>3.75</v>
          </cell>
          <cell r="G11">
            <v>8.99</v>
          </cell>
          <cell r="I11">
            <v>8.32</v>
          </cell>
          <cell r="K11">
            <v>21.89</v>
          </cell>
          <cell r="M11">
            <v>10.71</v>
          </cell>
        </row>
        <row r="12">
          <cell r="C12">
            <v>400</v>
          </cell>
          <cell r="E12">
            <v>4.8</v>
          </cell>
          <cell r="G12">
            <v>12.26</v>
          </cell>
          <cell r="I12">
            <v>12.48</v>
          </cell>
          <cell r="K12">
            <v>21.89</v>
          </cell>
          <cell r="M12">
            <v>14.25</v>
          </cell>
        </row>
        <row r="13">
          <cell r="C13">
            <v>533</v>
          </cell>
          <cell r="E13">
            <v>6.4</v>
          </cell>
          <cell r="G13">
            <v>15.53</v>
          </cell>
          <cell r="I13">
            <v>16.64</v>
          </cell>
          <cell r="K13">
            <v>21.89</v>
          </cell>
          <cell r="M13">
            <v>17.79</v>
          </cell>
        </row>
        <row r="14">
          <cell r="C14">
            <v>667</v>
          </cell>
          <cell r="E14">
            <v>8</v>
          </cell>
          <cell r="G14">
            <v>18.8</v>
          </cell>
          <cell r="I14">
            <v>20.8</v>
          </cell>
          <cell r="K14">
            <v>28.66</v>
          </cell>
          <cell r="M14">
            <v>21.33</v>
          </cell>
        </row>
        <row r="15">
          <cell r="C15">
            <v>1333</v>
          </cell>
          <cell r="E15">
            <v>16</v>
          </cell>
          <cell r="G15">
            <v>35.15</v>
          </cell>
          <cell r="I15">
            <v>41.6</v>
          </cell>
          <cell r="K15">
            <v>55.92</v>
          </cell>
          <cell r="M15">
            <v>39.03</v>
          </cell>
        </row>
        <row r="16">
          <cell r="C16">
            <v>13333</v>
          </cell>
          <cell r="E16">
            <v>159.96</v>
          </cell>
          <cell r="G16">
            <v>329.45</v>
          </cell>
          <cell r="I16">
            <v>416</v>
          </cell>
          <cell r="K16">
            <v>546.69000000000005</v>
          </cell>
          <cell r="M16">
            <v>357.63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WTB"/>
      <sheetName val="Proj O&amp;M"/>
      <sheetName val="Proj O&amp;M adj"/>
      <sheetName val="RevReq"/>
      <sheetName val="Proj Cost"/>
      <sheetName val="PF COE"/>
      <sheetName val="Rev Req I"/>
      <sheetName val="Rev Req II"/>
      <sheetName val="Norm Rev"/>
      <sheetName val="Cap Impr"/>
      <sheetName val="Pres Prop Rt"/>
      <sheetName val="Comp Billings"/>
      <sheetName val="ST of NA"/>
      <sheetName val="Change in NA"/>
      <sheetName val="Detail Exp"/>
      <sheetName val="Detail Rev"/>
      <sheetName val="2001 Bonds"/>
      <sheetName val="1989 Bonds"/>
      <sheetName val="PSG Loan"/>
      <sheetName val="2005 Prop Bonds"/>
      <sheetName val="2005 Prop SRF"/>
      <sheetName val="Comb Bonds"/>
      <sheetName val="Add Plant"/>
      <sheetName val="CapImp"/>
      <sheetName val="ExpCapImp"/>
      <sheetName val="CapImp2"/>
      <sheetName val="CapImp3"/>
      <sheetName val="SNA"/>
      <sheetName val="CNA"/>
      <sheetName val="SCF"/>
      <sheetName val="MinBal"/>
      <sheetName val="2000 Bonds"/>
      <sheetName val="2002 Bonds"/>
      <sheetName val="Combined"/>
      <sheetName val="Rates"/>
      <sheetName val="UPIS"/>
      <sheetName val="Comparison"/>
      <sheetName val="Payroll TY"/>
      <sheetName val="Proj Pay"/>
      <sheetName val="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BOONVILLE (INDIANA) MUNICIPAL WATER UTILITY</v>
          </cell>
        </row>
        <row r="3">
          <cell r="A3" t="str">
            <v>PRO FORMA ANNUAL CASH OPERATING EXPENSES</v>
          </cell>
        </row>
        <row r="4">
          <cell r="A4" t="str">
            <v>See Explanation of Adjustments, pages 3 to 11.</v>
          </cell>
        </row>
        <row r="5">
          <cell r="A5" t="str">
            <v>No inflation adjustment made.</v>
          </cell>
        </row>
        <row r="8">
          <cell r="A8" t="str">
            <v>Cash operating expenses for the 12 months</v>
          </cell>
        </row>
        <row r="9">
          <cell r="A9" t="str">
            <v xml:space="preserve">   ended June 30, 2004 (unaudited)</v>
          </cell>
          <cell r="L9">
            <v>1284092</v>
          </cell>
        </row>
        <row r="13">
          <cell r="A13" t="str">
            <v>Adjustments:</v>
          </cell>
        </row>
        <row r="15">
          <cell r="A15">
            <v>-1</v>
          </cell>
          <cell r="C15" t="str">
            <v>Payroll</v>
          </cell>
          <cell r="J15">
            <v>-63226</v>
          </cell>
        </row>
        <row r="16">
          <cell r="A16">
            <v>-2</v>
          </cell>
          <cell r="C16" t="str">
            <v>FICA</v>
          </cell>
          <cell r="J16">
            <v>168</v>
          </cell>
        </row>
        <row r="17">
          <cell r="A17">
            <v>-3</v>
          </cell>
          <cell r="C17" t="str">
            <v>Pension expense</v>
          </cell>
          <cell r="J17">
            <v>69</v>
          </cell>
        </row>
        <row r="18">
          <cell r="A18">
            <v>-4</v>
          </cell>
          <cell r="C18" t="str">
            <v>Health insurance</v>
          </cell>
          <cell r="J18">
            <v>2428</v>
          </cell>
        </row>
        <row r="19">
          <cell r="A19">
            <v>-5</v>
          </cell>
          <cell r="C19" t="str">
            <v>Life insurance</v>
          </cell>
          <cell r="J19">
            <v>12</v>
          </cell>
        </row>
        <row r="20">
          <cell r="A20">
            <v>-6</v>
          </cell>
          <cell r="C20" t="str">
            <v>Retirees insurance</v>
          </cell>
          <cell r="J20">
            <v>1242</v>
          </cell>
        </row>
        <row r="21">
          <cell r="A21">
            <v>-7</v>
          </cell>
          <cell r="C21" t="str">
            <v>Non-recurring or capital expenses</v>
          </cell>
          <cell r="J21">
            <v>-25473</v>
          </cell>
        </row>
        <row r="22">
          <cell r="A22">
            <v>-8</v>
          </cell>
          <cell r="C22" t="str">
            <v>Contractual services-US Filter</v>
          </cell>
          <cell r="J22">
            <v>6624.0149999999994</v>
          </cell>
        </row>
        <row r="23">
          <cell r="A23">
            <v>-9</v>
          </cell>
          <cell r="C23" t="str">
            <v>Contractual services-non-recurring or capital expenses</v>
          </cell>
          <cell r="J23">
            <v>-21104.080000000002</v>
          </cell>
        </row>
        <row r="24">
          <cell r="A24">
            <v>-10</v>
          </cell>
          <cell r="C24" t="str">
            <v>Rate case expense</v>
          </cell>
          <cell r="J24">
            <v>4750</v>
          </cell>
        </row>
        <row r="25">
          <cell r="A25">
            <v>-11</v>
          </cell>
          <cell r="C25" t="str">
            <v>Periodic maintenance</v>
          </cell>
          <cell r="J25">
            <v>44747.4</v>
          </cell>
        </row>
        <row r="26">
          <cell r="A26">
            <v>-12</v>
          </cell>
          <cell r="C26" t="str">
            <v>Customer growth</v>
          </cell>
          <cell r="J26">
            <v>0</v>
          </cell>
        </row>
        <row r="27">
          <cell r="A27">
            <v>-13</v>
          </cell>
          <cell r="C27" t="str">
            <v>Telephone expense</v>
          </cell>
          <cell r="J27">
            <v>208</v>
          </cell>
        </row>
        <row r="28">
          <cell r="A28">
            <v>-14</v>
          </cell>
          <cell r="C28" t="str">
            <v>General liability insurance</v>
          </cell>
          <cell r="J28">
            <v>668</v>
          </cell>
        </row>
        <row r="29">
          <cell r="A29">
            <v>-15</v>
          </cell>
          <cell r="C29" t="str">
            <v>Property and equipment insurance</v>
          </cell>
          <cell r="J29">
            <v>2480</v>
          </cell>
        </row>
        <row r="30">
          <cell r="A30">
            <v>-16</v>
          </cell>
          <cell r="C30" t="str">
            <v>Public officials insurance</v>
          </cell>
          <cell r="J30">
            <v>1100</v>
          </cell>
        </row>
        <row r="31">
          <cell r="A31">
            <v>-17</v>
          </cell>
          <cell r="C31" t="str">
            <v>Absorption costs</v>
          </cell>
          <cell r="J31">
            <v>17362</v>
          </cell>
        </row>
        <row r="32">
          <cell r="A32">
            <v>-18</v>
          </cell>
          <cell r="C32" t="str">
            <v>Payment in lieu of taxes</v>
          </cell>
          <cell r="J32">
            <v>59538</v>
          </cell>
        </row>
        <row r="33">
          <cell r="A33">
            <v>-19</v>
          </cell>
          <cell r="C33" t="str">
            <v>Gross income tax</v>
          </cell>
          <cell r="J33">
            <v>7488</v>
          </cell>
        </row>
        <row r="35">
          <cell r="E35" t="str">
            <v>Sub-total</v>
          </cell>
          <cell r="L35">
            <v>39081.334999999999</v>
          </cell>
        </row>
        <row r="37">
          <cell r="E37" t="str">
            <v>Pro Forma Annual Cash Operating Expenses</v>
          </cell>
          <cell r="L37">
            <v>1323173.335</v>
          </cell>
        </row>
        <row r="56">
          <cell r="A56" t="str">
            <v>(Continued on next page)</v>
          </cell>
        </row>
        <row r="58">
          <cell r="A58" t="str">
            <v>(Subject to the comments in the attached</v>
          </cell>
        </row>
        <row r="59">
          <cell r="A59" t="str">
            <v>letter dated May 26, 2005 of Umbaugh.)</v>
          </cell>
        </row>
        <row r="61">
          <cell r="A61" t="str">
            <v>2</v>
          </cell>
        </row>
        <row r="62">
          <cell r="A62" t="str">
            <v>BOONVILLE (INDIANA) MUNICIPAL WATER UTILITY</v>
          </cell>
        </row>
        <row r="63">
          <cell r="L63" t="str">
            <v>(Cont'd)</v>
          </cell>
        </row>
        <row r="64">
          <cell r="A64" t="str">
            <v>PRO FORMA ANNUAL CASH OPERATING EXPENSES</v>
          </cell>
        </row>
        <row r="65">
          <cell r="A65" t="str">
            <v>Explanation of adjustments</v>
          </cell>
        </row>
        <row r="66">
          <cell r="A66" t="str">
            <v>No inflation adjustment made.</v>
          </cell>
        </row>
        <row r="69">
          <cell r="A69" t="str">
            <v>Adjustment (1)</v>
          </cell>
        </row>
        <row r="71">
          <cell r="A71" t="str">
            <v xml:space="preserve">To adjust test year payroll expense to reflect pro forma salaries and wages, </v>
          </cell>
        </row>
        <row r="72">
          <cell r="A72" t="str">
            <v>(based on 2003 salary ordinance ).</v>
          </cell>
        </row>
        <row r="75">
          <cell r="C75" t="str">
            <v>Pro forma payroll</v>
          </cell>
          <cell r="L75">
            <v>59359.32</v>
          </cell>
        </row>
        <row r="76">
          <cell r="C76" t="str">
            <v>Less test year amount</v>
          </cell>
          <cell r="L76">
            <v>-122585</v>
          </cell>
        </row>
        <row r="78">
          <cell r="E78" t="str">
            <v>Adjustment</v>
          </cell>
          <cell r="L78">
            <v>-63226</v>
          </cell>
        </row>
        <row r="80">
          <cell r="A80" t="str">
            <v>Adjustment (2)</v>
          </cell>
        </row>
        <row r="82">
          <cell r="A82" t="str">
            <v>To adjust test year FICA expense to reflect pro forma payroll.</v>
          </cell>
        </row>
        <row r="84">
          <cell r="C84" t="str">
            <v>Pro forma payroll subject to FICA</v>
          </cell>
          <cell r="L84">
            <v>59359.32</v>
          </cell>
        </row>
        <row r="85">
          <cell r="C85" t="str">
            <v>Times FICA rate</v>
          </cell>
          <cell r="L85">
            <v>7.6499999999999999E-2</v>
          </cell>
        </row>
        <row r="87">
          <cell r="C87" t="str">
            <v>Pro forma FICA expense</v>
          </cell>
          <cell r="L87">
            <v>4541</v>
          </cell>
        </row>
        <row r="88">
          <cell r="C88" t="str">
            <v>Less test year amount</v>
          </cell>
          <cell r="L88">
            <v>-4373</v>
          </cell>
        </row>
        <row r="90">
          <cell r="E90" t="str">
            <v>Adjustment</v>
          </cell>
          <cell r="L90">
            <v>168</v>
          </cell>
        </row>
        <row r="92">
          <cell r="A92" t="str">
            <v>Adjustment (3)</v>
          </cell>
        </row>
        <row r="94">
          <cell r="A94" t="str">
            <v>To adjust test year PERF expense to reflect the pro forma payroll and 2001 PERF rate.</v>
          </cell>
        </row>
        <row r="96">
          <cell r="C96" t="str">
            <v>Pro forma payroll subject to PERF</v>
          </cell>
          <cell r="L96">
            <v>59359.32</v>
          </cell>
        </row>
        <row r="97">
          <cell r="C97" t="str">
            <v xml:space="preserve">Times PERF rate </v>
          </cell>
          <cell r="L97">
            <v>0.03</v>
          </cell>
        </row>
        <row r="99">
          <cell r="C99" t="str">
            <v>Pro forma PERF expense</v>
          </cell>
          <cell r="L99">
            <v>1781</v>
          </cell>
        </row>
        <row r="100">
          <cell r="C100" t="str">
            <v>Less test year expense</v>
          </cell>
          <cell r="L100">
            <v>-1712</v>
          </cell>
        </row>
        <row r="102">
          <cell r="E102" t="str">
            <v>Adjustment</v>
          </cell>
          <cell r="L102">
            <v>69</v>
          </cell>
        </row>
        <row r="117">
          <cell r="A117" t="str">
            <v>(Continued on next page)</v>
          </cell>
        </row>
        <row r="119">
          <cell r="A119" t="str">
            <v>(Subject to the comments in the attached</v>
          </cell>
        </row>
        <row r="120">
          <cell r="A120" t="str">
            <v>letter dated May 26, 2005 of Umbaugh.)</v>
          </cell>
        </row>
        <row r="122">
          <cell r="A122" t="str">
            <v>3</v>
          </cell>
        </row>
        <row r="123">
          <cell r="A123" t="str">
            <v>BOONVILLE (INDIANA) MUNICIPAL WATER UTILITY</v>
          </cell>
        </row>
        <row r="124">
          <cell r="L124" t="str">
            <v>(Cont'd)</v>
          </cell>
        </row>
        <row r="125">
          <cell r="A125" t="str">
            <v>PRO FORMA ANNUAL CASH OPERATING EXPENSES</v>
          </cell>
        </row>
        <row r="126">
          <cell r="A126" t="str">
            <v>Explanation of adjustments</v>
          </cell>
        </row>
        <row r="127">
          <cell r="A127" t="str">
            <v>No inflation adjustment made.</v>
          </cell>
        </row>
        <row r="130">
          <cell r="A130" t="str">
            <v xml:space="preserve">Adjustment (4) </v>
          </cell>
        </row>
        <row r="132">
          <cell r="A132" t="str">
            <v>To adjust test year health insurance expense to reflect the most current monthly premiums.</v>
          </cell>
        </row>
        <row r="134">
          <cell r="C134" t="str">
            <v>Pro forma health insurance expense</v>
          </cell>
          <cell r="L134">
            <v>21006</v>
          </cell>
        </row>
        <row r="135">
          <cell r="C135" t="str">
            <v>Less test year expense</v>
          </cell>
          <cell r="L135">
            <v>-18578</v>
          </cell>
        </row>
        <row r="137">
          <cell r="E137" t="str">
            <v>Adjustment</v>
          </cell>
          <cell r="L137">
            <v>2428</v>
          </cell>
        </row>
        <row r="139">
          <cell r="A139" t="str">
            <v xml:space="preserve">Adjustment (5) </v>
          </cell>
        </row>
        <row r="141">
          <cell r="A141" t="str">
            <v>To adjust test year life insurance expense to reflect the most current monthly premiums.</v>
          </cell>
        </row>
        <row r="143">
          <cell r="C143" t="str">
            <v>Pro forma life insurance expense</v>
          </cell>
          <cell r="L143">
            <v>269</v>
          </cell>
        </row>
        <row r="144">
          <cell r="C144" t="str">
            <v>Less test year expense</v>
          </cell>
          <cell r="L144">
            <v>-257</v>
          </cell>
        </row>
        <row r="146">
          <cell r="E146" t="str">
            <v>Adjustment</v>
          </cell>
          <cell r="L146">
            <v>12</v>
          </cell>
        </row>
        <row r="148">
          <cell r="A148" t="str">
            <v xml:space="preserve">Adjustment (6) </v>
          </cell>
        </row>
        <row r="150">
          <cell r="A150" t="str">
            <v>To adjust test year retirees insurance expense to reflect the most current monthly premiums.</v>
          </cell>
        </row>
        <row r="152">
          <cell r="C152" t="str">
            <v>Pro forma retirees insurance expense</v>
          </cell>
          <cell r="L152">
            <v>9043</v>
          </cell>
        </row>
        <row r="153">
          <cell r="C153" t="str">
            <v>Less test year expense</v>
          </cell>
          <cell r="L153">
            <v>-7801</v>
          </cell>
        </row>
        <row r="155">
          <cell r="E155" t="str">
            <v>Adjustment</v>
          </cell>
          <cell r="L155">
            <v>1242</v>
          </cell>
        </row>
        <row r="157">
          <cell r="A157" t="str">
            <v>Adjustment (7)</v>
          </cell>
        </row>
        <row r="159">
          <cell r="A159" t="str">
            <v xml:space="preserve">To eliminate test year expenses that are considered non-recurring or capital </v>
          </cell>
        </row>
        <row r="160">
          <cell r="A160" t="str">
            <v>expenditures.</v>
          </cell>
        </row>
        <row r="162">
          <cell r="E162" t="str">
            <v>Date</v>
          </cell>
          <cell r="G162" t="str">
            <v>Vendor</v>
          </cell>
          <cell r="I162" t="str">
            <v>Description</v>
          </cell>
          <cell r="L162" t="str">
            <v>Amount</v>
          </cell>
        </row>
        <row r="164">
          <cell r="E164" t="str">
            <v>September, 2003</v>
          </cell>
          <cell r="G164" t="str">
            <v>Tri-State Fence Co.</v>
          </cell>
          <cell r="I164" t="str">
            <v>Chain Link Fence, Iron pond</v>
          </cell>
          <cell r="L164">
            <v>-6547</v>
          </cell>
        </row>
        <row r="165">
          <cell r="E165" t="str">
            <v>November, 2003</v>
          </cell>
          <cell r="G165" t="str">
            <v>Infrasturcture systems, Inc.</v>
          </cell>
          <cell r="L165">
            <v>-6190</v>
          </cell>
        </row>
        <row r="166">
          <cell r="E166" t="str">
            <v>June, 2004</v>
          </cell>
          <cell r="G166" t="str">
            <v>Reynolds, Inc.</v>
          </cell>
          <cell r="I166" t="str">
            <v>New Filter &amp; Rehab</v>
          </cell>
          <cell r="L166">
            <v>-19283</v>
          </cell>
        </row>
        <row r="168">
          <cell r="E168" t="str">
            <v>Adjustment</v>
          </cell>
          <cell r="L168">
            <v>-25473</v>
          </cell>
        </row>
        <row r="177">
          <cell r="A177" t="str">
            <v>(Continued on next page)</v>
          </cell>
        </row>
        <row r="179">
          <cell r="A179" t="str">
            <v>(Subject to the comments in the attached</v>
          </cell>
        </row>
        <row r="180">
          <cell r="A180" t="str">
            <v>letter dated May 26, 2005 of Umbaugh.)</v>
          </cell>
        </row>
        <row r="182">
          <cell r="A182" t="str">
            <v>4</v>
          </cell>
        </row>
        <row r="183">
          <cell r="A183" t="str">
            <v>BOONVILLE (INDIANA) MUNICIPAL WATER UTILITY</v>
          </cell>
        </row>
        <row r="184">
          <cell r="L184" t="str">
            <v>(Cont'd)</v>
          </cell>
        </row>
        <row r="185">
          <cell r="A185" t="str">
            <v>PRO FORMA ANNUAL CASH OPERATING EXPENSES</v>
          </cell>
        </row>
        <row r="186">
          <cell r="A186" t="str">
            <v>Explanation of adjustments</v>
          </cell>
        </row>
        <row r="187">
          <cell r="A187" t="str">
            <v>No inflation adjustment made.</v>
          </cell>
        </row>
        <row r="190">
          <cell r="A190" t="str">
            <v>Adjustment (8)</v>
          </cell>
        </row>
        <row r="192">
          <cell r="A192" t="str">
            <v>To adjust test year contractual services expense to US Filter to reflect an increase of 1.5%.</v>
          </cell>
        </row>
        <row r="194">
          <cell r="C194" t="str">
            <v>Pro forma US Filter contract</v>
          </cell>
          <cell r="L194">
            <v>441601</v>
          </cell>
        </row>
        <row r="195">
          <cell r="C195" t="str">
            <v>Times 1.5% increase</v>
          </cell>
          <cell r="L195">
            <v>1.4999999999999999E-2</v>
          </cell>
        </row>
        <row r="197">
          <cell r="E197" t="str">
            <v>Adjustment</v>
          </cell>
          <cell r="L197">
            <v>6624.0149999999994</v>
          </cell>
        </row>
        <row r="199">
          <cell r="A199" t="str">
            <v>Adjustment (9)</v>
          </cell>
        </row>
        <row r="201">
          <cell r="A201" t="str">
            <v>To adjust test year contractual services-management fee for those expenditures</v>
          </cell>
        </row>
        <row r="202">
          <cell r="A202" t="str">
            <v>considered capital or non-recurring.</v>
          </cell>
        </row>
        <row r="204">
          <cell r="E204" t="str">
            <v>Date</v>
          </cell>
          <cell r="G204" t="str">
            <v>Vendor</v>
          </cell>
          <cell r="L204" t="str">
            <v xml:space="preserve"> </v>
          </cell>
        </row>
        <row r="205">
          <cell r="C205" t="str">
            <v xml:space="preserve"> </v>
          </cell>
          <cell r="L205" t="str">
            <v xml:space="preserve"> </v>
          </cell>
        </row>
        <row r="206">
          <cell r="E206" t="str">
            <v>September, 2003</v>
          </cell>
          <cell r="G206" t="str">
            <v>Keystone Consulting</v>
          </cell>
          <cell r="L206">
            <v>-1757</v>
          </cell>
        </row>
        <row r="207">
          <cell r="E207" t="str">
            <v>October, 2003</v>
          </cell>
          <cell r="G207" t="str">
            <v>Midwestern Engineers, Inc.</v>
          </cell>
          <cell r="L207">
            <v>-1908</v>
          </cell>
        </row>
        <row r="208">
          <cell r="E208" t="str">
            <v>October, 2003</v>
          </cell>
          <cell r="G208" t="str">
            <v>Reynolds, Inc.</v>
          </cell>
          <cell r="L208">
            <v>-1200</v>
          </cell>
        </row>
        <row r="209">
          <cell r="E209" t="str">
            <v>February, 2004</v>
          </cell>
          <cell r="G209" t="str">
            <v>Midwestern Engineers, Inc.</v>
          </cell>
          <cell r="L209">
            <v>-14119.08</v>
          </cell>
        </row>
        <row r="210">
          <cell r="E210" t="str">
            <v>March, 2004</v>
          </cell>
          <cell r="G210" t="str">
            <v>Midwestern Engineers, Inc.</v>
          </cell>
          <cell r="L210">
            <v>-500</v>
          </cell>
        </row>
        <row r="211">
          <cell r="E211" t="str">
            <v>April, 2004</v>
          </cell>
          <cell r="G211" t="str">
            <v>Midwestern Engineers, Inc.</v>
          </cell>
          <cell r="L211">
            <v>-1620</v>
          </cell>
        </row>
        <row r="212">
          <cell r="C212" t="str">
            <v xml:space="preserve">    </v>
          </cell>
        </row>
        <row r="213">
          <cell r="E213" t="str">
            <v>Adjustment</v>
          </cell>
          <cell r="L213">
            <v>-21104.080000000002</v>
          </cell>
        </row>
        <row r="215">
          <cell r="A215" t="str">
            <v xml:space="preserve">Adjustment (10) </v>
          </cell>
        </row>
        <row r="217">
          <cell r="A217" t="str">
            <v>To adjust for rate case expense amortized over a five year period.</v>
          </cell>
        </row>
        <row r="219">
          <cell r="C219" t="str">
            <v>Pro forma rate case expense</v>
          </cell>
          <cell r="L219">
            <v>25000</v>
          </cell>
        </row>
        <row r="220">
          <cell r="C220" t="str">
            <v>Amortize over 5 years</v>
          </cell>
          <cell r="L220">
            <v>5</v>
          </cell>
        </row>
        <row r="222">
          <cell r="C222" t="str">
            <v>Annual expense</v>
          </cell>
          <cell r="L222">
            <v>5000</v>
          </cell>
        </row>
        <row r="223">
          <cell r="C223" t="str">
            <v>Less test year expense</v>
          </cell>
          <cell r="L223">
            <v>-250</v>
          </cell>
        </row>
        <row r="225">
          <cell r="E225" t="str">
            <v>Adjustment</v>
          </cell>
          <cell r="L225">
            <v>4750</v>
          </cell>
        </row>
        <row r="233">
          <cell r="A233" t="str">
            <v>(Continued on next page)</v>
          </cell>
        </row>
        <row r="235">
          <cell r="A235" t="str">
            <v>(Subject to the comments in the attached</v>
          </cell>
        </row>
        <row r="236">
          <cell r="A236" t="str">
            <v>letter dated May 26, 2005 of Umbaugh.)</v>
          </cell>
        </row>
        <row r="238">
          <cell r="A238" t="str">
            <v>5</v>
          </cell>
        </row>
        <row r="239">
          <cell r="A239" t="str">
            <v>BOONVILLE (INDIANA) MUNICIPAL WATER UTILITY</v>
          </cell>
        </row>
        <row r="240">
          <cell r="L240" t="str">
            <v>(Cont'd)</v>
          </cell>
        </row>
        <row r="241">
          <cell r="A241" t="str">
            <v>PRO FORMA ANNUAL CASH OPERATING EXPENSES</v>
          </cell>
        </row>
        <row r="242">
          <cell r="A242" t="str">
            <v>Explanation of adjustments</v>
          </cell>
        </row>
        <row r="243">
          <cell r="A243" t="str">
            <v>No inflation adjustment made.</v>
          </cell>
        </row>
        <row r="246">
          <cell r="A246" t="str">
            <v xml:space="preserve">Adjustment (11) </v>
          </cell>
        </row>
        <row r="248">
          <cell r="A248" t="str">
            <v>To adjust test year expenses to reflect pro forma annual periodic maintenance expenses,</v>
          </cell>
        </row>
        <row r="249">
          <cell r="A249" t="str">
            <v>as determined by the utility manager.</v>
          </cell>
        </row>
        <row r="251">
          <cell r="A251" t="str">
            <v>A.</v>
          </cell>
          <cell r="C251" t="str">
            <v>Tank Maintenance:</v>
          </cell>
        </row>
        <row r="252">
          <cell r="C252" t="str">
            <v xml:space="preserve">   Elevated tanks (500 MG) (2 @ $97,498)</v>
          </cell>
          <cell r="J252">
            <v>194996</v>
          </cell>
        </row>
        <row r="253">
          <cell r="C253" t="str">
            <v xml:space="preserve">   Ground level tank (1.6 MG)</v>
          </cell>
          <cell r="J253">
            <v>12000</v>
          </cell>
        </row>
        <row r="254">
          <cell r="C254" t="str">
            <v xml:space="preserve">   Ground level tank (500 MG)</v>
          </cell>
          <cell r="J254">
            <v>9250</v>
          </cell>
        </row>
        <row r="256">
          <cell r="C256" t="str">
            <v xml:space="preserve">        Total</v>
          </cell>
          <cell r="J256">
            <v>216246</v>
          </cell>
        </row>
        <row r="257">
          <cell r="C257" t="str">
            <v xml:space="preserve">   Amortize over fifteen years</v>
          </cell>
          <cell r="J257">
            <v>15</v>
          </cell>
        </row>
        <row r="259">
          <cell r="C259" t="str">
            <v xml:space="preserve">        Sub-total</v>
          </cell>
          <cell r="L259">
            <v>14416.4</v>
          </cell>
        </row>
        <row r="261">
          <cell r="A261" t="str">
            <v>B.</v>
          </cell>
          <cell r="C261" t="str">
            <v>Wells:</v>
          </cell>
        </row>
        <row r="262">
          <cell r="C262" t="str">
            <v xml:space="preserve">   Well cleaning (6 wells @ $9,350)</v>
          </cell>
          <cell r="J262">
            <v>56100</v>
          </cell>
        </row>
        <row r="263">
          <cell r="C263" t="str">
            <v xml:space="preserve">   Amortize over 3 years</v>
          </cell>
          <cell r="J263">
            <v>3</v>
          </cell>
        </row>
        <row r="265">
          <cell r="C265" t="str">
            <v xml:space="preserve">        Sub-total</v>
          </cell>
          <cell r="L265">
            <v>18700</v>
          </cell>
        </row>
        <row r="267">
          <cell r="A267" t="str">
            <v>C.</v>
          </cell>
          <cell r="C267" t="str">
            <v>Clear Wells:</v>
          </cell>
        </row>
        <row r="268">
          <cell r="C268" t="str">
            <v xml:space="preserve">   Well cleaning (2 clear wells @ $10,000)</v>
          </cell>
          <cell r="J268">
            <v>20000</v>
          </cell>
        </row>
        <row r="269">
          <cell r="C269" t="str">
            <v xml:space="preserve">   Amortized over 5 years</v>
          </cell>
          <cell r="J269">
            <v>5</v>
          </cell>
        </row>
        <row r="271">
          <cell r="C271" t="str">
            <v xml:space="preserve">        Sub-total</v>
          </cell>
          <cell r="L271">
            <v>4000</v>
          </cell>
        </row>
        <row r="273">
          <cell r="A273" t="str">
            <v>D.</v>
          </cell>
          <cell r="C273" t="str">
            <v>Filters:</v>
          </cell>
        </row>
        <row r="274">
          <cell r="C274" t="str">
            <v xml:space="preserve">   Cost of overhauling filters (6 filters @ $10,000)</v>
          </cell>
          <cell r="J274">
            <v>60000</v>
          </cell>
        </row>
        <row r="275">
          <cell r="C275" t="str">
            <v xml:space="preserve">   Amortize over ten years</v>
          </cell>
          <cell r="J275">
            <v>10</v>
          </cell>
        </row>
        <row r="277">
          <cell r="C277" t="str">
            <v xml:space="preserve">        Sub-total</v>
          </cell>
          <cell r="L277">
            <v>6000</v>
          </cell>
        </row>
        <row r="279">
          <cell r="A279" t="str">
            <v>E.</v>
          </cell>
          <cell r="C279" t="str">
            <v>Pumping:</v>
          </cell>
        </row>
        <row r="280">
          <cell r="C280" t="str">
            <v xml:space="preserve">   High service booster pump maintenance (2 pumps @ $4,000)</v>
          </cell>
          <cell r="J280">
            <v>8000</v>
          </cell>
        </row>
        <row r="281">
          <cell r="C281" t="str">
            <v xml:space="preserve">   Raw booster pump maintenance (2 pumps @ $4,000)</v>
          </cell>
          <cell r="J281">
            <v>8000</v>
          </cell>
        </row>
        <row r="282">
          <cell r="C282" t="str">
            <v xml:space="preserve">   EBY booster pump maintenance (2 pumps @ $4,000)</v>
          </cell>
          <cell r="J282">
            <v>8000</v>
          </cell>
        </row>
        <row r="284">
          <cell r="C284" t="str">
            <v xml:space="preserve">        Total</v>
          </cell>
          <cell r="J284">
            <v>24000</v>
          </cell>
        </row>
        <row r="285">
          <cell r="C285" t="str">
            <v xml:space="preserve">   Amortize over ten years</v>
          </cell>
          <cell r="J285">
            <v>10</v>
          </cell>
        </row>
        <row r="287">
          <cell r="C287" t="str">
            <v xml:space="preserve">        Sub-total</v>
          </cell>
          <cell r="L287">
            <v>2400</v>
          </cell>
        </row>
        <row r="289">
          <cell r="C289" t="str">
            <v>Pro forma annual periodic maintenance expense</v>
          </cell>
          <cell r="L289">
            <v>45516.4</v>
          </cell>
        </row>
        <row r="290">
          <cell r="C290" t="str">
            <v>Less test year periodic maintenance expense</v>
          </cell>
          <cell r="L290">
            <v>-769</v>
          </cell>
        </row>
        <row r="292">
          <cell r="E292" t="str">
            <v>Adjustment</v>
          </cell>
          <cell r="L292">
            <v>44747.4</v>
          </cell>
        </row>
        <row r="294">
          <cell r="A294" t="str">
            <v>(Continued on next page)</v>
          </cell>
        </row>
        <row r="296">
          <cell r="A296" t="str">
            <v>(Subject to the comments in the attached</v>
          </cell>
        </row>
        <row r="297">
          <cell r="A297" t="str">
            <v>letter dated May 26, 2005 of Umbaugh.)</v>
          </cell>
        </row>
        <row r="299">
          <cell r="A299" t="str">
            <v>6</v>
          </cell>
        </row>
        <row r="300">
          <cell r="A300" t="str">
            <v>BOONVILLE (INDIANA) MUNICIPAL WATER UTILITY</v>
          </cell>
        </row>
        <row r="301">
          <cell r="L301" t="str">
            <v>(Cont'd)</v>
          </cell>
        </row>
        <row r="302">
          <cell r="A302" t="str">
            <v>PRO FORMA ANNUAL CASH OPERATING EXPENSES</v>
          </cell>
        </row>
        <row r="303">
          <cell r="A303" t="str">
            <v>Explanation of adjustments</v>
          </cell>
        </row>
        <row r="304">
          <cell r="A304" t="str">
            <v>No inflation adjustment made.</v>
          </cell>
        </row>
        <row r="307">
          <cell r="A307" t="str">
            <v>Adjustment (12)</v>
          </cell>
        </row>
        <row r="309">
          <cell r="A309" t="str">
            <v>To adjust test year expenses to normalize for the pro forma effects of users</v>
          </cell>
        </row>
        <row r="310">
          <cell r="A310" t="str">
            <v>added to the system during the test year.</v>
          </cell>
        </row>
        <row r="312">
          <cell r="A312" t="str">
            <v>(A)</v>
          </cell>
          <cell r="C312" t="str">
            <v>Pro forma annual increase in residential gallons sold due</v>
          </cell>
        </row>
        <row r="313">
          <cell r="C313" t="str">
            <v>to new users (78 monthly bills at 4,800 gallons</v>
          </cell>
        </row>
        <row r="314">
          <cell r="C314" t="str">
            <v>per month, see page 14)</v>
          </cell>
          <cell r="J314">
            <v>3549</v>
          </cell>
          <cell r="L314" t="str">
            <v>/100 gallons</v>
          </cell>
        </row>
        <row r="315">
          <cell r="C315" t="str">
            <v>Pro forma annual increase in commercial gallons sold due</v>
          </cell>
        </row>
        <row r="316">
          <cell r="C316" t="str">
            <v>to new users (10 monthly bills at 19,900 gallons</v>
          </cell>
        </row>
        <row r="317">
          <cell r="C317" t="str">
            <v>per month, see page 15)</v>
          </cell>
          <cell r="J317">
            <v>1716</v>
          </cell>
          <cell r="L317" t="str">
            <v>/100 gallons</v>
          </cell>
        </row>
        <row r="319">
          <cell r="C319" t="str">
            <v>Sub-total</v>
          </cell>
          <cell r="J319">
            <v>5265</v>
          </cell>
        </row>
        <row r="320">
          <cell r="C320" t="str">
            <v>Divide by test year billed flow to residential</v>
          </cell>
        </row>
        <row r="321">
          <cell r="C321" t="str">
            <v xml:space="preserve">  and commercial customers</v>
          </cell>
          <cell r="J321">
            <v>2707960</v>
          </cell>
        </row>
        <row r="323">
          <cell r="C323" t="str">
            <v xml:space="preserve">     Percentage increase</v>
          </cell>
          <cell r="J323">
            <v>0</v>
          </cell>
        </row>
        <row r="326">
          <cell r="H326" t="str">
            <v>Test Year</v>
          </cell>
          <cell r="J326" t="str">
            <v>Percentage</v>
          </cell>
        </row>
        <row r="327">
          <cell r="H327" t="str">
            <v>Expense</v>
          </cell>
          <cell r="J327" t="str">
            <v>Increase</v>
          </cell>
          <cell r="L327" t="str">
            <v>Adjustment</v>
          </cell>
        </row>
        <row r="328">
          <cell r="J328" t="str">
            <v>(%)</v>
          </cell>
        </row>
        <row r="330">
          <cell r="A330" t="str">
            <v>(A)</v>
          </cell>
          <cell r="C330" t="str">
            <v>Purchased power-source of supply</v>
          </cell>
          <cell r="H330">
            <v>43996</v>
          </cell>
          <cell r="J330">
            <v>0</v>
          </cell>
          <cell r="L330">
            <v>0</v>
          </cell>
        </row>
        <row r="331">
          <cell r="A331" t="str">
            <v>(A)</v>
          </cell>
          <cell r="C331" t="str">
            <v>Purchased power-treatment</v>
          </cell>
          <cell r="H331">
            <v>99872</v>
          </cell>
          <cell r="J331">
            <v>0</v>
          </cell>
          <cell r="L331">
            <v>0</v>
          </cell>
        </row>
        <row r="333">
          <cell r="E333" t="str">
            <v>Adjustment</v>
          </cell>
          <cell r="L333">
            <v>0</v>
          </cell>
        </row>
        <row r="355">
          <cell r="A355" t="str">
            <v>(Continued on next page)</v>
          </cell>
        </row>
        <row r="357">
          <cell r="A357" t="str">
            <v>(Subject to the comments in the attached</v>
          </cell>
        </row>
        <row r="358">
          <cell r="A358" t="str">
            <v>letter dated May 26, 2005 of Umbaugh.)</v>
          </cell>
        </row>
        <row r="360">
          <cell r="A360" t="str">
            <v>7</v>
          </cell>
        </row>
        <row r="361">
          <cell r="A361" t="str">
            <v>BOONVILLE (INDIANA) MUNICIPAL WATER UTILITY</v>
          </cell>
        </row>
        <row r="362">
          <cell r="L362" t="str">
            <v>(Cont'd)</v>
          </cell>
        </row>
        <row r="363">
          <cell r="A363" t="str">
            <v>PRO FORMA ANNUAL CASH OPERATING EXPENSES</v>
          </cell>
        </row>
        <row r="364">
          <cell r="A364" t="str">
            <v>Explanation of adjustments</v>
          </cell>
        </row>
        <row r="365">
          <cell r="A365" t="str">
            <v>No inflation adjustment made.</v>
          </cell>
        </row>
        <row r="368">
          <cell r="A368" t="str">
            <v>Adjustment (13)</v>
          </cell>
        </row>
        <row r="370">
          <cell r="A370" t="str">
            <v>To adjust test year telephone expense to reflect the most current monthly service fee.</v>
          </cell>
        </row>
        <row r="372">
          <cell r="B372" t="str">
            <v>Pro forma telephone expenses ($234.70 times 12 months)</v>
          </cell>
          <cell r="L372">
            <v>2816</v>
          </cell>
        </row>
        <row r="373">
          <cell r="B373" t="str">
            <v>Less test year expense</v>
          </cell>
          <cell r="L373">
            <v>-2608</v>
          </cell>
        </row>
        <row r="375">
          <cell r="E375" t="str">
            <v>Adjustment</v>
          </cell>
          <cell r="L375">
            <v>208</v>
          </cell>
        </row>
        <row r="378">
          <cell r="A378" t="str">
            <v>Adjustment (14)</v>
          </cell>
        </row>
        <row r="380">
          <cell r="A380" t="str">
            <v>To adjust test year general liability insurance expense to reflect the most current premium</v>
          </cell>
        </row>
        <row r="381">
          <cell r="A381" t="str">
            <v>and the absorption of costs previously allocated to the electric utility.</v>
          </cell>
        </row>
        <row r="383">
          <cell r="B383" t="str">
            <v xml:space="preserve">Quarterly general liability premium previously </v>
          </cell>
        </row>
        <row r="384">
          <cell r="B384" t="str">
            <v xml:space="preserve">  allocated to the electric utility</v>
          </cell>
          <cell r="L384">
            <v>334</v>
          </cell>
        </row>
        <row r="385">
          <cell r="B385" t="str">
            <v xml:space="preserve">Times pro forma percentage allocable to the water utility </v>
          </cell>
          <cell r="L385">
            <v>0.5</v>
          </cell>
        </row>
        <row r="387">
          <cell r="B387" t="str">
            <v>Sub-total</v>
          </cell>
          <cell r="L387">
            <v>167</v>
          </cell>
        </row>
        <row r="388">
          <cell r="B388" t="str">
            <v>Times 4 quarters</v>
          </cell>
          <cell r="L388">
            <v>4</v>
          </cell>
        </row>
        <row r="390">
          <cell r="B390" t="str">
            <v>Pro forma general liability insurance allocated to the water utility</v>
          </cell>
          <cell r="L390">
            <v>668</v>
          </cell>
        </row>
        <row r="391">
          <cell r="B391" t="str">
            <v>Less test year expense</v>
          </cell>
          <cell r="L391">
            <v>0</v>
          </cell>
        </row>
        <row r="393">
          <cell r="E393" t="str">
            <v>Adjustment</v>
          </cell>
          <cell r="L393">
            <v>668</v>
          </cell>
        </row>
        <row r="416">
          <cell r="A416" t="str">
            <v>(Continued on next page)</v>
          </cell>
        </row>
        <row r="418">
          <cell r="A418" t="str">
            <v>(Subject to the comments in the attached</v>
          </cell>
        </row>
        <row r="419">
          <cell r="A419" t="str">
            <v>letter dated May 26, 2005 of Umbaugh.)</v>
          </cell>
        </row>
        <row r="421">
          <cell r="A421" t="str">
            <v>8</v>
          </cell>
        </row>
        <row r="422">
          <cell r="A422" t="str">
            <v>BOONVILLE (INDIANA) MUNICIPAL WATER UTILITY</v>
          </cell>
        </row>
        <row r="423">
          <cell r="L423" t="str">
            <v>(Cont'd)</v>
          </cell>
        </row>
        <row r="424">
          <cell r="A424" t="str">
            <v>PRO FORMA ANNUAL CASH OPERATING EXPENSES</v>
          </cell>
        </row>
        <row r="425">
          <cell r="A425" t="str">
            <v>Explanation of adjustments</v>
          </cell>
        </row>
        <row r="426">
          <cell r="A426" t="str">
            <v>No inflation adjustment made.</v>
          </cell>
        </row>
        <row r="429">
          <cell r="A429" t="str">
            <v>Adjustment (15)</v>
          </cell>
        </row>
        <row r="431">
          <cell r="A431" t="str">
            <v>To adjust test year property and equipment insurance expense to reflect the most current premium</v>
          </cell>
        </row>
        <row r="432">
          <cell r="A432" t="str">
            <v>and the absorption of costs previously allocated to the electric utility.</v>
          </cell>
        </row>
        <row r="434">
          <cell r="B434" t="str">
            <v>Quarterly property and equipment insurance premium</v>
          </cell>
        </row>
        <row r="435">
          <cell r="B435" t="str">
            <v xml:space="preserve">  previously allocated to the electric utility</v>
          </cell>
          <cell r="L435">
            <v>826.25</v>
          </cell>
        </row>
        <row r="436">
          <cell r="B436" t="str">
            <v xml:space="preserve">Times pro forma percentage allocable to the water utility </v>
          </cell>
          <cell r="L436">
            <v>0.5</v>
          </cell>
        </row>
        <row r="438">
          <cell r="B438" t="str">
            <v>Sub-total</v>
          </cell>
          <cell r="L438">
            <v>413.125</v>
          </cell>
        </row>
        <row r="439">
          <cell r="B439" t="str">
            <v>Add existing quarterly premium allocated to the water utility</v>
          </cell>
          <cell r="L439">
            <v>826.25</v>
          </cell>
        </row>
        <row r="441">
          <cell r="B441" t="str">
            <v>Pro forma quarterly premium</v>
          </cell>
          <cell r="L441">
            <v>1239</v>
          </cell>
        </row>
        <row r="442">
          <cell r="B442" t="str">
            <v>Times 4 quarters</v>
          </cell>
          <cell r="L442">
            <v>4</v>
          </cell>
        </row>
        <row r="444">
          <cell r="B444" t="str">
            <v>Pro forma property and equipment insurance allocated to the water utility</v>
          </cell>
          <cell r="L444">
            <v>4956</v>
          </cell>
        </row>
        <row r="445">
          <cell r="B445" t="str">
            <v>Less test year expense</v>
          </cell>
          <cell r="L445">
            <v>-2476</v>
          </cell>
        </row>
        <row r="447">
          <cell r="E447" t="str">
            <v>Adjustment</v>
          </cell>
          <cell r="L447">
            <v>2480</v>
          </cell>
        </row>
        <row r="450">
          <cell r="A450" t="str">
            <v>Adjustment (16)</v>
          </cell>
        </row>
        <row r="452">
          <cell r="A452" t="str">
            <v>To adjust test year public officials insurance expense to reflect the portion of the most</v>
          </cell>
        </row>
        <row r="453">
          <cell r="A453" t="str">
            <v>current premium to be allocated to the water utility.</v>
          </cell>
        </row>
        <row r="455">
          <cell r="B455" t="str">
            <v>Quarterly public officials insurance premium to be allocated</v>
          </cell>
        </row>
        <row r="456">
          <cell r="B456" t="str">
            <v xml:space="preserve">  to the water utility ($1,650 divided by 6 departments)</v>
          </cell>
          <cell r="L456">
            <v>275</v>
          </cell>
        </row>
        <row r="457">
          <cell r="B457" t="str">
            <v>Times 4 quarters</v>
          </cell>
          <cell r="L457">
            <v>4</v>
          </cell>
        </row>
        <row r="459">
          <cell r="B459" t="str">
            <v>Pro forma public officials insurance allocated to the water utility</v>
          </cell>
          <cell r="L459">
            <v>1100</v>
          </cell>
        </row>
        <row r="460">
          <cell r="B460" t="str">
            <v>Less test year expense</v>
          </cell>
          <cell r="L460">
            <v>0</v>
          </cell>
        </row>
        <row r="462">
          <cell r="E462" t="str">
            <v>Adjustment</v>
          </cell>
          <cell r="L462">
            <v>1100</v>
          </cell>
        </row>
        <row r="477">
          <cell r="A477" t="str">
            <v>(Continued on next page)</v>
          </cell>
        </row>
        <row r="479">
          <cell r="A479" t="str">
            <v>(Subject to the comments in the attached</v>
          </cell>
        </row>
        <row r="480">
          <cell r="A480" t="str">
            <v>letter dated May 26, 2005 of Umbaugh.)</v>
          </cell>
        </row>
        <row r="482">
          <cell r="A482" t="str">
            <v>9</v>
          </cell>
        </row>
        <row r="483">
          <cell r="A483" t="str">
            <v>BOONVILLE (INDIANA) MUNICIPAL WATER UTILITY</v>
          </cell>
        </row>
        <row r="484">
          <cell r="L484" t="str">
            <v>(Cont'd)</v>
          </cell>
        </row>
        <row r="485">
          <cell r="A485" t="str">
            <v>PRO FORMA ANNUAL CASH OPERATING EXPENSES</v>
          </cell>
        </row>
        <row r="486">
          <cell r="A486" t="str">
            <v>Explanation of adjustments</v>
          </cell>
        </row>
        <row r="487">
          <cell r="A487" t="str">
            <v>No inflation adjustment made.</v>
          </cell>
        </row>
        <row r="490">
          <cell r="A490" t="str">
            <v>Adjustment (17)</v>
          </cell>
        </row>
        <row r="492">
          <cell r="A492" t="str">
            <v>To adjust test year water utility operation and maintenance expense to reflect those</v>
          </cell>
        </row>
        <row r="493">
          <cell r="A493" t="str">
            <v>costs previously charged to the electric utility that will remain the responsibility of the</v>
          </cell>
        </row>
        <row r="494">
          <cell r="A494" t="str">
            <v xml:space="preserve">City of Boonville and be charged to other departments.  </v>
          </cell>
        </row>
        <row r="495">
          <cell r="L495" t="str">
            <v>Amount</v>
          </cell>
        </row>
        <row r="496">
          <cell r="L496" t="str">
            <v>Allocated to the</v>
          </cell>
        </row>
        <row r="497">
          <cell r="B497" t="str">
            <v>Vendor</v>
          </cell>
          <cell r="L497" t="str">
            <v>Water Utility</v>
          </cell>
        </row>
        <row r="499">
          <cell r="B499" t="str">
            <v>A.E. Boyce</v>
          </cell>
          <cell r="L499">
            <v>732</v>
          </cell>
        </row>
        <row r="500">
          <cell r="B500" t="str">
            <v>Action Pest Control</v>
          </cell>
          <cell r="L500">
            <v>97</v>
          </cell>
        </row>
        <row r="501">
          <cell r="B501" t="str">
            <v>Aramark Uniform Services</v>
          </cell>
          <cell r="L501">
            <v>409</v>
          </cell>
        </row>
        <row r="502">
          <cell r="B502" t="str">
            <v>Ameritech</v>
          </cell>
          <cell r="L502">
            <v>205</v>
          </cell>
        </row>
        <row r="503">
          <cell r="B503" t="str">
            <v>Boonville Natural Gas</v>
          </cell>
          <cell r="L503">
            <v>366</v>
          </cell>
        </row>
        <row r="504">
          <cell r="B504" t="str">
            <v>CNG Appliances</v>
          </cell>
          <cell r="L504">
            <v>35</v>
          </cell>
        </row>
        <row r="505">
          <cell r="B505" t="str">
            <v>Charmark Computer Services</v>
          </cell>
          <cell r="L505">
            <v>1852</v>
          </cell>
        </row>
        <row r="506">
          <cell r="B506" t="str">
            <v>Diebold Inc.</v>
          </cell>
          <cell r="L506">
            <v>184</v>
          </cell>
        </row>
        <row r="507">
          <cell r="B507" t="str">
            <v>Ikon Office Solutions</v>
          </cell>
          <cell r="L507">
            <v>408</v>
          </cell>
        </row>
        <row r="508">
          <cell r="B508" t="str">
            <v>Killion Office Products</v>
          </cell>
          <cell r="L508">
            <v>2545</v>
          </cell>
        </row>
        <row r="509">
          <cell r="B509" t="str">
            <v>Lang Company</v>
          </cell>
          <cell r="L509">
            <v>488</v>
          </cell>
        </row>
        <row r="510">
          <cell r="B510" t="str">
            <v>McNeely Insurance</v>
          </cell>
          <cell r="L510">
            <v>4703</v>
          </cell>
        </row>
        <row r="511">
          <cell r="B511" t="str">
            <v>Pitney Bowes</v>
          </cell>
          <cell r="L511">
            <v>553</v>
          </cell>
        </row>
        <row r="512">
          <cell r="B512" t="str">
            <v>Starbrite Window Cleaning</v>
          </cell>
          <cell r="L512">
            <v>64</v>
          </cell>
        </row>
        <row r="513">
          <cell r="B513" t="str">
            <v>Servpro</v>
          </cell>
          <cell r="L513">
            <v>291</v>
          </cell>
        </row>
        <row r="514">
          <cell r="B514" t="str">
            <v>US Postmaster</v>
          </cell>
          <cell r="L514">
            <v>4069</v>
          </cell>
        </row>
        <row r="515">
          <cell r="B515" t="str">
            <v>Wal-Mart</v>
          </cell>
          <cell r="L515">
            <v>226</v>
          </cell>
        </row>
        <row r="516">
          <cell r="B516" t="str">
            <v>Xerox Corp.</v>
          </cell>
          <cell r="L516">
            <v>135</v>
          </cell>
        </row>
        <row r="518">
          <cell r="E518" t="str">
            <v>Adjustment</v>
          </cell>
          <cell r="L518">
            <v>17362</v>
          </cell>
        </row>
        <row r="538">
          <cell r="A538" t="str">
            <v>(Continued on next page)</v>
          </cell>
        </row>
        <row r="540">
          <cell r="A540" t="str">
            <v>(Subject to the comments in the attached</v>
          </cell>
        </row>
        <row r="541">
          <cell r="A541" t="str">
            <v>letter dated May 26, 2005 of Umbaugh.)</v>
          </cell>
        </row>
        <row r="543">
          <cell r="A543" t="str">
            <v>10</v>
          </cell>
        </row>
        <row r="544">
          <cell r="A544" t="str">
            <v>BOONVILLE (INDIANA) MUNICIPAL WATER UTILITY</v>
          </cell>
        </row>
        <row r="545">
          <cell r="L545" t="str">
            <v>(Cont'd)</v>
          </cell>
        </row>
        <row r="546">
          <cell r="A546" t="str">
            <v>PRO FORMA ANNUAL CASH OPERATING EXPENSES</v>
          </cell>
        </row>
        <row r="547">
          <cell r="A547" t="str">
            <v>Explanation of adjustments</v>
          </cell>
        </row>
        <row r="548">
          <cell r="A548" t="str">
            <v>No inflation adjustment made.</v>
          </cell>
        </row>
        <row r="551">
          <cell r="A551" t="str">
            <v>Adjustment (18)</v>
          </cell>
        </row>
        <row r="553">
          <cell r="A553" t="str">
            <v xml:space="preserve">To provide for payment in lieu of property taxes which would have been received </v>
          </cell>
        </row>
        <row r="554">
          <cell r="A554" t="str">
            <v>had the Utility been privately owned.</v>
          </cell>
        </row>
        <row r="556">
          <cell r="C556" t="str">
            <v>Utility plant in service at 6/30/04  (unaudited)</v>
          </cell>
          <cell r="L556">
            <v>5169797</v>
          </cell>
        </row>
        <row r="557">
          <cell r="C557" t="str">
            <v>Less accumulated depreciation</v>
          </cell>
          <cell r="L557">
            <v>45810</v>
          </cell>
        </row>
        <row r="558">
          <cell r="C558" t="str">
            <v>Add capitalized items in test year</v>
          </cell>
          <cell r="L558">
            <v>46577.08</v>
          </cell>
        </row>
        <row r="560">
          <cell r="C560" t="str">
            <v>Net utility plant in service</v>
          </cell>
          <cell r="L560">
            <v>5262184.08</v>
          </cell>
        </row>
        <row r="561">
          <cell r="C561" t="str">
            <v>Divide by 3</v>
          </cell>
          <cell r="L561">
            <v>3</v>
          </cell>
        </row>
        <row r="563">
          <cell r="E563" t="str">
            <v>Estimated net assessed value</v>
          </cell>
          <cell r="L563">
            <v>1754061</v>
          </cell>
        </row>
        <row r="565">
          <cell r="C565" t="str">
            <v>Payment in lieu of taxes based on the corporate tax rate of $4.3800</v>
          </cell>
        </row>
        <row r="566">
          <cell r="C566" t="str">
            <v xml:space="preserve">   per $100 of assessed value for taxes payable in 2005 (rate net of </v>
          </cell>
        </row>
        <row r="567">
          <cell r="C567" t="str">
            <v xml:space="preserve">   15.9966% property tax replacement credit is $3.6793)</v>
          </cell>
          <cell r="L567">
            <v>64538</v>
          </cell>
        </row>
        <row r="569">
          <cell r="C569" t="str">
            <v>Less test year expense</v>
          </cell>
          <cell r="L569">
            <v>-5000</v>
          </cell>
        </row>
        <row r="571">
          <cell r="E571" t="str">
            <v>Adjustment</v>
          </cell>
          <cell r="L571">
            <v>59538</v>
          </cell>
        </row>
        <row r="574">
          <cell r="A574" t="str">
            <v>Adjustment (19)</v>
          </cell>
        </row>
        <row r="576">
          <cell r="A576" t="str">
            <v>To provide for pro forma gross income tax.</v>
          </cell>
        </row>
        <row r="578">
          <cell r="C578" t="str">
            <v>Test year revenues</v>
          </cell>
          <cell r="L578">
            <v>2735078</v>
          </cell>
        </row>
        <row r="579">
          <cell r="C579" t="str">
            <v>Plus normalized revenues (see page 14)</v>
          </cell>
          <cell r="L579">
            <v>1770.6</v>
          </cell>
        </row>
        <row r="580">
          <cell r="C580" t="str">
            <v>Less 1/2 of exemption</v>
          </cell>
          <cell r="L580">
            <v>-500</v>
          </cell>
        </row>
        <row r="581">
          <cell r="C581" t="str">
            <v>Less test year municipal hydrant rental</v>
          </cell>
          <cell r="L581">
            <v>-1123562</v>
          </cell>
        </row>
        <row r="583">
          <cell r="C583" t="str">
            <v>Sub-total</v>
          </cell>
          <cell r="L583">
            <v>1612786.6</v>
          </cell>
        </row>
        <row r="584">
          <cell r="C584" t="str">
            <v>Times corporate tax rate</v>
          </cell>
          <cell r="L584">
            <v>1.2E-2</v>
          </cell>
        </row>
        <row r="586">
          <cell r="C586" t="str">
            <v>Pro forma gross income tax</v>
          </cell>
          <cell r="L586">
            <v>19353</v>
          </cell>
        </row>
        <row r="587">
          <cell r="C587" t="str">
            <v>Less test year expense</v>
          </cell>
          <cell r="L587">
            <v>-11865</v>
          </cell>
        </row>
        <row r="589">
          <cell r="E589" t="str">
            <v>Adjustment</v>
          </cell>
          <cell r="L589">
            <v>7488</v>
          </cell>
        </row>
        <row r="599">
          <cell r="A599" t="str">
            <v>(Continued on next page)</v>
          </cell>
        </row>
        <row r="601">
          <cell r="A601" t="str">
            <v>(Subject to the comments in the attached</v>
          </cell>
        </row>
        <row r="602">
          <cell r="A602" t="str">
            <v>letter dated May 26, 2005 of Umbaugh.)</v>
          </cell>
        </row>
        <row r="604">
          <cell r="A604" t="str">
            <v>11</v>
          </cell>
        </row>
      </sheetData>
      <sheetData sheetId="7" refreshError="1"/>
      <sheetData sheetId="8" refreshError="1"/>
      <sheetData sheetId="9" refreshError="1">
        <row r="1">
          <cell r="A1" t="str">
            <v>GREENSBURG (INDIANA) MUNICIPAL SEWAGE WORKS</v>
          </cell>
        </row>
        <row r="3">
          <cell r="A3" t="str">
            <v>CALCULATION OF NORMALIZED ANNUAL OPERATING REVENUES</v>
          </cell>
        </row>
        <row r="4">
          <cell r="A4" t="str">
            <v>- Residential -</v>
          </cell>
        </row>
        <row r="7">
          <cell r="H7" t="str">
            <v>12 Months</v>
          </cell>
          <cell r="L7" t="str">
            <v>Normalized</v>
          </cell>
        </row>
        <row r="8">
          <cell r="H8" t="str">
            <v>Ended</v>
          </cell>
          <cell r="L8" t="str">
            <v>Annual</v>
          </cell>
        </row>
        <row r="9">
          <cell r="H9">
            <v>38168</v>
          </cell>
          <cell r="J9" t="str">
            <v>Adjustments</v>
          </cell>
          <cell r="L9" t="str">
            <v>Revenues</v>
          </cell>
        </row>
        <row r="10">
          <cell r="A10" t="str">
            <v>Operating Revenues</v>
          </cell>
          <cell r="H10" t="str">
            <v>(Unaudited)</v>
          </cell>
        </row>
        <row r="12">
          <cell r="B12" t="str">
            <v>Metered sales</v>
          </cell>
          <cell r="H12">
            <v>449420</v>
          </cell>
          <cell r="J12">
            <v>1237.8</v>
          </cell>
          <cell r="K12" t="str">
            <v>(1)</v>
          </cell>
          <cell r="L12" t="str">
            <v xml:space="preserve"> </v>
          </cell>
        </row>
        <row r="13">
          <cell r="J13">
            <v>532.79999999999995</v>
          </cell>
          <cell r="K13" t="str">
            <v>(2)</v>
          </cell>
          <cell r="L13">
            <v>451190.6</v>
          </cell>
        </row>
        <row r="14">
          <cell r="B14" t="str">
            <v>Hydrant rental</v>
          </cell>
          <cell r="H14">
            <v>1123562</v>
          </cell>
          <cell r="L14">
            <v>1123562</v>
          </cell>
        </row>
        <row r="15">
          <cell r="B15" t="str">
            <v>Penalties</v>
          </cell>
          <cell r="H15">
            <v>29257</v>
          </cell>
          <cell r="L15">
            <v>29257</v>
          </cell>
        </row>
        <row r="16">
          <cell r="B16" t="str">
            <v>Other income</v>
          </cell>
          <cell r="H16">
            <v>1132839</v>
          </cell>
          <cell r="L16">
            <v>1132839</v>
          </cell>
        </row>
        <row r="18">
          <cell r="B18" t="str">
            <v>Totals</v>
          </cell>
          <cell r="H18">
            <v>2735078</v>
          </cell>
          <cell r="J18">
            <v>1770.6</v>
          </cell>
          <cell r="L18">
            <v>2736848.6</v>
          </cell>
        </row>
        <row r="21">
          <cell r="B21" t="str">
            <v xml:space="preserve">(1)    To adjust test year operating revenues to normalize for the estimated financial effects of </v>
          </cell>
        </row>
        <row r="22">
          <cell r="B22" t="str">
            <v xml:space="preserve">         approximately 7 less users to the system from the beginning of the test year</v>
          </cell>
        </row>
        <row r="23">
          <cell r="B23" t="str">
            <v xml:space="preserve">         (based on billing records).</v>
          </cell>
        </row>
        <row r="25">
          <cell r="B25" t="str">
            <v>Residential Revenues:</v>
          </cell>
          <cell r="F25" t="str">
            <v>Times</v>
          </cell>
        </row>
        <row r="26">
          <cell r="D26" t="str">
            <v>Increase/</v>
          </cell>
          <cell r="F26" t="str">
            <v>Estimated</v>
          </cell>
          <cell r="H26" t="str">
            <v>Additional</v>
          </cell>
          <cell r="J26" t="str">
            <v>Estimated</v>
          </cell>
        </row>
        <row r="27">
          <cell r="B27" t="str">
            <v>Billing</v>
          </cell>
          <cell r="D27" t="str">
            <v>(Decrease)</v>
          </cell>
          <cell r="F27" t="str">
            <v>Additional</v>
          </cell>
          <cell r="H27" t="str">
            <v>Monthly</v>
          </cell>
          <cell r="J27" t="str">
            <v>Monthly</v>
          </cell>
        </row>
        <row r="28">
          <cell r="B28" t="str">
            <v>Cycle</v>
          </cell>
          <cell r="D28" t="str">
            <v>In Users (A)</v>
          </cell>
          <cell r="F28" t="str">
            <v>Monthly Bills</v>
          </cell>
          <cell r="H28" t="str">
            <v>Bills</v>
          </cell>
          <cell r="J28" t="str">
            <v>Bill (B)</v>
          </cell>
          <cell r="L28" t="str">
            <v>Amount</v>
          </cell>
        </row>
        <row r="30">
          <cell r="B30" t="str">
            <v>July 2003</v>
          </cell>
          <cell r="D30">
            <v>4</v>
          </cell>
          <cell r="F30" t="str">
            <v xml:space="preserve"> </v>
          </cell>
          <cell r="H30">
            <v>0</v>
          </cell>
          <cell r="J30">
            <v>15.87</v>
          </cell>
          <cell r="L30">
            <v>0</v>
          </cell>
        </row>
        <row r="31">
          <cell r="B31" t="str">
            <v>August</v>
          </cell>
          <cell r="D31">
            <v>2</v>
          </cell>
          <cell r="F31">
            <v>1</v>
          </cell>
          <cell r="H31">
            <v>2</v>
          </cell>
          <cell r="J31">
            <v>15.87</v>
          </cell>
          <cell r="L31">
            <v>31.7</v>
          </cell>
        </row>
        <row r="32">
          <cell r="B32" t="str">
            <v>September</v>
          </cell>
          <cell r="D32">
            <v>0</v>
          </cell>
          <cell r="F32">
            <v>2</v>
          </cell>
          <cell r="H32">
            <v>0</v>
          </cell>
          <cell r="J32">
            <v>15.87</v>
          </cell>
          <cell r="L32">
            <v>0</v>
          </cell>
        </row>
        <row r="33">
          <cell r="B33" t="str">
            <v>October</v>
          </cell>
          <cell r="D33">
            <v>-4</v>
          </cell>
          <cell r="F33">
            <v>3</v>
          </cell>
          <cell r="H33">
            <v>-12</v>
          </cell>
          <cell r="J33">
            <v>15.87</v>
          </cell>
          <cell r="L33">
            <v>-190.4</v>
          </cell>
        </row>
        <row r="34">
          <cell r="B34" t="str">
            <v>November</v>
          </cell>
          <cell r="D34">
            <v>-16</v>
          </cell>
          <cell r="F34">
            <v>4</v>
          </cell>
          <cell r="H34">
            <v>-64</v>
          </cell>
          <cell r="J34">
            <v>15.87</v>
          </cell>
          <cell r="L34">
            <v>-1015.7</v>
          </cell>
        </row>
        <row r="35">
          <cell r="B35" t="str">
            <v>December</v>
          </cell>
          <cell r="D35">
            <v>-15</v>
          </cell>
          <cell r="F35">
            <v>5</v>
          </cell>
          <cell r="H35">
            <v>-75</v>
          </cell>
          <cell r="J35">
            <v>15.87</v>
          </cell>
          <cell r="L35">
            <v>-1190.3</v>
          </cell>
        </row>
        <row r="36">
          <cell r="B36" t="str">
            <v>January 2004</v>
          </cell>
          <cell r="D36">
            <v>-2</v>
          </cell>
          <cell r="F36">
            <v>6</v>
          </cell>
          <cell r="H36">
            <v>-12</v>
          </cell>
          <cell r="J36">
            <v>15.87</v>
          </cell>
          <cell r="L36">
            <v>-190.4</v>
          </cell>
        </row>
        <row r="37">
          <cell r="B37" t="str">
            <v>February</v>
          </cell>
          <cell r="D37">
            <v>1</v>
          </cell>
          <cell r="F37">
            <v>7</v>
          </cell>
          <cell r="H37">
            <v>7</v>
          </cell>
          <cell r="J37">
            <v>15.87</v>
          </cell>
          <cell r="L37">
            <v>111.1</v>
          </cell>
        </row>
        <row r="38">
          <cell r="B38" t="str">
            <v>March</v>
          </cell>
          <cell r="D38">
            <v>7</v>
          </cell>
          <cell r="F38">
            <v>8</v>
          </cell>
          <cell r="H38">
            <v>56</v>
          </cell>
          <cell r="J38">
            <v>15.87</v>
          </cell>
          <cell r="L38">
            <v>888.7</v>
          </cell>
        </row>
        <row r="39">
          <cell r="B39" t="str">
            <v>April</v>
          </cell>
          <cell r="D39">
            <v>-7</v>
          </cell>
          <cell r="F39">
            <v>9</v>
          </cell>
          <cell r="H39">
            <v>-63</v>
          </cell>
          <cell r="J39">
            <v>15.87</v>
          </cell>
          <cell r="L39">
            <v>-999.8</v>
          </cell>
        </row>
        <row r="40">
          <cell r="B40" t="str">
            <v>May</v>
          </cell>
          <cell r="D40">
            <v>14</v>
          </cell>
          <cell r="F40">
            <v>10</v>
          </cell>
          <cell r="H40">
            <v>140</v>
          </cell>
          <cell r="J40">
            <v>15.87</v>
          </cell>
          <cell r="L40">
            <v>2221.8000000000002</v>
          </cell>
        </row>
        <row r="41">
          <cell r="B41" t="str">
            <v>June</v>
          </cell>
          <cell r="D41">
            <v>9</v>
          </cell>
          <cell r="F41">
            <v>11</v>
          </cell>
          <cell r="H41">
            <v>99</v>
          </cell>
          <cell r="J41">
            <v>15.87</v>
          </cell>
          <cell r="L41">
            <v>1571.1</v>
          </cell>
        </row>
        <row r="43">
          <cell r="B43" t="str">
            <v xml:space="preserve">        Totals</v>
          </cell>
          <cell r="D43">
            <v>-7</v>
          </cell>
          <cell r="H43">
            <v>78</v>
          </cell>
          <cell r="L43">
            <v>1237.8</v>
          </cell>
        </row>
        <row r="46">
          <cell r="B46" t="str">
            <v>(A)    Per utility personnel and monthly billing summaries.</v>
          </cell>
        </row>
        <row r="47">
          <cell r="B47" t="str">
            <v>(B)    Estimated monthly bill assuming average residential consumption of 4,600 gallons priced at</v>
          </cell>
        </row>
        <row r="48">
          <cell r="B48" t="str">
            <v xml:space="preserve">         present rates (average bill calculated based on historical average bill for a residential customer).</v>
          </cell>
        </row>
        <row r="50">
          <cell r="A50" t="str">
            <v>(Continued on next page)</v>
          </cell>
        </row>
        <row r="52">
          <cell r="A52" t="str">
            <v>(Subject to the comments in the attached</v>
          </cell>
        </row>
        <row r="53">
          <cell r="A53" t="str">
            <v>letter dated May 26, 2005 of Umbaugh.)</v>
          </cell>
        </row>
        <row r="55">
          <cell r="A55" t="str">
            <v>14</v>
          </cell>
        </row>
        <row r="56">
          <cell r="A56" t="str">
            <v>GREENSBURG (INDIANA) MUNICIPAL SEWAGE WORKS</v>
          </cell>
        </row>
        <row r="57">
          <cell r="L57" t="str">
            <v>(Cont'd)</v>
          </cell>
        </row>
        <row r="58">
          <cell r="A58" t="str">
            <v>CALCULATION OF NORMALIZED ANNUAL OPERATING REVENUES</v>
          </cell>
        </row>
        <row r="59">
          <cell r="A59" t="str">
            <v>- Commercial -</v>
          </cell>
        </row>
        <row r="62">
          <cell r="B62" t="str">
            <v xml:space="preserve">(2)    To adjust test year operating revenues to normalize for the estimated financial effects of </v>
          </cell>
        </row>
        <row r="63">
          <cell r="B63" t="str">
            <v xml:space="preserve">         approximately 0 new users added to the system from the beginning of the test year</v>
          </cell>
        </row>
        <row r="64">
          <cell r="B64" t="str">
            <v xml:space="preserve">         (based on billing records).</v>
          </cell>
        </row>
        <row r="66">
          <cell r="B66" t="str">
            <v>Commercial Revenues:</v>
          </cell>
          <cell r="F66" t="str">
            <v>Times</v>
          </cell>
        </row>
        <row r="67">
          <cell r="D67" t="str">
            <v>Increase/</v>
          </cell>
          <cell r="F67" t="str">
            <v>Estimated</v>
          </cell>
          <cell r="H67" t="str">
            <v>Additional</v>
          </cell>
          <cell r="J67" t="str">
            <v>Estimated</v>
          </cell>
        </row>
        <row r="68">
          <cell r="B68" t="str">
            <v>Billing</v>
          </cell>
          <cell r="D68" t="str">
            <v>(Decrease)</v>
          </cell>
          <cell r="F68" t="str">
            <v>Additional</v>
          </cell>
          <cell r="H68" t="str">
            <v>Monthly</v>
          </cell>
          <cell r="J68" t="str">
            <v>Monthly</v>
          </cell>
        </row>
        <row r="69">
          <cell r="B69" t="str">
            <v>Cycle</v>
          </cell>
          <cell r="D69" t="str">
            <v>In Users (A)</v>
          </cell>
          <cell r="F69" t="str">
            <v>Monthly Bills</v>
          </cell>
          <cell r="H69" t="str">
            <v>Bills</v>
          </cell>
          <cell r="J69" t="str">
            <v>Bill (B)</v>
          </cell>
          <cell r="L69" t="str">
            <v>Amount</v>
          </cell>
        </row>
        <row r="71">
          <cell r="B71" t="str">
            <v>July 2003</v>
          </cell>
          <cell r="D71">
            <v>1</v>
          </cell>
          <cell r="F71" t="str">
            <v xml:space="preserve"> </v>
          </cell>
          <cell r="H71">
            <v>0</v>
          </cell>
          <cell r="J71">
            <v>53.29</v>
          </cell>
          <cell r="L71">
            <v>0</v>
          </cell>
        </row>
        <row r="72">
          <cell r="B72" t="str">
            <v>August</v>
          </cell>
          <cell r="D72">
            <v>-2</v>
          </cell>
          <cell r="F72">
            <v>1</v>
          </cell>
          <cell r="H72">
            <v>-2</v>
          </cell>
          <cell r="J72">
            <v>53.29</v>
          </cell>
          <cell r="L72">
            <v>-106.6</v>
          </cell>
        </row>
        <row r="73">
          <cell r="B73" t="str">
            <v>September</v>
          </cell>
          <cell r="D73">
            <v>3</v>
          </cell>
          <cell r="F73">
            <v>2</v>
          </cell>
          <cell r="H73">
            <v>6</v>
          </cell>
          <cell r="J73">
            <v>53.29</v>
          </cell>
          <cell r="L73">
            <v>319.7</v>
          </cell>
        </row>
        <row r="74">
          <cell r="B74" t="str">
            <v>October</v>
          </cell>
          <cell r="D74">
            <v>-1</v>
          </cell>
          <cell r="F74">
            <v>3</v>
          </cell>
          <cell r="H74">
            <v>-3</v>
          </cell>
          <cell r="J74">
            <v>53.29</v>
          </cell>
          <cell r="L74">
            <v>-159.9</v>
          </cell>
        </row>
        <row r="75">
          <cell r="B75" t="str">
            <v>November</v>
          </cell>
          <cell r="D75">
            <v>1</v>
          </cell>
          <cell r="F75">
            <v>4</v>
          </cell>
          <cell r="H75">
            <v>4</v>
          </cell>
          <cell r="J75">
            <v>53.29</v>
          </cell>
          <cell r="L75">
            <v>213.2</v>
          </cell>
        </row>
        <row r="76">
          <cell r="B76" t="str">
            <v>December</v>
          </cell>
          <cell r="D76">
            <v>-5</v>
          </cell>
          <cell r="F76">
            <v>5</v>
          </cell>
          <cell r="H76">
            <v>-25</v>
          </cell>
          <cell r="J76">
            <v>53.29</v>
          </cell>
          <cell r="L76">
            <v>-1332.3</v>
          </cell>
        </row>
        <row r="77">
          <cell r="B77" t="str">
            <v>January 2004</v>
          </cell>
          <cell r="D77">
            <v>0</v>
          </cell>
          <cell r="F77">
            <v>6</v>
          </cell>
          <cell r="H77">
            <v>0</v>
          </cell>
          <cell r="J77">
            <v>53.29</v>
          </cell>
          <cell r="L77">
            <v>0</v>
          </cell>
        </row>
        <row r="78">
          <cell r="B78" t="str">
            <v>February</v>
          </cell>
          <cell r="D78">
            <v>0</v>
          </cell>
          <cell r="F78">
            <v>7</v>
          </cell>
          <cell r="H78">
            <v>0</v>
          </cell>
          <cell r="J78">
            <v>53.29</v>
          </cell>
          <cell r="L78">
            <v>0</v>
          </cell>
        </row>
        <row r="79">
          <cell r="B79" t="str">
            <v>March</v>
          </cell>
          <cell r="D79">
            <v>0</v>
          </cell>
          <cell r="F79">
            <v>8</v>
          </cell>
          <cell r="H79">
            <v>0</v>
          </cell>
          <cell r="J79">
            <v>53.29</v>
          </cell>
          <cell r="L79">
            <v>0</v>
          </cell>
        </row>
        <row r="80">
          <cell r="B80" t="str">
            <v>April</v>
          </cell>
          <cell r="D80">
            <v>-1</v>
          </cell>
          <cell r="F80">
            <v>9</v>
          </cell>
          <cell r="H80">
            <v>-9</v>
          </cell>
          <cell r="J80">
            <v>53.29</v>
          </cell>
          <cell r="L80">
            <v>-479.6</v>
          </cell>
        </row>
        <row r="81">
          <cell r="B81" t="str">
            <v>May</v>
          </cell>
          <cell r="D81">
            <v>5</v>
          </cell>
          <cell r="F81">
            <v>10</v>
          </cell>
          <cell r="H81">
            <v>50</v>
          </cell>
          <cell r="J81">
            <v>53.29</v>
          </cell>
          <cell r="L81">
            <v>2664.5</v>
          </cell>
        </row>
        <row r="82">
          <cell r="B82" t="str">
            <v>June</v>
          </cell>
          <cell r="D82">
            <v>-1</v>
          </cell>
          <cell r="F82">
            <v>11</v>
          </cell>
          <cell r="H82">
            <v>-11</v>
          </cell>
          <cell r="J82">
            <v>53.29</v>
          </cell>
          <cell r="L82">
            <v>-586.20000000000005</v>
          </cell>
        </row>
        <row r="84">
          <cell r="B84" t="str">
            <v xml:space="preserve">        Totals</v>
          </cell>
          <cell r="D84">
            <v>0</v>
          </cell>
          <cell r="H84">
            <v>10</v>
          </cell>
          <cell r="L84">
            <v>532.79999999999995</v>
          </cell>
        </row>
        <row r="87">
          <cell r="B87" t="str">
            <v>(A)    Per utility personnel and monthly billing summaries.</v>
          </cell>
        </row>
        <row r="88">
          <cell r="B88" t="str">
            <v>(B)    Estimated monthly bill assuming average commercial consumption of 17,200 gallons priced at</v>
          </cell>
        </row>
        <row r="89">
          <cell r="B89" t="str">
            <v xml:space="preserve">         present rates (average bill calculated based on historical average bill for a commercial customer).</v>
          </cell>
        </row>
        <row r="107">
          <cell r="A107" t="str">
            <v>(Subject to the comments in the attached</v>
          </cell>
        </row>
        <row r="108">
          <cell r="A108" t="str">
            <v>letter dated May 26, 2005 of Umbaugh.)</v>
          </cell>
        </row>
        <row r="110">
          <cell r="A110" t="str">
            <v>15</v>
          </cell>
        </row>
      </sheetData>
      <sheetData sheetId="10" refreshError="1"/>
      <sheetData sheetId="11" refreshError="1">
        <row r="1">
          <cell r="A1" t="str">
            <v>GREENSBURG (INDIANA) MUNICIPAL SEWAGE WORKS</v>
          </cell>
        </row>
        <row r="3">
          <cell r="A3" t="str">
            <v>SCHEDULE OF PRESENT AND PROPOSED RATES AND CHARGES</v>
          </cell>
        </row>
        <row r="6">
          <cell r="A6" t="str">
            <v>RECURRING RATES:</v>
          </cell>
        </row>
        <row r="7">
          <cell r="G7" t="str">
            <v>Rate Per 1,000 Gallons</v>
          </cell>
        </row>
        <row r="8">
          <cell r="A8" t="str">
            <v>Metered Rates Per Month:</v>
          </cell>
          <cell r="I8" t="str">
            <v>Alternative 1</v>
          </cell>
          <cell r="K8" t="str">
            <v>Alternative #2</v>
          </cell>
          <cell r="M8" t="str">
            <v>Alternative 2</v>
          </cell>
        </row>
        <row r="9">
          <cell r="G9" t="str">
            <v>Present (1)</v>
          </cell>
          <cell r="I9">
            <v>0</v>
          </cell>
          <cell r="K9">
            <v>0</v>
          </cell>
          <cell r="M9">
            <v>0</v>
          </cell>
        </row>
        <row r="11">
          <cell r="A11" t="str">
            <v>First</v>
          </cell>
          <cell r="B11" t="str">
            <v>10,000</v>
          </cell>
          <cell r="D11" t="str">
            <v>gallons</v>
          </cell>
          <cell r="G11">
            <v>3.45</v>
          </cell>
          <cell r="I11" t="e">
            <v>#NAME?</v>
          </cell>
          <cell r="K11" t="e">
            <v>#NAME?</v>
          </cell>
          <cell r="M11" t="e">
            <v>#NAME?</v>
          </cell>
        </row>
        <row r="12">
          <cell r="A12" t="str">
            <v>Next</v>
          </cell>
          <cell r="B12" t="str">
            <v>20,000</v>
          </cell>
          <cell r="D12" t="str">
            <v>gallons</v>
          </cell>
          <cell r="G12">
            <v>2.61</v>
          </cell>
          <cell r="I12" t="e">
            <v>#NAME?</v>
          </cell>
          <cell r="K12" t="e">
            <v>#NAME?</v>
          </cell>
          <cell r="M12" t="e">
            <v>#NAME?</v>
          </cell>
        </row>
        <row r="13">
          <cell r="A13" t="str">
            <v>Next</v>
          </cell>
          <cell r="B13" t="str">
            <v>70,000</v>
          </cell>
          <cell r="D13" t="str">
            <v>gallons</v>
          </cell>
          <cell r="G13">
            <v>1.73</v>
          </cell>
          <cell r="I13" t="e">
            <v>#NAME?</v>
          </cell>
          <cell r="K13" t="e">
            <v>#NAME?</v>
          </cell>
          <cell r="M13" t="e">
            <v>#NAME?</v>
          </cell>
        </row>
        <row r="14">
          <cell r="A14" t="str">
            <v>Over</v>
          </cell>
          <cell r="B14" t="str">
            <v>100,000</v>
          </cell>
          <cell r="D14" t="str">
            <v>gallons</v>
          </cell>
          <cell r="G14">
            <v>0.87</v>
          </cell>
          <cell r="I14" t="e">
            <v>#NAME?</v>
          </cell>
          <cell r="K14" t="e">
            <v>#NAME?</v>
          </cell>
          <cell r="M14" t="e">
            <v>#NAME?</v>
          </cell>
        </row>
        <row r="17">
          <cell r="D17" t="str">
            <v>Gallons</v>
          </cell>
          <cell r="G17" t="str">
            <v>Per Month</v>
          </cell>
        </row>
        <row r="18">
          <cell r="A18" t="str">
            <v>Minimum Charge:</v>
          </cell>
          <cell r="D18" t="str">
            <v>Allowed</v>
          </cell>
          <cell r="I18" t="str">
            <v>Alternative 1</v>
          </cell>
          <cell r="K18" t="str">
            <v>Alternative #2</v>
          </cell>
          <cell r="M18" t="str">
            <v>Alternative 2</v>
          </cell>
        </row>
        <row r="19">
          <cell r="G19" t="str">
            <v>Present (1)</v>
          </cell>
          <cell r="I19">
            <v>0</v>
          </cell>
          <cell r="K19" t="str">
            <v>Proposed</v>
          </cell>
          <cell r="M19">
            <v>0</v>
          </cell>
        </row>
        <row r="21">
          <cell r="A21" t="str">
            <v>5/8</v>
          </cell>
          <cell r="B21" t="str">
            <v>inch meter</v>
          </cell>
          <cell r="D21">
            <v>2520</v>
          </cell>
          <cell r="G21">
            <v>8.68</v>
          </cell>
          <cell r="I21" t="e">
            <v>#NAME?</v>
          </cell>
          <cell r="K21" t="e">
            <v>#NAME?</v>
          </cell>
          <cell r="M21" t="e">
            <v>#NAME?</v>
          </cell>
        </row>
        <row r="22">
          <cell r="A22" t="str">
            <v>3/4</v>
          </cell>
          <cell r="B22" t="str">
            <v>inch meter</v>
          </cell>
          <cell r="D22">
            <v>2520</v>
          </cell>
          <cell r="G22">
            <v>8.68</v>
          </cell>
          <cell r="I22" t="e">
            <v>#NAME?</v>
          </cell>
          <cell r="K22" t="e">
            <v>#NAME?</v>
          </cell>
          <cell r="M22" t="e">
            <v>#NAME?</v>
          </cell>
        </row>
        <row r="23">
          <cell r="A23" t="str">
            <v>1</v>
          </cell>
          <cell r="B23" t="str">
            <v>inch meter</v>
          </cell>
          <cell r="D23">
            <v>6410</v>
          </cell>
          <cell r="G23">
            <v>21.99</v>
          </cell>
          <cell r="I23" t="e">
            <v>#NAME?</v>
          </cell>
          <cell r="K23" t="e">
            <v>#NAME?</v>
          </cell>
          <cell r="M23" t="e">
            <v>#NAME?</v>
          </cell>
        </row>
        <row r="24">
          <cell r="A24" t="str">
            <v>1 1/2</v>
          </cell>
          <cell r="B24" t="str">
            <v>inch meter</v>
          </cell>
          <cell r="D24">
            <v>15560</v>
          </cell>
          <cell r="G24">
            <v>48.87</v>
          </cell>
          <cell r="I24" t="e">
            <v>#NAME?</v>
          </cell>
          <cell r="K24" t="e">
            <v>#NAME?</v>
          </cell>
          <cell r="M24" t="e">
            <v>#NAME?</v>
          </cell>
        </row>
        <row r="25">
          <cell r="A25" t="str">
            <v>2</v>
          </cell>
          <cell r="B25" t="str">
            <v>inch meter</v>
          </cell>
          <cell r="D25">
            <v>29660</v>
          </cell>
          <cell r="G25">
            <v>85.53</v>
          </cell>
          <cell r="I25" t="e">
            <v>#NAME?</v>
          </cell>
          <cell r="K25" t="e">
            <v>#NAME?</v>
          </cell>
          <cell r="M25" t="e">
            <v>#NAME?</v>
          </cell>
        </row>
        <row r="26">
          <cell r="A26" t="str">
            <v>3</v>
          </cell>
          <cell r="B26" t="str">
            <v>inch meter</v>
          </cell>
          <cell r="D26">
            <v>93130</v>
          </cell>
          <cell r="G26">
            <v>195.48</v>
          </cell>
          <cell r="I26" t="e">
            <v>#NAME?</v>
          </cell>
          <cell r="K26" t="e">
            <v>#NAME?</v>
          </cell>
          <cell r="M26" t="e">
            <v>#NAME?</v>
          </cell>
        </row>
        <row r="27">
          <cell r="A27" t="str">
            <v>4</v>
          </cell>
          <cell r="B27" t="str">
            <v>inch meter</v>
          </cell>
          <cell r="D27">
            <v>268610</v>
          </cell>
          <cell r="G27">
            <v>354.3</v>
          </cell>
          <cell r="I27" t="e">
            <v>#NAME?</v>
          </cell>
          <cell r="K27" t="e">
            <v>#NAME?</v>
          </cell>
          <cell r="M27" t="e">
            <v>#NAME?</v>
          </cell>
        </row>
        <row r="30">
          <cell r="G30" t="str">
            <v>Per Annum</v>
          </cell>
        </row>
        <row r="31">
          <cell r="A31" t="str">
            <v>Fire Protection:</v>
          </cell>
          <cell r="I31" t="str">
            <v>Alternative 1</v>
          </cell>
          <cell r="K31" t="str">
            <v>Alternative #2</v>
          </cell>
          <cell r="M31" t="str">
            <v>Alternative 2</v>
          </cell>
        </row>
        <row r="32">
          <cell r="G32" t="str">
            <v>Present (1)</v>
          </cell>
          <cell r="I32">
            <v>0</v>
          </cell>
          <cell r="K32" t="str">
            <v>Proposed</v>
          </cell>
          <cell r="M32">
            <v>0</v>
          </cell>
        </row>
        <row r="34">
          <cell r="A34" t="str">
            <v>Public fire hydrants - per hydrant</v>
          </cell>
          <cell r="G34">
            <v>439.81</v>
          </cell>
          <cell r="I34" t="e">
            <v>#NAME?</v>
          </cell>
          <cell r="K34" t="e">
            <v>#NAME?</v>
          </cell>
          <cell r="M34" t="e">
            <v>#NAME?</v>
          </cell>
        </row>
        <row r="36">
          <cell r="A36" t="str">
            <v>Private fire hydrants - per hydrant</v>
          </cell>
          <cell r="G36">
            <v>439.81</v>
          </cell>
          <cell r="I36" t="e">
            <v>#NAME?</v>
          </cell>
          <cell r="K36" t="e">
            <v>#NAME?</v>
          </cell>
          <cell r="M36" t="e">
            <v>#NAME?</v>
          </cell>
        </row>
        <row r="38">
          <cell r="A38" t="str">
            <v>Automatic sprinklers:</v>
          </cell>
        </row>
        <row r="39">
          <cell r="B39" t="str">
            <v>2 inch connection and under</v>
          </cell>
          <cell r="G39">
            <v>80.63</v>
          </cell>
          <cell r="I39" t="e">
            <v>#NAME?</v>
          </cell>
          <cell r="K39" t="e">
            <v>#NAME?</v>
          </cell>
          <cell r="M39" t="e">
            <v>#NAME?</v>
          </cell>
        </row>
        <row r="40">
          <cell r="B40" t="str">
            <v>3 inch connection</v>
          </cell>
          <cell r="G40">
            <v>127.07</v>
          </cell>
          <cell r="I40" t="e">
            <v>#NAME?</v>
          </cell>
          <cell r="K40" t="e">
            <v>#NAME?</v>
          </cell>
          <cell r="M40" t="e">
            <v>#NAME?</v>
          </cell>
        </row>
        <row r="41">
          <cell r="B41" t="str">
            <v>4 inch connection</v>
          </cell>
          <cell r="G41">
            <v>171.06</v>
          </cell>
          <cell r="I41" t="e">
            <v>#NAME?</v>
          </cell>
          <cell r="K41" t="e">
            <v>#NAME?</v>
          </cell>
          <cell r="M41" t="e">
            <v>#NAME?</v>
          </cell>
        </row>
        <row r="42">
          <cell r="B42" t="str">
            <v>6 inch connection</v>
          </cell>
          <cell r="G42">
            <v>256.58999999999997</v>
          </cell>
          <cell r="I42" t="e">
            <v>#NAME?</v>
          </cell>
          <cell r="K42" t="e">
            <v>#NAME?</v>
          </cell>
          <cell r="M42" t="e">
            <v>#NAME?</v>
          </cell>
        </row>
        <row r="43">
          <cell r="B43" t="str">
            <v>8 inch connection</v>
          </cell>
          <cell r="G43">
            <v>317.64</v>
          </cell>
          <cell r="I43" t="e">
            <v>#NAME?</v>
          </cell>
          <cell r="K43" t="e">
            <v>#NAME?</v>
          </cell>
          <cell r="M43" t="e">
            <v>#NAME?</v>
          </cell>
        </row>
        <row r="46">
          <cell r="G46" t="str">
            <v>Rate Per 1,000 Gallons</v>
          </cell>
        </row>
        <row r="47">
          <cell r="A47" t="str">
            <v>Special Rates:</v>
          </cell>
          <cell r="I47" t="str">
            <v>Alternative 1</v>
          </cell>
          <cell r="K47" t="str">
            <v>Alternative #2</v>
          </cell>
          <cell r="M47" t="str">
            <v>Alternative 2</v>
          </cell>
        </row>
        <row r="48">
          <cell r="G48" t="str">
            <v>Present (1)</v>
          </cell>
          <cell r="I48">
            <v>0</v>
          </cell>
          <cell r="K48" t="str">
            <v>Proposed</v>
          </cell>
          <cell r="M48">
            <v>0</v>
          </cell>
        </row>
        <row r="50">
          <cell r="A50" t="str">
            <v>Tennyson</v>
          </cell>
          <cell r="G50">
            <v>1.36</v>
          </cell>
          <cell r="I50" t="e">
            <v>#NAME?</v>
          </cell>
          <cell r="K50" t="e">
            <v>#NAME?</v>
          </cell>
          <cell r="M50" t="e">
            <v>#NAME?</v>
          </cell>
        </row>
        <row r="52">
          <cell r="A52" t="str">
            <v>Chandler</v>
          </cell>
          <cell r="G52">
            <v>1.4</v>
          </cell>
          <cell r="I52" t="e">
            <v>#NAME?</v>
          </cell>
          <cell r="K52" t="e">
            <v>#NAME?</v>
          </cell>
          <cell r="M52" t="e">
            <v>#NAME?</v>
          </cell>
        </row>
        <row r="54">
          <cell r="A54" t="str">
            <v>NON-RECURRING RATES:</v>
          </cell>
        </row>
        <row r="56">
          <cell r="A56" t="str">
            <v>No changes in non-recurring rates are being sought as part of this cause.</v>
          </cell>
        </row>
        <row r="58">
          <cell r="A58" t="str">
            <v>Notes:</v>
          </cell>
        </row>
        <row r="59">
          <cell r="A59" t="str">
            <v>(1)  Present rates and charges approved by the Indiana Utility Regulatory Commission in Cause No. 38821</v>
          </cell>
        </row>
        <row r="60">
          <cell r="A60" t="str">
            <v xml:space="preserve">      dated January 7, 1991.</v>
          </cell>
        </row>
        <row r="61">
          <cell r="A61" t="e">
            <v>#NAME?</v>
          </cell>
        </row>
        <row r="62">
          <cell r="A62" t="e">
            <v>#NAME?</v>
          </cell>
        </row>
        <row r="63">
          <cell r="A63" t="e">
            <v>#NAME?</v>
          </cell>
        </row>
        <row r="66">
          <cell r="A66" t="str">
            <v>(Continued on next page)</v>
          </cell>
        </row>
        <row r="68">
          <cell r="A68" t="str">
            <v>(Subject to the comments in the attached</v>
          </cell>
        </row>
        <row r="69">
          <cell r="A69" t="str">
            <v>letter dated May 26, 2005 of Umbaugh.)</v>
          </cell>
        </row>
        <row r="70">
          <cell r="M70" t="str">
            <v xml:space="preserve"> </v>
          </cell>
        </row>
        <row r="71">
          <cell r="A71" t="str">
            <v>18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 Info"/>
      <sheetName val="WTB"/>
      <sheetName val="Proj O&amp;M"/>
      <sheetName val="Proj O&amp;M adj"/>
      <sheetName val="RevReq"/>
      <sheetName val="Proj Cost"/>
      <sheetName val="PF COE"/>
      <sheetName val="Rev Req I"/>
      <sheetName val="Rev Req II"/>
      <sheetName val="Norm Rev"/>
      <sheetName val="Cap Impr"/>
      <sheetName val="Pres Prop Rt"/>
      <sheetName val="Comp Billings"/>
      <sheetName val="ST of NA"/>
      <sheetName val="Change in NA"/>
      <sheetName val="Detail Exp"/>
      <sheetName val="Detail Rev"/>
      <sheetName val="2001 Bonds"/>
      <sheetName val="1989 Bonds"/>
      <sheetName val="PSG Loan"/>
      <sheetName val="2005 Prop Bonds"/>
      <sheetName val="2005 Prop SRF"/>
      <sheetName val="Comb Bonds"/>
      <sheetName val="Add Plant"/>
      <sheetName val="CapImp"/>
      <sheetName val="ExpCapImp"/>
      <sheetName val="CapImp2"/>
      <sheetName val="SNA"/>
      <sheetName val="CNA"/>
      <sheetName val="SCF"/>
      <sheetName val="MinBal"/>
      <sheetName val="2000 Bonds"/>
      <sheetName val="2002 Bonds"/>
      <sheetName val="Combined"/>
      <sheetName val="Rates"/>
      <sheetName val="UPIS"/>
      <sheetName val="Comparison"/>
      <sheetName val="Payroll TY"/>
      <sheetName val="Proj Pay"/>
      <sheetName val="Rev"/>
      <sheetName val="CapImp3"/>
      <sheetName val="Intro"/>
      <sheetName val="AddPlant"/>
      <sheetName val="Adjustments"/>
      <sheetName val="Fin Info"/>
      <sheetName val="Min Bal"/>
      <sheetName val="Projected Disb."/>
      <sheetName val="Rec and Disb"/>
      <sheetName val="Return"/>
      <sheetName val="3-Year Appeal (Civil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BOONVILLE (INDIANA) MUNICIPAL WATER UTILITY</v>
          </cell>
        </row>
        <row r="3">
          <cell r="A3" t="str">
            <v>PRO FORMA ANNUAL CASH OPERATING EXPENSES</v>
          </cell>
        </row>
        <row r="4">
          <cell r="A4" t="str">
            <v>See Explanation of Adjustments, pages 3 to 11.</v>
          </cell>
        </row>
        <row r="5">
          <cell r="A5" t="str">
            <v>No inflation adjustment made.</v>
          </cell>
        </row>
        <row r="8">
          <cell r="A8" t="str">
            <v>Cash operating expenses for the 12 months</v>
          </cell>
        </row>
        <row r="9">
          <cell r="A9" t="str">
            <v xml:space="preserve">   ended June 30, 2004 (unaudited)</v>
          </cell>
          <cell r="L9">
            <v>1284092</v>
          </cell>
        </row>
        <row r="13">
          <cell r="A13" t="str">
            <v>Adjustments:</v>
          </cell>
        </row>
        <row r="15">
          <cell r="A15">
            <v>-1</v>
          </cell>
          <cell r="C15" t="str">
            <v>Payroll</v>
          </cell>
          <cell r="J15">
            <v>-63226</v>
          </cell>
        </row>
        <row r="16">
          <cell r="A16">
            <v>-2</v>
          </cell>
          <cell r="C16" t="str">
            <v>FICA</v>
          </cell>
          <cell r="J16">
            <v>168</v>
          </cell>
        </row>
        <row r="17">
          <cell r="A17">
            <v>-3</v>
          </cell>
          <cell r="C17" t="str">
            <v>Pension expense</v>
          </cell>
          <cell r="J17">
            <v>69</v>
          </cell>
        </row>
        <row r="18">
          <cell r="A18">
            <v>-4</v>
          </cell>
          <cell r="C18" t="str">
            <v>Health insurance</v>
          </cell>
          <cell r="J18">
            <v>2428</v>
          </cell>
        </row>
        <row r="19">
          <cell r="A19">
            <v>-5</v>
          </cell>
          <cell r="C19" t="str">
            <v>Life insurance</v>
          </cell>
          <cell r="J19">
            <v>12</v>
          </cell>
        </row>
        <row r="20">
          <cell r="A20">
            <v>-6</v>
          </cell>
          <cell r="C20" t="str">
            <v>Retirees insurance</v>
          </cell>
          <cell r="J20">
            <v>1242</v>
          </cell>
        </row>
        <row r="21">
          <cell r="A21">
            <v>-7</v>
          </cell>
          <cell r="C21" t="str">
            <v>Non-recurring or capital expenses</v>
          </cell>
          <cell r="J21">
            <v>-25473</v>
          </cell>
        </row>
        <row r="22">
          <cell r="A22">
            <v>-8</v>
          </cell>
          <cell r="C22" t="str">
            <v>Contractual services-US Filter</v>
          </cell>
          <cell r="J22">
            <v>6624.0149999999994</v>
          </cell>
        </row>
        <row r="23">
          <cell r="A23">
            <v>-9</v>
          </cell>
          <cell r="C23" t="str">
            <v>Contractual services-non-recurring or capital expenses</v>
          </cell>
          <cell r="J23">
            <v>-21104.080000000002</v>
          </cell>
        </row>
        <row r="24">
          <cell r="A24">
            <v>-10</v>
          </cell>
          <cell r="C24" t="str">
            <v>Rate case expense</v>
          </cell>
          <cell r="J24">
            <v>4750</v>
          </cell>
        </row>
        <row r="25">
          <cell r="A25">
            <v>-11</v>
          </cell>
          <cell r="C25" t="str">
            <v>Periodic maintenance</v>
          </cell>
          <cell r="J25">
            <v>44747.4</v>
          </cell>
        </row>
        <row r="26">
          <cell r="A26">
            <v>-12</v>
          </cell>
          <cell r="C26" t="str">
            <v>Customer growth</v>
          </cell>
          <cell r="J26">
            <v>0</v>
          </cell>
        </row>
        <row r="27">
          <cell r="A27">
            <v>-13</v>
          </cell>
          <cell r="C27" t="str">
            <v>Telephone expense</v>
          </cell>
          <cell r="J27">
            <v>208</v>
          </cell>
        </row>
        <row r="28">
          <cell r="A28">
            <v>-14</v>
          </cell>
          <cell r="C28" t="str">
            <v>General liability insurance</v>
          </cell>
          <cell r="J28">
            <v>668</v>
          </cell>
        </row>
        <row r="29">
          <cell r="A29">
            <v>-15</v>
          </cell>
          <cell r="C29" t="str">
            <v>Property and equipment insurance</v>
          </cell>
          <cell r="J29">
            <v>2480</v>
          </cell>
        </row>
        <row r="30">
          <cell r="A30">
            <v>-16</v>
          </cell>
          <cell r="C30" t="str">
            <v>Public officials insurance</v>
          </cell>
          <cell r="J30">
            <v>1100</v>
          </cell>
        </row>
        <row r="31">
          <cell r="A31">
            <v>-17</v>
          </cell>
          <cell r="C31" t="str">
            <v>Absorption costs</v>
          </cell>
          <cell r="J31">
            <v>17362</v>
          </cell>
        </row>
        <row r="32">
          <cell r="A32">
            <v>-18</v>
          </cell>
          <cell r="C32" t="str">
            <v>Payment in lieu of taxes</v>
          </cell>
          <cell r="J32">
            <v>59538</v>
          </cell>
        </row>
        <row r="33">
          <cell r="A33">
            <v>-19</v>
          </cell>
          <cell r="C33" t="str">
            <v>Gross income tax</v>
          </cell>
          <cell r="J33">
            <v>7488</v>
          </cell>
        </row>
        <row r="35">
          <cell r="E35" t="str">
            <v>Sub-total</v>
          </cell>
          <cell r="L35">
            <v>39081.334999999999</v>
          </cell>
        </row>
        <row r="37">
          <cell r="E37" t="str">
            <v>Pro Forma Annual Cash Operating Expenses</v>
          </cell>
          <cell r="L37">
            <v>1323173.335</v>
          </cell>
        </row>
        <row r="56">
          <cell r="A56" t="str">
            <v>(Continued on next page)</v>
          </cell>
        </row>
        <row r="58">
          <cell r="A58" t="str">
            <v>(Subject to the comments in the attached</v>
          </cell>
        </row>
        <row r="59">
          <cell r="A59" t="str">
            <v>letter dated May 26, 2005 of Umbaugh.)</v>
          </cell>
        </row>
        <row r="61">
          <cell r="A61" t="str">
            <v>2</v>
          </cell>
        </row>
        <row r="62">
          <cell r="A62" t="str">
            <v>BOONVILLE (INDIANA) MUNICIPAL WATER UTILITY</v>
          </cell>
        </row>
        <row r="63">
          <cell r="L63" t="str">
            <v>(Cont'd)</v>
          </cell>
        </row>
        <row r="64">
          <cell r="A64" t="str">
            <v>PRO FORMA ANNUAL CASH OPERATING EXPENSES</v>
          </cell>
        </row>
        <row r="65">
          <cell r="A65" t="str">
            <v>Explanation of adjustments</v>
          </cell>
        </row>
        <row r="66">
          <cell r="A66" t="str">
            <v>No inflation adjustment made.</v>
          </cell>
        </row>
        <row r="69">
          <cell r="A69" t="str">
            <v>Adjustment (1)</v>
          </cell>
        </row>
        <row r="71">
          <cell r="A71" t="str">
            <v xml:space="preserve">To adjust test year payroll expense to reflect pro forma salaries and wages, </v>
          </cell>
        </row>
        <row r="72">
          <cell r="A72" t="str">
            <v>(based on 2003 salary ordinance ).</v>
          </cell>
        </row>
        <row r="75">
          <cell r="C75" t="str">
            <v>Pro forma payroll</v>
          </cell>
          <cell r="L75">
            <v>59359.32</v>
          </cell>
        </row>
        <row r="76">
          <cell r="C76" t="str">
            <v>Less test year amount</v>
          </cell>
          <cell r="L76">
            <v>-122585</v>
          </cell>
        </row>
        <row r="78">
          <cell r="E78" t="str">
            <v>Adjustment</v>
          </cell>
          <cell r="L78">
            <v>-63226</v>
          </cell>
        </row>
        <row r="80">
          <cell r="A80" t="str">
            <v>Adjustment (2)</v>
          </cell>
        </row>
        <row r="82">
          <cell r="A82" t="str">
            <v>To adjust test year FICA expense to reflect pro forma payroll.</v>
          </cell>
        </row>
        <row r="84">
          <cell r="C84" t="str">
            <v>Pro forma payroll subject to FICA</v>
          </cell>
          <cell r="L84">
            <v>59359.32</v>
          </cell>
        </row>
        <row r="85">
          <cell r="C85" t="str">
            <v>Times FICA rate</v>
          </cell>
          <cell r="L85">
            <v>7.6499999999999999E-2</v>
          </cell>
        </row>
        <row r="87">
          <cell r="C87" t="str">
            <v>Pro forma FICA expense</v>
          </cell>
          <cell r="L87">
            <v>4541</v>
          </cell>
        </row>
        <row r="88">
          <cell r="C88" t="str">
            <v>Less test year amount</v>
          </cell>
          <cell r="L88">
            <v>-4373</v>
          </cell>
        </row>
        <row r="90">
          <cell r="E90" t="str">
            <v>Adjustment</v>
          </cell>
          <cell r="L90">
            <v>168</v>
          </cell>
        </row>
        <row r="92">
          <cell r="A92" t="str">
            <v>Adjustment (3)</v>
          </cell>
        </row>
        <row r="94">
          <cell r="A94" t="str">
            <v>To adjust test year PERF expense to reflect the pro forma payroll and 2001 PERF rate.</v>
          </cell>
        </row>
        <row r="96">
          <cell r="C96" t="str">
            <v>Pro forma payroll subject to PERF</v>
          </cell>
          <cell r="L96">
            <v>59359.32</v>
          </cell>
        </row>
        <row r="97">
          <cell r="C97" t="str">
            <v xml:space="preserve">Times PERF rate </v>
          </cell>
          <cell r="L97">
            <v>0.03</v>
          </cell>
        </row>
        <row r="99">
          <cell r="C99" t="str">
            <v>Pro forma PERF expense</v>
          </cell>
          <cell r="L99">
            <v>1781</v>
          </cell>
        </row>
        <row r="100">
          <cell r="C100" t="str">
            <v>Less test year expense</v>
          </cell>
          <cell r="L100">
            <v>-1712</v>
          </cell>
        </row>
        <row r="102">
          <cell r="E102" t="str">
            <v>Adjustment</v>
          </cell>
          <cell r="L102">
            <v>69</v>
          </cell>
        </row>
        <row r="117">
          <cell r="A117" t="str">
            <v>(Continued on next page)</v>
          </cell>
        </row>
        <row r="119">
          <cell r="A119" t="str">
            <v>(Subject to the comments in the attached</v>
          </cell>
        </row>
        <row r="120">
          <cell r="A120" t="str">
            <v>letter dated May 26, 2005 of Umbaugh.)</v>
          </cell>
        </row>
        <row r="122">
          <cell r="A122" t="str">
            <v>3</v>
          </cell>
        </row>
        <row r="123">
          <cell r="A123" t="str">
            <v>BOONVILLE (INDIANA) MUNICIPAL WATER UTILITY</v>
          </cell>
        </row>
        <row r="124">
          <cell r="L124" t="str">
            <v>(Cont'd)</v>
          </cell>
        </row>
        <row r="125">
          <cell r="A125" t="str">
            <v>PRO FORMA ANNUAL CASH OPERATING EXPENSES</v>
          </cell>
        </row>
        <row r="126">
          <cell r="A126" t="str">
            <v>Explanation of adjustments</v>
          </cell>
        </row>
        <row r="127">
          <cell r="A127" t="str">
            <v>No inflation adjustment made.</v>
          </cell>
        </row>
        <row r="130">
          <cell r="A130" t="str">
            <v xml:space="preserve">Adjustment (4) </v>
          </cell>
        </row>
        <row r="132">
          <cell r="A132" t="str">
            <v>To adjust test year health insurance expense to reflect the most current monthly premiums.</v>
          </cell>
        </row>
        <row r="134">
          <cell r="C134" t="str">
            <v>Pro forma health insurance expense</v>
          </cell>
          <cell r="L134">
            <v>21006</v>
          </cell>
        </row>
        <row r="135">
          <cell r="C135" t="str">
            <v>Less test year expense</v>
          </cell>
          <cell r="L135">
            <v>-18578</v>
          </cell>
        </row>
        <row r="137">
          <cell r="E137" t="str">
            <v>Adjustment</v>
          </cell>
          <cell r="L137">
            <v>2428</v>
          </cell>
        </row>
        <row r="139">
          <cell r="A139" t="str">
            <v xml:space="preserve">Adjustment (5) </v>
          </cell>
        </row>
        <row r="141">
          <cell r="A141" t="str">
            <v>To adjust test year life insurance expense to reflect the most current monthly premiums.</v>
          </cell>
        </row>
        <row r="143">
          <cell r="C143" t="str">
            <v>Pro forma life insurance expense</v>
          </cell>
          <cell r="L143">
            <v>269</v>
          </cell>
        </row>
        <row r="144">
          <cell r="C144" t="str">
            <v>Less test year expense</v>
          </cell>
          <cell r="L144">
            <v>-257</v>
          </cell>
        </row>
        <row r="146">
          <cell r="E146" t="str">
            <v>Adjustment</v>
          </cell>
          <cell r="L146">
            <v>12</v>
          </cell>
        </row>
        <row r="148">
          <cell r="A148" t="str">
            <v xml:space="preserve">Adjustment (6) </v>
          </cell>
        </row>
        <row r="150">
          <cell r="A150" t="str">
            <v>To adjust test year retirees insurance expense to reflect the most current monthly premiums.</v>
          </cell>
        </row>
        <row r="152">
          <cell r="C152" t="str">
            <v>Pro forma retirees insurance expense</v>
          </cell>
          <cell r="L152">
            <v>9043</v>
          </cell>
        </row>
        <row r="153">
          <cell r="C153" t="str">
            <v>Less test year expense</v>
          </cell>
          <cell r="L153">
            <v>-7801</v>
          </cell>
        </row>
        <row r="155">
          <cell r="E155" t="str">
            <v>Adjustment</v>
          </cell>
          <cell r="L155">
            <v>1242</v>
          </cell>
        </row>
        <row r="157">
          <cell r="A157" t="str">
            <v>Adjustment (7)</v>
          </cell>
        </row>
        <row r="159">
          <cell r="A159" t="str">
            <v xml:space="preserve">To eliminate test year expenses that are considered non-recurring or capital </v>
          </cell>
        </row>
        <row r="160">
          <cell r="A160" t="str">
            <v>expenditures.</v>
          </cell>
        </row>
        <row r="162">
          <cell r="E162" t="str">
            <v>Date</v>
          </cell>
          <cell r="G162" t="str">
            <v>Vendor</v>
          </cell>
          <cell r="I162" t="str">
            <v>Description</v>
          </cell>
          <cell r="L162" t="str">
            <v>Amount</v>
          </cell>
        </row>
        <row r="164">
          <cell r="E164" t="str">
            <v>September, 2003</v>
          </cell>
          <cell r="G164" t="str">
            <v>Tri-State Fence Co.</v>
          </cell>
          <cell r="I164" t="str">
            <v>Chain Link Fence, Iron pond</v>
          </cell>
          <cell r="L164">
            <v>-6547</v>
          </cell>
        </row>
        <row r="165">
          <cell r="E165" t="str">
            <v>November, 2003</v>
          </cell>
          <cell r="G165" t="str">
            <v>Infrasturcture systems, Inc.</v>
          </cell>
          <cell r="L165">
            <v>-6190</v>
          </cell>
        </row>
        <row r="166">
          <cell r="E166" t="str">
            <v>June, 2004</v>
          </cell>
          <cell r="G166" t="str">
            <v>Reynolds, Inc.</v>
          </cell>
          <cell r="I166" t="str">
            <v>New Filter &amp; Rehab</v>
          </cell>
          <cell r="L166">
            <v>-19283</v>
          </cell>
        </row>
        <row r="168">
          <cell r="E168" t="str">
            <v>Adjustment</v>
          </cell>
          <cell r="L168">
            <v>-25473</v>
          </cell>
        </row>
        <row r="177">
          <cell r="A177" t="str">
            <v>(Continued on next page)</v>
          </cell>
        </row>
        <row r="179">
          <cell r="A179" t="str">
            <v>(Subject to the comments in the attached</v>
          </cell>
        </row>
        <row r="180">
          <cell r="A180" t="str">
            <v>letter dated May 26, 2005 of Umbaugh.)</v>
          </cell>
        </row>
        <row r="182">
          <cell r="A182" t="str">
            <v>4</v>
          </cell>
        </row>
        <row r="183">
          <cell r="A183" t="str">
            <v>BOONVILLE (INDIANA) MUNICIPAL WATER UTILITY</v>
          </cell>
        </row>
        <row r="184">
          <cell r="L184" t="str">
            <v>(Cont'd)</v>
          </cell>
        </row>
        <row r="185">
          <cell r="A185" t="str">
            <v>PRO FORMA ANNUAL CASH OPERATING EXPENSES</v>
          </cell>
        </row>
        <row r="186">
          <cell r="A186" t="str">
            <v>Explanation of adjustments</v>
          </cell>
        </row>
        <row r="187">
          <cell r="A187" t="str">
            <v>No inflation adjustment made.</v>
          </cell>
        </row>
        <row r="190">
          <cell r="A190" t="str">
            <v>Adjustment (8)</v>
          </cell>
        </row>
        <row r="192">
          <cell r="A192" t="str">
            <v>To adjust test year contractual services expense to US Filter to reflect an increase of 1.5%.</v>
          </cell>
        </row>
        <row r="194">
          <cell r="C194" t="str">
            <v>Pro forma US Filter contract</v>
          </cell>
          <cell r="L194">
            <v>441601</v>
          </cell>
        </row>
        <row r="195">
          <cell r="C195" t="str">
            <v>Times 1.5% increase</v>
          </cell>
          <cell r="L195">
            <v>1.4999999999999999E-2</v>
          </cell>
        </row>
        <row r="197">
          <cell r="E197" t="str">
            <v>Adjustment</v>
          </cell>
          <cell r="L197">
            <v>6624.0149999999994</v>
          </cell>
        </row>
        <row r="199">
          <cell r="A199" t="str">
            <v>Adjustment (9)</v>
          </cell>
        </row>
        <row r="201">
          <cell r="A201" t="str">
            <v>To adjust test year contractual services-management fee for those expenditures</v>
          </cell>
        </row>
        <row r="202">
          <cell r="A202" t="str">
            <v>considered capital or non-recurring.</v>
          </cell>
        </row>
        <row r="204">
          <cell r="E204" t="str">
            <v>Date</v>
          </cell>
          <cell r="G204" t="str">
            <v>Vendor</v>
          </cell>
          <cell r="L204" t="str">
            <v xml:space="preserve"> </v>
          </cell>
        </row>
        <row r="205">
          <cell r="C205" t="str">
            <v xml:space="preserve"> </v>
          </cell>
          <cell r="L205" t="str">
            <v xml:space="preserve"> </v>
          </cell>
        </row>
        <row r="206">
          <cell r="E206" t="str">
            <v>September, 2003</v>
          </cell>
          <cell r="G206" t="str">
            <v>Keystone Consulting</v>
          </cell>
          <cell r="L206">
            <v>-1757</v>
          </cell>
        </row>
        <row r="207">
          <cell r="E207" t="str">
            <v>October, 2003</v>
          </cell>
          <cell r="G207" t="str">
            <v>Midwestern Engineers, Inc.</v>
          </cell>
          <cell r="L207">
            <v>-1908</v>
          </cell>
        </row>
        <row r="208">
          <cell r="E208" t="str">
            <v>October, 2003</v>
          </cell>
          <cell r="G208" t="str">
            <v>Reynolds, Inc.</v>
          </cell>
          <cell r="L208">
            <v>-1200</v>
          </cell>
        </row>
        <row r="209">
          <cell r="E209" t="str">
            <v>February, 2004</v>
          </cell>
          <cell r="G209" t="str">
            <v>Midwestern Engineers, Inc.</v>
          </cell>
          <cell r="L209">
            <v>-14119.08</v>
          </cell>
        </row>
        <row r="210">
          <cell r="E210" t="str">
            <v>March, 2004</v>
          </cell>
          <cell r="G210" t="str">
            <v>Midwestern Engineers, Inc.</v>
          </cell>
          <cell r="L210">
            <v>-500</v>
          </cell>
        </row>
        <row r="211">
          <cell r="E211" t="str">
            <v>April, 2004</v>
          </cell>
          <cell r="G211" t="str">
            <v>Midwestern Engineers, Inc.</v>
          </cell>
          <cell r="L211">
            <v>-1620</v>
          </cell>
        </row>
        <row r="212">
          <cell r="C212" t="str">
            <v xml:space="preserve">    </v>
          </cell>
        </row>
        <row r="213">
          <cell r="E213" t="str">
            <v>Adjustment</v>
          </cell>
          <cell r="L213">
            <v>-21104.080000000002</v>
          </cell>
        </row>
        <row r="215">
          <cell r="A215" t="str">
            <v xml:space="preserve">Adjustment (10) </v>
          </cell>
        </row>
        <row r="217">
          <cell r="A217" t="str">
            <v>To adjust for rate case expense amortized over a five year period.</v>
          </cell>
        </row>
        <row r="219">
          <cell r="C219" t="str">
            <v>Pro forma rate case expense</v>
          </cell>
          <cell r="L219">
            <v>25000</v>
          </cell>
        </row>
        <row r="220">
          <cell r="C220" t="str">
            <v>Amortize over 5 years</v>
          </cell>
          <cell r="L220">
            <v>5</v>
          </cell>
        </row>
        <row r="222">
          <cell r="C222" t="str">
            <v>Annual expense</v>
          </cell>
          <cell r="L222">
            <v>5000</v>
          </cell>
        </row>
        <row r="223">
          <cell r="C223" t="str">
            <v>Less test year expense</v>
          </cell>
          <cell r="L223">
            <v>-250</v>
          </cell>
        </row>
        <row r="225">
          <cell r="E225" t="str">
            <v>Adjustment</v>
          </cell>
          <cell r="L225">
            <v>4750</v>
          </cell>
        </row>
        <row r="233">
          <cell r="A233" t="str">
            <v>(Continued on next page)</v>
          </cell>
        </row>
        <row r="235">
          <cell r="A235" t="str">
            <v>(Subject to the comments in the attached</v>
          </cell>
        </row>
        <row r="236">
          <cell r="A236" t="str">
            <v>letter dated May 26, 2005 of Umbaugh.)</v>
          </cell>
        </row>
        <row r="238">
          <cell r="A238" t="str">
            <v>5</v>
          </cell>
        </row>
        <row r="239">
          <cell r="A239" t="str">
            <v>BOONVILLE (INDIANA) MUNICIPAL WATER UTILITY</v>
          </cell>
        </row>
        <row r="240">
          <cell r="L240" t="str">
            <v>(Cont'd)</v>
          </cell>
        </row>
        <row r="241">
          <cell r="A241" t="str">
            <v>PRO FORMA ANNUAL CASH OPERATING EXPENSES</v>
          </cell>
        </row>
        <row r="242">
          <cell r="A242" t="str">
            <v>Explanation of adjustments</v>
          </cell>
        </row>
        <row r="243">
          <cell r="A243" t="str">
            <v>No inflation adjustment made.</v>
          </cell>
        </row>
        <row r="246">
          <cell r="A246" t="str">
            <v xml:space="preserve">Adjustment (11) </v>
          </cell>
        </row>
        <row r="248">
          <cell r="A248" t="str">
            <v>To adjust test year expenses to reflect pro forma annual periodic maintenance expenses,</v>
          </cell>
        </row>
        <row r="249">
          <cell r="A249" t="str">
            <v>as determined by the utility manager.</v>
          </cell>
        </row>
        <row r="251">
          <cell r="A251" t="str">
            <v>A.</v>
          </cell>
          <cell r="C251" t="str">
            <v>Tank Maintenance:</v>
          </cell>
        </row>
        <row r="252">
          <cell r="C252" t="str">
            <v xml:space="preserve">   Elevated tanks (500 MG) (2 @ $97,498)</v>
          </cell>
          <cell r="J252">
            <v>194996</v>
          </cell>
        </row>
        <row r="253">
          <cell r="C253" t="str">
            <v xml:space="preserve">   Ground level tank (1.6 MG)</v>
          </cell>
          <cell r="J253">
            <v>12000</v>
          </cell>
        </row>
        <row r="254">
          <cell r="C254" t="str">
            <v xml:space="preserve">   Ground level tank (500 MG)</v>
          </cell>
          <cell r="J254">
            <v>9250</v>
          </cell>
        </row>
        <row r="256">
          <cell r="C256" t="str">
            <v xml:space="preserve">        Total</v>
          </cell>
          <cell r="J256">
            <v>216246</v>
          </cell>
        </row>
        <row r="257">
          <cell r="C257" t="str">
            <v xml:space="preserve">   Amortize over fifteen years</v>
          </cell>
          <cell r="J257">
            <v>15</v>
          </cell>
        </row>
        <row r="259">
          <cell r="C259" t="str">
            <v xml:space="preserve">        Sub-total</v>
          </cell>
          <cell r="L259">
            <v>14416.4</v>
          </cell>
        </row>
        <row r="261">
          <cell r="A261" t="str">
            <v>B.</v>
          </cell>
          <cell r="C261" t="str">
            <v>Wells:</v>
          </cell>
        </row>
        <row r="262">
          <cell r="C262" t="str">
            <v xml:space="preserve">   Well cleaning (6 wells @ $9,350)</v>
          </cell>
          <cell r="J262">
            <v>56100</v>
          </cell>
        </row>
        <row r="263">
          <cell r="C263" t="str">
            <v xml:space="preserve">   Amortize over 3 years</v>
          </cell>
          <cell r="J263">
            <v>3</v>
          </cell>
        </row>
        <row r="265">
          <cell r="C265" t="str">
            <v xml:space="preserve">        Sub-total</v>
          </cell>
          <cell r="L265">
            <v>18700</v>
          </cell>
        </row>
        <row r="267">
          <cell r="A267" t="str">
            <v>C.</v>
          </cell>
          <cell r="C267" t="str">
            <v>Clear Wells:</v>
          </cell>
        </row>
        <row r="268">
          <cell r="C268" t="str">
            <v xml:space="preserve">   Well cleaning (2 clear wells @ $10,000)</v>
          </cell>
          <cell r="J268">
            <v>20000</v>
          </cell>
        </row>
        <row r="269">
          <cell r="C269" t="str">
            <v xml:space="preserve">   Amortized over 5 years</v>
          </cell>
          <cell r="J269">
            <v>5</v>
          </cell>
        </row>
        <row r="271">
          <cell r="C271" t="str">
            <v xml:space="preserve">        Sub-total</v>
          </cell>
          <cell r="L271">
            <v>4000</v>
          </cell>
        </row>
        <row r="273">
          <cell r="A273" t="str">
            <v>D.</v>
          </cell>
          <cell r="C273" t="str">
            <v>Filters:</v>
          </cell>
        </row>
        <row r="274">
          <cell r="C274" t="str">
            <v xml:space="preserve">   Cost of overhauling filters (6 filters @ $10,000)</v>
          </cell>
          <cell r="J274">
            <v>60000</v>
          </cell>
        </row>
        <row r="275">
          <cell r="C275" t="str">
            <v xml:space="preserve">   Amortize over ten years</v>
          </cell>
          <cell r="J275">
            <v>10</v>
          </cell>
        </row>
        <row r="277">
          <cell r="C277" t="str">
            <v xml:space="preserve">        Sub-total</v>
          </cell>
          <cell r="L277">
            <v>6000</v>
          </cell>
        </row>
        <row r="279">
          <cell r="A279" t="str">
            <v>E.</v>
          </cell>
          <cell r="C279" t="str">
            <v>Pumping:</v>
          </cell>
        </row>
        <row r="280">
          <cell r="C280" t="str">
            <v xml:space="preserve">   High service booster pump maintenance (2 pumps @ $4,000)</v>
          </cell>
          <cell r="J280">
            <v>8000</v>
          </cell>
        </row>
        <row r="281">
          <cell r="C281" t="str">
            <v xml:space="preserve">   Raw booster pump maintenance (2 pumps @ $4,000)</v>
          </cell>
          <cell r="J281">
            <v>8000</v>
          </cell>
        </row>
        <row r="282">
          <cell r="C282" t="str">
            <v xml:space="preserve">   EBY booster pump maintenance (2 pumps @ $4,000)</v>
          </cell>
          <cell r="J282">
            <v>8000</v>
          </cell>
        </row>
        <row r="284">
          <cell r="C284" t="str">
            <v xml:space="preserve">        Total</v>
          </cell>
          <cell r="J284">
            <v>24000</v>
          </cell>
        </row>
        <row r="285">
          <cell r="C285" t="str">
            <v xml:space="preserve">   Amortize over ten years</v>
          </cell>
          <cell r="J285">
            <v>10</v>
          </cell>
        </row>
        <row r="287">
          <cell r="C287" t="str">
            <v xml:space="preserve">        Sub-total</v>
          </cell>
          <cell r="L287">
            <v>2400</v>
          </cell>
        </row>
        <row r="289">
          <cell r="C289" t="str">
            <v>Pro forma annual periodic maintenance expense</v>
          </cell>
          <cell r="L289">
            <v>45516.4</v>
          </cell>
        </row>
        <row r="290">
          <cell r="C290" t="str">
            <v>Less test year periodic maintenance expense</v>
          </cell>
          <cell r="L290">
            <v>-769</v>
          </cell>
        </row>
        <row r="292">
          <cell r="E292" t="str">
            <v>Adjustment</v>
          </cell>
          <cell r="L292">
            <v>44747.4</v>
          </cell>
        </row>
        <row r="294">
          <cell r="A294" t="str">
            <v>(Continued on next page)</v>
          </cell>
        </row>
        <row r="296">
          <cell r="A296" t="str">
            <v>(Subject to the comments in the attached</v>
          </cell>
        </row>
        <row r="297">
          <cell r="A297" t="str">
            <v>letter dated May 26, 2005 of Umbaugh.)</v>
          </cell>
        </row>
        <row r="299">
          <cell r="A299" t="str">
            <v>6</v>
          </cell>
        </row>
        <row r="300">
          <cell r="A300" t="str">
            <v>BOONVILLE (INDIANA) MUNICIPAL WATER UTILITY</v>
          </cell>
        </row>
        <row r="301">
          <cell r="L301" t="str">
            <v>(Cont'd)</v>
          </cell>
        </row>
        <row r="302">
          <cell r="A302" t="str">
            <v>PRO FORMA ANNUAL CASH OPERATING EXPENSES</v>
          </cell>
        </row>
        <row r="303">
          <cell r="A303" t="str">
            <v>Explanation of adjustments</v>
          </cell>
        </row>
        <row r="304">
          <cell r="A304" t="str">
            <v>No inflation adjustment made.</v>
          </cell>
        </row>
        <row r="307">
          <cell r="A307" t="str">
            <v>Adjustment (12)</v>
          </cell>
        </row>
        <row r="309">
          <cell r="A309" t="str">
            <v>To adjust test year expenses to normalize for the pro forma effects of users</v>
          </cell>
        </row>
        <row r="310">
          <cell r="A310" t="str">
            <v>added to the system during the test year.</v>
          </cell>
        </row>
        <row r="312">
          <cell r="A312" t="str">
            <v>(A)</v>
          </cell>
          <cell r="C312" t="str">
            <v>Pro forma annual increase in residential gallons sold due</v>
          </cell>
        </row>
        <row r="313">
          <cell r="C313" t="str">
            <v>to new users (78 monthly bills at 4,800 gallons</v>
          </cell>
        </row>
        <row r="314">
          <cell r="C314" t="str">
            <v>per month, see page 14)</v>
          </cell>
          <cell r="J314">
            <v>3549</v>
          </cell>
          <cell r="L314" t="str">
            <v>/100 gallons</v>
          </cell>
        </row>
        <row r="315">
          <cell r="C315" t="str">
            <v>Pro forma annual increase in commercial gallons sold due</v>
          </cell>
        </row>
        <row r="316">
          <cell r="C316" t="str">
            <v>to new users (10 monthly bills at 19,900 gallons</v>
          </cell>
        </row>
        <row r="317">
          <cell r="C317" t="str">
            <v>per month, see page 15)</v>
          </cell>
          <cell r="J317">
            <v>1716</v>
          </cell>
          <cell r="L317" t="str">
            <v>/100 gallons</v>
          </cell>
        </row>
        <row r="319">
          <cell r="C319" t="str">
            <v>Sub-total</v>
          </cell>
          <cell r="J319">
            <v>5265</v>
          </cell>
        </row>
        <row r="320">
          <cell r="C320" t="str">
            <v>Divide by test year billed flow to residential</v>
          </cell>
        </row>
        <row r="321">
          <cell r="C321" t="str">
            <v xml:space="preserve">  and commercial customers</v>
          </cell>
          <cell r="J321">
            <v>2707960</v>
          </cell>
        </row>
        <row r="323">
          <cell r="C323" t="str">
            <v xml:space="preserve">     Percentage increase</v>
          </cell>
          <cell r="J323">
            <v>0</v>
          </cell>
        </row>
        <row r="326">
          <cell r="H326" t="str">
            <v>Test Year</v>
          </cell>
          <cell r="J326" t="str">
            <v>Percentage</v>
          </cell>
        </row>
        <row r="327">
          <cell r="H327" t="str">
            <v>Expense</v>
          </cell>
          <cell r="J327" t="str">
            <v>Increase</v>
          </cell>
          <cell r="L327" t="str">
            <v>Adjustment</v>
          </cell>
        </row>
        <row r="328">
          <cell r="J328" t="str">
            <v>(%)</v>
          </cell>
        </row>
        <row r="330">
          <cell r="A330" t="str">
            <v>(A)</v>
          </cell>
          <cell r="C330" t="str">
            <v>Purchased power-source of supply</v>
          </cell>
          <cell r="H330">
            <v>43996</v>
          </cell>
          <cell r="J330">
            <v>0</v>
          </cell>
          <cell r="L330">
            <v>0</v>
          </cell>
        </row>
        <row r="331">
          <cell r="A331" t="str">
            <v>(A)</v>
          </cell>
          <cell r="C331" t="str">
            <v>Purchased power-treatment</v>
          </cell>
          <cell r="H331">
            <v>99872</v>
          </cell>
          <cell r="J331">
            <v>0</v>
          </cell>
          <cell r="L331">
            <v>0</v>
          </cell>
        </row>
        <row r="333">
          <cell r="E333" t="str">
            <v>Adjustment</v>
          </cell>
          <cell r="L333">
            <v>0</v>
          </cell>
        </row>
        <row r="355">
          <cell r="A355" t="str">
            <v>(Continued on next page)</v>
          </cell>
        </row>
        <row r="357">
          <cell r="A357" t="str">
            <v>(Subject to the comments in the attached</v>
          </cell>
        </row>
        <row r="358">
          <cell r="A358" t="str">
            <v>letter dated May 26, 2005 of Umbaugh.)</v>
          </cell>
        </row>
        <row r="360">
          <cell r="A360" t="str">
            <v>7</v>
          </cell>
        </row>
        <row r="361">
          <cell r="A361" t="str">
            <v>BOONVILLE (INDIANA) MUNICIPAL WATER UTILITY</v>
          </cell>
        </row>
        <row r="362">
          <cell r="L362" t="str">
            <v>(Cont'd)</v>
          </cell>
        </row>
        <row r="363">
          <cell r="A363" t="str">
            <v>PRO FORMA ANNUAL CASH OPERATING EXPENSES</v>
          </cell>
        </row>
        <row r="364">
          <cell r="A364" t="str">
            <v>Explanation of adjustments</v>
          </cell>
        </row>
        <row r="365">
          <cell r="A365" t="str">
            <v>No inflation adjustment made.</v>
          </cell>
        </row>
        <row r="368">
          <cell r="A368" t="str">
            <v>Adjustment (13)</v>
          </cell>
        </row>
        <row r="370">
          <cell r="A370" t="str">
            <v>To adjust test year telephone expense to reflect the most current monthly service fee.</v>
          </cell>
        </row>
        <row r="372">
          <cell r="B372" t="str">
            <v>Pro forma telephone expenses ($234.70 times 12 months)</v>
          </cell>
          <cell r="L372">
            <v>2816</v>
          </cell>
        </row>
        <row r="373">
          <cell r="B373" t="str">
            <v>Less test year expense</v>
          </cell>
          <cell r="L373">
            <v>-2608</v>
          </cell>
        </row>
        <row r="375">
          <cell r="E375" t="str">
            <v>Adjustment</v>
          </cell>
          <cell r="L375">
            <v>208</v>
          </cell>
        </row>
        <row r="378">
          <cell r="A378" t="str">
            <v>Adjustment (14)</v>
          </cell>
        </row>
        <row r="380">
          <cell r="A380" t="str">
            <v>To adjust test year general liability insurance expense to reflect the most current premium</v>
          </cell>
        </row>
        <row r="381">
          <cell r="A381" t="str">
            <v>and the absorption of costs previously allocated to the electric utility.</v>
          </cell>
        </row>
        <row r="383">
          <cell r="B383" t="str">
            <v xml:space="preserve">Quarterly general liability premium previously </v>
          </cell>
        </row>
        <row r="384">
          <cell r="B384" t="str">
            <v xml:space="preserve">  allocated to the electric utility</v>
          </cell>
          <cell r="L384">
            <v>334</v>
          </cell>
        </row>
        <row r="385">
          <cell r="B385" t="str">
            <v xml:space="preserve">Times pro forma percentage allocable to the water utility </v>
          </cell>
          <cell r="L385">
            <v>0.5</v>
          </cell>
        </row>
        <row r="387">
          <cell r="B387" t="str">
            <v>Sub-total</v>
          </cell>
          <cell r="L387">
            <v>167</v>
          </cell>
        </row>
        <row r="388">
          <cell r="B388" t="str">
            <v>Times 4 quarters</v>
          </cell>
          <cell r="L388">
            <v>4</v>
          </cell>
        </row>
        <row r="390">
          <cell r="B390" t="str">
            <v>Pro forma general liability insurance allocated to the water utility</v>
          </cell>
          <cell r="L390">
            <v>668</v>
          </cell>
        </row>
        <row r="391">
          <cell r="B391" t="str">
            <v>Less test year expense</v>
          </cell>
          <cell r="L391">
            <v>0</v>
          </cell>
        </row>
        <row r="393">
          <cell r="E393" t="str">
            <v>Adjustment</v>
          </cell>
          <cell r="L393">
            <v>668</v>
          </cell>
        </row>
        <row r="416">
          <cell r="A416" t="str">
            <v>(Continued on next page)</v>
          </cell>
        </row>
        <row r="418">
          <cell r="A418" t="str">
            <v>(Subject to the comments in the attached</v>
          </cell>
        </row>
        <row r="419">
          <cell r="A419" t="str">
            <v>letter dated May 26, 2005 of Umbaugh.)</v>
          </cell>
        </row>
        <row r="421">
          <cell r="A421" t="str">
            <v>8</v>
          </cell>
        </row>
        <row r="422">
          <cell r="A422" t="str">
            <v>BOONVILLE (INDIANA) MUNICIPAL WATER UTILITY</v>
          </cell>
        </row>
        <row r="423">
          <cell r="L423" t="str">
            <v>(Cont'd)</v>
          </cell>
        </row>
        <row r="424">
          <cell r="A424" t="str">
            <v>PRO FORMA ANNUAL CASH OPERATING EXPENSES</v>
          </cell>
        </row>
        <row r="425">
          <cell r="A425" t="str">
            <v>Explanation of adjustments</v>
          </cell>
        </row>
        <row r="426">
          <cell r="A426" t="str">
            <v>No inflation adjustment made.</v>
          </cell>
        </row>
        <row r="429">
          <cell r="A429" t="str">
            <v>Adjustment (15)</v>
          </cell>
        </row>
        <row r="431">
          <cell r="A431" t="str">
            <v>To adjust test year property and equipment insurance expense to reflect the most current premium</v>
          </cell>
        </row>
        <row r="432">
          <cell r="A432" t="str">
            <v>and the absorption of costs previously allocated to the electric utility.</v>
          </cell>
        </row>
        <row r="434">
          <cell r="B434" t="str">
            <v>Quarterly property and equipment insurance premium</v>
          </cell>
        </row>
        <row r="435">
          <cell r="B435" t="str">
            <v xml:space="preserve">  previously allocated to the electric utility</v>
          </cell>
          <cell r="L435">
            <v>826.25</v>
          </cell>
        </row>
        <row r="436">
          <cell r="B436" t="str">
            <v xml:space="preserve">Times pro forma percentage allocable to the water utility </v>
          </cell>
          <cell r="L436">
            <v>0.5</v>
          </cell>
        </row>
        <row r="438">
          <cell r="B438" t="str">
            <v>Sub-total</v>
          </cell>
          <cell r="L438">
            <v>413.125</v>
          </cell>
        </row>
        <row r="439">
          <cell r="B439" t="str">
            <v>Add existing quarterly premium allocated to the water utility</v>
          </cell>
          <cell r="L439">
            <v>826.25</v>
          </cell>
        </row>
        <row r="441">
          <cell r="B441" t="str">
            <v>Pro forma quarterly premium</v>
          </cell>
          <cell r="L441">
            <v>1239</v>
          </cell>
        </row>
        <row r="442">
          <cell r="B442" t="str">
            <v>Times 4 quarters</v>
          </cell>
          <cell r="L442">
            <v>4</v>
          </cell>
        </row>
        <row r="444">
          <cell r="B444" t="str">
            <v>Pro forma property and equipment insurance allocated to the water utility</v>
          </cell>
          <cell r="L444">
            <v>4956</v>
          </cell>
        </row>
        <row r="445">
          <cell r="B445" t="str">
            <v>Less test year expense</v>
          </cell>
          <cell r="L445">
            <v>-2476</v>
          </cell>
        </row>
        <row r="447">
          <cell r="E447" t="str">
            <v>Adjustment</v>
          </cell>
          <cell r="L447">
            <v>2480</v>
          </cell>
        </row>
        <row r="450">
          <cell r="A450" t="str">
            <v>Adjustment (16)</v>
          </cell>
        </row>
        <row r="452">
          <cell r="A452" t="str">
            <v>To adjust test year public officials insurance expense to reflect the portion of the most</v>
          </cell>
        </row>
        <row r="453">
          <cell r="A453" t="str">
            <v>current premium to be allocated to the water utility.</v>
          </cell>
        </row>
        <row r="455">
          <cell r="B455" t="str">
            <v>Quarterly public officials insurance premium to be allocated</v>
          </cell>
        </row>
        <row r="456">
          <cell r="B456" t="str">
            <v xml:space="preserve">  to the water utility ($1,650 divided by 6 departments)</v>
          </cell>
          <cell r="L456">
            <v>275</v>
          </cell>
        </row>
        <row r="457">
          <cell r="B457" t="str">
            <v>Times 4 quarters</v>
          </cell>
          <cell r="L457">
            <v>4</v>
          </cell>
        </row>
        <row r="459">
          <cell r="B459" t="str">
            <v>Pro forma public officials insurance allocated to the water utility</v>
          </cell>
          <cell r="L459">
            <v>1100</v>
          </cell>
        </row>
        <row r="460">
          <cell r="B460" t="str">
            <v>Less test year expense</v>
          </cell>
          <cell r="L460">
            <v>0</v>
          </cell>
        </row>
        <row r="462">
          <cell r="E462" t="str">
            <v>Adjustment</v>
          </cell>
          <cell r="L462">
            <v>1100</v>
          </cell>
        </row>
        <row r="477">
          <cell r="A477" t="str">
            <v>(Continued on next page)</v>
          </cell>
        </row>
        <row r="479">
          <cell r="A479" t="str">
            <v>(Subject to the comments in the attached</v>
          </cell>
        </row>
        <row r="480">
          <cell r="A480" t="str">
            <v>letter dated May 26, 2005 of Umbaugh.)</v>
          </cell>
        </row>
        <row r="482">
          <cell r="A482" t="str">
            <v>9</v>
          </cell>
        </row>
        <row r="483">
          <cell r="A483" t="str">
            <v>BOONVILLE (INDIANA) MUNICIPAL WATER UTILITY</v>
          </cell>
        </row>
        <row r="484">
          <cell r="L484" t="str">
            <v>(Cont'd)</v>
          </cell>
        </row>
        <row r="485">
          <cell r="A485" t="str">
            <v>PRO FORMA ANNUAL CASH OPERATING EXPENSES</v>
          </cell>
        </row>
        <row r="486">
          <cell r="A486" t="str">
            <v>Explanation of adjustments</v>
          </cell>
        </row>
        <row r="487">
          <cell r="A487" t="str">
            <v>No inflation adjustment made.</v>
          </cell>
        </row>
        <row r="490">
          <cell r="A490" t="str">
            <v>Adjustment (17)</v>
          </cell>
        </row>
        <row r="492">
          <cell r="A492" t="str">
            <v>To adjust test year water utility operation and maintenance expense to reflect those</v>
          </cell>
        </row>
        <row r="493">
          <cell r="A493" t="str">
            <v>costs previously charged to the electric utility that will remain the responsibility of the</v>
          </cell>
        </row>
        <row r="494">
          <cell r="A494" t="str">
            <v xml:space="preserve">City of Boonville and be charged to other departments.  </v>
          </cell>
        </row>
        <row r="495">
          <cell r="L495" t="str">
            <v>Amount</v>
          </cell>
        </row>
        <row r="496">
          <cell r="L496" t="str">
            <v>Allocated to the</v>
          </cell>
        </row>
        <row r="497">
          <cell r="B497" t="str">
            <v>Vendor</v>
          </cell>
          <cell r="L497" t="str">
            <v>Water Utility</v>
          </cell>
        </row>
        <row r="499">
          <cell r="B499" t="str">
            <v>A.E. Boyce</v>
          </cell>
          <cell r="L499">
            <v>732</v>
          </cell>
        </row>
        <row r="500">
          <cell r="B500" t="str">
            <v>Action Pest Control</v>
          </cell>
          <cell r="L500">
            <v>97</v>
          </cell>
        </row>
        <row r="501">
          <cell r="B501" t="str">
            <v>Aramark Uniform Services</v>
          </cell>
          <cell r="L501">
            <v>409</v>
          </cell>
        </row>
        <row r="502">
          <cell r="B502" t="str">
            <v>Ameritech</v>
          </cell>
          <cell r="L502">
            <v>205</v>
          </cell>
        </row>
        <row r="503">
          <cell r="B503" t="str">
            <v>Boonville Natural Gas</v>
          </cell>
          <cell r="L503">
            <v>366</v>
          </cell>
        </row>
        <row r="504">
          <cell r="B504" t="str">
            <v>CNG Appliances</v>
          </cell>
          <cell r="L504">
            <v>35</v>
          </cell>
        </row>
        <row r="505">
          <cell r="B505" t="str">
            <v>Charmark Computer Services</v>
          </cell>
          <cell r="L505">
            <v>1852</v>
          </cell>
        </row>
        <row r="506">
          <cell r="B506" t="str">
            <v>Diebold Inc.</v>
          </cell>
          <cell r="L506">
            <v>184</v>
          </cell>
        </row>
        <row r="507">
          <cell r="B507" t="str">
            <v>Ikon Office Solutions</v>
          </cell>
          <cell r="L507">
            <v>408</v>
          </cell>
        </row>
        <row r="508">
          <cell r="B508" t="str">
            <v>Killion Office Products</v>
          </cell>
          <cell r="L508">
            <v>2545</v>
          </cell>
        </row>
        <row r="509">
          <cell r="B509" t="str">
            <v>Lang Company</v>
          </cell>
          <cell r="L509">
            <v>488</v>
          </cell>
        </row>
        <row r="510">
          <cell r="B510" t="str">
            <v>McNeely Insurance</v>
          </cell>
          <cell r="L510">
            <v>4703</v>
          </cell>
        </row>
        <row r="511">
          <cell r="B511" t="str">
            <v>Pitney Bowes</v>
          </cell>
          <cell r="L511">
            <v>553</v>
          </cell>
        </row>
        <row r="512">
          <cell r="B512" t="str">
            <v>Starbrite Window Cleaning</v>
          </cell>
          <cell r="L512">
            <v>64</v>
          </cell>
        </row>
        <row r="513">
          <cell r="B513" t="str">
            <v>Servpro</v>
          </cell>
          <cell r="L513">
            <v>291</v>
          </cell>
        </row>
        <row r="514">
          <cell r="B514" t="str">
            <v>US Postmaster</v>
          </cell>
          <cell r="L514">
            <v>4069</v>
          </cell>
        </row>
        <row r="515">
          <cell r="B515" t="str">
            <v>Wal-Mart</v>
          </cell>
          <cell r="L515">
            <v>226</v>
          </cell>
        </row>
        <row r="516">
          <cell r="B516" t="str">
            <v>Xerox Corp.</v>
          </cell>
          <cell r="L516">
            <v>135</v>
          </cell>
        </row>
        <row r="518">
          <cell r="E518" t="str">
            <v>Adjustment</v>
          </cell>
          <cell r="L518">
            <v>17362</v>
          </cell>
        </row>
        <row r="538">
          <cell r="A538" t="str">
            <v>(Continued on next page)</v>
          </cell>
        </row>
        <row r="540">
          <cell r="A540" t="str">
            <v>(Subject to the comments in the attached</v>
          </cell>
        </row>
        <row r="541">
          <cell r="A541" t="str">
            <v>letter dated May 26, 2005 of Umbaugh.)</v>
          </cell>
        </row>
        <row r="543">
          <cell r="A543" t="str">
            <v>10</v>
          </cell>
        </row>
        <row r="544">
          <cell r="A544" t="str">
            <v>BOONVILLE (INDIANA) MUNICIPAL WATER UTILITY</v>
          </cell>
        </row>
        <row r="545">
          <cell r="L545" t="str">
            <v>(Cont'd)</v>
          </cell>
        </row>
        <row r="546">
          <cell r="A546" t="str">
            <v>PRO FORMA ANNUAL CASH OPERATING EXPENSES</v>
          </cell>
        </row>
        <row r="547">
          <cell r="A547" t="str">
            <v>Explanation of adjustments</v>
          </cell>
        </row>
        <row r="548">
          <cell r="A548" t="str">
            <v>No inflation adjustment made.</v>
          </cell>
        </row>
        <row r="551">
          <cell r="A551" t="str">
            <v>Adjustment (18)</v>
          </cell>
        </row>
        <row r="553">
          <cell r="A553" t="str">
            <v xml:space="preserve">To provide for payment in lieu of property taxes which would have been received </v>
          </cell>
        </row>
        <row r="554">
          <cell r="A554" t="str">
            <v>had the Utility been privately owned.</v>
          </cell>
        </row>
        <row r="556">
          <cell r="C556" t="str">
            <v>Utility plant in service at 6/30/04  (unaudited)</v>
          </cell>
          <cell r="L556">
            <v>5169797</v>
          </cell>
        </row>
        <row r="557">
          <cell r="C557" t="str">
            <v>Less accumulated depreciation</v>
          </cell>
          <cell r="L557">
            <v>45810</v>
          </cell>
        </row>
        <row r="558">
          <cell r="C558" t="str">
            <v>Add capitalized items in test year</v>
          </cell>
          <cell r="L558">
            <v>46577.08</v>
          </cell>
        </row>
        <row r="560">
          <cell r="C560" t="str">
            <v>Net utility plant in service</v>
          </cell>
          <cell r="L560">
            <v>5262184.08</v>
          </cell>
        </row>
        <row r="561">
          <cell r="C561" t="str">
            <v>Divide by 3</v>
          </cell>
          <cell r="L561">
            <v>3</v>
          </cell>
        </row>
        <row r="563">
          <cell r="E563" t="str">
            <v>Estimated net assessed value</v>
          </cell>
          <cell r="L563">
            <v>1754061</v>
          </cell>
        </row>
        <row r="565">
          <cell r="C565" t="str">
            <v>Payment in lieu of taxes based on the corporate tax rate of $4.3800</v>
          </cell>
        </row>
        <row r="566">
          <cell r="C566" t="str">
            <v xml:space="preserve">   per $100 of assessed value for taxes payable in 2005 (rate net of </v>
          </cell>
        </row>
        <row r="567">
          <cell r="C567" t="str">
            <v xml:space="preserve">   15.9966% property tax replacement credit is $3.6793)</v>
          </cell>
          <cell r="L567">
            <v>64538</v>
          </cell>
        </row>
        <row r="569">
          <cell r="C569" t="str">
            <v>Less test year expense</v>
          </cell>
          <cell r="L569">
            <v>-5000</v>
          </cell>
        </row>
        <row r="571">
          <cell r="E571" t="str">
            <v>Adjustment</v>
          </cell>
          <cell r="L571">
            <v>59538</v>
          </cell>
        </row>
        <row r="574">
          <cell r="A574" t="str">
            <v>Adjustment (19)</v>
          </cell>
        </row>
        <row r="576">
          <cell r="A576" t="str">
            <v>To provide for pro forma gross income tax.</v>
          </cell>
        </row>
        <row r="578">
          <cell r="C578" t="str">
            <v>Test year revenues</v>
          </cell>
          <cell r="L578">
            <v>2735078</v>
          </cell>
        </row>
        <row r="579">
          <cell r="C579" t="str">
            <v>Plus normalized revenues (see page 14)</v>
          </cell>
          <cell r="L579">
            <v>1770.6</v>
          </cell>
        </row>
        <row r="580">
          <cell r="C580" t="str">
            <v>Less 1/2 of exemption</v>
          </cell>
          <cell r="L580">
            <v>-500</v>
          </cell>
        </row>
        <row r="581">
          <cell r="C581" t="str">
            <v>Less test year municipal hydrant rental</v>
          </cell>
          <cell r="L581">
            <v>-1123562</v>
          </cell>
        </row>
        <row r="583">
          <cell r="C583" t="str">
            <v>Sub-total</v>
          </cell>
          <cell r="L583">
            <v>1612786.6</v>
          </cell>
        </row>
        <row r="584">
          <cell r="C584" t="str">
            <v>Times corporate tax rate</v>
          </cell>
          <cell r="L584">
            <v>1.2E-2</v>
          </cell>
        </row>
        <row r="586">
          <cell r="C586" t="str">
            <v>Pro forma gross income tax</v>
          </cell>
          <cell r="L586">
            <v>19353</v>
          </cell>
        </row>
        <row r="587">
          <cell r="C587" t="str">
            <v>Less test year expense</v>
          </cell>
          <cell r="L587">
            <v>-11865</v>
          </cell>
        </row>
        <row r="589">
          <cell r="E589" t="str">
            <v>Adjustment</v>
          </cell>
          <cell r="L589">
            <v>7488</v>
          </cell>
        </row>
        <row r="599">
          <cell r="A599" t="str">
            <v>(Continued on next page)</v>
          </cell>
        </row>
        <row r="601">
          <cell r="A601" t="str">
            <v>(Subject to the comments in the attached</v>
          </cell>
        </row>
        <row r="602">
          <cell r="A602" t="str">
            <v>letter dated May 26, 2005 of Umbaugh.)</v>
          </cell>
        </row>
        <row r="604">
          <cell r="A604" t="str">
            <v>11</v>
          </cell>
        </row>
      </sheetData>
      <sheetData sheetId="7" refreshError="1">
        <row r="1">
          <cell r="A1" t="str">
            <v>GREENSBURG (INDIANA) MUNICIPAL SEWAGE WORKS</v>
          </cell>
        </row>
        <row r="2">
          <cell r="K2" t="str">
            <v>Phase I</v>
          </cell>
        </row>
        <row r="3">
          <cell r="A3" t="str">
            <v>SUMMARY OF PRO FORMA REVENUE REQUIREMENTS</v>
          </cell>
        </row>
        <row r="4">
          <cell r="A4" t="str">
            <v>AND AVAILABLE REVENUES</v>
          </cell>
        </row>
        <row r="5">
          <cell r="A5" t="str">
            <v>See Explanation of Adjustments, Page 17.</v>
          </cell>
        </row>
        <row r="7">
          <cell r="G7" t="str">
            <v>Alternatives</v>
          </cell>
        </row>
        <row r="8">
          <cell r="G8" t="str">
            <v>A</v>
          </cell>
          <cell r="I8" t="str">
            <v>B</v>
          </cell>
          <cell r="K8" t="str">
            <v>C</v>
          </cell>
        </row>
        <row r="9">
          <cell r="A9" t="str">
            <v>Revenue Requirements:</v>
          </cell>
        </row>
        <row r="10">
          <cell r="B10" t="str">
            <v>Operation and maintenance expense (1)</v>
          </cell>
        </row>
        <row r="12">
          <cell r="B12" t="str">
            <v>Additional gross income tax (2)</v>
          </cell>
        </row>
        <row r="14">
          <cell r="B14" t="str">
            <v>Additional allowance for PILT (2a)</v>
          </cell>
        </row>
        <row r="16">
          <cell r="B16" t="str">
            <v>Debt service:</v>
          </cell>
        </row>
        <row r="17">
          <cell r="C17" t="str">
            <v>Outstanding:</v>
          </cell>
        </row>
        <row r="18">
          <cell r="D18" t="str">
            <v>1989 Bonds (3)</v>
          </cell>
        </row>
        <row r="19">
          <cell r="D19" t="str">
            <v>PSG Loan (4)</v>
          </cell>
        </row>
        <row r="22">
          <cell r="B22" t="str">
            <v>Debt service reserves:</v>
          </cell>
        </row>
        <row r="23">
          <cell r="C23" t="str">
            <v>Proposed (funded over five years)</v>
          </cell>
        </row>
        <row r="25">
          <cell r="B25" t="str">
            <v>Allowance for replacements and improvements (5)</v>
          </cell>
        </row>
        <row r="27">
          <cell r="D27" t="str">
            <v>Sub-total</v>
          </cell>
        </row>
        <row r="28">
          <cell r="B28" t="str">
            <v>Less interest income (6)</v>
          </cell>
        </row>
        <row r="30">
          <cell r="D30" t="str">
            <v>Total Revenue Requirements</v>
          </cell>
        </row>
        <row r="32">
          <cell r="A32" t="str">
            <v>Available Revenues:</v>
          </cell>
        </row>
        <row r="33">
          <cell r="B33" t="str">
            <v>Normalized metered sales (7)</v>
          </cell>
        </row>
        <row r="34">
          <cell r="B34" t="str">
            <v>Hydrant rental (6)</v>
          </cell>
        </row>
        <row r="36">
          <cell r="C36" t="str">
            <v>Sub-total</v>
          </cell>
        </row>
        <row r="37">
          <cell r="B37" t="str">
            <v>Penalties (6)</v>
          </cell>
        </row>
        <row r="38">
          <cell r="B38" t="str">
            <v>Tap-in fees (6)</v>
          </cell>
        </row>
        <row r="39">
          <cell r="B39" t="str">
            <v>Other income (6)</v>
          </cell>
        </row>
        <row r="41">
          <cell r="D41" t="str">
            <v>Total Available Revenues</v>
          </cell>
        </row>
        <row r="43">
          <cell r="A43" t="str">
            <v>Additional Revenues Required</v>
          </cell>
        </row>
        <row r="45">
          <cell r="A45" t="str">
            <v>Percentage Increase Required in Rates and Charges</v>
          </cell>
        </row>
        <row r="47">
          <cell r="A47" t="str">
            <v>Resulting Minimum Monthly Bill</v>
          </cell>
        </row>
        <row r="48">
          <cell r="A48" t="str">
            <v xml:space="preserve">  (Presently $8.68 based on 2,520 gallons)</v>
          </cell>
        </row>
        <row r="50">
          <cell r="A50" t="str">
            <v>Resulting Average Monthly Bill</v>
          </cell>
        </row>
        <row r="51">
          <cell r="A51" t="str">
            <v xml:space="preserve">  (Presently $17.25 based on 5,000 gallons)</v>
          </cell>
        </row>
        <row r="53">
          <cell r="A53" t="str">
            <v>Phase I:</v>
          </cell>
          <cell r="C53" t="str">
            <v>Calculates the immediate additional revenues required.</v>
          </cell>
        </row>
        <row r="54">
          <cell r="A54" t="str">
            <v>Phase II:</v>
          </cell>
          <cell r="C54" t="str">
            <v>Calculates the estimated effects of proposed $8,850,000 in improvement projects.</v>
          </cell>
        </row>
        <row r="55">
          <cell r="A55" t="str">
            <v>Alternative 2:  Represents and allowance for extensions and replacements equal to test year repair and</v>
          </cell>
        </row>
        <row r="56">
          <cell r="A56" t="str">
            <v xml:space="preserve">  maintenance costs in excess of the contracted amount.</v>
          </cell>
        </row>
        <row r="57">
          <cell r="A57" t="str">
            <v>Phase III:</v>
          </cell>
          <cell r="C57" t="str">
            <v>Incorporates the additional depreciation expense and allowance for Payment in Lieu of Taxes resulting</v>
          </cell>
        </row>
        <row r="58">
          <cell r="C58" t="str">
            <v>fromt he proposed improvements.</v>
          </cell>
        </row>
        <row r="60">
          <cell r="A60" t="e">
            <v>#REF!</v>
          </cell>
        </row>
        <row r="62">
          <cell r="A62" t="str">
            <v>(Subject to the comments in the attached</v>
          </cell>
        </row>
        <row r="63">
          <cell r="A63" t="str">
            <v>letter dated May 26, 2005 of Umbaugh.)</v>
          </cell>
        </row>
        <row r="65">
          <cell r="A65" t="str">
            <v>16</v>
          </cell>
        </row>
        <row r="66">
          <cell r="A66" t="str">
            <v>GREENSBURG (INDIANA) MUNICIPAL SEWAGE WORKS</v>
          </cell>
        </row>
        <row r="67">
          <cell r="K67" t="str">
            <v>(Cont'd)</v>
          </cell>
        </row>
        <row r="68">
          <cell r="A68" t="str">
            <v>SUMMARY OF PRO FORMA REVENUE REQUIREMENTS</v>
          </cell>
        </row>
        <row r="69">
          <cell r="A69" t="str">
            <v>AND AVAILABLE REVENUES</v>
          </cell>
        </row>
        <row r="70">
          <cell r="A70" t="str">
            <v>Explanation of Adjustments</v>
          </cell>
        </row>
        <row r="74">
          <cell r="A74">
            <v>-1</v>
          </cell>
          <cell r="B74" t="str">
            <v>To provide for operation and maintenance expenses as explained on pages 2 - 11.</v>
          </cell>
        </row>
        <row r="76">
          <cell r="A76">
            <v>-2</v>
          </cell>
          <cell r="B76" t="str">
            <v>To provide for additional gross income tax.</v>
          </cell>
        </row>
        <row r="77">
          <cell r="B77" t="str">
            <v>Phase I:</v>
          </cell>
        </row>
        <row r="79">
          <cell r="C79" t="str">
            <v>Additional operating revenues requested</v>
          </cell>
          <cell r="K79">
            <v>0</v>
          </cell>
        </row>
        <row r="80">
          <cell r="C80" t="str">
            <v xml:space="preserve">Less portion of increased revenue requirements </v>
          </cell>
        </row>
        <row r="81">
          <cell r="C81" t="str">
            <v xml:space="preserve">  attributable to public fire protection (not subject to tax)</v>
          </cell>
          <cell r="K81">
            <v>0</v>
          </cell>
        </row>
        <row r="83">
          <cell r="D83" t="str">
            <v>Sub-total</v>
          </cell>
          <cell r="K83">
            <v>0</v>
          </cell>
        </row>
        <row r="84">
          <cell r="C84" t="str">
            <v>Times corporate gross income tax rate (1.2%)</v>
          </cell>
          <cell r="K84">
            <v>1.2E-2</v>
          </cell>
        </row>
        <row r="86">
          <cell r="D86" t="str">
            <v>Adjustment</v>
          </cell>
          <cell r="K86">
            <v>0</v>
          </cell>
        </row>
        <row r="88">
          <cell r="B88" t="str">
            <v>Phase II:</v>
          </cell>
        </row>
        <row r="90">
          <cell r="C90" t="str">
            <v>Additional operating revenues requested</v>
          </cell>
          <cell r="K90">
            <v>0</v>
          </cell>
        </row>
        <row r="91">
          <cell r="C91" t="str">
            <v xml:space="preserve">Less portion of increased revenue requirements </v>
          </cell>
        </row>
        <row r="92">
          <cell r="C92" t="str">
            <v xml:space="preserve">  attributable to public fire protection (not subject to tax)</v>
          </cell>
          <cell r="K92">
            <v>0</v>
          </cell>
        </row>
        <row r="94">
          <cell r="D94" t="str">
            <v>Sub-total</v>
          </cell>
          <cell r="K94">
            <v>0</v>
          </cell>
        </row>
        <row r="95">
          <cell r="C95" t="str">
            <v>Times corporate gross income tax rate (1.2%)</v>
          </cell>
          <cell r="K95">
            <v>1.2E-2</v>
          </cell>
        </row>
        <row r="97">
          <cell r="D97" t="str">
            <v>Adjustment</v>
          </cell>
          <cell r="K97">
            <v>0</v>
          </cell>
        </row>
        <row r="99">
          <cell r="B99" t="str">
            <v>Phase III:</v>
          </cell>
        </row>
        <row r="101">
          <cell r="C101" t="str">
            <v>Additional operating revenues requested</v>
          </cell>
          <cell r="K101">
            <v>0</v>
          </cell>
        </row>
        <row r="102">
          <cell r="C102" t="str">
            <v xml:space="preserve">Less portion of increased revenue requirements </v>
          </cell>
        </row>
        <row r="103">
          <cell r="C103" t="str">
            <v xml:space="preserve">  attributable to public fire protection (not subject to tax)</v>
          </cell>
          <cell r="K103">
            <v>0</v>
          </cell>
        </row>
        <row r="105">
          <cell r="D105" t="str">
            <v>Sub-total</v>
          </cell>
          <cell r="K105">
            <v>0</v>
          </cell>
        </row>
        <row r="106">
          <cell r="C106" t="str">
            <v>Times corporate gross income tax rate (1.2%)</v>
          </cell>
          <cell r="K106">
            <v>1.2E-2</v>
          </cell>
        </row>
        <row r="108">
          <cell r="D108" t="str">
            <v>Adjustment</v>
          </cell>
          <cell r="K108">
            <v>0</v>
          </cell>
        </row>
        <row r="110">
          <cell r="A110" t="str">
            <v>(2a)</v>
          </cell>
          <cell r="B110" t="e">
            <v>#VALUE!</v>
          </cell>
        </row>
        <row r="112">
          <cell r="A112">
            <v>-3</v>
          </cell>
          <cell r="B112" t="str">
            <v>To provide for average annual principal and interest on the outstanding bonds, page 28.</v>
          </cell>
        </row>
        <row r="114">
          <cell r="A114">
            <v>-4</v>
          </cell>
          <cell r="B114" t="str">
            <v>To provide for average annual principal and interest on the outstanding Professional Services Group loan, page 29.</v>
          </cell>
        </row>
        <row r="116">
          <cell r="A116">
            <v>-5</v>
          </cell>
          <cell r="B116" t="str">
            <v>Phase I and Phase II:  To provide an allowance for replacements and improvements based on depreciation expense.</v>
          </cell>
        </row>
        <row r="117">
          <cell r="B117" t="str">
            <v>Phase III:  To provide an allowance for replacements and improvements based on depreciation expense - including the</v>
          </cell>
        </row>
        <row r="118">
          <cell r="B118" t="str">
            <v>proposed improvements.</v>
          </cell>
        </row>
        <row r="120">
          <cell r="A120">
            <v>-6</v>
          </cell>
          <cell r="B120" t="str">
            <v>Calculated at test year amounts.</v>
          </cell>
        </row>
        <row r="122">
          <cell r="A122">
            <v>-7</v>
          </cell>
          <cell r="B122" t="str">
            <v>Normalized metered sales, page 14.</v>
          </cell>
        </row>
        <row r="125">
          <cell r="A125" t="str">
            <v>(Subject to the comments in the attached</v>
          </cell>
        </row>
        <row r="126">
          <cell r="A126" t="str">
            <v>letter dated May 26, 2005 of Umbaugh.)</v>
          </cell>
        </row>
        <row r="128">
          <cell r="A128" t="str">
            <v>17</v>
          </cell>
        </row>
      </sheetData>
      <sheetData sheetId="8" refreshError="1"/>
      <sheetData sheetId="9" refreshError="1">
        <row r="1">
          <cell r="A1" t="str">
            <v>GREENSBURG (INDIANA) MUNICIPAL SEWAGE WORKS</v>
          </cell>
        </row>
        <row r="3">
          <cell r="A3" t="str">
            <v>CALCULATION OF NORMALIZED ANNUAL OPERATING REVENUES</v>
          </cell>
        </row>
        <row r="4">
          <cell r="A4" t="str">
            <v>- Residential -</v>
          </cell>
        </row>
        <row r="7">
          <cell r="H7" t="str">
            <v>12 Months</v>
          </cell>
          <cell r="L7" t="str">
            <v>Normalized</v>
          </cell>
        </row>
        <row r="8">
          <cell r="H8" t="str">
            <v>Ended</v>
          </cell>
          <cell r="L8" t="str">
            <v>Annual</v>
          </cell>
        </row>
        <row r="9">
          <cell r="H9">
            <v>38168</v>
          </cell>
          <cell r="J9" t="str">
            <v>Adjustments</v>
          </cell>
          <cell r="L9" t="str">
            <v>Revenues</v>
          </cell>
        </row>
        <row r="10">
          <cell r="A10" t="str">
            <v>Operating Revenues</v>
          </cell>
          <cell r="H10" t="str">
            <v>(Unaudited)</v>
          </cell>
        </row>
        <row r="12">
          <cell r="B12" t="str">
            <v>Metered sales</v>
          </cell>
          <cell r="H12">
            <v>449420</v>
          </cell>
          <cell r="J12">
            <v>1237.8</v>
          </cell>
          <cell r="K12" t="str">
            <v>(1)</v>
          </cell>
          <cell r="L12" t="str">
            <v xml:space="preserve"> </v>
          </cell>
        </row>
        <row r="13">
          <cell r="J13">
            <v>532.79999999999995</v>
          </cell>
          <cell r="K13" t="str">
            <v>(2)</v>
          </cell>
          <cell r="L13">
            <v>451190.6</v>
          </cell>
        </row>
        <row r="14">
          <cell r="B14" t="str">
            <v>Hydrant rental</v>
          </cell>
          <cell r="H14">
            <v>1123562</v>
          </cell>
          <cell r="L14">
            <v>1123562</v>
          </cell>
        </row>
        <row r="15">
          <cell r="B15" t="str">
            <v>Penalties</v>
          </cell>
          <cell r="H15">
            <v>29257</v>
          </cell>
          <cell r="L15">
            <v>29257</v>
          </cell>
        </row>
        <row r="16">
          <cell r="B16" t="str">
            <v>Other income</v>
          </cell>
          <cell r="H16">
            <v>1132839</v>
          </cell>
          <cell r="L16">
            <v>1132839</v>
          </cell>
        </row>
        <row r="18">
          <cell r="B18" t="str">
            <v>Totals</v>
          </cell>
          <cell r="H18">
            <v>2735078</v>
          </cell>
          <cell r="J18">
            <v>1770.6</v>
          </cell>
          <cell r="L18">
            <v>2736848.6</v>
          </cell>
        </row>
        <row r="21">
          <cell r="B21" t="str">
            <v xml:space="preserve">(1)    To adjust test year operating revenues to normalize for the estimated financial effects of </v>
          </cell>
        </row>
        <row r="22">
          <cell r="B22" t="str">
            <v xml:space="preserve">         approximately 7 less users to the system from the beginning of the test year</v>
          </cell>
        </row>
        <row r="23">
          <cell r="B23" t="str">
            <v xml:space="preserve">         (based on billing records).</v>
          </cell>
        </row>
        <row r="25">
          <cell r="B25" t="str">
            <v>Residential Revenues:</v>
          </cell>
          <cell r="F25" t="str">
            <v>Times</v>
          </cell>
        </row>
        <row r="26">
          <cell r="D26" t="str">
            <v>Increase/</v>
          </cell>
          <cell r="F26" t="str">
            <v>Estimated</v>
          </cell>
          <cell r="H26" t="str">
            <v>Additional</v>
          </cell>
          <cell r="J26" t="str">
            <v>Estimated</v>
          </cell>
        </row>
        <row r="27">
          <cell r="B27" t="str">
            <v>Billing</v>
          </cell>
          <cell r="D27" t="str">
            <v>(Decrease)</v>
          </cell>
          <cell r="F27" t="str">
            <v>Additional</v>
          </cell>
          <cell r="H27" t="str">
            <v>Monthly</v>
          </cell>
          <cell r="J27" t="str">
            <v>Monthly</v>
          </cell>
        </row>
        <row r="28">
          <cell r="B28" t="str">
            <v>Cycle</v>
          </cell>
          <cell r="D28" t="str">
            <v>In Users (A)</v>
          </cell>
          <cell r="F28" t="str">
            <v>Monthly Bills</v>
          </cell>
          <cell r="H28" t="str">
            <v>Bills</v>
          </cell>
          <cell r="J28" t="str">
            <v>Bill (B)</v>
          </cell>
          <cell r="L28" t="str">
            <v>Amount</v>
          </cell>
        </row>
        <row r="30">
          <cell r="B30" t="str">
            <v>July 2003</v>
          </cell>
          <cell r="D30">
            <v>4</v>
          </cell>
          <cell r="F30" t="str">
            <v xml:space="preserve"> </v>
          </cell>
          <cell r="H30">
            <v>0</v>
          </cell>
          <cell r="J30">
            <v>15.87</v>
          </cell>
          <cell r="L30">
            <v>0</v>
          </cell>
        </row>
        <row r="31">
          <cell r="B31" t="str">
            <v>August</v>
          </cell>
          <cell r="D31">
            <v>2</v>
          </cell>
          <cell r="F31">
            <v>1</v>
          </cell>
          <cell r="H31">
            <v>2</v>
          </cell>
          <cell r="J31">
            <v>15.87</v>
          </cell>
          <cell r="L31">
            <v>31.7</v>
          </cell>
        </row>
        <row r="32">
          <cell r="B32" t="str">
            <v>September</v>
          </cell>
          <cell r="D32">
            <v>0</v>
          </cell>
          <cell r="F32">
            <v>2</v>
          </cell>
          <cell r="H32">
            <v>0</v>
          </cell>
          <cell r="J32">
            <v>15.87</v>
          </cell>
          <cell r="L32">
            <v>0</v>
          </cell>
        </row>
        <row r="33">
          <cell r="B33" t="str">
            <v>October</v>
          </cell>
          <cell r="D33">
            <v>-4</v>
          </cell>
          <cell r="F33">
            <v>3</v>
          </cell>
          <cell r="H33">
            <v>-12</v>
          </cell>
          <cell r="J33">
            <v>15.87</v>
          </cell>
          <cell r="L33">
            <v>-190.4</v>
          </cell>
        </row>
        <row r="34">
          <cell r="B34" t="str">
            <v>November</v>
          </cell>
          <cell r="D34">
            <v>-16</v>
          </cell>
          <cell r="F34">
            <v>4</v>
          </cell>
          <cell r="H34">
            <v>-64</v>
          </cell>
          <cell r="J34">
            <v>15.87</v>
          </cell>
          <cell r="L34">
            <v>-1015.7</v>
          </cell>
        </row>
        <row r="35">
          <cell r="B35" t="str">
            <v>December</v>
          </cell>
          <cell r="D35">
            <v>-15</v>
          </cell>
          <cell r="F35">
            <v>5</v>
          </cell>
          <cell r="H35">
            <v>-75</v>
          </cell>
          <cell r="J35">
            <v>15.87</v>
          </cell>
          <cell r="L35">
            <v>-1190.3</v>
          </cell>
        </row>
        <row r="36">
          <cell r="B36" t="str">
            <v>January 2004</v>
          </cell>
          <cell r="D36">
            <v>-2</v>
          </cell>
          <cell r="F36">
            <v>6</v>
          </cell>
          <cell r="H36">
            <v>-12</v>
          </cell>
          <cell r="J36">
            <v>15.87</v>
          </cell>
          <cell r="L36">
            <v>-190.4</v>
          </cell>
        </row>
        <row r="37">
          <cell r="B37" t="str">
            <v>February</v>
          </cell>
          <cell r="D37">
            <v>1</v>
          </cell>
          <cell r="F37">
            <v>7</v>
          </cell>
          <cell r="H37">
            <v>7</v>
          </cell>
          <cell r="J37">
            <v>15.87</v>
          </cell>
          <cell r="L37">
            <v>111.1</v>
          </cell>
        </row>
        <row r="38">
          <cell r="B38" t="str">
            <v>March</v>
          </cell>
          <cell r="D38">
            <v>7</v>
          </cell>
          <cell r="F38">
            <v>8</v>
          </cell>
          <cell r="H38">
            <v>56</v>
          </cell>
          <cell r="J38">
            <v>15.87</v>
          </cell>
          <cell r="L38">
            <v>888.7</v>
          </cell>
        </row>
        <row r="39">
          <cell r="B39" t="str">
            <v>April</v>
          </cell>
          <cell r="D39">
            <v>-7</v>
          </cell>
          <cell r="F39">
            <v>9</v>
          </cell>
          <cell r="H39">
            <v>-63</v>
          </cell>
          <cell r="J39">
            <v>15.87</v>
          </cell>
          <cell r="L39">
            <v>-999.8</v>
          </cell>
        </row>
        <row r="40">
          <cell r="B40" t="str">
            <v>May</v>
          </cell>
          <cell r="D40">
            <v>14</v>
          </cell>
          <cell r="F40">
            <v>10</v>
          </cell>
          <cell r="H40">
            <v>140</v>
          </cell>
          <cell r="J40">
            <v>15.87</v>
          </cell>
          <cell r="L40">
            <v>2221.8000000000002</v>
          </cell>
        </row>
        <row r="41">
          <cell r="B41" t="str">
            <v>June</v>
          </cell>
          <cell r="D41">
            <v>9</v>
          </cell>
          <cell r="F41">
            <v>11</v>
          </cell>
          <cell r="H41">
            <v>99</v>
          </cell>
          <cell r="J41">
            <v>15.87</v>
          </cell>
          <cell r="L41">
            <v>1571.1</v>
          </cell>
        </row>
        <row r="43">
          <cell r="B43" t="str">
            <v xml:space="preserve">        Totals</v>
          </cell>
          <cell r="D43">
            <v>-7</v>
          </cell>
          <cell r="H43">
            <v>78</v>
          </cell>
          <cell r="L43">
            <v>1237.8</v>
          </cell>
        </row>
        <row r="46">
          <cell r="B46" t="str">
            <v>(A)    Per utility personnel and monthly billing summaries.</v>
          </cell>
        </row>
        <row r="47">
          <cell r="B47" t="str">
            <v>(B)    Estimated monthly bill assuming average residential consumption of 4,600 gallons priced at</v>
          </cell>
        </row>
        <row r="48">
          <cell r="B48" t="str">
            <v xml:space="preserve">         present rates (average bill calculated based on historical average bill for a residential customer).</v>
          </cell>
        </row>
        <row r="50">
          <cell r="A50" t="str">
            <v>(Continued on next page)</v>
          </cell>
        </row>
        <row r="52">
          <cell r="A52" t="str">
            <v>(Subject to the comments in the attached</v>
          </cell>
        </row>
        <row r="53">
          <cell r="A53" t="str">
            <v>letter dated May 26, 2005 of Umbaugh.)</v>
          </cell>
        </row>
        <row r="55">
          <cell r="A55" t="str">
            <v>14</v>
          </cell>
        </row>
        <row r="56">
          <cell r="A56" t="str">
            <v>GREENSBURG (INDIANA) MUNICIPAL SEWAGE WORKS</v>
          </cell>
        </row>
        <row r="57">
          <cell r="L57" t="str">
            <v>(Cont'd)</v>
          </cell>
        </row>
        <row r="58">
          <cell r="A58" t="str">
            <v>CALCULATION OF NORMALIZED ANNUAL OPERATING REVENUES</v>
          </cell>
        </row>
        <row r="59">
          <cell r="A59" t="str">
            <v>- Commercial -</v>
          </cell>
        </row>
        <row r="62">
          <cell r="B62" t="str">
            <v xml:space="preserve">(2)    To adjust test year operating revenues to normalize for the estimated financial effects of </v>
          </cell>
        </row>
        <row r="63">
          <cell r="B63" t="str">
            <v xml:space="preserve">         approximately 0 new users added to the system from the beginning of the test year</v>
          </cell>
        </row>
        <row r="64">
          <cell r="B64" t="str">
            <v xml:space="preserve">         (based on billing records).</v>
          </cell>
        </row>
        <row r="66">
          <cell r="B66" t="str">
            <v>Commercial Revenues:</v>
          </cell>
          <cell r="F66" t="str">
            <v>Times</v>
          </cell>
        </row>
        <row r="67">
          <cell r="D67" t="str">
            <v>Increase/</v>
          </cell>
          <cell r="F67" t="str">
            <v>Estimated</v>
          </cell>
          <cell r="H67" t="str">
            <v>Additional</v>
          </cell>
          <cell r="J67" t="str">
            <v>Estimated</v>
          </cell>
        </row>
        <row r="68">
          <cell r="B68" t="str">
            <v>Billing</v>
          </cell>
          <cell r="D68" t="str">
            <v>(Decrease)</v>
          </cell>
          <cell r="F68" t="str">
            <v>Additional</v>
          </cell>
          <cell r="H68" t="str">
            <v>Monthly</v>
          </cell>
          <cell r="J68" t="str">
            <v>Monthly</v>
          </cell>
        </row>
        <row r="69">
          <cell r="B69" t="str">
            <v>Cycle</v>
          </cell>
          <cell r="D69" t="str">
            <v>In Users (A)</v>
          </cell>
          <cell r="F69" t="str">
            <v>Monthly Bills</v>
          </cell>
          <cell r="H69" t="str">
            <v>Bills</v>
          </cell>
          <cell r="J69" t="str">
            <v>Bill (B)</v>
          </cell>
          <cell r="L69" t="str">
            <v>Amount</v>
          </cell>
        </row>
        <row r="71">
          <cell r="B71" t="str">
            <v>July 2003</v>
          </cell>
          <cell r="D71">
            <v>1</v>
          </cell>
          <cell r="F71" t="str">
            <v xml:space="preserve"> </v>
          </cell>
          <cell r="H71">
            <v>0</v>
          </cell>
          <cell r="J71">
            <v>53.29</v>
          </cell>
          <cell r="L71">
            <v>0</v>
          </cell>
        </row>
        <row r="72">
          <cell r="B72" t="str">
            <v>August</v>
          </cell>
          <cell r="D72">
            <v>-2</v>
          </cell>
          <cell r="F72">
            <v>1</v>
          </cell>
          <cell r="H72">
            <v>-2</v>
          </cell>
          <cell r="J72">
            <v>53.29</v>
          </cell>
          <cell r="L72">
            <v>-106.6</v>
          </cell>
        </row>
        <row r="73">
          <cell r="B73" t="str">
            <v>September</v>
          </cell>
          <cell r="D73">
            <v>3</v>
          </cell>
          <cell r="F73">
            <v>2</v>
          </cell>
          <cell r="H73">
            <v>6</v>
          </cell>
          <cell r="J73">
            <v>53.29</v>
          </cell>
          <cell r="L73">
            <v>319.7</v>
          </cell>
        </row>
        <row r="74">
          <cell r="B74" t="str">
            <v>October</v>
          </cell>
          <cell r="D74">
            <v>-1</v>
          </cell>
          <cell r="F74">
            <v>3</v>
          </cell>
          <cell r="H74">
            <v>-3</v>
          </cell>
          <cell r="J74">
            <v>53.29</v>
          </cell>
          <cell r="L74">
            <v>-159.9</v>
          </cell>
        </row>
        <row r="75">
          <cell r="B75" t="str">
            <v>November</v>
          </cell>
          <cell r="D75">
            <v>1</v>
          </cell>
          <cell r="F75">
            <v>4</v>
          </cell>
          <cell r="H75">
            <v>4</v>
          </cell>
          <cell r="J75">
            <v>53.29</v>
          </cell>
          <cell r="L75">
            <v>213.2</v>
          </cell>
        </row>
        <row r="76">
          <cell r="B76" t="str">
            <v>December</v>
          </cell>
          <cell r="D76">
            <v>-5</v>
          </cell>
          <cell r="F76">
            <v>5</v>
          </cell>
          <cell r="H76">
            <v>-25</v>
          </cell>
          <cell r="J76">
            <v>53.29</v>
          </cell>
          <cell r="L76">
            <v>-1332.3</v>
          </cell>
        </row>
        <row r="77">
          <cell r="B77" t="str">
            <v>January 2004</v>
          </cell>
          <cell r="D77">
            <v>0</v>
          </cell>
          <cell r="F77">
            <v>6</v>
          </cell>
          <cell r="H77">
            <v>0</v>
          </cell>
          <cell r="J77">
            <v>53.29</v>
          </cell>
          <cell r="L77">
            <v>0</v>
          </cell>
        </row>
        <row r="78">
          <cell r="B78" t="str">
            <v>February</v>
          </cell>
          <cell r="D78">
            <v>0</v>
          </cell>
          <cell r="F78">
            <v>7</v>
          </cell>
          <cell r="H78">
            <v>0</v>
          </cell>
          <cell r="J78">
            <v>53.29</v>
          </cell>
          <cell r="L78">
            <v>0</v>
          </cell>
        </row>
        <row r="79">
          <cell r="B79" t="str">
            <v>March</v>
          </cell>
          <cell r="D79">
            <v>0</v>
          </cell>
          <cell r="F79">
            <v>8</v>
          </cell>
          <cell r="H79">
            <v>0</v>
          </cell>
          <cell r="J79">
            <v>53.29</v>
          </cell>
          <cell r="L79">
            <v>0</v>
          </cell>
        </row>
        <row r="80">
          <cell r="B80" t="str">
            <v>April</v>
          </cell>
          <cell r="D80">
            <v>-1</v>
          </cell>
          <cell r="F80">
            <v>9</v>
          </cell>
          <cell r="H80">
            <v>-9</v>
          </cell>
          <cell r="J80">
            <v>53.29</v>
          </cell>
          <cell r="L80">
            <v>-479.6</v>
          </cell>
        </row>
        <row r="81">
          <cell r="B81" t="str">
            <v>May</v>
          </cell>
          <cell r="D81">
            <v>5</v>
          </cell>
          <cell r="F81">
            <v>10</v>
          </cell>
          <cell r="H81">
            <v>50</v>
          </cell>
          <cell r="J81">
            <v>53.29</v>
          </cell>
          <cell r="L81">
            <v>2664.5</v>
          </cell>
        </row>
        <row r="82">
          <cell r="B82" t="str">
            <v>June</v>
          </cell>
          <cell r="D82">
            <v>-1</v>
          </cell>
          <cell r="F82">
            <v>11</v>
          </cell>
          <cell r="H82">
            <v>-11</v>
          </cell>
          <cell r="J82">
            <v>53.29</v>
          </cell>
          <cell r="L82">
            <v>-586.20000000000005</v>
          </cell>
        </row>
        <row r="84">
          <cell r="B84" t="str">
            <v xml:space="preserve">        Totals</v>
          </cell>
          <cell r="D84">
            <v>0</v>
          </cell>
          <cell r="H84">
            <v>10</v>
          </cell>
          <cell r="L84">
            <v>532.79999999999995</v>
          </cell>
        </row>
        <row r="87">
          <cell r="B87" t="str">
            <v>(A)    Per utility personnel and monthly billing summaries.</v>
          </cell>
        </row>
        <row r="88">
          <cell r="B88" t="str">
            <v>(B)    Estimated monthly bill assuming average commercial consumption of 17,200 gallons priced at</v>
          </cell>
        </row>
        <row r="89">
          <cell r="B89" t="str">
            <v xml:space="preserve">         present rates (average bill calculated based on historical average bill for a commercial customer).</v>
          </cell>
        </row>
        <row r="107">
          <cell r="A107" t="str">
            <v>(Subject to the comments in the attached</v>
          </cell>
        </row>
        <row r="108">
          <cell r="A108" t="str">
            <v>letter dated May 26, 2005 of Umbaugh.)</v>
          </cell>
        </row>
        <row r="110">
          <cell r="A110" t="str">
            <v>15</v>
          </cell>
        </row>
      </sheetData>
      <sheetData sheetId="10" refreshError="1"/>
      <sheetData sheetId="11" refreshError="1">
        <row r="1">
          <cell r="A1" t="str">
            <v>GREENSBURG (INDIANA) MUNICIPAL SEWAGE WORKS</v>
          </cell>
        </row>
        <row r="3">
          <cell r="A3" t="str">
            <v>SCHEDULE OF PRESENT AND PROPOSED RATES AND CHARGES</v>
          </cell>
        </row>
        <row r="6">
          <cell r="A6" t="str">
            <v>RECURRING RATES:</v>
          </cell>
        </row>
        <row r="7">
          <cell r="G7" t="str">
            <v>Rate Per 1,000 Gallons</v>
          </cell>
        </row>
        <row r="8">
          <cell r="A8" t="str">
            <v>Metered Rates Per Month:</v>
          </cell>
          <cell r="I8" t="str">
            <v>Alternative 1</v>
          </cell>
          <cell r="K8" t="str">
            <v>Alternative #2</v>
          </cell>
          <cell r="M8" t="str">
            <v>Alternative 2</v>
          </cell>
        </row>
        <row r="9">
          <cell r="G9" t="str">
            <v>Present (1)</v>
          </cell>
          <cell r="I9">
            <v>0</v>
          </cell>
          <cell r="K9">
            <v>0</v>
          </cell>
          <cell r="M9">
            <v>0</v>
          </cell>
        </row>
        <row r="11">
          <cell r="A11" t="str">
            <v>First</v>
          </cell>
          <cell r="B11" t="str">
            <v>10,000</v>
          </cell>
          <cell r="D11" t="str">
            <v>gallons</v>
          </cell>
          <cell r="G11">
            <v>3.45</v>
          </cell>
          <cell r="I11" t="e">
            <v>#NAME?</v>
          </cell>
          <cell r="K11" t="e">
            <v>#NAME?</v>
          </cell>
          <cell r="M11" t="e">
            <v>#NAME?</v>
          </cell>
        </row>
        <row r="12">
          <cell r="A12" t="str">
            <v>Next</v>
          </cell>
          <cell r="B12" t="str">
            <v>20,000</v>
          </cell>
          <cell r="D12" t="str">
            <v>gallons</v>
          </cell>
          <cell r="G12">
            <v>2.61</v>
          </cell>
          <cell r="I12" t="e">
            <v>#NAME?</v>
          </cell>
          <cell r="K12" t="e">
            <v>#NAME?</v>
          </cell>
          <cell r="M12" t="e">
            <v>#NAME?</v>
          </cell>
        </row>
        <row r="13">
          <cell r="A13" t="str">
            <v>Next</v>
          </cell>
          <cell r="B13" t="str">
            <v>70,000</v>
          </cell>
          <cell r="D13" t="str">
            <v>gallons</v>
          </cell>
          <cell r="G13">
            <v>1.73</v>
          </cell>
          <cell r="I13" t="e">
            <v>#NAME?</v>
          </cell>
          <cell r="K13" t="e">
            <v>#NAME?</v>
          </cell>
          <cell r="M13" t="e">
            <v>#NAME?</v>
          </cell>
        </row>
        <row r="14">
          <cell r="A14" t="str">
            <v>Over</v>
          </cell>
          <cell r="B14" t="str">
            <v>100,000</v>
          </cell>
          <cell r="D14" t="str">
            <v>gallons</v>
          </cell>
          <cell r="G14">
            <v>0.87</v>
          </cell>
          <cell r="I14" t="e">
            <v>#NAME?</v>
          </cell>
          <cell r="K14" t="e">
            <v>#NAME?</v>
          </cell>
          <cell r="M14" t="e">
            <v>#NAME?</v>
          </cell>
        </row>
        <row r="17">
          <cell r="D17" t="str">
            <v>Gallons</v>
          </cell>
          <cell r="G17" t="str">
            <v>Per Month</v>
          </cell>
        </row>
        <row r="18">
          <cell r="A18" t="str">
            <v>Minimum Charge:</v>
          </cell>
          <cell r="D18" t="str">
            <v>Allowed</v>
          </cell>
          <cell r="I18" t="str">
            <v>Alternative 1</v>
          </cell>
          <cell r="K18" t="str">
            <v>Alternative #2</v>
          </cell>
          <cell r="M18" t="str">
            <v>Alternative 2</v>
          </cell>
        </row>
        <row r="19">
          <cell r="G19" t="str">
            <v>Present (1)</v>
          </cell>
          <cell r="I19">
            <v>0</v>
          </cell>
          <cell r="K19" t="str">
            <v>Proposed</v>
          </cell>
          <cell r="M19">
            <v>0</v>
          </cell>
        </row>
        <row r="21">
          <cell r="A21" t="str">
            <v>5/8</v>
          </cell>
          <cell r="B21" t="str">
            <v>inch meter</v>
          </cell>
          <cell r="D21">
            <v>2520</v>
          </cell>
          <cell r="G21">
            <v>8.68</v>
          </cell>
          <cell r="I21" t="e">
            <v>#NAME?</v>
          </cell>
          <cell r="K21" t="e">
            <v>#NAME?</v>
          </cell>
          <cell r="M21" t="e">
            <v>#NAME?</v>
          </cell>
        </row>
        <row r="22">
          <cell r="A22" t="str">
            <v>3/4</v>
          </cell>
          <cell r="B22" t="str">
            <v>inch meter</v>
          </cell>
          <cell r="D22">
            <v>2520</v>
          </cell>
          <cell r="G22">
            <v>8.68</v>
          </cell>
          <cell r="I22" t="e">
            <v>#NAME?</v>
          </cell>
          <cell r="K22" t="e">
            <v>#NAME?</v>
          </cell>
          <cell r="M22" t="e">
            <v>#NAME?</v>
          </cell>
        </row>
        <row r="23">
          <cell r="A23" t="str">
            <v>1</v>
          </cell>
          <cell r="B23" t="str">
            <v>inch meter</v>
          </cell>
          <cell r="D23">
            <v>6410</v>
          </cell>
          <cell r="G23">
            <v>21.99</v>
          </cell>
          <cell r="I23" t="e">
            <v>#NAME?</v>
          </cell>
          <cell r="K23" t="e">
            <v>#NAME?</v>
          </cell>
          <cell r="M23" t="e">
            <v>#NAME?</v>
          </cell>
        </row>
        <row r="24">
          <cell r="A24" t="str">
            <v>1 1/2</v>
          </cell>
          <cell r="B24" t="str">
            <v>inch meter</v>
          </cell>
          <cell r="D24">
            <v>15560</v>
          </cell>
          <cell r="G24">
            <v>48.87</v>
          </cell>
          <cell r="I24" t="e">
            <v>#NAME?</v>
          </cell>
          <cell r="K24" t="e">
            <v>#NAME?</v>
          </cell>
          <cell r="M24" t="e">
            <v>#NAME?</v>
          </cell>
        </row>
        <row r="25">
          <cell r="A25" t="str">
            <v>2</v>
          </cell>
          <cell r="B25" t="str">
            <v>inch meter</v>
          </cell>
          <cell r="D25">
            <v>29660</v>
          </cell>
          <cell r="G25">
            <v>85.53</v>
          </cell>
          <cell r="I25" t="e">
            <v>#NAME?</v>
          </cell>
          <cell r="K25" t="e">
            <v>#NAME?</v>
          </cell>
          <cell r="M25" t="e">
            <v>#NAME?</v>
          </cell>
        </row>
        <row r="26">
          <cell r="A26" t="str">
            <v>3</v>
          </cell>
          <cell r="B26" t="str">
            <v>inch meter</v>
          </cell>
          <cell r="D26">
            <v>93130</v>
          </cell>
          <cell r="G26">
            <v>195.48</v>
          </cell>
          <cell r="I26" t="e">
            <v>#NAME?</v>
          </cell>
          <cell r="K26" t="e">
            <v>#NAME?</v>
          </cell>
          <cell r="M26" t="e">
            <v>#NAME?</v>
          </cell>
        </row>
        <row r="27">
          <cell r="A27" t="str">
            <v>4</v>
          </cell>
          <cell r="B27" t="str">
            <v>inch meter</v>
          </cell>
          <cell r="D27">
            <v>268610</v>
          </cell>
          <cell r="G27">
            <v>354.3</v>
          </cell>
          <cell r="I27" t="e">
            <v>#NAME?</v>
          </cell>
          <cell r="K27" t="e">
            <v>#NAME?</v>
          </cell>
          <cell r="M27" t="e">
            <v>#NAME?</v>
          </cell>
        </row>
        <row r="30">
          <cell r="G30" t="str">
            <v>Per Annum</v>
          </cell>
        </row>
        <row r="31">
          <cell r="A31" t="str">
            <v>Fire Protection:</v>
          </cell>
          <cell r="I31" t="str">
            <v>Alternative 1</v>
          </cell>
          <cell r="K31" t="str">
            <v>Alternative #2</v>
          </cell>
          <cell r="M31" t="str">
            <v>Alternative 2</v>
          </cell>
        </row>
        <row r="32">
          <cell r="G32" t="str">
            <v>Present (1)</v>
          </cell>
          <cell r="I32">
            <v>0</v>
          </cell>
          <cell r="K32" t="str">
            <v>Proposed</v>
          </cell>
          <cell r="M32">
            <v>0</v>
          </cell>
        </row>
        <row r="34">
          <cell r="A34" t="str">
            <v>Public fire hydrants - per hydrant</v>
          </cell>
          <cell r="G34">
            <v>439.81</v>
          </cell>
          <cell r="I34" t="e">
            <v>#NAME?</v>
          </cell>
          <cell r="K34" t="e">
            <v>#NAME?</v>
          </cell>
          <cell r="M34" t="e">
            <v>#NAME?</v>
          </cell>
        </row>
        <row r="36">
          <cell r="A36" t="str">
            <v>Private fire hydrants - per hydrant</v>
          </cell>
          <cell r="G36">
            <v>439.81</v>
          </cell>
          <cell r="I36" t="e">
            <v>#NAME?</v>
          </cell>
          <cell r="K36" t="e">
            <v>#NAME?</v>
          </cell>
          <cell r="M36" t="e">
            <v>#NAME?</v>
          </cell>
        </row>
        <row r="38">
          <cell r="A38" t="str">
            <v>Automatic sprinklers:</v>
          </cell>
        </row>
        <row r="39">
          <cell r="B39" t="str">
            <v>2 inch connection and under</v>
          </cell>
          <cell r="G39">
            <v>80.63</v>
          </cell>
          <cell r="I39" t="e">
            <v>#NAME?</v>
          </cell>
          <cell r="K39" t="e">
            <v>#NAME?</v>
          </cell>
          <cell r="M39" t="e">
            <v>#NAME?</v>
          </cell>
        </row>
        <row r="40">
          <cell r="B40" t="str">
            <v>3 inch connection</v>
          </cell>
          <cell r="G40">
            <v>127.07</v>
          </cell>
          <cell r="I40" t="e">
            <v>#NAME?</v>
          </cell>
          <cell r="K40" t="e">
            <v>#NAME?</v>
          </cell>
          <cell r="M40" t="e">
            <v>#NAME?</v>
          </cell>
        </row>
        <row r="41">
          <cell r="B41" t="str">
            <v>4 inch connection</v>
          </cell>
          <cell r="G41">
            <v>171.06</v>
          </cell>
          <cell r="I41" t="e">
            <v>#NAME?</v>
          </cell>
          <cell r="K41" t="e">
            <v>#NAME?</v>
          </cell>
          <cell r="M41" t="e">
            <v>#NAME?</v>
          </cell>
        </row>
        <row r="42">
          <cell r="B42" t="str">
            <v>6 inch connection</v>
          </cell>
          <cell r="G42">
            <v>256.58999999999997</v>
          </cell>
          <cell r="I42" t="e">
            <v>#NAME?</v>
          </cell>
          <cell r="K42" t="e">
            <v>#NAME?</v>
          </cell>
          <cell r="M42" t="e">
            <v>#NAME?</v>
          </cell>
        </row>
        <row r="43">
          <cell r="B43" t="str">
            <v>8 inch connection</v>
          </cell>
          <cell r="G43">
            <v>317.64</v>
          </cell>
          <cell r="I43" t="e">
            <v>#NAME?</v>
          </cell>
          <cell r="K43" t="e">
            <v>#NAME?</v>
          </cell>
          <cell r="M43" t="e">
            <v>#NAME?</v>
          </cell>
        </row>
        <row r="46">
          <cell r="G46" t="str">
            <v>Rate Per 1,000 Gallons</v>
          </cell>
        </row>
        <row r="47">
          <cell r="A47" t="str">
            <v>Special Rates:</v>
          </cell>
          <cell r="I47" t="str">
            <v>Alternative 1</v>
          </cell>
          <cell r="K47" t="str">
            <v>Alternative #2</v>
          </cell>
          <cell r="M47" t="str">
            <v>Alternative 2</v>
          </cell>
        </row>
        <row r="48">
          <cell r="G48" t="str">
            <v>Present (1)</v>
          </cell>
          <cell r="I48">
            <v>0</v>
          </cell>
          <cell r="K48" t="str">
            <v>Proposed</v>
          </cell>
          <cell r="M48">
            <v>0</v>
          </cell>
        </row>
        <row r="50">
          <cell r="A50" t="str">
            <v>Tennyson</v>
          </cell>
          <cell r="G50">
            <v>1.36</v>
          </cell>
          <cell r="I50" t="e">
            <v>#NAME?</v>
          </cell>
          <cell r="K50" t="e">
            <v>#NAME?</v>
          </cell>
          <cell r="M50" t="e">
            <v>#NAME?</v>
          </cell>
        </row>
        <row r="52">
          <cell r="A52" t="str">
            <v>Chandler</v>
          </cell>
          <cell r="G52">
            <v>1.4</v>
          </cell>
          <cell r="I52" t="e">
            <v>#NAME?</v>
          </cell>
          <cell r="K52" t="e">
            <v>#NAME?</v>
          </cell>
          <cell r="M52" t="e">
            <v>#NAME?</v>
          </cell>
        </row>
        <row r="54">
          <cell r="A54" t="str">
            <v>NON-RECURRING RATES:</v>
          </cell>
        </row>
        <row r="56">
          <cell r="A56" t="str">
            <v>No changes in non-recurring rates are being sought as part of this cause.</v>
          </cell>
        </row>
        <row r="58">
          <cell r="A58" t="str">
            <v>Notes:</v>
          </cell>
        </row>
        <row r="59">
          <cell r="A59" t="str">
            <v>(1)  Present rates and charges approved by the Indiana Utility Regulatory Commission in Cause No. 38821</v>
          </cell>
        </row>
        <row r="60">
          <cell r="A60" t="str">
            <v xml:space="preserve">      dated January 7, 1991.</v>
          </cell>
        </row>
        <row r="61">
          <cell r="A61" t="e">
            <v>#NAME?</v>
          </cell>
        </row>
        <row r="62">
          <cell r="A62" t="e">
            <v>#NAME?</v>
          </cell>
        </row>
        <row r="63">
          <cell r="A63" t="e">
            <v>#NAME?</v>
          </cell>
        </row>
        <row r="66">
          <cell r="A66" t="str">
            <v>(Continued on next page)</v>
          </cell>
        </row>
        <row r="68">
          <cell r="A68" t="str">
            <v>(Subject to the comments in the attached</v>
          </cell>
        </row>
        <row r="69">
          <cell r="A69" t="str">
            <v>letter dated May 26, 2005 of Umbaugh.)</v>
          </cell>
        </row>
        <row r="70">
          <cell r="M70" t="str">
            <v xml:space="preserve"> </v>
          </cell>
        </row>
        <row r="71">
          <cell r="A71" t="str">
            <v>18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">
          <cell r="A1" t="str">
            <v>GREENSBURG (INDIANA) MUNICIPAL SEWAGE WORKS</v>
          </cell>
        </row>
        <row r="3">
          <cell r="A3" t="str">
            <v>SCHEDULE OF AMORTIZATION OF $340,748.02 PRINCIPAL AMOUNT</v>
          </cell>
        </row>
        <row r="4">
          <cell r="A4" t="str">
            <v>OF OUTSTANDING LOAN FROM PROFESSIONAL SERVICES GROUP</v>
          </cell>
        </row>
        <row r="5">
          <cell r="A5" t="str">
            <v>Principal and interest payable monthly.</v>
          </cell>
        </row>
        <row r="6">
          <cell r="A6" t="str">
            <v>Interest rate of 9.5%</v>
          </cell>
        </row>
        <row r="7">
          <cell r="A7" t="str">
            <v>(Unaudited)</v>
          </cell>
        </row>
        <row r="10">
          <cell r="C10" t="str">
            <v>Principal</v>
          </cell>
          <cell r="G10" t="str">
            <v>Interest</v>
          </cell>
          <cell r="I10" t="str">
            <v>Debt Service</v>
          </cell>
        </row>
        <row r="11">
          <cell r="A11" t="str">
            <v>Year</v>
          </cell>
          <cell r="C11" t="str">
            <v>Balance</v>
          </cell>
          <cell r="E11" t="str">
            <v>Principal</v>
          </cell>
          <cell r="G11" t="str">
            <v>Rate(s)</v>
          </cell>
          <cell r="I11" t="str">
            <v>Interest</v>
          </cell>
          <cell r="K11" t="str">
            <v>Total</v>
          </cell>
        </row>
        <row r="12">
          <cell r="C12" t="str">
            <v xml:space="preserve">  (--------------In Dollars----------)</v>
          </cell>
          <cell r="G12" t="str">
            <v>(%)</v>
          </cell>
          <cell r="I12" t="str">
            <v xml:space="preserve">  (------------In Dollars-----------)</v>
          </cell>
        </row>
        <row r="14">
          <cell r="A14">
            <v>2004</v>
          </cell>
          <cell r="C14">
            <v>191110.04</v>
          </cell>
          <cell r="E14">
            <v>52676.59</v>
          </cell>
          <cell r="G14">
            <v>9.5</v>
          </cell>
          <cell r="I14">
            <v>15901.009999999998</v>
          </cell>
          <cell r="K14">
            <v>68577.599999999991</v>
          </cell>
        </row>
        <row r="15">
          <cell r="A15">
            <v>2005</v>
          </cell>
          <cell r="C15">
            <v>138433.45000000001</v>
          </cell>
          <cell r="E15">
            <v>57904.61</v>
          </cell>
          <cell r="G15">
            <v>9.5</v>
          </cell>
          <cell r="I15">
            <v>10672.989999999998</v>
          </cell>
          <cell r="K15">
            <v>68577.600000000006</v>
          </cell>
        </row>
        <row r="16">
          <cell r="A16">
            <v>2006</v>
          </cell>
          <cell r="C16">
            <v>80528.840000000011</v>
          </cell>
          <cell r="E16">
            <v>63651.509999999995</v>
          </cell>
          <cell r="G16">
            <v>9.5</v>
          </cell>
          <cell r="I16">
            <v>4926.09</v>
          </cell>
          <cell r="K16">
            <v>68577.599999999991</v>
          </cell>
        </row>
        <row r="17">
          <cell r="A17">
            <v>2007</v>
          </cell>
          <cell r="C17">
            <v>16877.330000000016</v>
          </cell>
          <cell r="E17">
            <v>16877.330000000002</v>
          </cell>
          <cell r="G17">
            <v>9.5</v>
          </cell>
          <cell r="I17">
            <v>267.93</v>
          </cell>
          <cell r="K17">
            <v>17145.260000000002</v>
          </cell>
        </row>
        <row r="19">
          <cell r="A19" t="str">
            <v>Totals</v>
          </cell>
          <cell r="E19">
            <v>191110.03999999998</v>
          </cell>
          <cell r="I19">
            <v>31768.019999999997</v>
          </cell>
          <cell r="K19">
            <v>222878.06</v>
          </cell>
        </row>
        <row r="37">
          <cell r="A37" t="str">
            <v>(Subject to the comments in the attached</v>
          </cell>
        </row>
        <row r="38">
          <cell r="A38" t="str">
            <v>letter dated May 26, 2005 of Umbaugh.)</v>
          </cell>
        </row>
        <row r="40">
          <cell r="A40" t="str">
            <v>29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"/>
      <sheetName val="Trial Balance"/>
      <sheetName val="Trial Balance (2)"/>
      <sheetName val="Rev. Req. "/>
      <sheetName val="Rates "/>
      <sheetName val="comp"/>
      <sheetName val="Graph"/>
      <sheetName val="DEBT"/>
      <sheetName val="BAL"/>
      <sheetName val="Inc"/>
      <sheetName val="Scf"/>
      <sheetName val="Disb"/>
      <sheetName val="Min Bal "/>
      <sheetName val="----workpapers----"/>
      <sheetName val="COV"/>
      <sheetName val="Rate Comp"/>
      <sheetName val="UPIS"/>
      <sheetName val="MinBal"/>
    </sheetNames>
    <sheetDataSet>
      <sheetData sheetId="0"/>
      <sheetData sheetId="1"/>
      <sheetData sheetId="2">
        <row r="141">
          <cell r="O141" t="str">
            <v>PP.1.3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A1" t="str">
            <v>TERRE HAUTE (INDIANA) WASTEWATER UTILITY</v>
          </cell>
        </row>
      </sheetData>
      <sheetData sheetId="9">
        <row r="1">
          <cell r="A1" t="str">
            <v>TERRE HAUTE (INDIANA) WASTEWATER UTILITY</v>
          </cell>
        </row>
      </sheetData>
      <sheetData sheetId="10"/>
      <sheetData sheetId="11">
        <row r="1">
          <cell r="A1" t="str">
            <v>TERRE HAUTE (INDIANA) WASTEWATER UTILITY</v>
          </cell>
        </row>
        <row r="3">
          <cell r="A3" t="str">
            <v>COMPARATIVE STATEMENT OF DETAILED OPERATING EXPENSES</v>
          </cell>
        </row>
        <row r="4">
          <cell r="A4" t="str">
            <v>(Unaudited)</v>
          </cell>
        </row>
        <row r="7">
          <cell r="G7" t="str">
            <v>Calendar Year Ended</v>
          </cell>
        </row>
        <row r="8">
          <cell r="A8" t="str">
            <v xml:space="preserve"> </v>
          </cell>
          <cell r="G8">
            <v>37256</v>
          </cell>
          <cell r="I8">
            <v>37621</v>
          </cell>
        </row>
        <row r="10">
          <cell r="A10" t="str">
            <v>Operating Disbursements:</v>
          </cell>
        </row>
        <row r="11">
          <cell r="B11" t="str">
            <v>Collection System:</v>
          </cell>
        </row>
        <row r="12">
          <cell r="C12" t="str">
            <v>Salaries and wages</v>
          </cell>
          <cell r="G12">
            <v>398115</v>
          </cell>
          <cell r="I12">
            <v>422847</v>
          </cell>
        </row>
        <row r="13">
          <cell r="C13" t="str">
            <v>Employee pensions and benefits</v>
          </cell>
          <cell r="G13">
            <v>77519</v>
          </cell>
          <cell r="I13">
            <v>86669</v>
          </cell>
        </row>
        <row r="14">
          <cell r="C14" t="str">
            <v>Materials and supplies</v>
          </cell>
          <cell r="G14">
            <v>6426</v>
          </cell>
          <cell r="I14">
            <v>0</v>
          </cell>
        </row>
        <row r="15">
          <cell r="C15" t="str">
            <v>Other</v>
          </cell>
          <cell r="G15">
            <v>155099</v>
          </cell>
          <cell r="I15">
            <v>333290</v>
          </cell>
        </row>
        <row r="17">
          <cell r="D17" t="str">
            <v>Sub-totals</v>
          </cell>
          <cell r="G17">
            <v>637159</v>
          </cell>
          <cell r="I17">
            <v>842806</v>
          </cell>
        </row>
        <row r="19">
          <cell r="B19" t="str">
            <v>Treatment and Disposal:</v>
          </cell>
          <cell r="G19" t="str">
            <v xml:space="preserve"> </v>
          </cell>
        </row>
        <row r="20">
          <cell r="C20" t="str">
            <v>Salaries and wages</v>
          </cell>
          <cell r="G20">
            <v>954380</v>
          </cell>
          <cell r="I20">
            <v>994161</v>
          </cell>
        </row>
        <row r="21">
          <cell r="C21" t="str">
            <v>Employee pensions and benefits</v>
          </cell>
          <cell r="G21">
            <v>198736</v>
          </cell>
          <cell r="I21">
            <v>196940</v>
          </cell>
        </row>
        <row r="22">
          <cell r="C22" t="str">
            <v>Materials and supplies</v>
          </cell>
          <cell r="G22">
            <v>15623</v>
          </cell>
        </row>
        <row r="23">
          <cell r="C23" t="str">
            <v>Contractual services</v>
          </cell>
          <cell r="G23">
            <v>1631825</v>
          </cell>
          <cell r="I23">
            <v>1584302</v>
          </cell>
        </row>
        <row r="24">
          <cell r="C24" t="str">
            <v>Other</v>
          </cell>
          <cell r="G24">
            <v>8521</v>
          </cell>
          <cell r="I24">
            <v>78622</v>
          </cell>
        </row>
        <row r="25">
          <cell r="G25" t="str">
            <v xml:space="preserve"> </v>
          </cell>
        </row>
        <row r="26">
          <cell r="D26" t="str">
            <v>Sub-totals</v>
          </cell>
          <cell r="G26">
            <v>2809085</v>
          </cell>
          <cell r="I26">
            <v>2854025</v>
          </cell>
        </row>
        <row r="28">
          <cell r="B28" t="str">
            <v>Customer Accounts:</v>
          </cell>
          <cell r="G28" t="str">
            <v xml:space="preserve"> </v>
          </cell>
        </row>
        <row r="29">
          <cell r="C29" t="str">
            <v>Salaries and wages</v>
          </cell>
          <cell r="G29">
            <v>186712</v>
          </cell>
          <cell r="I29">
            <v>173123</v>
          </cell>
        </row>
        <row r="31">
          <cell r="B31" t="str">
            <v>Administrative and General:</v>
          </cell>
          <cell r="G31" t="str">
            <v xml:space="preserve"> </v>
          </cell>
        </row>
        <row r="32">
          <cell r="C32" t="str">
            <v>Salaries and wages</v>
          </cell>
          <cell r="G32">
            <v>67851</v>
          </cell>
          <cell r="I32">
            <v>70497</v>
          </cell>
        </row>
        <row r="33">
          <cell r="C33" t="str">
            <v>Employee pensions and benefits</v>
          </cell>
          <cell r="G33">
            <v>38720</v>
          </cell>
          <cell r="I33">
            <v>28222</v>
          </cell>
        </row>
        <row r="34">
          <cell r="C34" t="str">
            <v>Materials and supplies</v>
          </cell>
          <cell r="G34">
            <v>6648</v>
          </cell>
          <cell r="I34">
            <v>37268</v>
          </cell>
        </row>
        <row r="35">
          <cell r="C35" t="str">
            <v>Contractual services</v>
          </cell>
          <cell r="G35">
            <v>387323</v>
          </cell>
          <cell r="I35">
            <v>349146</v>
          </cell>
        </row>
        <row r="37">
          <cell r="D37" t="str">
            <v>Sub-totals</v>
          </cell>
          <cell r="G37">
            <v>500542</v>
          </cell>
          <cell r="I37">
            <v>485133</v>
          </cell>
        </row>
        <row r="39">
          <cell r="B39" t="str">
            <v>Other</v>
          </cell>
          <cell r="G39">
            <v>112055</v>
          </cell>
          <cell r="I39">
            <v>162283</v>
          </cell>
        </row>
        <row r="41">
          <cell r="C41" t="str">
            <v>Total Operating Disbursements</v>
          </cell>
          <cell r="G41">
            <v>4245553</v>
          </cell>
          <cell r="I41">
            <v>4517370</v>
          </cell>
        </row>
        <row r="44">
          <cell r="A44" t="str">
            <v>DRAFT</v>
          </cell>
        </row>
        <row r="45">
          <cell r="A45" t="str">
            <v>For Discussion Purposes Only</v>
          </cell>
        </row>
      </sheetData>
      <sheetData sheetId="12"/>
      <sheetData sheetId="13"/>
      <sheetData sheetId="14"/>
      <sheetData sheetId="15">
        <row r="8">
          <cell r="C8" t="str">
            <v>Cubic Ft.</v>
          </cell>
          <cell r="E8" t="str">
            <v>Terre Haute (1)</v>
          </cell>
          <cell r="G8" t="str">
            <v>Lafayette</v>
          </cell>
          <cell r="I8" t="str">
            <v>Kokomo</v>
          </cell>
          <cell r="K8" t="str">
            <v>Anderson</v>
          </cell>
          <cell r="M8" t="str">
            <v>Bloomington</v>
          </cell>
        </row>
        <row r="9">
          <cell r="E9" t="str">
            <v>(1991)</v>
          </cell>
          <cell r="G9">
            <v>-2001</v>
          </cell>
          <cell r="I9">
            <v>-1999</v>
          </cell>
          <cell r="K9" t="str">
            <v>(2002)</v>
          </cell>
          <cell r="M9" t="str">
            <v>(2000)</v>
          </cell>
        </row>
        <row r="11">
          <cell r="C11">
            <v>267</v>
          </cell>
          <cell r="E11">
            <v>3.75</v>
          </cell>
          <cell r="G11">
            <v>8.99</v>
          </cell>
          <cell r="I11">
            <v>8.32</v>
          </cell>
          <cell r="K11">
            <v>21.89</v>
          </cell>
          <cell r="M11">
            <v>10.71</v>
          </cell>
        </row>
        <row r="12">
          <cell r="C12">
            <v>400</v>
          </cell>
          <cell r="E12">
            <v>4.8</v>
          </cell>
          <cell r="G12">
            <v>12.26</v>
          </cell>
          <cell r="I12">
            <v>12.48</v>
          </cell>
          <cell r="K12">
            <v>21.89</v>
          </cell>
          <cell r="M12">
            <v>14.25</v>
          </cell>
        </row>
        <row r="13">
          <cell r="C13">
            <v>533</v>
          </cell>
          <cell r="E13">
            <v>6.4</v>
          </cell>
          <cell r="G13">
            <v>15.53</v>
          </cell>
          <cell r="I13">
            <v>16.64</v>
          </cell>
          <cell r="K13">
            <v>21.89</v>
          </cell>
          <cell r="M13">
            <v>17.79</v>
          </cell>
        </row>
        <row r="14">
          <cell r="C14">
            <v>667</v>
          </cell>
          <cell r="E14">
            <v>8</v>
          </cell>
          <cell r="G14">
            <v>18.8</v>
          </cell>
          <cell r="I14">
            <v>20.8</v>
          </cell>
          <cell r="K14">
            <v>28.66</v>
          </cell>
          <cell r="M14">
            <v>21.33</v>
          </cell>
        </row>
        <row r="15">
          <cell r="C15">
            <v>1333</v>
          </cell>
          <cell r="E15">
            <v>16</v>
          </cell>
          <cell r="G15">
            <v>35.15</v>
          </cell>
          <cell r="I15">
            <v>41.6</v>
          </cell>
          <cell r="K15">
            <v>55.92</v>
          </cell>
          <cell r="M15">
            <v>39.03</v>
          </cell>
        </row>
        <row r="16">
          <cell r="C16">
            <v>13333</v>
          </cell>
          <cell r="E16">
            <v>159.96</v>
          </cell>
          <cell r="G16">
            <v>329.45</v>
          </cell>
          <cell r="I16">
            <v>416</v>
          </cell>
          <cell r="K16">
            <v>546.69000000000005</v>
          </cell>
          <cell r="M16">
            <v>357.63</v>
          </cell>
        </row>
      </sheetData>
      <sheetData sheetId="16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Year"/>
      <sheetName val="List"/>
      <sheetName val="Calendar Year"/>
      <sheetName val="99 Pay"/>
      <sheetName val="Civil City-Serial"/>
      <sheetName val="Red Dist-Serial"/>
      <sheetName val="Sanitary-Serial"/>
      <sheetName val="Flood Control-Serial"/>
      <sheetName val="Metro Thor-Serial"/>
      <sheetName val="Park-Serial"/>
      <sheetName val="Public Safety"/>
      <sheetName val="Serial Pie Combo"/>
      <sheetName val="Serial Chart"/>
      <sheetName val="Serial Remaining"/>
      <sheetName val="Serial Combo Schedule"/>
      <sheetName val="Tax Inc- Chart"/>
      <sheetName val="Tax Inc-Rev"/>
      <sheetName val="Sanitary-Rev"/>
      <sheetName val="METRO Corporation"/>
      <sheetName val="Trans-Rev"/>
      <sheetName val="Park-Rev"/>
      <sheetName val="MCCRFA"/>
      <sheetName val="Health &amp; Hosp-Rev"/>
      <sheetName val="Build Auth-Rev"/>
      <sheetName val="Hous Auth-Revenue"/>
      <sheetName val="Revenue Chart"/>
      <sheetName val="Rev Remaining"/>
      <sheetName val="Rev Combo Schedule"/>
      <sheetName val="Pie Combo"/>
      <sheetName val="Combo Schedule"/>
      <sheetName val="Rate Comp"/>
      <sheetName val="Disb"/>
      <sheetName val="Trial Balance (2)"/>
      <sheetName val="Support"/>
      <sheetName val="TMMI abat"/>
      <sheetName val="Customize Your Purchase Order"/>
      <sheetName val="Support- Not In Report"/>
      <sheetName val="Flood Co塅䕃⹌塅E-Serial"/>
      <sheetName val="Costs"/>
      <sheetName val="CIB"/>
      <sheetName val="Info"/>
      <sheetName val="Cover"/>
      <sheetName val="TOC"/>
      <sheetName val="AR LTR"/>
      <sheetName val="PresGen LTR"/>
      <sheetName val="ExSum"/>
      <sheetName val="KPI"/>
      <sheetName val="Graphs"/>
      <sheetName val="RptData"/>
      <sheetName val="MinBal"/>
      <sheetName val="Out. Amrt."/>
      <sheetName val="Proj Cost"/>
      <sheetName val="Prop Bonds"/>
      <sheetName val="Comb. Amrt."/>
      <sheetName val="Cap Plan"/>
      <sheetName val="OpDis"/>
      <sheetName val="OpDisAdj1"/>
      <sheetName val="OpDisAdj2"/>
      <sheetName val="RevReq"/>
      <sheetName val="RR Ref"/>
      <sheetName val="Rates"/>
      <sheetName val="WK PROG---&gt;"/>
      <sheetName val="Cash"/>
      <sheetName val="Rec Dis"/>
      <sheetName val="WTB"/>
      <sheetName val="WTB 063019"/>
      <sheetName val="WTB 2018"/>
      <sheetName val="WTB 2017"/>
      <sheetName val="WTB 2016"/>
      <sheetName val="2013 Bonds"/>
      <sheetName val="2013B"/>
      <sheetName val="2014 Bonds"/>
      <sheetName val="2016A Bonds"/>
      <sheetName val="2017 BANS"/>
      <sheetName val="2017 RefBonds"/>
      <sheetName val="InputforPivotChart"/>
      <sheetName val="Rev analysis"/>
      <sheetName val="Bill analysis"/>
      <sheetName val="Exp Analysis"/>
      <sheetName val="Wholesale"/>
      <sheetName val="Alt Schedules--&gt;"/>
      <sheetName val="Alt Rate Comp"/>
      <sheetName val="LT Cap"/>
      <sheetName val="Cash Flow"/>
      <sheetName val="Ref"/>
      <sheetName val="Cust Annualize"/>
      <sheetName val="Rate Increase Adj"/>
      <sheetName val="TI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1">
          <cell r="A1" t="str">
            <v>Client Name: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TitzerQuery"/>
      <sheetName val="WATER05"/>
      <sheetName val="CAPITAL 2005"/>
      <sheetName val="Approp Transfers 05"/>
      <sheetName val="ckchange"/>
      <sheetName val="Rev. % 05"/>
      <sheetName val="BUDGETDETAIL"/>
      <sheetName val="Carryover05"/>
      <sheetName val="Sheet4"/>
      <sheetName val="Sheet3"/>
      <sheetName val="Sheet2"/>
      <sheetName val="WATER04FINAL"/>
      <sheetName val="CAPITAL 2004"/>
      <sheetName val="Approp Transfers"/>
      <sheetName val="Sheet1"/>
      <sheetName val="WATER04 UNADJ"/>
      <sheetName val="wtrsalesbudget"/>
      <sheetName val="Rev. %"/>
      <sheetName val="Carryover 2005"/>
      <sheetName val="Carryover 2004 "/>
      <sheetName val="Carryover 2006"/>
      <sheetName val="Rate Comp"/>
      <sheetName val="Disb"/>
      <sheetName val="Trial Balance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2"/>
      <sheetName val="Sheet11"/>
      <sheetName val="Sheet10"/>
      <sheetName val="99_11422_munistemp1210191256283"/>
    </sheetNames>
    <sheetDataSet>
      <sheetData sheetId="0">
        <row r="1">
          <cell r="A1" t="str">
            <v>Account #</v>
          </cell>
          <cell r="B1" t="str">
            <v>Name</v>
          </cell>
          <cell r="C1" t="str">
            <v>Service Address</v>
          </cell>
        </row>
        <row r="2">
          <cell r="A2" t="str">
            <v>680-21090</v>
          </cell>
          <cell r="B2" t="str">
            <v>KLIPSCH ENTERPRISES</v>
          </cell>
          <cell r="C2" t="str">
            <v>806 E MISSOURI ST</v>
          </cell>
        </row>
        <row r="3">
          <cell r="A3">
            <v>68021550</v>
          </cell>
          <cell r="B3" t="str">
            <v>T K PERFORMANCE,INC</v>
          </cell>
          <cell r="C3" t="str">
            <v>1220 E EICHEL AVE</v>
          </cell>
        </row>
        <row r="4">
          <cell r="A4">
            <v>68021930</v>
          </cell>
          <cell r="B4" t="str">
            <v>BRANDEIS MACHINE CO</v>
          </cell>
          <cell r="C4" t="str">
            <v>2506 HWY 41 N</v>
          </cell>
        </row>
        <row r="5">
          <cell r="A5">
            <v>69802746</v>
          </cell>
          <cell r="B5" t="str">
            <v>Cedar Trace Apts</v>
          </cell>
          <cell r="C5" t="str">
            <v>2100 N Seventh Ave</v>
          </cell>
        </row>
        <row r="6">
          <cell r="A6">
            <v>61120090</v>
          </cell>
          <cell r="B6" t="str">
            <v>CIVIC CENTER BLGDBUILDING AUTHORITY</v>
          </cell>
          <cell r="C6" t="str">
            <v>1 NW ML KING BLVD</v>
          </cell>
        </row>
        <row r="7">
          <cell r="A7">
            <v>61120110</v>
          </cell>
          <cell r="B7" t="str">
            <v>BUILDING AUTHORIEVILLE VANDERBURGH</v>
          </cell>
          <cell r="C7" t="str">
            <v>NINTH&amp;SYCAMORE ST</v>
          </cell>
        </row>
        <row r="8">
          <cell r="A8">
            <v>61120130</v>
          </cell>
          <cell r="B8" t="str">
            <v>EVILLE VANDERBURGHATTN VIRGIL MILLER</v>
          </cell>
          <cell r="C8" t="str">
            <v>NINTH &amp; LOCUST ST</v>
          </cell>
        </row>
        <row r="9">
          <cell r="A9">
            <v>61120150</v>
          </cell>
          <cell r="B9" t="str">
            <v>DEVELOPMENTLG PROPERTY</v>
          </cell>
          <cell r="C9" t="str">
            <v>900 MAIN ST</v>
          </cell>
        </row>
        <row r="10">
          <cell r="A10">
            <v>61120170</v>
          </cell>
          <cell r="B10" t="str">
            <v>LLOYDS ICE CREAM INC</v>
          </cell>
          <cell r="C10" t="str">
            <v>201 NW NINTH ST</v>
          </cell>
        </row>
        <row r="11">
          <cell r="A11">
            <v>61120190</v>
          </cell>
          <cell r="B11" t="str">
            <v>BLDG MANAGERU S FED OFFICE BLDG</v>
          </cell>
          <cell r="C11" t="str">
            <v>800 SYCAMORE ST</v>
          </cell>
        </row>
        <row r="12">
          <cell r="A12">
            <v>61120215</v>
          </cell>
          <cell r="B12" t="str">
            <v>JACK KINKEL</v>
          </cell>
          <cell r="C12" t="str">
            <v>320N W M L KING BLVD</v>
          </cell>
        </row>
        <row r="13">
          <cell r="A13">
            <v>61120220</v>
          </cell>
          <cell r="B13" t="str">
            <v>DAFAME LLC</v>
          </cell>
          <cell r="C13" t="str">
            <v>120 NW ML KING BLVD</v>
          </cell>
        </row>
        <row r="14">
          <cell r="A14">
            <v>61120230</v>
          </cell>
          <cell r="B14" t="str">
            <v>EVVLIN03-N34113SBC/AMERITECH</v>
          </cell>
          <cell r="C14" t="str">
            <v>134 NW SIXTH ST</v>
          </cell>
        </row>
        <row r="15">
          <cell r="A15">
            <v>61120250</v>
          </cell>
          <cell r="B15" t="str">
            <v>AT &amp; TP O 114423</v>
          </cell>
          <cell r="C15" t="str">
            <v>133 NW FIFTH ST</v>
          </cell>
        </row>
        <row r="16">
          <cell r="A16">
            <v>61120270</v>
          </cell>
          <cell r="B16" t="str">
            <v>Y M C A</v>
          </cell>
          <cell r="C16" t="str">
            <v>203 NW FIFTH ST</v>
          </cell>
        </row>
        <row r="17">
          <cell r="A17">
            <v>61120290</v>
          </cell>
          <cell r="B17" t="str">
            <v>TWO-TWENTY-ONE REALT</v>
          </cell>
          <cell r="C17" t="str">
            <v>219 NW FIFTH ST</v>
          </cell>
        </row>
        <row r="18">
          <cell r="A18">
            <v>61120310</v>
          </cell>
          <cell r="B18" t="str">
            <v>COURT BUILDINGHULMAN &amp; CO</v>
          </cell>
          <cell r="C18" t="str">
            <v>123-25 NW FOURTH ST</v>
          </cell>
        </row>
        <row r="19">
          <cell r="A19">
            <v>61120330</v>
          </cell>
          <cell r="B19" t="str">
            <v>YOUTH INC</v>
          </cell>
          <cell r="C19" t="str">
            <v>111 NW FOURTH ST</v>
          </cell>
        </row>
        <row r="20">
          <cell r="A20">
            <v>61120340</v>
          </cell>
          <cell r="B20" t="str">
            <v>WOODS AND WOODS</v>
          </cell>
          <cell r="C20" t="str">
            <v>208 NW FOURTH ST</v>
          </cell>
        </row>
        <row r="21">
          <cell r="A21">
            <v>61120390</v>
          </cell>
          <cell r="B21" t="str">
            <v>SONITROL OF EVILLE</v>
          </cell>
          <cell r="C21" t="str">
            <v>VINE &amp; THIRD</v>
          </cell>
        </row>
        <row r="22">
          <cell r="A22">
            <v>61120450</v>
          </cell>
          <cell r="B22" t="str">
            <v>Y W C A BLDG</v>
          </cell>
          <cell r="C22" t="str">
            <v>118-30 VINE ST</v>
          </cell>
        </row>
        <row r="23">
          <cell r="A23">
            <v>61120470</v>
          </cell>
          <cell r="B23" t="str">
            <v>OLD POST OFFICE VILL</v>
          </cell>
          <cell r="C23" t="str">
            <v>101 NW FIRST ST</v>
          </cell>
        </row>
        <row r="24">
          <cell r="A24">
            <v>61120490</v>
          </cell>
          <cell r="B24" t="str">
            <v>OD POST OFFICE VILL</v>
          </cell>
          <cell r="C24" t="str">
            <v>101A NW FIRST ST</v>
          </cell>
        </row>
        <row r="25">
          <cell r="A25">
            <v>61120510</v>
          </cell>
          <cell r="B25" t="str">
            <v>HILLIARD LYONS BLDG</v>
          </cell>
          <cell r="C25" t="str">
            <v>110 MAIN ST</v>
          </cell>
        </row>
        <row r="26">
          <cell r="A26">
            <v>61120550</v>
          </cell>
          <cell r="B26" t="str">
            <v>HAMAMI PROPERTY MGMTLLC</v>
          </cell>
          <cell r="C26" t="str">
            <v>205 COURT ST</v>
          </cell>
        </row>
        <row r="27">
          <cell r="A27">
            <v>61120630</v>
          </cell>
          <cell r="B27" t="str">
            <v>CURTIS INVESTMENTS#299</v>
          </cell>
          <cell r="C27" t="str">
            <v>24 NW FOURTH ST</v>
          </cell>
        </row>
        <row r="28">
          <cell r="A28">
            <v>61120650</v>
          </cell>
          <cell r="B28" t="str">
            <v>CURTIS INVESTMENT#299</v>
          </cell>
          <cell r="C28" t="str">
            <v>24 NW FOURTH ST</v>
          </cell>
        </row>
        <row r="29">
          <cell r="A29">
            <v>61120660</v>
          </cell>
          <cell r="B29" t="str">
            <v>BANK, FSBUNITED FIDELITY</v>
          </cell>
          <cell r="C29" t="str">
            <v>18 NW FOURTH ST</v>
          </cell>
        </row>
        <row r="30">
          <cell r="A30">
            <v>61120670</v>
          </cell>
          <cell r="B30" t="str">
            <v>OLD NATIONAL BANKATTN J UNVPRZACT</v>
          </cell>
          <cell r="C30" t="str">
            <v>19 NW FOURTH ST</v>
          </cell>
        </row>
        <row r="31">
          <cell r="A31">
            <v>61120710</v>
          </cell>
          <cell r="B31" t="str">
            <v>OLD NATIONAL REALTY</v>
          </cell>
          <cell r="C31" t="str">
            <v>406 SYCAMORE ST</v>
          </cell>
        </row>
        <row r="32">
          <cell r="A32">
            <v>61120730</v>
          </cell>
          <cell r="B32" t="str">
            <v>INTEGRA BANK</v>
          </cell>
          <cell r="C32" t="str">
            <v>22 SE THIRD ST</v>
          </cell>
        </row>
        <row r="33">
          <cell r="A33">
            <v>61120740</v>
          </cell>
          <cell r="B33" t="str">
            <v>CRM FACILITY MGMTINTEGRA BANK</v>
          </cell>
          <cell r="C33" t="str">
            <v>21 SE THIRD ST</v>
          </cell>
        </row>
        <row r="34">
          <cell r="A34">
            <v>61120750</v>
          </cell>
          <cell r="B34" t="str">
            <v>R SCOTT ANDERSON</v>
          </cell>
          <cell r="C34" t="str">
            <v>119 SE THIRD ST</v>
          </cell>
        </row>
        <row r="35">
          <cell r="A35">
            <v>61120760</v>
          </cell>
          <cell r="B35" t="str">
            <v>DMD/EVILLE REDEVELP</v>
          </cell>
          <cell r="C35" t="str">
            <v>315 LOCUST ST</v>
          </cell>
        </row>
        <row r="36">
          <cell r="A36">
            <v>61120770</v>
          </cell>
          <cell r="B36" t="str">
            <v>TRINITY ME CHURCH</v>
          </cell>
          <cell r="C36" t="str">
            <v>216 SE THIRD ST</v>
          </cell>
        </row>
        <row r="37">
          <cell r="A37">
            <v>61120790</v>
          </cell>
          <cell r="B37" t="str">
            <v>DEACONESS CLINIC INC</v>
          </cell>
          <cell r="C37" t="str">
            <v>228 SE FOURTH ST</v>
          </cell>
        </row>
        <row r="38">
          <cell r="A38">
            <v>61120810</v>
          </cell>
          <cell r="B38" t="str">
            <v>STRATMAN PHARMACY</v>
          </cell>
          <cell r="C38" t="str">
            <v>401 MAIN ST</v>
          </cell>
        </row>
        <row r="39">
          <cell r="A39">
            <v>61120830</v>
          </cell>
          <cell r="B39" t="str">
            <v>OLD VAND CO COURT HSATTN: COUNTY COMM OF</v>
          </cell>
          <cell r="C39" t="str">
            <v>NW FOURTH ST</v>
          </cell>
        </row>
        <row r="40">
          <cell r="A40">
            <v>61120930</v>
          </cell>
          <cell r="B40" t="str">
            <v>VAND COUNTY IN INCVETERANS COUNCIL OF</v>
          </cell>
          <cell r="C40" t="str">
            <v>FOURTH &amp; CT</v>
          </cell>
        </row>
        <row r="41">
          <cell r="A41">
            <v>61120935</v>
          </cell>
          <cell r="B41" t="str">
            <v>ERC I LLC</v>
          </cell>
          <cell r="C41" t="str">
            <v>420 NW FIFTH ST</v>
          </cell>
        </row>
        <row r="42">
          <cell r="A42">
            <v>61120938</v>
          </cell>
          <cell r="B42" t="str">
            <v>OF SOUTHWESTERNUNITED WAY</v>
          </cell>
          <cell r="C42" t="str">
            <v>501 NW FOURTH ST</v>
          </cell>
        </row>
        <row r="43">
          <cell r="A43">
            <v>61120960</v>
          </cell>
          <cell r="B43" t="str">
            <v>PEARL LAUNDERS &amp; CL</v>
          </cell>
          <cell r="C43" t="str">
            <v>428 MARKET ST</v>
          </cell>
        </row>
        <row r="44">
          <cell r="A44">
            <v>61120970</v>
          </cell>
          <cell r="B44" t="str">
            <v>HOLWEGER MANAGEMENT</v>
          </cell>
          <cell r="C44" t="str">
            <v>501 MAIN ST</v>
          </cell>
        </row>
        <row r="45">
          <cell r="A45">
            <v>61120990</v>
          </cell>
          <cell r="B45" t="str">
            <v>HANDS ON DISCOVERY</v>
          </cell>
          <cell r="C45" t="str">
            <v>500 LOCUST ST</v>
          </cell>
        </row>
        <row r="46">
          <cell r="A46">
            <v>61120995</v>
          </cell>
          <cell r="B46" t="str">
            <v>NEW ODYSSEY INVEST</v>
          </cell>
          <cell r="C46" t="str">
            <v>121 SE FIFTH AVE</v>
          </cell>
        </row>
        <row r="47">
          <cell r="A47">
            <v>61121050</v>
          </cell>
          <cell r="B47" t="str">
            <v>JAYA'S</v>
          </cell>
          <cell r="C47" t="str">
            <v>125 SE FOURTH ST</v>
          </cell>
        </row>
        <row r="48">
          <cell r="A48">
            <v>61121070</v>
          </cell>
          <cell r="B48" t="str">
            <v>DEACONESS CLINIC INC</v>
          </cell>
          <cell r="C48" t="str">
            <v>301 SE SIXTH ST</v>
          </cell>
        </row>
        <row r="49">
          <cell r="A49">
            <v>61121190</v>
          </cell>
          <cell r="B49" t="str">
            <v>SIGNATURE LEARNINGROBT L KOCH II</v>
          </cell>
          <cell r="C49" t="str">
            <v>531 MAIN ST</v>
          </cell>
        </row>
        <row r="50">
          <cell r="A50">
            <v>61121215</v>
          </cell>
          <cell r="B50" t="str">
            <v>ODGEN INTERTVICTORY THEATRE</v>
          </cell>
          <cell r="C50" t="str">
            <v>600 MAIN ST</v>
          </cell>
        </row>
        <row r="51">
          <cell r="A51">
            <v>61121250</v>
          </cell>
          <cell r="B51" t="str">
            <v>ROBIE PROPERTIES</v>
          </cell>
          <cell r="C51" t="str">
            <v>530 MAIN ST</v>
          </cell>
        </row>
        <row r="52">
          <cell r="A52">
            <v>61121260</v>
          </cell>
          <cell r="B52" t="str">
            <v>GROUP 5,LLC</v>
          </cell>
          <cell r="C52" t="str">
            <v>530A MAIN</v>
          </cell>
        </row>
        <row r="53">
          <cell r="A53">
            <v>61121290</v>
          </cell>
          <cell r="B53" t="str">
            <v>Y M C A</v>
          </cell>
          <cell r="C53" t="str">
            <v>222 NW SIXTH ST</v>
          </cell>
        </row>
        <row r="54">
          <cell r="A54">
            <v>61121310</v>
          </cell>
          <cell r="B54" t="str">
            <v>EVANSVILLE YMCA</v>
          </cell>
          <cell r="C54" t="str">
            <v>203 NW SIXTH ST</v>
          </cell>
        </row>
        <row r="55">
          <cell r="A55">
            <v>61121330</v>
          </cell>
          <cell r="B55" t="str">
            <v>EVANS BLUE PR CO</v>
          </cell>
          <cell r="C55" t="str">
            <v>600 COURT ST</v>
          </cell>
        </row>
        <row r="56">
          <cell r="A56">
            <v>61121350</v>
          </cell>
          <cell r="B56" t="str">
            <v>SHELTERS,INC.UNITED CARING</v>
          </cell>
          <cell r="C56" t="str">
            <v>324 NW SIXTH ST</v>
          </cell>
        </row>
        <row r="57">
          <cell r="A57">
            <v>61121370</v>
          </cell>
          <cell r="B57" t="str">
            <v>JRG INVESTMENTS LLC</v>
          </cell>
          <cell r="C57" t="str">
            <v>609-619 INGLE ST</v>
          </cell>
        </row>
        <row r="58">
          <cell r="A58">
            <v>61121390</v>
          </cell>
          <cell r="B58" t="str">
            <v>TALLEY INV PROP</v>
          </cell>
          <cell r="C58" t="str">
            <v>222 MAIN ST</v>
          </cell>
        </row>
        <row r="59">
          <cell r="A59">
            <v>61121480</v>
          </cell>
          <cell r="B59" t="str">
            <v>RIVERVIEW ANTIQUE</v>
          </cell>
          <cell r="C59" t="str">
            <v>309 MAIN ST</v>
          </cell>
        </row>
        <row r="60">
          <cell r="A60">
            <v>61121490</v>
          </cell>
          <cell r="B60" t="str">
            <v>GAGE</v>
          </cell>
          <cell r="C60" t="str">
            <v>318 MAIN ST</v>
          </cell>
        </row>
        <row r="61">
          <cell r="A61">
            <v>61121500</v>
          </cell>
          <cell r="B61" t="str">
            <v>SYDNEY BERGER</v>
          </cell>
          <cell r="C61" t="str">
            <v>313 MAIN ST</v>
          </cell>
        </row>
        <row r="62">
          <cell r="A62">
            <v>61121510</v>
          </cell>
          <cell r="B62" t="str">
            <v>BOONE TOWER LLC</v>
          </cell>
          <cell r="C62" t="str">
            <v>317 MAIN ST</v>
          </cell>
        </row>
        <row r="63">
          <cell r="A63">
            <v>61121530</v>
          </cell>
          <cell r="B63" t="str">
            <v>THE KUNKEL GROUP INC</v>
          </cell>
          <cell r="C63" t="str">
            <v>329 MAIN ST</v>
          </cell>
        </row>
        <row r="64">
          <cell r="A64">
            <v>61121550</v>
          </cell>
          <cell r="B64" t="str">
            <v>SOLLER POINT CO420 MAIN ST</v>
          </cell>
          <cell r="C64" t="str">
            <v>FIFTH &amp; MAIN</v>
          </cell>
        </row>
        <row r="65">
          <cell r="A65">
            <v>61121570</v>
          </cell>
          <cell r="B65" t="str">
            <v>SOLLER POINT CO420 MAIN</v>
          </cell>
          <cell r="C65" t="str">
            <v>FIFTH &amp; MAIN</v>
          </cell>
        </row>
        <row r="66">
          <cell r="A66">
            <v>61121590</v>
          </cell>
          <cell r="B66" t="str">
            <v>SOLLER POINT CO420 MAIN ST</v>
          </cell>
          <cell r="C66" t="str">
            <v>FIFTH &amp; MAIN</v>
          </cell>
        </row>
        <row r="67">
          <cell r="A67">
            <v>61121610</v>
          </cell>
          <cell r="B67" t="str">
            <v>LLOYDS ICE CREAM INC</v>
          </cell>
          <cell r="C67" t="str">
            <v>11 NW FIFTH ST</v>
          </cell>
        </row>
        <row r="68">
          <cell r="A68">
            <v>61121630</v>
          </cell>
          <cell r="B68" t="str">
            <v>B &amp; P INVEST PROP</v>
          </cell>
          <cell r="C68" t="str">
            <v>101A SE THIRD ST</v>
          </cell>
        </row>
        <row r="69">
          <cell r="A69">
            <v>61121650</v>
          </cell>
          <cell r="B69" t="str">
            <v>B &amp; P INVEST PROP</v>
          </cell>
          <cell r="C69" t="str">
            <v>101B SE THIRD ST</v>
          </cell>
        </row>
        <row r="70">
          <cell r="A70">
            <v>61121710</v>
          </cell>
          <cell r="B70" t="str">
            <v>R &amp; G PROPERTIES</v>
          </cell>
          <cell r="C70" t="str">
            <v>101 WALNUT ST</v>
          </cell>
        </row>
        <row r="71">
          <cell r="A71">
            <v>61121715</v>
          </cell>
          <cell r="B71" t="str">
            <v>120 WALNUT HOUSE LLC</v>
          </cell>
          <cell r="C71" t="str">
            <v>118 WALNUT ST</v>
          </cell>
        </row>
        <row r="72">
          <cell r="A72">
            <v>61121720</v>
          </cell>
          <cell r="B72" t="str">
            <v>ST PAULS EPIS CHURCH</v>
          </cell>
          <cell r="C72" t="str">
            <v>301 SE FIRST ST</v>
          </cell>
        </row>
        <row r="73">
          <cell r="A73">
            <v>61121725</v>
          </cell>
          <cell r="B73" t="str">
            <v>PITTMAN BUILDING</v>
          </cell>
          <cell r="C73" t="str">
            <v>12 CHERRY ST</v>
          </cell>
        </row>
        <row r="74">
          <cell r="A74">
            <v>61121726</v>
          </cell>
          <cell r="B74" t="str">
            <v>EVANSVILLE VISITOR</v>
          </cell>
          <cell r="C74" t="str">
            <v>401 SE RIVERSIDE DR</v>
          </cell>
        </row>
        <row r="75">
          <cell r="A75">
            <v>61121730</v>
          </cell>
          <cell r="B75" t="str">
            <v>BASHAR HAMAMI</v>
          </cell>
          <cell r="C75" t="str">
            <v>220 SE RIVERSIDE DR</v>
          </cell>
        </row>
        <row r="76">
          <cell r="A76">
            <v>61121750</v>
          </cell>
          <cell r="B76" t="str">
            <v>HADI TEMPLE</v>
          </cell>
          <cell r="C76" t="str">
            <v>6 WALNUT ST</v>
          </cell>
        </row>
        <row r="77">
          <cell r="A77">
            <v>61121795</v>
          </cell>
          <cell r="B77" t="str">
            <v>I B M% BRAUN REALTY CO</v>
          </cell>
          <cell r="C77" t="str">
            <v>25 NW RIVERSIDE DR</v>
          </cell>
        </row>
        <row r="78">
          <cell r="A78">
            <v>61121800</v>
          </cell>
          <cell r="B78" t="str">
            <v>GIVEN &amp; SPINDLER MGN</v>
          </cell>
          <cell r="C78" t="str">
            <v>100 NW FIRST ST</v>
          </cell>
        </row>
        <row r="79">
          <cell r="A79">
            <v>61121810</v>
          </cell>
          <cell r="B79" t="str">
            <v>F C TUCKER COMMERCIA</v>
          </cell>
          <cell r="C79" t="str">
            <v>1 RIVER FRONT PL</v>
          </cell>
        </row>
        <row r="80">
          <cell r="A80">
            <v>61121830</v>
          </cell>
          <cell r="B80" t="str">
            <v>OLD POST OFFICE VILL</v>
          </cell>
          <cell r="C80" t="str">
            <v>100 NW SECOND ST</v>
          </cell>
        </row>
        <row r="81">
          <cell r="A81">
            <v>61121850</v>
          </cell>
          <cell r="B81" t="str">
            <v>FIFTH THIRD BANK</v>
          </cell>
          <cell r="C81" t="str">
            <v>20 NW THIRD ST</v>
          </cell>
        </row>
        <row r="82">
          <cell r="A82">
            <v>61121870</v>
          </cell>
          <cell r="B82" t="str">
            <v>PAR MANAGMENT LLCTITLES BUILDING</v>
          </cell>
          <cell r="C82" t="str">
            <v>128 MAIN ST</v>
          </cell>
        </row>
        <row r="83">
          <cell r="A83">
            <v>61121890</v>
          </cell>
          <cell r="B83" t="str">
            <v>OLD NATIONAL BANK</v>
          </cell>
          <cell r="C83" t="str">
            <v>123 MAIN ST</v>
          </cell>
        </row>
        <row r="84">
          <cell r="A84">
            <v>61121910</v>
          </cell>
          <cell r="B84" t="str">
            <v>STROUSE FINANCIAL</v>
          </cell>
          <cell r="C84" t="str">
            <v>203 MAIN ST</v>
          </cell>
        </row>
        <row r="85">
          <cell r="A85">
            <v>61121930</v>
          </cell>
          <cell r="B85" t="str">
            <v>CLAREMONT LLC</v>
          </cell>
          <cell r="C85" t="str">
            <v>121 LOCUST ST</v>
          </cell>
        </row>
        <row r="86">
          <cell r="A86">
            <v>61121935</v>
          </cell>
          <cell r="B86" t="str">
            <v>W MARK STANDRING</v>
          </cell>
          <cell r="C86" t="str">
            <v>121 SE SECOND ST</v>
          </cell>
        </row>
        <row r="87">
          <cell r="A87">
            <v>61121960</v>
          </cell>
          <cell r="B87" t="str">
            <v>WEVV-44</v>
          </cell>
          <cell r="C87" t="str">
            <v>44 MAIN ST</v>
          </cell>
        </row>
        <row r="88">
          <cell r="A88">
            <v>61121990</v>
          </cell>
          <cell r="B88" t="str">
            <v>CITY CENTRE PROPERTY</v>
          </cell>
          <cell r="C88" t="str">
            <v>101 SE FIRST ST</v>
          </cell>
        </row>
        <row r="89">
          <cell r="A89">
            <v>61122010</v>
          </cell>
          <cell r="B89" t="str">
            <v>RESEARCH SYSTEMS CRP</v>
          </cell>
          <cell r="C89" t="str">
            <v>118 SE FIRST ST</v>
          </cell>
        </row>
        <row r="90">
          <cell r="A90">
            <v>61122070</v>
          </cell>
          <cell r="B90" t="str">
            <v>BOWEN ENG CORP</v>
          </cell>
          <cell r="C90" t="str">
            <v>233 SE THIRD ST</v>
          </cell>
        </row>
        <row r="91">
          <cell r="A91">
            <v>61122090</v>
          </cell>
          <cell r="B91" t="str">
            <v>EVILLE LODGE PERFECT</v>
          </cell>
          <cell r="C91" t="str">
            <v>221 CHESTNUT ST</v>
          </cell>
        </row>
        <row r="92">
          <cell r="A92">
            <v>61122110</v>
          </cell>
          <cell r="B92" t="str">
            <v>MASONIC TEMPLE</v>
          </cell>
          <cell r="C92" t="str">
            <v>301 CHESTNUT ST</v>
          </cell>
        </row>
        <row r="93">
          <cell r="A93">
            <v>61122130</v>
          </cell>
          <cell r="B93" t="str">
            <v>KIMBERLY K MARTIN</v>
          </cell>
          <cell r="C93" t="str">
            <v>310 SE THIRD ST</v>
          </cell>
        </row>
        <row r="94">
          <cell r="A94">
            <v>61122170</v>
          </cell>
          <cell r="B94" t="str">
            <v>SCOTTISH RITE</v>
          </cell>
          <cell r="C94" t="str">
            <v>203 CHESTNUT ST</v>
          </cell>
        </row>
        <row r="95">
          <cell r="A95">
            <v>61122230</v>
          </cell>
          <cell r="B95" t="str">
            <v>C/O EVANSVILLE VANDADMINISTRATION BLDG</v>
          </cell>
          <cell r="C95" t="str">
            <v>201 SE NINTH ST</v>
          </cell>
        </row>
        <row r="96">
          <cell r="A96">
            <v>61122270</v>
          </cell>
          <cell r="B96" t="str">
            <v>EVANS VAND SCHOOL CO</v>
          </cell>
          <cell r="C96" t="str">
            <v>951 WALNUT ST</v>
          </cell>
        </row>
        <row r="97">
          <cell r="A97">
            <v>61122290</v>
          </cell>
          <cell r="B97" t="str">
            <v>VANDERBURG SCHOOL</v>
          </cell>
          <cell r="C97" t="str">
            <v>931 WALNUT ST</v>
          </cell>
        </row>
        <row r="98">
          <cell r="A98">
            <v>61122305</v>
          </cell>
          <cell r="B98" t="str">
            <v>EVILLE VAND SCHOOL</v>
          </cell>
          <cell r="C98" t="str">
            <v>824 E CHERRY ST</v>
          </cell>
        </row>
        <row r="99">
          <cell r="A99">
            <v>61122330</v>
          </cell>
          <cell r="B99" t="str">
            <v>CITY OF EVANSVILHOUSING AUTHORITY</v>
          </cell>
          <cell r="C99" t="str">
            <v>717 CHERRY ST</v>
          </cell>
        </row>
        <row r="100">
          <cell r="A100">
            <v>61122350</v>
          </cell>
          <cell r="B100" t="str">
            <v>ST MARYS SCHOOL</v>
          </cell>
          <cell r="C100" t="str">
            <v>613 CHERRY ST</v>
          </cell>
        </row>
        <row r="101">
          <cell r="A101">
            <v>61122360</v>
          </cell>
          <cell r="B101" t="str">
            <v>EVILLE HOUSING</v>
          </cell>
          <cell r="C101" t="str">
            <v>315 SE M L KING BLVD</v>
          </cell>
        </row>
        <row r="102">
          <cell r="A102">
            <v>61122370</v>
          </cell>
          <cell r="B102" t="str">
            <v>RESCUE MISSIONEVANSVILLE</v>
          </cell>
          <cell r="C102" t="str">
            <v>326 SE MLK BLVD</v>
          </cell>
        </row>
        <row r="103">
          <cell r="A103">
            <v>61122390</v>
          </cell>
          <cell r="B103" t="str">
            <v>EVANS RESCUE MISSION</v>
          </cell>
          <cell r="C103" t="str">
            <v>701 CHESTNUT ST</v>
          </cell>
        </row>
        <row r="104">
          <cell r="A104">
            <v>61122395</v>
          </cell>
          <cell r="B104" t="str">
            <v>RESCUE MISSIONEVANSVILLE</v>
          </cell>
          <cell r="C104" t="str">
            <v>727 CHESTNUT ST</v>
          </cell>
        </row>
        <row r="105">
          <cell r="A105">
            <v>61122420</v>
          </cell>
          <cell r="B105" t="str">
            <v>EVANS VAND SCHOOL CO</v>
          </cell>
          <cell r="C105" t="str">
            <v>801 CHESTNUT ST</v>
          </cell>
        </row>
        <row r="106">
          <cell r="A106">
            <v>61122450</v>
          </cell>
          <cell r="B106" t="str">
            <v>AND HELPERSCHAUFFERS TEAMSTERS</v>
          </cell>
          <cell r="C106" t="str">
            <v>825 WALNUT ST</v>
          </cell>
        </row>
        <row r="107">
          <cell r="A107">
            <v>61122470</v>
          </cell>
          <cell r="B107" t="str">
            <v>SIEMERS GLASS</v>
          </cell>
          <cell r="C107" t="str">
            <v>1021 WALNUT ST</v>
          </cell>
        </row>
        <row r="108">
          <cell r="A108">
            <v>61122490</v>
          </cell>
          <cell r="B108" t="str">
            <v>BLDG AUTHEVANS VAND COUNTY</v>
          </cell>
          <cell r="C108" t="str">
            <v>MAIN &amp; NINTH ST</v>
          </cell>
        </row>
        <row r="109">
          <cell r="A109">
            <v>61122510</v>
          </cell>
          <cell r="B109" t="str">
            <v>CAPE</v>
          </cell>
          <cell r="C109" t="str">
            <v>906 MAIN ST</v>
          </cell>
        </row>
        <row r="110">
          <cell r="A110">
            <v>61122515</v>
          </cell>
          <cell r="B110" t="str">
            <v>CURTIS INVESTMENT#299</v>
          </cell>
          <cell r="C110" t="str">
            <v>915 MAIN ST</v>
          </cell>
        </row>
        <row r="111">
          <cell r="A111">
            <v>61122520</v>
          </cell>
          <cell r="B111" t="str">
            <v>NUSSMEIER ENGR CO</v>
          </cell>
          <cell r="C111" t="str">
            <v>9 E SYCAMORE ST</v>
          </cell>
        </row>
        <row r="112">
          <cell r="A112">
            <v>61122525</v>
          </cell>
          <cell r="B112" t="str">
            <v>HULMAN &amp; CO</v>
          </cell>
          <cell r="C112" t="str">
            <v>100 E SYCAMORE ST</v>
          </cell>
        </row>
        <row r="113">
          <cell r="A113">
            <v>61122530</v>
          </cell>
          <cell r="B113" t="str">
            <v>ST PAUL LUTH CH</v>
          </cell>
          <cell r="C113" t="str">
            <v>108 E MICHIGAN ST</v>
          </cell>
        </row>
        <row r="114">
          <cell r="A114">
            <v>61122535</v>
          </cell>
          <cell r="B114" t="str">
            <v>SIGECO</v>
          </cell>
          <cell r="C114" t="str">
            <v>101 N MAIN ST</v>
          </cell>
        </row>
        <row r="115">
          <cell r="A115">
            <v>61122536</v>
          </cell>
          <cell r="B115" t="str">
            <v>CAROLYN B DAVIS</v>
          </cell>
          <cell r="C115" t="str">
            <v>317 N MAIN ST</v>
          </cell>
        </row>
        <row r="116">
          <cell r="A116">
            <v>61122538</v>
          </cell>
          <cell r="B116" t="str">
            <v>INVESTMENT CONCEPTS</v>
          </cell>
          <cell r="C116" t="str">
            <v>423 N MAIN ST</v>
          </cell>
        </row>
        <row r="117">
          <cell r="A117">
            <v>61122540</v>
          </cell>
          <cell r="B117" t="str">
            <v>ST PAUL LUTH CHURCH</v>
          </cell>
          <cell r="C117" t="str">
            <v>100 E MICHIGAN ST</v>
          </cell>
        </row>
        <row r="118">
          <cell r="A118">
            <v>61122550</v>
          </cell>
          <cell r="B118" t="str">
            <v>COUNCIL ON AGING INCSOUTHWESTERN IN REG</v>
          </cell>
          <cell r="C118" t="str">
            <v>16 W VIRGINIA ST</v>
          </cell>
        </row>
        <row r="119">
          <cell r="A119">
            <v>61122560</v>
          </cell>
          <cell r="B119" t="str">
            <v>TURONIS PIZZA,INC</v>
          </cell>
          <cell r="C119" t="str">
            <v>408 N MAIN ST</v>
          </cell>
        </row>
        <row r="120">
          <cell r="A120">
            <v>61122570</v>
          </cell>
          <cell r="B120" t="str">
            <v>ST LUCAS CHURCHHUGH AUSTIN</v>
          </cell>
          <cell r="C120" t="str">
            <v>30 W VIRGINIA ST</v>
          </cell>
        </row>
        <row r="121">
          <cell r="A121">
            <v>61122580</v>
          </cell>
          <cell r="B121" t="str">
            <v>DEACONESS HOSPITAL</v>
          </cell>
          <cell r="C121" t="str">
            <v>235 W IOWA ST</v>
          </cell>
        </row>
        <row r="122">
          <cell r="A122">
            <v>61122590</v>
          </cell>
          <cell r="B122" t="str">
            <v>ATTN;FACILITIES MGMTDEACONESS HOSPITAL</v>
          </cell>
          <cell r="C122" t="str">
            <v>515 READ ST</v>
          </cell>
        </row>
        <row r="123">
          <cell r="A123">
            <v>61122610</v>
          </cell>
          <cell r="B123" t="str">
            <v>ACCOUNTS PAYABLEBUEHLERS BUY LOW 466</v>
          </cell>
          <cell r="C123" t="str">
            <v>200 N MAIN ST</v>
          </cell>
        </row>
        <row r="124">
          <cell r="A124">
            <v>61122620</v>
          </cell>
          <cell r="B124" t="str">
            <v>P &amp; L ENTERPRISES</v>
          </cell>
          <cell r="C124" t="str">
            <v>20B N MAIN ST</v>
          </cell>
        </row>
        <row r="125">
          <cell r="A125">
            <v>61122670</v>
          </cell>
          <cell r="B125" t="str">
            <v>ZIRKLE-BENTHALL</v>
          </cell>
          <cell r="C125" t="str">
            <v>213 PENNSYLVANIA ST</v>
          </cell>
        </row>
        <row r="126">
          <cell r="A126">
            <v>61220100</v>
          </cell>
          <cell r="B126" t="str">
            <v>SIGECO</v>
          </cell>
          <cell r="C126" t="str">
            <v>10 N HEIDELBACH</v>
          </cell>
        </row>
        <row r="127">
          <cell r="A127">
            <v>61220190</v>
          </cell>
          <cell r="B127" t="str">
            <v>HERITAGE INVESTMENTS</v>
          </cell>
          <cell r="C127" t="str">
            <v>101 N GOVERNOR</v>
          </cell>
        </row>
        <row r="128">
          <cell r="A128">
            <v>61220230</v>
          </cell>
          <cell r="B128" t="str">
            <v>COMMUNITY CTR</v>
          </cell>
          <cell r="C128" t="str">
            <v>100 E WALNUT ST</v>
          </cell>
        </row>
        <row r="129">
          <cell r="A129">
            <v>61220235</v>
          </cell>
          <cell r="B129" t="str">
            <v>V A MED CENTER</v>
          </cell>
          <cell r="C129" t="str">
            <v>500 E WALNUT ST</v>
          </cell>
        </row>
        <row r="130">
          <cell r="A130">
            <v>61220240</v>
          </cell>
          <cell r="B130" t="str">
            <v>METS</v>
          </cell>
          <cell r="C130" t="str">
            <v>601 JOHN ST</v>
          </cell>
        </row>
        <row r="131">
          <cell r="A131">
            <v>61220245</v>
          </cell>
          <cell r="B131" t="str">
            <v>E W SCRIPPS CO10607100</v>
          </cell>
          <cell r="C131" t="str">
            <v>201-9 E SYCAMORE ST</v>
          </cell>
        </row>
        <row r="132">
          <cell r="A132">
            <v>61220246</v>
          </cell>
          <cell r="B132" t="str">
            <v>CORONERS OFFICEVANDERBURGH COUNTY</v>
          </cell>
          <cell r="C132" t="str">
            <v>201 S MORTON AVE</v>
          </cell>
        </row>
        <row r="133">
          <cell r="A133">
            <v>61220247</v>
          </cell>
          <cell r="B133" t="str">
            <v>PRO-TEX-ALL COMPANY</v>
          </cell>
          <cell r="C133" t="str">
            <v>210 S MORTON AVE</v>
          </cell>
        </row>
        <row r="134">
          <cell r="A134">
            <v>61220249</v>
          </cell>
          <cell r="B134" t="str">
            <v>STANDARDS INCPREFERRED ENVIRONMEN</v>
          </cell>
          <cell r="C134" t="str">
            <v>829 CANAL ST</v>
          </cell>
        </row>
        <row r="135">
          <cell r="A135">
            <v>61220310</v>
          </cell>
          <cell r="B135" t="str">
            <v>LIFE CENTEREVANSVILLE CHRISTIAN</v>
          </cell>
          <cell r="C135" t="str">
            <v>500 S GRAND AVE</v>
          </cell>
        </row>
        <row r="136">
          <cell r="A136">
            <v>61220320</v>
          </cell>
          <cell r="B136" t="str">
            <v>BANK OF EVANSVILLE</v>
          </cell>
          <cell r="C136" t="str">
            <v>1111 LINCOLN AVE</v>
          </cell>
        </row>
        <row r="137">
          <cell r="A137">
            <v>61220330</v>
          </cell>
          <cell r="B137" t="str">
            <v>GROSSMAN RENTALS LLC</v>
          </cell>
          <cell r="C137" t="str">
            <v>1127 LINCOLN AVE</v>
          </cell>
        </row>
        <row r="138">
          <cell r="A138">
            <v>61220351</v>
          </cell>
          <cell r="B138" t="str">
            <v>VISTING NURSE ASSOC</v>
          </cell>
          <cell r="C138" t="str">
            <v>610 E WALNUT ST</v>
          </cell>
        </row>
        <row r="139">
          <cell r="A139">
            <v>61220370</v>
          </cell>
          <cell r="B139" t="str">
            <v>AMERICAN EYE ASSOC</v>
          </cell>
          <cell r="C139" t="str">
            <v>1150 LINCOLN AVE</v>
          </cell>
        </row>
        <row r="140">
          <cell r="A140">
            <v>61220390</v>
          </cell>
          <cell r="B140" t="str">
            <v>WILLIAM K WORTMAN</v>
          </cell>
          <cell r="C140" t="str">
            <v>1018 LINCOLN AVE</v>
          </cell>
        </row>
        <row r="141">
          <cell r="A141">
            <v>61220410</v>
          </cell>
          <cell r="B141" t="str">
            <v>ELIZABETH LYNCHLYNCH HSE COIFFURE</v>
          </cell>
          <cell r="C141" t="str">
            <v>555 S KENTUCKY AVE</v>
          </cell>
        </row>
        <row r="142">
          <cell r="A142">
            <v>61220420</v>
          </cell>
          <cell r="B142" t="str">
            <v>NEW HORIZON BAPT CH</v>
          </cell>
          <cell r="C142" t="str">
            <v>800 LINCOLN AVE</v>
          </cell>
        </row>
        <row r="143">
          <cell r="A143">
            <v>61220470</v>
          </cell>
          <cell r="B143" t="str">
            <v>C/O EVANSVILLE VANDLINCOLN</v>
          </cell>
          <cell r="C143" t="str">
            <v>32 LINCOLN AVE</v>
          </cell>
        </row>
        <row r="144">
          <cell r="A144">
            <v>61220490</v>
          </cell>
          <cell r="B144" t="str">
            <v>ST JOHN CATHOLIC617</v>
          </cell>
          <cell r="C144" t="str">
            <v>627 BELLEMEADE AVE</v>
          </cell>
        </row>
        <row r="145">
          <cell r="A145">
            <v>61220630</v>
          </cell>
          <cell r="B145" t="str">
            <v>CHRISTIAN FELLOWSHIPCHURCH</v>
          </cell>
          <cell r="C145" t="str">
            <v>720 SE EIGHTH ST</v>
          </cell>
        </row>
        <row r="146">
          <cell r="A146">
            <v>61220650</v>
          </cell>
          <cell r="B146" t="str">
            <v>LIBERTY TERRACETHE MARTIN GROUP</v>
          </cell>
          <cell r="C146" t="str">
            <v>SEVENTH &amp; EIGHTH STS</v>
          </cell>
        </row>
        <row r="147">
          <cell r="A147">
            <v>61220670</v>
          </cell>
          <cell r="B147" t="str">
            <v>LIBERTY TERRACETHE MARTIN GROUP</v>
          </cell>
          <cell r="C147" t="str">
            <v>SIXTH &amp; SEVENTH STS</v>
          </cell>
        </row>
        <row r="148">
          <cell r="A148">
            <v>61220680</v>
          </cell>
          <cell r="B148" t="str">
            <v>OHIO VALLEY  #3026FRESENIUS</v>
          </cell>
          <cell r="C148" t="str">
            <v>230 BELLEMEADE AVE</v>
          </cell>
        </row>
        <row r="149">
          <cell r="A149">
            <v>61220685</v>
          </cell>
          <cell r="B149" t="str">
            <v>COMMUNITY ACTION PROCAPE OF EVILLE</v>
          </cell>
          <cell r="C149" t="str">
            <v>301 LINCOLN AVE</v>
          </cell>
        </row>
        <row r="150">
          <cell r="A150">
            <v>61220710</v>
          </cell>
          <cell r="B150" t="str">
            <v>OF EVANSVILLEHOUSING AUTHORITY</v>
          </cell>
          <cell r="C150" t="str">
            <v>300 BELLEMEADE AVE</v>
          </cell>
        </row>
        <row r="151">
          <cell r="A151">
            <v>61220730</v>
          </cell>
          <cell r="B151" t="str">
            <v>HOUS AUTH OF EVANSEVILLE HOUSING AUTH</v>
          </cell>
          <cell r="C151" t="str">
            <v>306 BELLEMEADE AVE</v>
          </cell>
        </row>
        <row r="152">
          <cell r="A152">
            <v>61220750</v>
          </cell>
          <cell r="B152" t="str">
            <v>OF EVANSVILLEHOUSING AUTHORITY</v>
          </cell>
          <cell r="C152" t="str">
            <v>302 BELLEMEADE AVE</v>
          </cell>
        </row>
        <row r="153">
          <cell r="A153">
            <v>61220770</v>
          </cell>
          <cell r="B153" t="str">
            <v>OF EVANSVILLEHOUSING AUTHORITY</v>
          </cell>
          <cell r="C153" t="str">
            <v>310 BELLEMEADE AVE</v>
          </cell>
        </row>
        <row r="154">
          <cell r="A154">
            <v>61220790</v>
          </cell>
          <cell r="B154" t="str">
            <v>OF EVANSVILLEHOUSING AUTHORITY</v>
          </cell>
          <cell r="C154" t="str">
            <v>312 BELLEMEADE AVE</v>
          </cell>
        </row>
        <row r="155">
          <cell r="A155">
            <v>61220810</v>
          </cell>
          <cell r="B155" t="str">
            <v>OF EVANSVILLEHOUSING AUTHORITY</v>
          </cell>
          <cell r="C155" t="str">
            <v>304 BELLEMEADE AVE</v>
          </cell>
        </row>
        <row r="156">
          <cell r="A156">
            <v>61220830</v>
          </cell>
          <cell r="B156" t="str">
            <v>OF EVANSVILLEHOUSING AUTHORITY</v>
          </cell>
          <cell r="C156" t="str">
            <v>314 BELLEMEADE AVE</v>
          </cell>
        </row>
        <row r="157">
          <cell r="A157">
            <v>61220850</v>
          </cell>
          <cell r="B157" t="str">
            <v>OF EVANSVILLEHOUSING AUTHORITY</v>
          </cell>
          <cell r="C157" t="str">
            <v>308 BELLEMEADE AVE</v>
          </cell>
        </row>
        <row r="158">
          <cell r="A158">
            <v>61220870</v>
          </cell>
          <cell r="B158" t="str">
            <v>HOUSING AUTHORITYEVILLE HOUSING AUTH</v>
          </cell>
          <cell r="C158" t="str">
            <v>666 LINE ST</v>
          </cell>
        </row>
        <row r="159">
          <cell r="A159">
            <v>61220890</v>
          </cell>
          <cell r="B159" t="str">
            <v>BOOM SQUAD INC</v>
          </cell>
          <cell r="C159" t="str">
            <v>50 STANLEY HALL</v>
          </cell>
        </row>
        <row r="160">
          <cell r="A160">
            <v>61220910</v>
          </cell>
          <cell r="B160" t="str">
            <v>EAST SIDE LIBRARY</v>
          </cell>
          <cell r="C160" t="str">
            <v>840 E CHANDLER AVE</v>
          </cell>
        </row>
        <row r="161">
          <cell r="A161">
            <v>61220930</v>
          </cell>
          <cell r="B161" t="str">
            <v>MISSIONEVANSVILLE RESCUE</v>
          </cell>
          <cell r="C161" t="str">
            <v>801 SE SIXTH ST</v>
          </cell>
        </row>
        <row r="162">
          <cell r="A162">
            <v>61220950</v>
          </cell>
          <cell r="B162" t="str">
            <v>ENERGY ADVANTAGEBRENTWOOD CONVALESNT</v>
          </cell>
          <cell r="C162" t="str">
            <v>30 E CHANDLER AVE</v>
          </cell>
        </row>
        <row r="163">
          <cell r="A163">
            <v>61221000</v>
          </cell>
          <cell r="B163" t="str">
            <v>SOUTHWESTERN INDIANAMENTAL HEALTH FOUND</v>
          </cell>
          <cell r="C163" t="str">
            <v>410 MULBERRY ST</v>
          </cell>
        </row>
        <row r="164">
          <cell r="A164">
            <v>61221010</v>
          </cell>
          <cell r="B164" t="str">
            <v>MENTAL HEALTH  CSO WESTERN IND</v>
          </cell>
          <cell r="C164" t="str">
            <v>415 MULBERRY ST</v>
          </cell>
        </row>
        <row r="165">
          <cell r="A165">
            <v>61221030</v>
          </cell>
          <cell r="B165" t="str">
            <v>ENERGY ADVANTAGEBRENTWOOD CONVALESNT</v>
          </cell>
          <cell r="C165" t="str">
            <v>10B E CHANDLER AVE</v>
          </cell>
        </row>
        <row r="166">
          <cell r="A166">
            <v>61221040</v>
          </cell>
          <cell r="B166" t="str">
            <v>DEVELOPMENTAL CHILD</v>
          </cell>
          <cell r="C166" t="str">
            <v>623 GUM ST</v>
          </cell>
        </row>
        <row r="167">
          <cell r="A167">
            <v>61221050</v>
          </cell>
          <cell r="B167" t="str">
            <v>DEACONESS CLINIC INC</v>
          </cell>
          <cell r="C167" t="str">
            <v>420 CHERRY ST</v>
          </cell>
        </row>
        <row r="168">
          <cell r="A168">
            <v>61221070</v>
          </cell>
          <cell r="B168" t="str">
            <v>SELECT SPECIALTYACCOUNTS PAYABLE</v>
          </cell>
          <cell r="C168" t="str">
            <v>FIFTH &amp; CHERRY ST</v>
          </cell>
        </row>
        <row r="169">
          <cell r="A169">
            <v>61221110</v>
          </cell>
          <cell r="B169" t="str">
            <v>THE KUNKEL GROUP</v>
          </cell>
          <cell r="C169" t="str">
            <v>510 OAK ST</v>
          </cell>
        </row>
        <row r="170">
          <cell r="A170">
            <v>61221120</v>
          </cell>
          <cell r="B170" t="str">
            <v>DEACONESS CLINIC INC</v>
          </cell>
          <cell r="C170" t="str">
            <v>421 CHESTNUT ST</v>
          </cell>
        </row>
        <row r="171">
          <cell r="A171">
            <v>61221130</v>
          </cell>
          <cell r="B171" t="str">
            <v>GAYLE TELLER</v>
          </cell>
          <cell r="C171" t="str">
            <v>401 SE FIRST ST</v>
          </cell>
        </row>
        <row r="172">
          <cell r="A172">
            <v>61221150</v>
          </cell>
          <cell r="B172" t="str">
            <v>MCMA REALTY LLC</v>
          </cell>
          <cell r="C172" t="str">
            <v>409 SE FIRST ST</v>
          </cell>
        </row>
        <row r="173">
          <cell r="A173">
            <v>61221170</v>
          </cell>
          <cell r="B173" t="str">
            <v>SHELBY MARSHALL</v>
          </cell>
          <cell r="C173" t="str">
            <v>521 SE FIRST ST</v>
          </cell>
        </row>
        <row r="174">
          <cell r="A174">
            <v>61221190</v>
          </cell>
          <cell r="B174" t="str">
            <v>EVILLE MUS ARTS</v>
          </cell>
          <cell r="C174" t="str">
            <v>411 SE RIVERSIDE DR</v>
          </cell>
        </row>
        <row r="175">
          <cell r="A175">
            <v>61221210</v>
          </cell>
          <cell r="B175" t="str">
            <v>MICHAEL ZILIAK</v>
          </cell>
          <cell r="C175" t="str">
            <v>602 SE RIVERSIDE DR</v>
          </cell>
        </row>
        <row r="176">
          <cell r="A176">
            <v>61221230</v>
          </cell>
          <cell r="B176" t="str">
            <v>DANIEL M WEINZAPPEL</v>
          </cell>
          <cell r="C176" t="str">
            <v>731 SE RIVERSIDE DR</v>
          </cell>
        </row>
        <row r="177">
          <cell r="A177">
            <v>61221250</v>
          </cell>
          <cell r="B177" t="str">
            <v>BPWATTN:ALICIA</v>
          </cell>
          <cell r="C177" t="str">
            <v>WATERWORKS ROAD</v>
          </cell>
        </row>
        <row r="178">
          <cell r="A178">
            <v>61221270</v>
          </cell>
          <cell r="B178" t="str">
            <v>LEVEE AUTH BLDG</v>
          </cell>
          <cell r="C178" t="str">
            <v>WATERWORKS &amp; SHAWNEE</v>
          </cell>
        </row>
        <row r="179">
          <cell r="A179">
            <v>61221290</v>
          </cell>
          <cell r="B179" t="str">
            <v>MBH LLC</v>
          </cell>
          <cell r="C179" t="str">
            <v>824 SUNSET AVE</v>
          </cell>
        </row>
        <row r="180">
          <cell r="A180">
            <v>61221330</v>
          </cell>
          <cell r="B180" t="str">
            <v>RIVERSUNSET LLC</v>
          </cell>
          <cell r="C180" t="str">
            <v>636 SUNSET AVE</v>
          </cell>
        </row>
        <row r="181">
          <cell r="A181">
            <v>61221350</v>
          </cell>
          <cell r="B181" t="str">
            <v>WARREN PROPERTIES</v>
          </cell>
          <cell r="C181" t="str">
            <v>1118 SE RIVERSIDE DR</v>
          </cell>
        </row>
        <row r="182">
          <cell r="A182">
            <v>61221370</v>
          </cell>
          <cell r="B182" t="str">
            <v>G I G LLC</v>
          </cell>
          <cell r="C182" t="str">
            <v>9 ADAMS AVE</v>
          </cell>
        </row>
        <row r="183">
          <cell r="A183">
            <v>61221390</v>
          </cell>
          <cell r="B183" t="str">
            <v>KEN-MAC INVESTMENTS</v>
          </cell>
          <cell r="C183" t="str">
            <v>1120 SE FIRST ST</v>
          </cell>
        </row>
        <row r="184">
          <cell r="A184">
            <v>61221410</v>
          </cell>
          <cell r="B184" t="str">
            <v>ERS MANAGEMENT LLC</v>
          </cell>
          <cell r="C184" t="str">
            <v>1208 SE FIRST ST</v>
          </cell>
        </row>
        <row r="185">
          <cell r="A185">
            <v>61221430</v>
          </cell>
          <cell r="B185" t="str">
            <v>AL J RITZ</v>
          </cell>
          <cell r="C185" t="str">
            <v>1301 SE RIVERSIDE DR</v>
          </cell>
        </row>
        <row r="186">
          <cell r="A186">
            <v>61221450</v>
          </cell>
          <cell r="B186" t="str">
            <v>R &amp; I PROPERTIES</v>
          </cell>
          <cell r="C186" t="str">
            <v>1510 SE RIVERSIDE DR</v>
          </cell>
        </row>
        <row r="187">
          <cell r="A187">
            <v>61221470</v>
          </cell>
          <cell r="B187" t="str">
            <v>ABCDE INCSTE 204</v>
          </cell>
          <cell r="C187" t="str">
            <v>5 E RIVERSIDE DR</v>
          </cell>
        </row>
        <row r="188">
          <cell r="A188">
            <v>61221490</v>
          </cell>
          <cell r="B188" t="str">
            <v>KEWBEE MCDONALD</v>
          </cell>
          <cell r="C188" t="str">
            <v>15 E RIVERSIDE DR</v>
          </cell>
        </row>
        <row r="189">
          <cell r="A189">
            <v>61221510</v>
          </cell>
          <cell r="B189" t="str">
            <v>KILBURN H DURHAM</v>
          </cell>
          <cell r="C189" t="str">
            <v>1508 HOWARD ST</v>
          </cell>
        </row>
        <row r="190">
          <cell r="A190">
            <v>61221530</v>
          </cell>
          <cell r="B190" t="str">
            <v>DBA DONALDSON ARM APDAYWEY LLC</v>
          </cell>
          <cell r="C190" t="str">
            <v>1407 HOWARD ST</v>
          </cell>
        </row>
        <row r="191">
          <cell r="A191">
            <v>61221550</v>
          </cell>
          <cell r="B191" t="str">
            <v>LOWE REALTY</v>
          </cell>
          <cell r="C191" t="str">
            <v>1330 SE SECOND ST</v>
          </cell>
        </row>
        <row r="192">
          <cell r="A192">
            <v>61221570</v>
          </cell>
          <cell r="B192" t="str">
            <v>RATHBONE HOME% CHARLES J LUDWYCK</v>
          </cell>
          <cell r="C192" t="str">
            <v>1320B SE SECOND ST</v>
          </cell>
        </row>
        <row r="193">
          <cell r="A193">
            <v>61221590</v>
          </cell>
          <cell r="B193" t="str">
            <v>KIRKSTON MORTGAGECHERYL L KIRKLAND</v>
          </cell>
          <cell r="C193" t="str">
            <v>1230 SE SECOND ST</v>
          </cell>
        </row>
        <row r="194">
          <cell r="A194">
            <v>61221610</v>
          </cell>
          <cell r="B194" t="str">
            <v>R &amp; K HOLDINGS, LLC</v>
          </cell>
          <cell r="C194" t="str">
            <v>1322 PARRETT ST</v>
          </cell>
        </row>
        <row r="195">
          <cell r="A195">
            <v>61221630</v>
          </cell>
          <cell r="B195" t="str">
            <v>BYRON D WARREN</v>
          </cell>
          <cell r="C195" t="str">
            <v>916 SE SECOND ST</v>
          </cell>
        </row>
        <row r="196">
          <cell r="A196">
            <v>61221650</v>
          </cell>
          <cell r="B196" t="str">
            <v>MVP MANAGEMENT LLC</v>
          </cell>
          <cell r="C196" t="str">
            <v>800 SE SECOND ST</v>
          </cell>
        </row>
        <row r="197">
          <cell r="A197">
            <v>61221670</v>
          </cell>
          <cell r="B197" t="str">
            <v>CENTER OF HOPE CHURC</v>
          </cell>
          <cell r="C197" t="str">
            <v>804 SE THIRD ST</v>
          </cell>
        </row>
        <row r="198">
          <cell r="A198">
            <v>61221700</v>
          </cell>
          <cell r="B198" t="str">
            <v>REDEVELOPMENTWASHINGTON CT</v>
          </cell>
          <cell r="C198" t="str">
            <v>111 WASHINGTON AVE</v>
          </cell>
        </row>
        <row r="199">
          <cell r="A199">
            <v>61221710</v>
          </cell>
          <cell r="B199" t="str">
            <v>EVANSVILLEBROWNFIELDS CORP</v>
          </cell>
          <cell r="C199" t="str">
            <v>58 ADAMS AVE</v>
          </cell>
        </row>
        <row r="200">
          <cell r="A200">
            <v>61221720</v>
          </cell>
          <cell r="B200" t="str">
            <v>THE POTTERSWHEEL</v>
          </cell>
          <cell r="C200" t="str">
            <v>333 JEFFERSON AVE</v>
          </cell>
        </row>
        <row r="201">
          <cell r="A201">
            <v>61221730</v>
          </cell>
          <cell r="B201" t="str">
            <v>GODS WAY CHURCH</v>
          </cell>
          <cell r="C201" t="str">
            <v>641 WASHINGTON AVE</v>
          </cell>
        </row>
        <row r="202">
          <cell r="A202">
            <v>61221750</v>
          </cell>
          <cell r="B202" t="str">
            <v>EVANSVILLE VANDCULVER</v>
          </cell>
          <cell r="C202" t="str">
            <v>1301 JUDSON ST</v>
          </cell>
        </row>
        <row r="203">
          <cell r="A203">
            <v>61221770</v>
          </cell>
          <cell r="B203" t="str">
            <v>POWERS LAUNDROMAT</v>
          </cell>
          <cell r="C203" t="str">
            <v>225 E RIVERSIDE DR</v>
          </cell>
        </row>
        <row r="204">
          <cell r="A204">
            <v>61221790</v>
          </cell>
          <cell r="B204" t="str">
            <v>EVANS HOUSING AUTHOREVILLE HOUSING AUTH</v>
          </cell>
          <cell r="C204" t="str">
            <v>1930 S GARVIN ST</v>
          </cell>
        </row>
        <row r="205">
          <cell r="A205">
            <v>61221810</v>
          </cell>
          <cell r="B205" t="str">
            <v>HOUS AUTH OF EVILLEEVILLE HOUSING AUTH</v>
          </cell>
          <cell r="C205" t="str">
            <v>SWEETSER &amp; GARVIN</v>
          </cell>
        </row>
        <row r="206">
          <cell r="A206">
            <v>61221830</v>
          </cell>
          <cell r="B206" t="str">
            <v>H A CITY OF EVILEVILLE HOUSING AUTH</v>
          </cell>
          <cell r="C206" t="str">
            <v>659 SWEETSER AVE</v>
          </cell>
        </row>
        <row r="207">
          <cell r="A207">
            <v>61221835</v>
          </cell>
          <cell r="B207" t="str">
            <v>Q.C.D.PACKAGING</v>
          </cell>
          <cell r="C207" t="str">
            <v>2106 S EVANS AVE</v>
          </cell>
        </row>
        <row r="208">
          <cell r="A208">
            <v>61221850</v>
          </cell>
          <cell r="B208" t="str">
            <v>GLENWOOD SCHOOL</v>
          </cell>
          <cell r="C208" t="str">
            <v>901 SWEETSER AVE</v>
          </cell>
        </row>
        <row r="209">
          <cell r="A209">
            <v>61221860</v>
          </cell>
          <cell r="B209" t="str">
            <v>TOMS AUTO SALES</v>
          </cell>
          <cell r="C209" t="str">
            <v>2103 S KENTUCKY AVE</v>
          </cell>
        </row>
        <row r="210">
          <cell r="A210">
            <v>61221880</v>
          </cell>
          <cell r="B210" t="str">
            <v>WOLFES AUTO AUCTION</v>
          </cell>
          <cell r="C210" t="str">
            <v>912B PROSPERITY AVE</v>
          </cell>
        </row>
        <row r="211">
          <cell r="A211">
            <v>61221885</v>
          </cell>
          <cell r="B211" t="str">
            <v>WOLF'S AUTO AUCTION</v>
          </cell>
          <cell r="C211" t="str">
            <v>2229 S KENTUCKY AVE</v>
          </cell>
        </row>
        <row r="212">
          <cell r="A212">
            <v>61221910</v>
          </cell>
          <cell r="B212" t="str">
            <v>KIGHT CUSTOM MILLWRK</v>
          </cell>
          <cell r="C212" t="str">
            <v>2501 S KENTUCKY AVE</v>
          </cell>
        </row>
        <row r="213">
          <cell r="A213">
            <v>61221950</v>
          </cell>
          <cell r="B213" t="str">
            <v>SUPER FLEA MARKET</v>
          </cell>
          <cell r="C213" t="str">
            <v>2600 S KENTUCKY AVE</v>
          </cell>
        </row>
        <row r="214">
          <cell r="A214">
            <v>61221970</v>
          </cell>
          <cell r="B214" t="str">
            <v>ROYAL CROWN BOTT</v>
          </cell>
          <cell r="C214" t="str">
            <v>1100 INDEPENDENCE AVE</v>
          </cell>
        </row>
        <row r="215">
          <cell r="A215">
            <v>61221990</v>
          </cell>
          <cell r="B215" t="str">
            <v>ROYAL CROWN BOTTLING</v>
          </cell>
          <cell r="C215" t="str">
            <v>2300 S KENTUCKY AVE</v>
          </cell>
        </row>
        <row r="216">
          <cell r="A216">
            <v>61222030</v>
          </cell>
          <cell r="B216" t="str">
            <v>J TROCKMAN SONS</v>
          </cell>
          <cell r="C216" t="str">
            <v>BAYSE &amp; HWY</v>
          </cell>
        </row>
        <row r="217">
          <cell r="A217">
            <v>61222050</v>
          </cell>
          <cell r="B217" t="str">
            <v>TONY DUPONT</v>
          </cell>
          <cell r="C217" t="str">
            <v>1153 E RIVERSIDE DR</v>
          </cell>
        </row>
        <row r="218">
          <cell r="A218">
            <v>61222070</v>
          </cell>
          <cell r="B218" t="str">
            <v>U-HAUL COMPANY</v>
          </cell>
          <cell r="C218" t="str">
            <v>1200 E RIVERSIDE DR</v>
          </cell>
        </row>
        <row r="219">
          <cell r="A219">
            <v>61222090</v>
          </cell>
          <cell r="B219" t="str">
            <v>TERESA CARTER</v>
          </cell>
          <cell r="C219" t="str">
            <v>1015 E RIVERSIDE DR</v>
          </cell>
        </row>
        <row r="220">
          <cell r="A220">
            <v>61222100</v>
          </cell>
          <cell r="B220" t="str">
            <v>SIMMS PAINTING</v>
          </cell>
          <cell r="C220" t="str">
            <v>1600 S NEW YORK AVE</v>
          </cell>
        </row>
        <row r="221">
          <cell r="A221">
            <v>61222105</v>
          </cell>
          <cell r="B221" t="str">
            <v>DIAMOND VENDING CO</v>
          </cell>
          <cell r="C221" t="str">
            <v>1600B S NEW YORK AVE</v>
          </cell>
        </row>
        <row r="222">
          <cell r="A222">
            <v>61222110</v>
          </cell>
          <cell r="B222" t="str">
            <v>NEXT LEVEL PROP MGMT</v>
          </cell>
          <cell r="C222" t="str">
            <v>1143 COVERT AVE</v>
          </cell>
        </row>
        <row r="223">
          <cell r="A223">
            <v>61222130</v>
          </cell>
          <cell r="B223" t="str">
            <v>NEXT LEVEL PROP MGMT</v>
          </cell>
          <cell r="C223" t="str">
            <v>1153 COVERT AVE</v>
          </cell>
        </row>
        <row r="224">
          <cell r="A224">
            <v>61222150</v>
          </cell>
          <cell r="B224" t="str">
            <v>NEXT LEVEL PROP MGMT</v>
          </cell>
          <cell r="C224" t="str">
            <v>1163 COVERT AVE</v>
          </cell>
        </row>
        <row r="225">
          <cell r="A225">
            <v>61222170</v>
          </cell>
          <cell r="B225" t="str">
            <v>DBA BURGER KINE 2243HEARTLAND FOOD CORP</v>
          </cell>
          <cell r="C225" t="str">
            <v>1301 COVERT AVE</v>
          </cell>
        </row>
        <row r="226">
          <cell r="A226">
            <v>61222230</v>
          </cell>
          <cell r="B226" t="str">
            <v>01549 EVILL IN 01549FAMILY DOLLAR 434100</v>
          </cell>
          <cell r="C226" t="str">
            <v>1617 LODGE AVE</v>
          </cell>
        </row>
        <row r="227">
          <cell r="A227">
            <v>61222240</v>
          </cell>
          <cell r="B227" t="str">
            <v>O'DANIEL RANES INC</v>
          </cell>
          <cell r="C227" t="str">
            <v>1324-45 CASS AVE</v>
          </cell>
        </row>
        <row r="228">
          <cell r="A228">
            <v>61222250</v>
          </cell>
          <cell r="B228" t="str">
            <v>O'DANIEL RANES INC</v>
          </cell>
          <cell r="C228" t="str">
            <v>1325 43 CASS AVE</v>
          </cell>
        </row>
        <row r="229">
          <cell r="A229">
            <v>61222270</v>
          </cell>
          <cell r="B229" t="str">
            <v>THE HOLY SPIRIT</v>
          </cell>
          <cell r="C229" t="str">
            <v>1800 LODGE AVE</v>
          </cell>
        </row>
        <row r="230">
          <cell r="A230">
            <v>61222290</v>
          </cell>
          <cell r="B230" t="str">
            <v>CORPEVANS-VAND SCHOOL</v>
          </cell>
          <cell r="C230" t="str">
            <v>1400 RIVERSIDE DR</v>
          </cell>
        </row>
        <row r="231">
          <cell r="A231">
            <v>61222300</v>
          </cell>
          <cell r="B231" t="str">
            <v>OF PEACE ASSEMBLY  FTRUE HOLINESS CNVNT</v>
          </cell>
          <cell r="C231" t="str">
            <v>2210 LODGE AVE</v>
          </cell>
        </row>
        <row r="232">
          <cell r="A232">
            <v>61222310</v>
          </cell>
          <cell r="B232" t="str">
            <v>BARKLAY&amp;PURKANS LLCWOODLAND PARK APTS</v>
          </cell>
          <cell r="C232" t="str">
            <v>2800 LODGE AVE</v>
          </cell>
        </row>
        <row r="233">
          <cell r="A233">
            <v>61222330</v>
          </cell>
          <cell r="B233" t="str">
            <v>BARKLAY&amp;PURKANS LLCWOODLAND PARK APTS</v>
          </cell>
          <cell r="C233" t="str">
            <v>2511 SUNBURST BLVD</v>
          </cell>
        </row>
        <row r="234">
          <cell r="A234">
            <v>61222350</v>
          </cell>
          <cell r="B234" t="str">
            <v>BARKLAY&amp;PURKANS LLCWOODLAND PARK APTS</v>
          </cell>
          <cell r="C234" t="str">
            <v>2340 SUNBURST BLVD</v>
          </cell>
        </row>
        <row r="235">
          <cell r="A235">
            <v>61222370</v>
          </cell>
          <cell r="B235" t="str">
            <v>SENIOR WORLD APTSCARLINE BRYAN</v>
          </cell>
          <cell r="C235" t="str">
            <v>2305 S ROTHERWOOD</v>
          </cell>
        </row>
        <row r="236">
          <cell r="A236">
            <v>61222380</v>
          </cell>
          <cell r="B236" t="str">
            <v>CHURCHHERITAGE BAPTIST</v>
          </cell>
          <cell r="C236" t="str">
            <v>1613 POLLACK AVE</v>
          </cell>
        </row>
        <row r="237">
          <cell r="A237">
            <v>61222390</v>
          </cell>
          <cell r="B237" t="str">
            <v>V F W POST 2953</v>
          </cell>
          <cell r="C237" t="str">
            <v>1800 POLLACK AVE</v>
          </cell>
        </row>
        <row r="238">
          <cell r="A238">
            <v>61222410</v>
          </cell>
          <cell r="B238" t="str">
            <v>FAIRLAWN SHOP CENTEREADES PROP</v>
          </cell>
          <cell r="C238" t="str">
            <v>WEINBACH &amp; POLLACK</v>
          </cell>
        </row>
        <row r="239">
          <cell r="A239">
            <v>61222430</v>
          </cell>
          <cell r="B239" t="str">
            <v>EVILLE GOODWILL INC</v>
          </cell>
          <cell r="C239" t="str">
            <v>2133 S WEINBACH AVE</v>
          </cell>
        </row>
        <row r="240">
          <cell r="A240">
            <v>61222450</v>
          </cell>
          <cell r="B240" t="str">
            <v>DG STORE #2760IN DOLLAR GEN PART</v>
          </cell>
          <cell r="C240" t="str">
            <v>2131 S WEINBACH AVE</v>
          </cell>
        </row>
        <row r="241">
          <cell r="A241">
            <v>61222470</v>
          </cell>
          <cell r="B241" t="str">
            <v>ULTRA 2 LLC</v>
          </cell>
          <cell r="C241" t="str">
            <v>2625 RHEINHARDT AVE</v>
          </cell>
        </row>
        <row r="242">
          <cell r="A242">
            <v>61222490</v>
          </cell>
          <cell r="B242" t="str">
            <v>ULTRA 2 LLC</v>
          </cell>
          <cell r="C242" t="str">
            <v>2623 RHEINHARDT AVE</v>
          </cell>
        </row>
        <row r="243">
          <cell r="A243">
            <v>61222510</v>
          </cell>
          <cell r="B243" t="str">
            <v>ULTRA 2 LLC</v>
          </cell>
          <cell r="C243" t="str">
            <v>2900 S RUSTON AVE</v>
          </cell>
        </row>
        <row r="244">
          <cell r="A244">
            <v>61222530</v>
          </cell>
          <cell r="B244" t="str">
            <v>ULTRA 2 LLC</v>
          </cell>
          <cell r="C244" t="str">
            <v>2625A RHEINHARDT AVE</v>
          </cell>
        </row>
        <row r="245">
          <cell r="A245">
            <v>61222550</v>
          </cell>
          <cell r="B245" t="str">
            <v>ULTRA 2 LLC</v>
          </cell>
          <cell r="C245" t="str">
            <v>2908 S VILLA DR</v>
          </cell>
        </row>
        <row r="246">
          <cell r="A246">
            <v>61222570</v>
          </cell>
          <cell r="B246" t="str">
            <v>ULTRA 2 LLC</v>
          </cell>
          <cell r="C246" t="str">
            <v>2910 S VILLA DR</v>
          </cell>
        </row>
        <row r="247">
          <cell r="A247">
            <v>61222580</v>
          </cell>
          <cell r="B247" t="str">
            <v>DEBRA A MOFFATT</v>
          </cell>
          <cell r="C247" t="str">
            <v>2415 JEANETTE AVE</v>
          </cell>
        </row>
        <row r="248">
          <cell r="A248">
            <v>61222590</v>
          </cell>
          <cell r="B248" t="str">
            <v>NATIVITY SCHOOL</v>
          </cell>
          <cell r="C248" t="str">
            <v>3701 POLLACK AVE</v>
          </cell>
        </row>
        <row r="249">
          <cell r="A249">
            <v>61222595</v>
          </cell>
          <cell r="B249" t="str">
            <v>VANN PARK APARTMENTS</v>
          </cell>
          <cell r="C249" t="str">
            <v>3305 POLLACK AVE</v>
          </cell>
        </row>
        <row r="250">
          <cell r="A250">
            <v>61222596</v>
          </cell>
          <cell r="B250" t="str">
            <v>VANN PARK APARTMENTS</v>
          </cell>
          <cell r="C250" t="str">
            <v>3321 KATHLEEN AVE</v>
          </cell>
        </row>
        <row r="251">
          <cell r="A251">
            <v>61222597</v>
          </cell>
          <cell r="B251" t="str">
            <v>VANN PARK APARTMENTS</v>
          </cell>
          <cell r="C251" t="str">
            <v>3321C POLLACK AVE</v>
          </cell>
        </row>
        <row r="252">
          <cell r="A252">
            <v>61222605</v>
          </cell>
          <cell r="B252" t="str">
            <v>VANN PARK APARTMENTS</v>
          </cell>
          <cell r="C252" t="str">
            <v>3221 POLLACK AVE</v>
          </cell>
        </row>
        <row r="253">
          <cell r="A253">
            <v>61222608</v>
          </cell>
          <cell r="B253" t="str">
            <v>VANN PARK APARTMENTS</v>
          </cell>
          <cell r="C253" t="str">
            <v>2205 VANN AVE</v>
          </cell>
        </row>
        <row r="254">
          <cell r="A254">
            <v>61222610</v>
          </cell>
          <cell r="B254" t="str">
            <v>LOWE REALTY</v>
          </cell>
          <cell r="C254" t="str">
            <v>2501-2547 POLLACK AVE</v>
          </cell>
        </row>
        <row r="255">
          <cell r="A255">
            <v>61222630</v>
          </cell>
          <cell r="B255" t="str">
            <v>FAIRLAWN CHURCH</v>
          </cell>
          <cell r="C255" t="str">
            <v>2000 S ALVORD BLVD</v>
          </cell>
        </row>
        <row r="256">
          <cell r="A256">
            <v>61222650</v>
          </cell>
          <cell r="B256" t="str">
            <v>C/O EVANSVILLE VANDFAIRLAWN</v>
          </cell>
          <cell r="C256" t="str">
            <v>22 FAIRLAWN</v>
          </cell>
        </row>
        <row r="257">
          <cell r="A257">
            <v>61222710</v>
          </cell>
          <cell r="B257" t="str">
            <v>LEWIS HOLDING LLC</v>
          </cell>
          <cell r="C257" t="str">
            <v>1557 S WEINBACH AVE</v>
          </cell>
        </row>
        <row r="258">
          <cell r="A258">
            <v>61222730</v>
          </cell>
          <cell r="B258" t="str">
            <v>D-B-A RIVER CITY RECV U K CORP</v>
          </cell>
          <cell r="C258" t="str">
            <v>1050 S WEINBACH AVE</v>
          </cell>
        </row>
        <row r="259">
          <cell r="A259">
            <v>61222750</v>
          </cell>
          <cell r="B259" t="str">
            <v>ERS MANAGEMENT LLC</v>
          </cell>
          <cell r="C259" t="str">
            <v>1007 S LINCOLN PK DR</v>
          </cell>
        </row>
        <row r="260">
          <cell r="A260">
            <v>61222770</v>
          </cell>
          <cell r="B260" t="str">
            <v>CAROL ROBERTSON</v>
          </cell>
          <cell r="C260" t="str">
            <v>1101 S LINCOLN PK DR</v>
          </cell>
        </row>
        <row r="261">
          <cell r="A261">
            <v>61222790</v>
          </cell>
          <cell r="B261" t="str">
            <v>CAROL ROBERTSON</v>
          </cell>
          <cell r="C261" t="str">
            <v>1151 S LINCOLN PK DR</v>
          </cell>
        </row>
        <row r="262">
          <cell r="A262">
            <v>61222810</v>
          </cell>
          <cell r="B262" t="str">
            <v>U S POST OFFICEPOST MASTER</v>
          </cell>
          <cell r="C262" t="str">
            <v>1901 WASHINGTON AVE</v>
          </cell>
        </row>
        <row r="263">
          <cell r="A263">
            <v>61222830</v>
          </cell>
          <cell r="B263" t="str">
            <v>C/O EVANSVILLE VANDWASHINGTON</v>
          </cell>
          <cell r="C263" t="str">
            <v>1801 WASHINGTON AVE</v>
          </cell>
        </row>
        <row r="264">
          <cell r="A264">
            <v>61222850</v>
          </cell>
          <cell r="B264" t="str">
            <v>MAF INVESTMENTS</v>
          </cell>
          <cell r="C264" t="str">
            <v>1404 WASHINGTON AVE</v>
          </cell>
        </row>
        <row r="265">
          <cell r="A265">
            <v>61222870</v>
          </cell>
          <cell r="B265" t="str">
            <v>CHIRO-CHOICE</v>
          </cell>
          <cell r="C265" t="str">
            <v>1403 WASHINGTON AVE</v>
          </cell>
        </row>
        <row r="266">
          <cell r="A266">
            <v>61222890</v>
          </cell>
          <cell r="B266" t="str">
            <v>MARK MCNEER</v>
          </cell>
          <cell r="C266" t="str">
            <v>1515 LANT CIR</v>
          </cell>
        </row>
        <row r="267">
          <cell r="A267">
            <v>61222895</v>
          </cell>
          <cell r="B267" t="str">
            <v>WM C MASON</v>
          </cell>
          <cell r="C267" t="str">
            <v>601 COLLEGE HWY</v>
          </cell>
        </row>
        <row r="268">
          <cell r="A268">
            <v>61222910</v>
          </cell>
          <cell r="B268" t="str">
            <v>MARK F HACKERT</v>
          </cell>
          <cell r="C268" t="str">
            <v>711 COLLEGE HWY</v>
          </cell>
        </row>
        <row r="269">
          <cell r="A269">
            <v>61222920</v>
          </cell>
          <cell r="B269" t="str">
            <v>SCOTT C VEAZEY</v>
          </cell>
          <cell r="C269" t="str">
            <v>739 S WILLOW RD</v>
          </cell>
        </row>
        <row r="270">
          <cell r="A270">
            <v>61222930</v>
          </cell>
          <cell r="B270" t="str">
            <v>JANE MCMANUS</v>
          </cell>
          <cell r="C270" t="str">
            <v>802 COLLEGE HWY</v>
          </cell>
        </row>
        <row r="271">
          <cell r="A271">
            <v>61222940</v>
          </cell>
          <cell r="B271" t="str">
            <v>GLENN KINZIE</v>
          </cell>
          <cell r="C271" t="str">
            <v>861 COLLEGE HWY</v>
          </cell>
        </row>
        <row r="272">
          <cell r="A272">
            <v>61222950</v>
          </cell>
          <cell r="B272" t="str">
            <v>C/O EVANSVILLE VANDBOSSE</v>
          </cell>
          <cell r="C272" t="str">
            <v>4 S BOSSE AVE</v>
          </cell>
        </row>
        <row r="273">
          <cell r="A273">
            <v>61222970</v>
          </cell>
          <cell r="B273" t="str">
            <v>ENLOW FIELDBOSSE HIGH SCHOOL</v>
          </cell>
          <cell r="C273" t="str">
            <v>1301B WASHINGTON AVE</v>
          </cell>
        </row>
        <row r="274">
          <cell r="A274">
            <v>61222980</v>
          </cell>
          <cell r="B274" t="str">
            <v>DBK VISION INC</v>
          </cell>
          <cell r="C274" t="str">
            <v>1148 WASHINGTON AVE</v>
          </cell>
        </row>
        <row r="275">
          <cell r="A275">
            <v>61222990</v>
          </cell>
          <cell r="B275" t="str">
            <v>CHRISTIAN TABERNACLE</v>
          </cell>
          <cell r="C275" t="str">
            <v>1041 WASHINGTON AVE</v>
          </cell>
        </row>
        <row r="276">
          <cell r="A276">
            <v>61223010</v>
          </cell>
          <cell r="B276" t="str">
            <v>ADVANTAGEIQ-MS 363CVS STR#3255-3000</v>
          </cell>
          <cell r="C276" t="str">
            <v>1007 WASHINGTON AVE</v>
          </cell>
        </row>
        <row r="277">
          <cell r="A277">
            <v>61223015</v>
          </cell>
          <cell r="B277" t="str">
            <v>ADRIAN BROOKSTERRY B BROOKS</v>
          </cell>
          <cell r="C277" t="str">
            <v>1401 E PARK DR</v>
          </cell>
        </row>
        <row r="278">
          <cell r="A278">
            <v>61223020</v>
          </cell>
          <cell r="B278" t="str">
            <v>DANIEL THOMAS</v>
          </cell>
          <cell r="C278" t="str">
            <v>1021B S KENTUCKY AVE</v>
          </cell>
        </row>
        <row r="279">
          <cell r="A279">
            <v>61223030</v>
          </cell>
          <cell r="B279" t="str">
            <v>MICHELLE A SCOTT</v>
          </cell>
          <cell r="C279" t="str">
            <v>952 WASHINGTON AVE</v>
          </cell>
        </row>
        <row r="280">
          <cell r="A280">
            <v>61223040</v>
          </cell>
          <cell r="B280" t="str">
            <v>BEDFORD TAVERN</v>
          </cell>
          <cell r="C280" t="str">
            <v>1201 S BEDFORD AVE</v>
          </cell>
        </row>
        <row r="281">
          <cell r="A281">
            <v>61223060</v>
          </cell>
          <cell r="B281" t="str">
            <v>CHRISTIAN BIBLE STUDAND DELIVERANCE CENT</v>
          </cell>
          <cell r="C281" t="str">
            <v>816 JEFFERSON AVE</v>
          </cell>
        </row>
        <row r="282">
          <cell r="A282">
            <v>61320050</v>
          </cell>
          <cell r="B282" t="str">
            <v>RED LUTH CH</v>
          </cell>
          <cell r="C282" t="str">
            <v>LINCOLN AVE</v>
          </cell>
        </row>
        <row r="283">
          <cell r="A283">
            <v>61320070</v>
          </cell>
          <cell r="B283" t="str">
            <v>OLD NATIONAL BANKACCTS PAYABLE DEPT</v>
          </cell>
          <cell r="C283" t="str">
            <v>1923 LINCOLN AVE</v>
          </cell>
        </row>
        <row r="284">
          <cell r="A284">
            <v>61320090</v>
          </cell>
          <cell r="B284" t="str">
            <v>U OF E</v>
          </cell>
          <cell r="C284" t="str">
            <v>1931 LINCOLN AVE</v>
          </cell>
        </row>
        <row r="285">
          <cell r="A285">
            <v>61320110</v>
          </cell>
          <cell r="B285" t="str">
            <v>UNIVERSITY OF EVILLE</v>
          </cell>
          <cell r="C285" t="str">
            <v>2008 LINCOLN AVE</v>
          </cell>
        </row>
        <row r="286">
          <cell r="A286">
            <v>61320130</v>
          </cell>
          <cell r="B286" t="str">
            <v>UNIVERSITY OF EVILLE</v>
          </cell>
          <cell r="C286" t="str">
            <v>532 LINCOLN PARK DR</v>
          </cell>
        </row>
        <row r="287">
          <cell r="A287">
            <v>61320150</v>
          </cell>
          <cell r="B287" t="str">
            <v>UNIVERSITY OF EVILLE</v>
          </cell>
          <cell r="C287" t="str">
            <v>2025 LINCOLN AVE</v>
          </cell>
        </row>
        <row r="288">
          <cell r="A288">
            <v>61320170</v>
          </cell>
          <cell r="B288" t="str">
            <v>BARRY W RAY DDS PC</v>
          </cell>
          <cell r="C288" t="str">
            <v>2038 LINCOLN AVE</v>
          </cell>
        </row>
        <row r="289">
          <cell r="A289">
            <v>61320190</v>
          </cell>
          <cell r="B289" t="str">
            <v>THE METHODIST TEMPLE</v>
          </cell>
          <cell r="C289" t="str">
            <v>2109 LINCOLN AVE</v>
          </cell>
        </row>
        <row r="290">
          <cell r="A290">
            <v>61320210</v>
          </cell>
          <cell r="B290" t="str">
            <v>SCI ACCTS PAYABLE#2683</v>
          </cell>
          <cell r="C290" t="str">
            <v>2115 LINCOLN AVE</v>
          </cell>
        </row>
        <row r="291">
          <cell r="A291">
            <v>61320230</v>
          </cell>
          <cell r="B291" t="str">
            <v>WC BUSSING JR</v>
          </cell>
          <cell r="C291" t="str">
            <v>2202 LINCOLN AVE</v>
          </cell>
        </row>
        <row r="292">
          <cell r="A292">
            <v>61320250</v>
          </cell>
          <cell r="B292" t="str">
            <v>GENE WARREN,JR</v>
          </cell>
          <cell r="C292" t="str">
            <v>17 JOHNSON PL</v>
          </cell>
        </row>
        <row r="293">
          <cell r="A293">
            <v>61320270</v>
          </cell>
          <cell r="B293" t="str">
            <v>DR ROBT A ROYSTER</v>
          </cell>
          <cell r="C293" t="str">
            <v>34 JOHNSON PL</v>
          </cell>
        </row>
        <row r="294">
          <cell r="A294">
            <v>61320310</v>
          </cell>
          <cell r="B294" t="str">
            <v>STACY L GRIES</v>
          </cell>
          <cell r="C294" t="str">
            <v>2329 LINCOLN</v>
          </cell>
        </row>
        <row r="295">
          <cell r="A295">
            <v>61320350</v>
          </cell>
          <cell r="B295" t="str">
            <v>E H WIGGERSPAUL REVERE</v>
          </cell>
          <cell r="C295" t="str">
            <v>2608 LINCOLN AVE</v>
          </cell>
        </row>
        <row r="296">
          <cell r="A296">
            <v>61320370</v>
          </cell>
          <cell r="B296" t="str">
            <v>EVVIN02DSO N34106SBC/AMERITECH</v>
          </cell>
          <cell r="C296" t="str">
            <v>2613 LINCOLN AVE</v>
          </cell>
        </row>
        <row r="297">
          <cell r="A297">
            <v>61320390</v>
          </cell>
          <cell r="B297" t="str">
            <v>UNITED HUM CORP</v>
          </cell>
          <cell r="C297" t="str">
            <v>2912 LINCOLN AVE</v>
          </cell>
        </row>
        <row r="298">
          <cell r="A298">
            <v>61320410</v>
          </cell>
          <cell r="B298" t="str">
            <v>CHRIST THE KG CH</v>
          </cell>
          <cell r="C298" t="str">
            <v>3109 BAYARD PARK DR</v>
          </cell>
        </row>
        <row r="299">
          <cell r="A299">
            <v>61320430</v>
          </cell>
          <cell r="B299" t="str">
            <v>C/O EVANSVILLE VANDDEXTER</v>
          </cell>
          <cell r="C299" t="str">
            <v>20 S DEXTER AVE</v>
          </cell>
        </row>
        <row r="300">
          <cell r="A300">
            <v>61320450</v>
          </cell>
          <cell r="B300" t="str">
            <v>CHRISTIAN CHURCHEAST SIDE</v>
          </cell>
          <cell r="C300" t="str">
            <v>2001 BAYARD PARK DR</v>
          </cell>
        </row>
        <row r="301">
          <cell r="A301">
            <v>61320455</v>
          </cell>
          <cell r="B301" t="str">
            <v>ST MARKS LUTH CH</v>
          </cell>
          <cell r="C301" t="str">
            <v>2300 WASHINGTON AVE</v>
          </cell>
        </row>
        <row r="302">
          <cell r="A302">
            <v>61320460</v>
          </cell>
          <cell r="B302" t="str">
            <v>MARK SIMPSON</v>
          </cell>
          <cell r="C302" t="str">
            <v>2420 WASHINGTON AVE</v>
          </cell>
        </row>
        <row r="303">
          <cell r="A303">
            <v>61320465</v>
          </cell>
          <cell r="B303" t="str">
            <v>TACO JOHNSD G PROPERTIES</v>
          </cell>
          <cell r="C303" t="str">
            <v>2509 WASHINGTON AVE</v>
          </cell>
        </row>
        <row r="304">
          <cell r="A304">
            <v>61320475</v>
          </cell>
          <cell r="B304" t="str">
            <v>BRENT R GRAFE</v>
          </cell>
          <cell r="C304" t="str">
            <v>2709 WASHINGTON AVE</v>
          </cell>
        </row>
        <row r="305">
          <cell r="A305">
            <v>61320480</v>
          </cell>
          <cell r="B305" t="str">
            <v>HOSE HOUSE #16CITY CONTROLLER</v>
          </cell>
          <cell r="C305" t="str">
            <v>2801 WASHINGTON AVE</v>
          </cell>
        </row>
        <row r="306">
          <cell r="A306">
            <v>61320490</v>
          </cell>
          <cell r="B306" t="str">
            <v>DEXTER VILLA% LONNY L DUS</v>
          </cell>
          <cell r="C306" t="str">
            <v>2805 WASHINGTON AVE</v>
          </cell>
        </row>
        <row r="307">
          <cell r="A307">
            <v>61320515</v>
          </cell>
          <cell r="B307" t="str">
            <v>THE JAMESTOWN</v>
          </cell>
          <cell r="C307" t="str">
            <v>2901 WASHINGTON AVE</v>
          </cell>
        </row>
        <row r="308">
          <cell r="A308">
            <v>61320570</v>
          </cell>
          <cell r="B308" t="str">
            <v>DEXTER MGNT% LONNY L DUS</v>
          </cell>
          <cell r="C308" t="str">
            <v>1401 S BOEKE RD</v>
          </cell>
        </row>
        <row r="309">
          <cell r="A309">
            <v>61320590</v>
          </cell>
          <cell r="B309" t="str">
            <v>D B K VISION INC</v>
          </cell>
          <cell r="C309" t="str">
            <v>2960 COVERT AVE</v>
          </cell>
        </row>
        <row r="310">
          <cell r="A310">
            <v>61320610</v>
          </cell>
          <cell r="B310" t="str">
            <v>OREO PROPERTIES LLC</v>
          </cell>
          <cell r="C310" t="str">
            <v>3213 COVERT AVE</v>
          </cell>
        </row>
        <row r="311">
          <cell r="A311">
            <v>61320630</v>
          </cell>
          <cell r="B311" t="str">
            <v>ACCOUNTS PAYABLEBUEHLERS BUY LOW 454</v>
          </cell>
          <cell r="C311" t="str">
            <v>1550 S VANN AVE</v>
          </cell>
        </row>
        <row r="312">
          <cell r="A312">
            <v>61320650</v>
          </cell>
          <cell r="B312" t="str">
            <v>C/O EVANSVILLE VANDMCGARY</v>
          </cell>
          <cell r="C312" t="str">
            <v>34 MC GARY</v>
          </cell>
        </row>
        <row r="313">
          <cell r="A313">
            <v>61320670</v>
          </cell>
          <cell r="B313" t="str">
            <v>SAVANNAH GARDENS</v>
          </cell>
          <cell r="C313" t="str">
            <v>3620 COVERT AVE</v>
          </cell>
        </row>
        <row r="314">
          <cell r="A314">
            <v>61320690</v>
          </cell>
          <cell r="B314" t="str">
            <v>SAVANNAH GARDENS</v>
          </cell>
          <cell r="C314" t="str">
            <v>E END SAVANNAH DR</v>
          </cell>
        </row>
        <row r="315">
          <cell r="A315">
            <v>61320710</v>
          </cell>
          <cell r="B315" t="str">
            <v>SAVANNAH GARDENS</v>
          </cell>
          <cell r="C315" t="str">
            <v>3620 TAYLOR AVE</v>
          </cell>
        </row>
        <row r="316">
          <cell r="A316">
            <v>61320730</v>
          </cell>
          <cell r="B316" t="str">
            <v>SAVANNAH GARDENS</v>
          </cell>
          <cell r="C316" t="str">
            <v>1463 JOYCE AVE</v>
          </cell>
        </row>
        <row r="317">
          <cell r="A317">
            <v>61320750</v>
          </cell>
          <cell r="B317" t="str">
            <v>HOUSING OF IND INCNSH AFFORDABLE</v>
          </cell>
          <cell r="C317" t="str">
            <v>1360 S LOMBARD AVE</v>
          </cell>
        </row>
        <row r="318">
          <cell r="A318">
            <v>61320770</v>
          </cell>
          <cell r="B318" t="str">
            <v>HOUSING OF IND INCNSH AFFORDABLE</v>
          </cell>
          <cell r="C318" t="str">
            <v>1300 S LOMBARD AVE</v>
          </cell>
        </row>
        <row r="319">
          <cell r="A319">
            <v>61320790</v>
          </cell>
          <cell r="B319" t="str">
            <v>HOUSING OF IND INCNSH AFFORDABLE</v>
          </cell>
          <cell r="C319" t="str">
            <v>3515 MONROE AVE</v>
          </cell>
        </row>
        <row r="320">
          <cell r="A320">
            <v>61320810</v>
          </cell>
          <cell r="B320" t="str">
            <v>HOUSING OF IND INCNSH AFFORDABLE</v>
          </cell>
          <cell r="C320" t="str">
            <v>1301 LEE CT</v>
          </cell>
        </row>
        <row r="321">
          <cell r="A321">
            <v>61320830</v>
          </cell>
          <cell r="B321" t="str">
            <v>HOUSING OF IND INCNSH AFFORDABLE</v>
          </cell>
          <cell r="C321" t="str">
            <v>1302 LEE CT</v>
          </cell>
        </row>
        <row r="322">
          <cell r="A322">
            <v>61320850</v>
          </cell>
          <cell r="B322" t="str">
            <v>HOUSING OF IND INCNSH AFFORDABLE</v>
          </cell>
          <cell r="C322" t="str">
            <v>1320 LEE CT</v>
          </cell>
        </row>
        <row r="323">
          <cell r="A323">
            <v>61320870</v>
          </cell>
          <cell r="B323" t="str">
            <v>HOUSING OF IND INCNSH AFFORDABLE</v>
          </cell>
          <cell r="C323" t="str">
            <v>1315 MONROE CT</v>
          </cell>
        </row>
        <row r="324">
          <cell r="A324">
            <v>61320890</v>
          </cell>
          <cell r="B324" t="str">
            <v>HOUSING OF IND INCNSH AFFORDABLE</v>
          </cell>
          <cell r="C324" t="str">
            <v>1314 MONROE AVE</v>
          </cell>
        </row>
        <row r="325">
          <cell r="A325">
            <v>61320910</v>
          </cell>
          <cell r="B325" t="str">
            <v>HOUSING OF IND INCNSH AFFORDABLE</v>
          </cell>
          <cell r="C325" t="str">
            <v>3657 JACKSON AVE</v>
          </cell>
        </row>
        <row r="326">
          <cell r="A326">
            <v>61320930</v>
          </cell>
          <cell r="B326" t="str">
            <v>HOUSING OF IND INCNSH AFFORDABLE</v>
          </cell>
          <cell r="C326" t="str">
            <v>3751 JACKSON AVE</v>
          </cell>
        </row>
        <row r="327">
          <cell r="A327">
            <v>61320950</v>
          </cell>
          <cell r="B327" t="str">
            <v>HOUSING OF IND INCNSH AFFORDABLE</v>
          </cell>
          <cell r="C327" t="str">
            <v>3801 JACKSON AVE</v>
          </cell>
        </row>
        <row r="328">
          <cell r="A328">
            <v>61320970</v>
          </cell>
          <cell r="B328" t="str">
            <v>HOUSING OF IND INCNSH AFFORDABLE</v>
          </cell>
          <cell r="C328" t="str">
            <v>3821 JACKSON AVE</v>
          </cell>
        </row>
        <row r="329">
          <cell r="A329">
            <v>61320990</v>
          </cell>
          <cell r="B329" t="str">
            <v>HOUSING OF IND INCNSH AFFORDABLE</v>
          </cell>
          <cell r="C329" t="str">
            <v>3921 JACKSON AVE</v>
          </cell>
        </row>
        <row r="330">
          <cell r="A330">
            <v>61321010</v>
          </cell>
          <cell r="B330" t="str">
            <v>HOUSING OF IND INCNSH AFFORDABLE</v>
          </cell>
          <cell r="C330" t="str">
            <v>3907 JACKSON AVE</v>
          </cell>
        </row>
        <row r="331">
          <cell r="A331">
            <v>61321030</v>
          </cell>
          <cell r="B331" t="str">
            <v>EARL HARP</v>
          </cell>
          <cell r="C331" t="str">
            <v>1500 JEANETTE AVE</v>
          </cell>
        </row>
        <row r="332">
          <cell r="A332">
            <v>61321050</v>
          </cell>
          <cell r="B332" t="str">
            <v>DALEHAVEN ESTATES LP</v>
          </cell>
          <cell r="C332" t="str">
            <v>3812 ATLANTA CT</v>
          </cell>
        </row>
        <row r="333">
          <cell r="A333">
            <v>61321070</v>
          </cell>
          <cell r="B333" t="str">
            <v>DALEHAVEN ESTATES LP</v>
          </cell>
          <cell r="C333" t="str">
            <v>3800 ATLANTA CT</v>
          </cell>
        </row>
        <row r="334">
          <cell r="A334">
            <v>61321090</v>
          </cell>
          <cell r="B334" t="str">
            <v>DALEHAVEN ESTATES LP</v>
          </cell>
          <cell r="C334" t="str">
            <v>3700 ATLANTA CT</v>
          </cell>
        </row>
        <row r="335">
          <cell r="A335">
            <v>61321110</v>
          </cell>
          <cell r="B335" t="str">
            <v>DALEHAVEN ESTATES LP</v>
          </cell>
          <cell r="C335" t="str">
            <v>3701 ATLANTA CT</v>
          </cell>
        </row>
        <row r="336">
          <cell r="A336">
            <v>61321130</v>
          </cell>
          <cell r="B336" t="str">
            <v>DALEHAVEN ESTATES LP</v>
          </cell>
          <cell r="C336" t="str">
            <v>3700 COVERT AVE</v>
          </cell>
        </row>
        <row r="337">
          <cell r="A337">
            <v>61321150</v>
          </cell>
          <cell r="B337" t="str">
            <v>DALEHAVEN ESTATES LP</v>
          </cell>
          <cell r="C337" t="str">
            <v>3802 COVERT AVE</v>
          </cell>
        </row>
        <row r="338">
          <cell r="A338">
            <v>61321170</v>
          </cell>
          <cell r="B338" t="str">
            <v>DALEHAVEN ESTATES LP</v>
          </cell>
          <cell r="C338" t="str">
            <v>3801 JUSTUS CT</v>
          </cell>
        </row>
        <row r="339">
          <cell r="A339">
            <v>61321190</v>
          </cell>
          <cell r="B339" t="str">
            <v>DALEHAVEN ESTATES LP</v>
          </cell>
          <cell r="C339" t="str">
            <v>3701 JUSTUS CT</v>
          </cell>
        </row>
        <row r="340">
          <cell r="A340">
            <v>61321210</v>
          </cell>
          <cell r="B340" t="str">
            <v>DALEHAVEN ESTATES LP</v>
          </cell>
          <cell r="C340" t="str">
            <v>3800 JUSTUS CT</v>
          </cell>
        </row>
        <row r="341">
          <cell r="A341">
            <v>61321230</v>
          </cell>
          <cell r="B341" t="str">
            <v>DALEHAVEN ESTATES LP</v>
          </cell>
          <cell r="C341" t="str">
            <v>3702 JUSTUS CT</v>
          </cell>
        </row>
        <row r="342">
          <cell r="A342">
            <v>61321250</v>
          </cell>
          <cell r="B342" t="str">
            <v>DALEHAVEN ESTATES LP</v>
          </cell>
          <cell r="C342" t="str">
            <v>3700 JUSTUS CT</v>
          </cell>
        </row>
        <row r="343">
          <cell r="A343">
            <v>61321270</v>
          </cell>
          <cell r="B343" t="str">
            <v>DALEHAVEN ESTATES LP</v>
          </cell>
          <cell r="C343" t="str">
            <v>3800 VAN METER CT</v>
          </cell>
        </row>
        <row r="344">
          <cell r="A344">
            <v>61321290</v>
          </cell>
          <cell r="B344" t="str">
            <v>DALEHAVEN ESTATES LP</v>
          </cell>
          <cell r="C344" t="str">
            <v>3812 VAN METER CT</v>
          </cell>
        </row>
        <row r="345">
          <cell r="A345">
            <v>61321310</v>
          </cell>
          <cell r="B345" t="str">
            <v>DALEHAVEN ESTATES LP</v>
          </cell>
          <cell r="C345" t="str">
            <v>3706 VAN METER CT</v>
          </cell>
        </row>
        <row r="346">
          <cell r="A346">
            <v>61321330</v>
          </cell>
          <cell r="B346" t="str">
            <v>DALEHAVEN ESTATES LP</v>
          </cell>
          <cell r="C346" t="str">
            <v>3704 VAN METER CT</v>
          </cell>
        </row>
        <row r="347">
          <cell r="A347">
            <v>61321350</v>
          </cell>
          <cell r="B347" t="str">
            <v>DALEHAVEN ESTATES LP</v>
          </cell>
          <cell r="C347" t="str">
            <v>3707 VAN METER CT</v>
          </cell>
        </row>
        <row r="348">
          <cell r="A348">
            <v>61321370</v>
          </cell>
          <cell r="B348" t="str">
            <v>DALEHAVEN ESTATES LP</v>
          </cell>
          <cell r="C348" t="str">
            <v>3810 VAN METER CT</v>
          </cell>
        </row>
        <row r="349">
          <cell r="A349">
            <v>61321390</v>
          </cell>
          <cell r="B349" t="str">
            <v>DALEHAVEN ESTATES LP</v>
          </cell>
          <cell r="C349" t="str">
            <v>3813 VAN METER CT</v>
          </cell>
        </row>
        <row r="350">
          <cell r="A350">
            <v>61321400</v>
          </cell>
          <cell r="B350" t="str">
            <v>HEALTHSOUTH CORPFACILITY IQ MS 144</v>
          </cell>
          <cell r="C350" t="str">
            <v>4100 COVERT AVE</v>
          </cell>
        </row>
        <row r="351">
          <cell r="A351">
            <v>61321410</v>
          </cell>
          <cell r="B351" t="str">
            <v>LUTHER VILLAGETHE MARTIN GROUP</v>
          </cell>
          <cell r="C351" t="str">
            <v>1450#4 LUTHER SQ</v>
          </cell>
        </row>
        <row r="352">
          <cell r="A352">
            <v>61321430</v>
          </cell>
          <cell r="B352" t="str">
            <v>LUTHER VILLAGETHE MARTIN GROUP</v>
          </cell>
          <cell r="C352" t="str">
            <v>1450#2 LUTHER SQ</v>
          </cell>
        </row>
        <row r="353">
          <cell r="A353">
            <v>61321450</v>
          </cell>
          <cell r="B353" t="str">
            <v>LUTHER VILLAGETHE MARTIN GROUP</v>
          </cell>
          <cell r="C353" t="str">
            <v>1450#3 LUTHER SQ</v>
          </cell>
        </row>
        <row r="354">
          <cell r="A354">
            <v>61321470</v>
          </cell>
          <cell r="B354" t="str">
            <v>A/K/A HORIZON HOMESLUTHER VILLAGE</v>
          </cell>
          <cell r="C354" t="str">
            <v>1450#8 LUTHER SQ</v>
          </cell>
        </row>
        <row r="355">
          <cell r="A355">
            <v>61321490</v>
          </cell>
          <cell r="B355" t="str">
            <v>A/K/A HORIZON HOMESLUTHER VILLAGE</v>
          </cell>
          <cell r="C355" t="str">
            <v>1450#5 LUTHER SQ</v>
          </cell>
        </row>
        <row r="356">
          <cell r="A356">
            <v>61321510</v>
          </cell>
          <cell r="B356" t="str">
            <v>LUTHER VILLAGETHE MARTIN GROUP</v>
          </cell>
          <cell r="C356" t="str">
            <v>1450#1 LUTHER SQ</v>
          </cell>
        </row>
        <row r="357">
          <cell r="A357">
            <v>61321530</v>
          </cell>
          <cell r="B357" t="str">
            <v>LUTHER VILLAGETHE MARTIN GROUP</v>
          </cell>
          <cell r="C357" t="str">
            <v>1450#6 LUTHER SQ</v>
          </cell>
        </row>
        <row r="358">
          <cell r="A358">
            <v>61321550</v>
          </cell>
          <cell r="B358" t="str">
            <v>LUTHER VILLAGETHE MARTIN GROUP</v>
          </cell>
          <cell r="C358" t="str">
            <v>1450#7 LUTHER SQ</v>
          </cell>
        </row>
        <row r="359">
          <cell r="A359">
            <v>61321560</v>
          </cell>
          <cell r="B359" t="str">
            <v>DBA HARDEE'SSANDY'S ASSOC INC</v>
          </cell>
          <cell r="C359" t="str">
            <v>4400 COVERT AVE</v>
          </cell>
        </row>
        <row r="360">
          <cell r="A360">
            <v>61321570</v>
          </cell>
          <cell r="B360" t="str">
            <v>EASTRIDGE INVESTMENT</v>
          </cell>
          <cell r="C360" t="str">
            <v>4711 COVERT AVE</v>
          </cell>
        </row>
        <row r="361">
          <cell r="A361">
            <v>61321590</v>
          </cell>
          <cell r="B361" t="str">
            <v>D G MOUNTS</v>
          </cell>
          <cell r="C361" t="str">
            <v>1565 S GREEN RIVER RD</v>
          </cell>
        </row>
        <row r="362">
          <cell r="A362">
            <v>61321610</v>
          </cell>
          <cell r="B362" t="str">
            <v>GRAND OAK COMMUNITY</v>
          </cell>
          <cell r="C362" t="str">
            <v>4805 CASS AVE</v>
          </cell>
        </row>
        <row r="363">
          <cell r="A363">
            <v>61321630</v>
          </cell>
          <cell r="B363" t="str">
            <v>EASTLODGE APARTMENTS</v>
          </cell>
          <cell r="C363" t="str">
            <v>4830 CASS AVE</v>
          </cell>
        </row>
        <row r="364">
          <cell r="A364">
            <v>61321650</v>
          </cell>
          <cell r="B364" t="str">
            <v>GRAND OAK COMMUNITY</v>
          </cell>
          <cell r="C364" t="str">
            <v>1700 NORWOOD SQ</v>
          </cell>
        </row>
        <row r="365">
          <cell r="A365">
            <v>61321670</v>
          </cell>
          <cell r="B365" t="str">
            <v>GRAND OAK COMMUNITY</v>
          </cell>
          <cell r="C365" t="str">
            <v>5021B CASS AVE</v>
          </cell>
        </row>
        <row r="366">
          <cell r="A366">
            <v>61321690</v>
          </cell>
          <cell r="B366" t="str">
            <v>GRAND OAK COMMUNITY</v>
          </cell>
          <cell r="C366" t="str">
            <v>5021A CASS AVE</v>
          </cell>
        </row>
        <row r="367">
          <cell r="A367">
            <v>61321710</v>
          </cell>
          <cell r="B367" t="str">
            <v>GRAND OAK COMMUNITY</v>
          </cell>
          <cell r="C367" t="str">
            <v>5010 CASS AVE</v>
          </cell>
        </row>
        <row r="368">
          <cell r="A368">
            <v>61321730</v>
          </cell>
          <cell r="B368" t="str">
            <v>GRAND OAK COMMUNITY</v>
          </cell>
          <cell r="C368" t="str">
            <v>5010 CASS AVE</v>
          </cell>
        </row>
        <row r="369">
          <cell r="A369">
            <v>61321750</v>
          </cell>
          <cell r="B369" t="str">
            <v>GRAND OAK COMMUNITY</v>
          </cell>
          <cell r="C369" t="str">
            <v>5021C CASS AVE</v>
          </cell>
        </row>
        <row r="370">
          <cell r="A370">
            <v>61321770</v>
          </cell>
          <cell r="B370" t="str">
            <v>GRAND OAK COMMUNITY</v>
          </cell>
          <cell r="C370" t="str">
            <v>5021D CASS AVE</v>
          </cell>
        </row>
        <row r="371">
          <cell r="A371">
            <v>61321790</v>
          </cell>
          <cell r="B371" t="str">
            <v>GRAND OAK COMMUNITY</v>
          </cell>
          <cell r="C371" t="str">
            <v>5021 CASS AVE</v>
          </cell>
        </row>
        <row r="372">
          <cell r="A372">
            <v>61321810</v>
          </cell>
          <cell r="B372" t="str">
            <v>GRAND OAK COMMUNITY</v>
          </cell>
          <cell r="C372" t="str">
            <v>5021F CASS AVE</v>
          </cell>
        </row>
        <row r="373">
          <cell r="A373">
            <v>61321830</v>
          </cell>
          <cell r="B373" t="str">
            <v>GRAND OAK COMMUNITY</v>
          </cell>
          <cell r="C373" t="str">
            <v>5021G CASS AVE</v>
          </cell>
        </row>
        <row r="374">
          <cell r="A374">
            <v>61321850</v>
          </cell>
          <cell r="B374" t="str">
            <v>GRAND OAK COMMUNITY</v>
          </cell>
          <cell r="C374" t="str">
            <v>5021H CASS AVE</v>
          </cell>
        </row>
        <row r="375">
          <cell r="A375">
            <v>61321870</v>
          </cell>
          <cell r="B375" t="str">
            <v>GRAND OAK COMMUNITY</v>
          </cell>
          <cell r="C375" t="str">
            <v>1769 CLAYTON AVE</v>
          </cell>
        </row>
        <row r="376">
          <cell r="A376">
            <v>61321910</v>
          </cell>
          <cell r="B376" t="str">
            <v>GRAND OAK COMMUNITY</v>
          </cell>
          <cell r="C376" t="str">
            <v>4814 HAZELBRIAR PL</v>
          </cell>
        </row>
        <row r="377">
          <cell r="A377">
            <v>61321930</v>
          </cell>
          <cell r="B377" t="str">
            <v>GRAND OAK COMMUNITY</v>
          </cell>
          <cell r="C377" t="str">
            <v>4901 HAZELBRIAR PL</v>
          </cell>
        </row>
        <row r="378">
          <cell r="A378">
            <v>61321940</v>
          </cell>
          <cell r="B378" t="str">
            <v>GRAND OAK COMMUNITY</v>
          </cell>
          <cell r="C378" t="str">
            <v>5000 HAZELBRIAR PL</v>
          </cell>
        </row>
        <row r="379">
          <cell r="A379">
            <v>61321950</v>
          </cell>
          <cell r="B379" t="str">
            <v>GRAND OAK COMMUNITY</v>
          </cell>
          <cell r="C379" t="str">
            <v>4913 OAKWOOD PL</v>
          </cell>
        </row>
        <row r="380">
          <cell r="A380">
            <v>61321970</v>
          </cell>
          <cell r="B380" t="str">
            <v>GRAND OAK COMMUNITY</v>
          </cell>
          <cell r="C380" t="str">
            <v>5000 OAKWOOD PL</v>
          </cell>
        </row>
        <row r="381">
          <cell r="A381">
            <v>61321990</v>
          </cell>
          <cell r="B381" t="str">
            <v>C/O EVANSVILLE VANDCAZE</v>
          </cell>
          <cell r="C381" t="str">
            <v>13 CAZE</v>
          </cell>
        </row>
        <row r="382">
          <cell r="A382">
            <v>61322010</v>
          </cell>
          <cell r="B382" t="str">
            <v>DOLLAR GENERAL STORESTORE 1620</v>
          </cell>
          <cell r="C382" t="str">
            <v>4806 POLLACK AVE</v>
          </cell>
        </row>
        <row r="383">
          <cell r="A383">
            <v>61322030</v>
          </cell>
          <cell r="B383" t="str">
            <v>INTERPROP FUND I LP</v>
          </cell>
          <cell r="C383" t="str">
            <v>2110 S GREEN RIVER RD</v>
          </cell>
        </row>
        <row r="384">
          <cell r="A384">
            <v>61322050</v>
          </cell>
          <cell r="B384" t="str">
            <v>EMPIRIAN PROP MGMNTDBA HEATHMOORE APTS</v>
          </cell>
          <cell r="C384" t="str">
            <v>2413 S GREEN RIVER RD</v>
          </cell>
        </row>
        <row r="385">
          <cell r="A385">
            <v>61322070</v>
          </cell>
          <cell r="B385" t="str">
            <v>PAUL NEVILLEVILLAGE GREEN APTS</v>
          </cell>
          <cell r="C385" t="str">
            <v>4600 E RIVERSIDE DR</v>
          </cell>
        </row>
        <row r="386">
          <cell r="A386">
            <v>61322090</v>
          </cell>
          <cell r="B386" t="str">
            <v>VILLAGE GREEN APTS</v>
          </cell>
          <cell r="C386" t="str">
            <v>4700 E RIVERSIDE DR</v>
          </cell>
        </row>
        <row r="387">
          <cell r="A387">
            <v>61322100</v>
          </cell>
          <cell r="B387" t="str">
            <v>WESTBROOK MOBILE HOMEASTBROOK MOBILE HOM</v>
          </cell>
          <cell r="C387" t="str">
            <v>2300 DORAL CT</v>
          </cell>
        </row>
        <row r="388">
          <cell r="A388">
            <v>61322110</v>
          </cell>
          <cell r="B388" t="str">
            <v>INDIAN WOODS LLCTEG</v>
          </cell>
          <cell r="C388" t="str">
            <v>2001 CHEYENNE DR</v>
          </cell>
        </row>
        <row r="389">
          <cell r="A389">
            <v>61322130</v>
          </cell>
          <cell r="B389" t="str">
            <v>INDIAN WOODS LLCTEG</v>
          </cell>
          <cell r="C389" t="str">
            <v>1950 SOSHONI LN</v>
          </cell>
        </row>
        <row r="390">
          <cell r="A390">
            <v>61322150</v>
          </cell>
          <cell r="B390" t="str">
            <v>INDIAN WOODS APT LLCTEG</v>
          </cell>
          <cell r="C390" t="str">
            <v>1901 CHEYENNE DR</v>
          </cell>
        </row>
        <row r="391">
          <cell r="A391">
            <v>61322170</v>
          </cell>
          <cell r="B391" t="str">
            <v>INDIAN WOODS LLCTEG</v>
          </cell>
          <cell r="C391" t="str">
            <v>1900 PUEBLO PASS</v>
          </cell>
        </row>
        <row r="392">
          <cell r="A392">
            <v>61322190</v>
          </cell>
          <cell r="B392" t="str">
            <v>DAVID HAYES</v>
          </cell>
          <cell r="C392" t="str">
            <v>3118A WASHINGTON AVE</v>
          </cell>
        </row>
        <row r="393">
          <cell r="A393">
            <v>61322210</v>
          </cell>
          <cell r="B393" t="str">
            <v>AFW PROPERTIES LLC</v>
          </cell>
          <cell r="C393" t="str">
            <v>3301 WASHINGTON AVE</v>
          </cell>
        </row>
        <row r="394">
          <cell r="A394">
            <v>61322220</v>
          </cell>
          <cell r="B394" t="str">
            <v>GOSPEL OF PEACE ASSB</v>
          </cell>
          <cell r="C394" t="str">
            <v>3225 WASHINGTON AVE</v>
          </cell>
        </row>
        <row r="395">
          <cell r="A395">
            <v>61322230</v>
          </cell>
          <cell r="B395" t="str">
            <v>EMBASSY I APTSEMBASSY EAST APTS</v>
          </cell>
          <cell r="C395" t="str">
            <v>3315 WASHINGTON AVE</v>
          </cell>
        </row>
        <row r="396">
          <cell r="A396">
            <v>61322250</v>
          </cell>
          <cell r="B396" t="str">
            <v>UNIV OF EVANSVILLEPHYSICAL PLANT</v>
          </cell>
          <cell r="C396" t="str">
            <v>654 S LOMBARD AVE</v>
          </cell>
        </row>
        <row r="397">
          <cell r="A397">
            <v>61322270</v>
          </cell>
          <cell r="B397" t="str">
            <v>SHELIA BIGGERSCH OF GOD OF PROPHE</v>
          </cell>
          <cell r="C397" t="str">
            <v>3407 BELLEMEADE AVE</v>
          </cell>
        </row>
        <row r="398">
          <cell r="A398">
            <v>61322310</v>
          </cell>
          <cell r="B398" t="str">
            <v>CHRIST EVANG CH</v>
          </cell>
          <cell r="C398" t="str">
            <v>3601 WASHINGTON AVE</v>
          </cell>
        </row>
        <row r="399">
          <cell r="A399">
            <v>61322330</v>
          </cell>
          <cell r="B399" t="str">
            <v>EVANSVILLE PROT HOME</v>
          </cell>
          <cell r="C399" t="str">
            <v>3701 WASHINGTON AVE</v>
          </cell>
        </row>
        <row r="400">
          <cell r="A400">
            <v>61322370</v>
          </cell>
          <cell r="B400" t="str">
            <v>ST MARY'S MED CENTERATTN JIM MCGILLEM</v>
          </cell>
          <cell r="C400" t="str">
            <v>3700 WASHINGTON AVE</v>
          </cell>
        </row>
        <row r="401">
          <cell r="A401">
            <v>61322380</v>
          </cell>
          <cell r="B401" t="str">
            <v>ST MARY'S MED CENTERATTN  JIM MCGILLEM</v>
          </cell>
          <cell r="C401" t="str">
            <v>801 ST MARYS DR</v>
          </cell>
        </row>
        <row r="402">
          <cell r="A402">
            <v>61322390</v>
          </cell>
          <cell r="B402" t="str">
            <v>FINANCIAL SERVICESST MARY'S MED CENTER</v>
          </cell>
          <cell r="C402" t="str">
            <v>3700 WASHINGTON AVE</v>
          </cell>
        </row>
        <row r="403">
          <cell r="A403">
            <v>61322400</v>
          </cell>
          <cell r="B403" t="str">
            <v>FINANCIAL SERVESST MARY'S MED CENTER</v>
          </cell>
          <cell r="C403" t="str">
            <v>3700 WASHINGTON AVE</v>
          </cell>
        </row>
        <row r="404">
          <cell r="A404">
            <v>61322410</v>
          </cell>
          <cell r="B404" t="str">
            <v>FINANCIAL CENTERNTERST MARY'S MED CENTER</v>
          </cell>
          <cell r="C404" t="str">
            <v>800 ST MARYS DR</v>
          </cell>
        </row>
        <row r="405">
          <cell r="A405">
            <v>61322430</v>
          </cell>
          <cell r="B405" t="str">
            <v>FINANCIAL SERV 200ST MARYS MED CENTER</v>
          </cell>
          <cell r="C405" t="str">
            <v>3700 WASHINGTON AVE</v>
          </cell>
        </row>
        <row r="406">
          <cell r="A406">
            <v>61322470</v>
          </cell>
          <cell r="B406" t="str">
            <v>VAND CTY REHAB C</v>
          </cell>
          <cell r="C406" t="str">
            <v>3701 BELLEMEADE AVE</v>
          </cell>
        </row>
        <row r="407">
          <cell r="A407">
            <v>61322490</v>
          </cell>
          <cell r="B407" t="str">
            <v>ST MARY'S MED CENTERATTN  JIM MCGILLEM</v>
          </cell>
          <cell r="C407" t="str">
            <v>3600 BELLEMEADE AVE</v>
          </cell>
        </row>
        <row r="408">
          <cell r="A408">
            <v>61322510</v>
          </cell>
          <cell r="B408" t="str">
            <v>ST MARY'S MED CENTERATTN JIM MCGILLEM</v>
          </cell>
          <cell r="C408" t="str">
            <v>3700 BELLEMEADE AVE</v>
          </cell>
        </row>
        <row r="409">
          <cell r="A409">
            <v>61322550</v>
          </cell>
          <cell r="B409" t="str">
            <v>EDWIN H WIGGERSCARRIAGE HOUSE</v>
          </cell>
          <cell r="C409" t="str">
            <v>3901 BELLEMEADE AVE</v>
          </cell>
        </row>
        <row r="410">
          <cell r="A410">
            <v>61322570</v>
          </cell>
          <cell r="B410" t="str">
            <v>BRYCE APTS</v>
          </cell>
          <cell r="C410" t="str">
            <v>791 S HEBRON AVE</v>
          </cell>
        </row>
        <row r="411">
          <cell r="A411">
            <v>61322575</v>
          </cell>
          <cell r="B411" t="str">
            <v>UROLOGICAL ASSOC INCC/O GLORIA HUDSON</v>
          </cell>
          <cell r="C411" t="str">
            <v>920 S HEBRON AVE</v>
          </cell>
        </row>
        <row r="412">
          <cell r="A412">
            <v>61322580</v>
          </cell>
          <cell r="B412" t="str">
            <v>HEBRON LEASING</v>
          </cell>
          <cell r="C412" t="str">
            <v>960 KENMORE DR</v>
          </cell>
        </row>
        <row r="413">
          <cell r="A413">
            <v>61322590</v>
          </cell>
          <cell r="B413" t="str">
            <v>SOUTH CINEMASSHOWPLACE CINEMAS</v>
          </cell>
          <cell r="C413" t="str">
            <v>950 S HEBRON AVE</v>
          </cell>
        </row>
        <row r="414">
          <cell r="A414">
            <v>61322600</v>
          </cell>
          <cell r="B414" t="str">
            <v>HEBRON 1 OFFICE COMP% HOLWEGER DEVELOPME</v>
          </cell>
          <cell r="C414" t="str">
            <v>981 KENMORE DR</v>
          </cell>
        </row>
        <row r="415">
          <cell r="A415">
            <v>61322610</v>
          </cell>
          <cell r="B415" t="str">
            <v>TRI STATE FAMILY DNT</v>
          </cell>
          <cell r="C415" t="str">
            <v>960 S HEBRON AVE</v>
          </cell>
        </row>
        <row r="416">
          <cell r="A416">
            <v>61322630</v>
          </cell>
          <cell r="B416" t="str">
            <v>1ST FED SAVINGS BANKATTN ACCOUNT DEPT</v>
          </cell>
          <cell r="C416" t="str">
            <v>4601 BELLEMEADE AVE</v>
          </cell>
        </row>
        <row r="417">
          <cell r="A417">
            <v>61322650</v>
          </cell>
          <cell r="B417" t="str">
            <v>RED LOBSTER # 58ADVANTAGEIQ-MS434</v>
          </cell>
          <cell r="C417" t="str">
            <v>4605 BELLEMEADE AVE</v>
          </cell>
        </row>
        <row r="418">
          <cell r="A418">
            <v>61322670</v>
          </cell>
          <cell r="B418" t="str">
            <v>CHATEAU D&amp;C HOSP</v>
          </cell>
          <cell r="C418" t="str">
            <v>4705 BELLEMEADE AVE</v>
          </cell>
        </row>
        <row r="419">
          <cell r="A419">
            <v>61322690</v>
          </cell>
          <cell r="B419" t="str">
            <v>STORE # 83THORNTON OIL CORP</v>
          </cell>
          <cell r="C419" t="str">
            <v>4711 BELLEMEADE AVE</v>
          </cell>
        </row>
        <row r="420">
          <cell r="A420">
            <v>61322710</v>
          </cell>
          <cell r="B420" t="str">
            <v>THE BR GROUP INCDBA SIRLOIN STOCKADE</v>
          </cell>
          <cell r="C420" t="str">
            <v>4610 BELLEMEADE AVE</v>
          </cell>
        </row>
        <row r="421">
          <cell r="A421">
            <v>61322730</v>
          </cell>
          <cell r="B421" t="str">
            <v>C/O EVANSVILLE VANDHEBRON</v>
          </cell>
          <cell r="C421" t="str">
            <v>27 S HEBRON AVE</v>
          </cell>
        </row>
        <row r="422">
          <cell r="A422">
            <v>61322750</v>
          </cell>
          <cell r="B422" t="str">
            <v>DONS CLEANERS</v>
          </cell>
          <cell r="C422" t="str">
            <v>660 S HEBRON</v>
          </cell>
        </row>
        <row r="423">
          <cell r="A423">
            <v>61322770</v>
          </cell>
          <cell r="B423" t="str">
            <v>CORK N CLEAVER</v>
          </cell>
          <cell r="C423" t="str">
            <v>650 S HEBRON AVE</v>
          </cell>
        </row>
        <row r="424">
          <cell r="A424">
            <v>61322790</v>
          </cell>
          <cell r="B424" t="str">
            <v>PINNACLE COMPUTER SVPINNACLE COMPUTER SV</v>
          </cell>
          <cell r="C424" t="str">
            <v>640 S HEBRON AVE</v>
          </cell>
        </row>
        <row r="425">
          <cell r="A425">
            <v>61322810</v>
          </cell>
          <cell r="B425" t="str">
            <v>HOOTERS RESTAURANT</v>
          </cell>
          <cell r="C425" t="str">
            <v>4620 LINCOLN AVE</v>
          </cell>
        </row>
        <row r="426">
          <cell r="A426">
            <v>61322830</v>
          </cell>
          <cell r="B426" t="str">
            <v>BETHEL TEMPLE</v>
          </cell>
          <cell r="C426" t="str">
            <v>4500 E OAK ST</v>
          </cell>
        </row>
        <row r="427">
          <cell r="A427">
            <v>61322840</v>
          </cell>
          <cell r="B427" t="str">
            <v>BETHEL TEMPLE</v>
          </cell>
          <cell r="C427" t="str">
            <v>4400 LINCOLN AVE</v>
          </cell>
        </row>
        <row r="428">
          <cell r="A428">
            <v>61322862</v>
          </cell>
          <cell r="B428" t="str">
            <v>DR THOMAS B LOGAN</v>
          </cell>
          <cell r="C428" t="str">
            <v>1010 PROFESSIONAL</v>
          </cell>
        </row>
        <row r="429">
          <cell r="A429">
            <v>61322863</v>
          </cell>
          <cell r="B429" t="str">
            <v>DR THOMAS B LOGANRENTALS</v>
          </cell>
          <cell r="C429" t="str">
            <v>1110 PROFESSIONAL</v>
          </cell>
        </row>
        <row r="430">
          <cell r="A430">
            <v>61322865</v>
          </cell>
          <cell r="B430" t="str">
            <v>MSFM LLC</v>
          </cell>
          <cell r="C430" t="str">
            <v>1101 PROFESSIONAL</v>
          </cell>
        </row>
        <row r="431">
          <cell r="A431">
            <v>61322866</v>
          </cell>
          <cell r="B431" t="str">
            <v>THE AMBULATORY CARE</v>
          </cell>
          <cell r="C431" t="str">
            <v>1125 PROFESSIONAL</v>
          </cell>
        </row>
        <row r="432">
          <cell r="A432">
            <v>61322867</v>
          </cell>
          <cell r="B432" t="str">
            <v>FINANCIAL SERVICESST MARY'S MED CENTER</v>
          </cell>
          <cell r="C432" t="str">
            <v>1400 PROFESSIONAL</v>
          </cell>
        </row>
        <row r="433">
          <cell r="A433">
            <v>61322868</v>
          </cell>
          <cell r="B433" t="str">
            <v>ADV DIAGNOSTIC IMAG</v>
          </cell>
          <cell r="C433" t="str">
            <v>1120 PROFESSIONAL</v>
          </cell>
        </row>
        <row r="434">
          <cell r="A434">
            <v>61322870</v>
          </cell>
          <cell r="B434" t="str">
            <v>FINANCIAL SERVICESST MARY'S MED CENTER</v>
          </cell>
          <cell r="C434" t="str">
            <v>3900 WASHINGTON AVE</v>
          </cell>
        </row>
        <row r="435">
          <cell r="A435">
            <v>61322890</v>
          </cell>
          <cell r="B435" t="str">
            <v>BLDG #1 BURDETTE AVECHARLESTON CONDO ASN</v>
          </cell>
          <cell r="C435" t="str">
            <v>1019 BURDETTE AVE</v>
          </cell>
        </row>
        <row r="436">
          <cell r="A436">
            <v>61322910</v>
          </cell>
          <cell r="B436" t="str">
            <v>BLDG #2 BURDETTE AVECHARLES CONDO ASN</v>
          </cell>
          <cell r="C436" t="str">
            <v>1051 BURDETTE AVE</v>
          </cell>
        </row>
        <row r="437">
          <cell r="A437">
            <v>61322930</v>
          </cell>
          <cell r="B437" t="str">
            <v>BLDG #3 BURDETTE AVECHARLESTON CONDO ASN</v>
          </cell>
          <cell r="C437" t="str">
            <v>1117 BURDETTE AVE</v>
          </cell>
        </row>
        <row r="438">
          <cell r="A438">
            <v>61322950</v>
          </cell>
          <cell r="B438" t="str">
            <v>CHARLESTON CONDO ASNBLDG 4</v>
          </cell>
          <cell r="C438" t="str">
            <v>1151 BURDETTE AVE</v>
          </cell>
        </row>
        <row r="439">
          <cell r="A439">
            <v>61322970</v>
          </cell>
          <cell r="B439" t="str">
            <v>CHARLESTON CONDO ASNBLDG 5</v>
          </cell>
          <cell r="C439" t="str">
            <v>1211 BURDETTE AVE</v>
          </cell>
        </row>
        <row r="440">
          <cell r="A440">
            <v>61322990</v>
          </cell>
          <cell r="B440" t="str">
            <v>CHARLESTON CONDO ASNBLDG 6</v>
          </cell>
          <cell r="C440" t="str">
            <v>1243 BURDETTE AVE</v>
          </cell>
        </row>
        <row r="441">
          <cell r="A441">
            <v>61323010</v>
          </cell>
          <cell r="B441" t="str">
            <v>ADDISON PLACE LLC</v>
          </cell>
          <cell r="C441" t="str">
            <v>1100 BLOCK &amp; BURDETT</v>
          </cell>
        </row>
        <row r="442">
          <cell r="A442">
            <v>61323030</v>
          </cell>
          <cell r="B442" t="str">
            <v>ADDISON PLACE LLC</v>
          </cell>
          <cell r="C442" t="str">
            <v>1300 BURDETTE AVE</v>
          </cell>
        </row>
        <row r="443">
          <cell r="A443">
            <v>61323050</v>
          </cell>
          <cell r="B443" t="str">
            <v>REHAB CENTERTRINITY VILLAGE</v>
          </cell>
          <cell r="C443" t="str">
            <v>1000B BURDETTE AVE</v>
          </cell>
        </row>
        <row r="444">
          <cell r="A444">
            <v>61323070</v>
          </cell>
          <cell r="B444" t="str">
            <v>REHAB CENTERTRINITY VILLAGE</v>
          </cell>
          <cell r="C444" t="str">
            <v>1000A BURDETTE AVE</v>
          </cell>
        </row>
        <row r="445">
          <cell r="A445">
            <v>61323090</v>
          </cell>
          <cell r="B445" t="str">
            <v>REHAB CENTERTRINITY VILLAGE</v>
          </cell>
          <cell r="C445" t="str">
            <v>1000 BURDETTE AVE</v>
          </cell>
        </row>
        <row r="446">
          <cell r="A446">
            <v>61400007</v>
          </cell>
          <cell r="B446" t="str">
            <v>CROSS POINTE DEVEL</v>
          </cell>
          <cell r="C446" t="str">
            <v>445 CROSS POINTE BL</v>
          </cell>
        </row>
        <row r="447">
          <cell r="A447">
            <v>61400010</v>
          </cell>
          <cell r="B447" t="str">
            <v>DUNN HOSPITALITYSUITE 100</v>
          </cell>
          <cell r="C447" t="str">
            <v>301 CIRCLE FRONT DR</v>
          </cell>
        </row>
        <row r="448">
          <cell r="A448">
            <v>61420034</v>
          </cell>
          <cell r="B448" t="str">
            <v>SUITE 2RAFFERTY'S INC</v>
          </cell>
          <cell r="C448" t="str">
            <v>1400 N GREEN RIVER RD</v>
          </cell>
        </row>
        <row r="449">
          <cell r="A449">
            <v>61420035</v>
          </cell>
          <cell r="B449" t="str">
            <v>OFFICE DEPOT #60ADVANTAGEIQ-MS 553</v>
          </cell>
          <cell r="C449" t="str">
            <v>1376 N GREEN RIVER RD</v>
          </cell>
        </row>
        <row r="450">
          <cell r="A450">
            <v>61420040</v>
          </cell>
          <cell r="B450" t="str">
            <v>J C PENNEY #2025</v>
          </cell>
          <cell r="C450" t="str">
            <v>1420 N GREEN RIVER RD</v>
          </cell>
        </row>
        <row r="451">
          <cell r="A451">
            <v>61420045</v>
          </cell>
          <cell r="B451" t="str">
            <v>ZUKI JAPANESE REST</v>
          </cell>
          <cell r="C451" t="str">
            <v>1448 N GREEN RIVER RD</v>
          </cell>
        </row>
        <row r="452">
          <cell r="A452">
            <v>61420050</v>
          </cell>
          <cell r="B452" t="str">
            <v>ASIAN SUPER BUFFET</v>
          </cell>
          <cell r="C452" t="str">
            <v>1356 N GREEN RIVER RD</v>
          </cell>
        </row>
        <row r="453">
          <cell r="A453">
            <v>61420060</v>
          </cell>
          <cell r="B453" t="str">
            <v>RTM,INC #5132ADVANTAGE IQ MS 2071</v>
          </cell>
          <cell r="C453" t="str">
            <v>1340 N GREEN RIVER RD</v>
          </cell>
        </row>
        <row r="454">
          <cell r="A454">
            <v>61420070</v>
          </cell>
          <cell r="B454" t="str">
            <v>GEIGER POPERTIESSUMMIT REAL ESTATE</v>
          </cell>
          <cell r="C454" t="str">
            <v>1310 N GREEN RIVER RD</v>
          </cell>
        </row>
        <row r="455">
          <cell r="A455">
            <v>61420110</v>
          </cell>
          <cell r="B455" t="str">
            <v>BANK OF EVANSVILLE</v>
          </cell>
          <cell r="C455" t="str">
            <v>4424 VOGEL RD</v>
          </cell>
        </row>
        <row r="456">
          <cell r="A456">
            <v>61420120</v>
          </cell>
          <cell r="B456" t="str">
            <v>HOLLY ROBERTUS</v>
          </cell>
          <cell r="C456" t="str">
            <v>4301 VOGEL RD</v>
          </cell>
        </row>
        <row r="457">
          <cell r="A457">
            <v>61420125</v>
          </cell>
          <cell r="B457" t="str">
            <v>CREDIT UNIONHERITAGE FEDERAL</v>
          </cell>
          <cell r="C457" t="str">
            <v>4920 VOGEL RD</v>
          </cell>
        </row>
        <row r="458">
          <cell r="A458">
            <v>61420130</v>
          </cell>
          <cell r="B458" t="str">
            <v>CALL CENTERAT&amp;T MOBILITY</v>
          </cell>
          <cell r="C458" t="str">
            <v>5101 VOGEL RD</v>
          </cell>
        </row>
        <row r="459">
          <cell r="A459">
            <v>61420132</v>
          </cell>
          <cell r="B459" t="str">
            <v>VOGEL BUSINESS PARK</v>
          </cell>
          <cell r="C459" t="str">
            <v>5401 VOGEL RD</v>
          </cell>
        </row>
        <row r="460">
          <cell r="A460">
            <v>61420140</v>
          </cell>
          <cell r="B460" t="str">
            <v>KINGS GREAT BUYS</v>
          </cell>
          <cell r="C460" t="str">
            <v>5010 E VOGEL RD</v>
          </cell>
        </row>
        <row r="461">
          <cell r="A461">
            <v>61420150</v>
          </cell>
          <cell r="B461" t="str">
            <v>SIGNATURE INN HOTEL</v>
          </cell>
          <cell r="C461" t="str">
            <v>1101 N GREEN RIVER RD</v>
          </cell>
        </row>
        <row r="462">
          <cell r="A462">
            <v>61420170</v>
          </cell>
          <cell r="B462" t="str">
            <v>BOB EVANS FARMS INCEVANSVILLE 000132</v>
          </cell>
          <cell r="C462" t="str">
            <v>1125 N GREEN RIVER RD</v>
          </cell>
        </row>
        <row r="463">
          <cell r="A463">
            <v>61420190</v>
          </cell>
          <cell r="B463" t="str">
            <v>KELLER SCHROEDER</v>
          </cell>
          <cell r="C463" t="str">
            <v>4920 CARRIAGE DR</v>
          </cell>
        </row>
        <row r="464">
          <cell r="A464">
            <v>61420200</v>
          </cell>
          <cell r="B464" t="str">
            <v>HEALTH RESOURCES INC</v>
          </cell>
          <cell r="C464" t="str">
            <v>5010 CARRIAGE DR</v>
          </cell>
        </row>
        <row r="465">
          <cell r="A465">
            <v>61420210</v>
          </cell>
          <cell r="B465" t="str">
            <v>II APTSC H EVANSVILLE</v>
          </cell>
          <cell r="C465" t="str">
            <v>300 CARRIAGE DR</v>
          </cell>
        </row>
        <row r="466">
          <cell r="A466">
            <v>61420230</v>
          </cell>
          <cell r="B466" t="str">
            <v>GENE B GLICK CO  INCC H EVANSVILLE I</v>
          </cell>
          <cell r="C466" t="str">
            <v>829 N GREEN RIVER RD</v>
          </cell>
        </row>
        <row r="467">
          <cell r="A467">
            <v>61420250</v>
          </cell>
          <cell r="B467" t="str">
            <v>EDEN ASSOCIATES</v>
          </cell>
          <cell r="C467" t="str">
            <v>5301 CARRIAGE DR</v>
          </cell>
        </row>
        <row r="468">
          <cell r="A468">
            <v>61420270</v>
          </cell>
          <cell r="B468" t="str">
            <v>SHOE CARNIVAL #3</v>
          </cell>
          <cell r="C468" t="str">
            <v>819 N GREEN RIVER RD</v>
          </cell>
        </row>
        <row r="469">
          <cell r="A469">
            <v>61420290</v>
          </cell>
          <cell r="B469" t="str">
            <v>THE BROADBENT CO</v>
          </cell>
          <cell r="C469" t="str">
            <v>615 N GREEN RIVER RD</v>
          </cell>
        </row>
        <row r="470">
          <cell r="A470">
            <v>61420300</v>
          </cell>
          <cell r="B470" t="str">
            <v>STORE #060SHOWBIZ PIZZA PLACE</v>
          </cell>
          <cell r="C470" t="str">
            <v>559 N GREEN RIVER RD</v>
          </cell>
        </row>
        <row r="471">
          <cell r="A471">
            <v>61420310</v>
          </cell>
          <cell r="B471" t="str">
            <v>F C TUCKER-HUBERREALTOR</v>
          </cell>
          <cell r="C471" t="str">
            <v>4841 E VIRGINIA ST</v>
          </cell>
        </row>
        <row r="472">
          <cell r="A472">
            <v>61420330</v>
          </cell>
          <cell r="B472" t="str">
            <v>YIOCHRIELLA LLCACROPOLIS RESTAURANT</v>
          </cell>
          <cell r="C472" t="str">
            <v>501 N GREEN RIVER RD</v>
          </cell>
        </row>
        <row r="473">
          <cell r="A473">
            <v>61420350</v>
          </cell>
          <cell r="B473" t="str">
            <v>STORE #13FAMILY CHRISTIAN</v>
          </cell>
          <cell r="C473" t="str">
            <v>701 N GREEN RIVER RD</v>
          </cell>
        </row>
        <row r="474">
          <cell r="A474">
            <v>61420365</v>
          </cell>
          <cell r="B474" t="str">
            <v>DBA MCDONALDSDBK-VISION INC</v>
          </cell>
          <cell r="C474" t="str">
            <v>799 N GREEN RIVER RD</v>
          </cell>
        </row>
        <row r="475">
          <cell r="A475">
            <v>61420370</v>
          </cell>
          <cell r="B475" t="str">
            <v>FAZOLI'S</v>
          </cell>
          <cell r="C475" t="str">
            <v>899 N GREEN RIVER RD</v>
          </cell>
        </row>
        <row r="476">
          <cell r="A476">
            <v>61420390</v>
          </cell>
          <cell r="B476" t="str">
            <v>PIZZA HUT #316308</v>
          </cell>
          <cell r="C476" t="str">
            <v>925 N GREEN RIVER RD</v>
          </cell>
        </row>
        <row r="477">
          <cell r="A477">
            <v>61420400</v>
          </cell>
          <cell r="B477" t="str">
            <v>LONESTAR STEAKHOUSEADVANTAGE IQ MS 1972</v>
          </cell>
          <cell r="C477" t="str">
            <v>943 N GREEN RIVER RD</v>
          </cell>
        </row>
        <row r="478">
          <cell r="A478">
            <v>61420410</v>
          </cell>
          <cell r="B478" t="str">
            <v>ADVANTAGEIQ-MS 434# 1022</v>
          </cell>
          <cell r="C478" t="str">
            <v>1100 N GREEN RIVER RD</v>
          </cell>
        </row>
        <row r="479">
          <cell r="A479">
            <v>61420430</v>
          </cell>
          <cell r="B479" t="str">
            <v>ABUELO'S INTL LP</v>
          </cell>
          <cell r="C479" t="str">
            <v>1000 N GREEN RIVER RD</v>
          </cell>
        </row>
        <row r="480">
          <cell r="A480">
            <v>61420450</v>
          </cell>
          <cell r="B480" t="str">
            <v>KITCHENGRANDYS COUNTRY</v>
          </cell>
          <cell r="C480" t="str">
            <v>700 N GREEN RIVER RD</v>
          </cell>
        </row>
        <row r="481">
          <cell r="A481">
            <v>61420480</v>
          </cell>
          <cell r="B481" t="str">
            <v>DBA CHILI'S #900SOUTHWEST DINING,INC</v>
          </cell>
          <cell r="C481" t="str">
            <v>600 N GREEN RIVER RD</v>
          </cell>
        </row>
        <row r="482">
          <cell r="A482">
            <v>61420490</v>
          </cell>
          <cell r="B482" t="str">
            <v>SIMON DEBARTOLO GRPENRON ENERGY SERVICE</v>
          </cell>
          <cell r="C482" t="str">
            <v>800 N GREEN RIVER RD</v>
          </cell>
        </row>
        <row r="483">
          <cell r="A483">
            <v>61420510</v>
          </cell>
          <cell r="B483" t="str">
            <v>SIMON DEBARTOLO GRPENRON ENERGY SERVICE</v>
          </cell>
          <cell r="C483" t="str">
            <v>800 N GREEN RIVER RD</v>
          </cell>
        </row>
        <row r="484">
          <cell r="A484">
            <v>61420530</v>
          </cell>
          <cell r="B484" t="str">
            <v>SIMON DEBARTOLO GRPENRON ENERGY SERV</v>
          </cell>
          <cell r="C484" t="str">
            <v>800 N GREEN RIVER RD</v>
          </cell>
        </row>
        <row r="485">
          <cell r="A485">
            <v>61420550</v>
          </cell>
          <cell r="B485" t="str">
            <v>EASTLAND MALL #4773ADVANTAGEIQ-MS 521</v>
          </cell>
          <cell r="C485" t="str">
            <v>800 #7 N GREEN RIVER RD</v>
          </cell>
        </row>
        <row r="486">
          <cell r="A486">
            <v>61420570</v>
          </cell>
          <cell r="B486" t="str">
            <v>SIMON DEBARTOLO GRPENRON ENERGY SERVICE</v>
          </cell>
          <cell r="C486" t="str">
            <v>800 N GREEN RIVER RD</v>
          </cell>
        </row>
        <row r="487">
          <cell r="A487">
            <v>61420610</v>
          </cell>
          <cell r="B487" t="str">
            <v>J C PENNEY #2025</v>
          </cell>
          <cell r="C487" t="str">
            <v>800 N GREEN RIVER RD</v>
          </cell>
        </row>
        <row r="488">
          <cell r="A488">
            <v>61420630</v>
          </cell>
          <cell r="B488" t="str">
            <v>SIMON DEBARTOLO GRPENRON ENERGY SERVICE</v>
          </cell>
          <cell r="C488" t="str">
            <v>800 N GREEN RIVER RD</v>
          </cell>
        </row>
        <row r="489">
          <cell r="A489">
            <v>61420660</v>
          </cell>
          <cell r="B489" t="str">
            <v>DILLARDS</v>
          </cell>
          <cell r="C489" t="str">
            <v>800 N GREEN RIVER RD</v>
          </cell>
        </row>
        <row r="490">
          <cell r="A490">
            <v>61420670</v>
          </cell>
          <cell r="B490" t="str">
            <v>SIMON DEBARTOLO GRPENRON ENERGY SERVICE</v>
          </cell>
          <cell r="C490" t="str">
            <v>800 N GREEN RIVER RD</v>
          </cell>
        </row>
        <row r="491">
          <cell r="A491">
            <v>61420690</v>
          </cell>
          <cell r="B491" t="str">
            <v>LAZARUS CORP #84ACIS MAIL STOP 229</v>
          </cell>
          <cell r="C491" t="str">
            <v>800 N GREEN RIVER RD</v>
          </cell>
        </row>
        <row r="492">
          <cell r="A492">
            <v>61420710</v>
          </cell>
          <cell r="B492" t="str">
            <v>TOYS-R-US 5429ADVANTAGEIQ-MS 475</v>
          </cell>
          <cell r="C492" t="str">
            <v>318 N GREEN RIVER RD</v>
          </cell>
        </row>
        <row r="493">
          <cell r="A493">
            <v>61420720</v>
          </cell>
          <cell r="B493" t="str">
            <v>ADVENT IN LLC</v>
          </cell>
          <cell r="C493" t="str">
            <v>314 N GREEN RIVER RD</v>
          </cell>
        </row>
        <row r="494">
          <cell r="A494">
            <v>61420730</v>
          </cell>
          <cell r="B494" t="str">
            <v>DEV DIVERSIFIED REALC/O PROFILE ENERGY</v>
          </cell>
          <cell r="C494" t="str">
            <v>300 N GREEN RIVER RD</v>
          </cell>
        </row>
        <row r="495">
          <cell r="A495">
            <v>61420750</v>
          </cell>
          <cell r="B495" t="str">
            <v>JERRYS RESTAURANTWHARF SIDE RESTS</v>
          </cell>
          <cell r="C495" t="str">
            <v>351 N GREEN RIVER RD</v>
          </cell>
        </row>
        <row r="496">
          <cell r="A496">
            <v>61420770</v>
          </cell>
          <cell r="B496" t="str">
            <v>TRUSTSCHMITT FAMILY LAND</v>
          </cell>
          <cell r="C496" t="str">
            <v>280 PLZ E</v>
          </cell>
        </row>
        <row r="497">
          <cell r="A497">
            <v>61420780</v>
          </cell>
          <cell r="B497" t="str">
            <v>CLAYTON POWERSAMERICAN GENERAL FIN</v>
          </cell>
          <cell r="C497" t="str">
            <v>5550 E VIRGINIA ST</v>
          </cell>
        </row>
        <row r="498">
          <cell r="A498">
            <v>61420790</v>
          </cell>
          <cell r="B498" t="str">
            <v>HEUGEL REALTY INCNORMANDY ARMS APTS</v>
          </cell>
          <cell r="C498" t="str">
            <v>600 NORMANDY DR</v>
          </cell>
        </row>
        <row r="499">
          <cell r="A499">
            <v>61420792</v>
          </cell>
          <cell r="B499" t="str">
            <v>THE VINEYARD,INC</v>
          </cell>
          <cell r="C499" t="str">
            <v>5721 E VIRGINIA ST</v>
          </cell>
        </row>
        <row r="500">
          <cell r="A500">
            <v>61420795</v>
          </cell>
          <cell r="B500" t="str">
            <v>SPURLING PROPERTIES</v>
          </cell>
          <cell r="C500" t="str">
            <v>5625 E VIRGINIA ST</v>
          </cell>
        </row>
        <row r="501">
          <cell r="A501">
            <v>61420800</v>
          </cell>
          <cell r="B501" t="str">
            <v>DBA TRI-STATE ATH CLISAC ACQUISITIONS</v>
          </cell>
          <cell r="C501" t="str">
            <v>555 TENNIS LN</v>
          </cell>
        </row>
        <row r="502">
          <cell r="A502">
            <v>61420820</v>
          </cell>
          <cell r="B502" t="str">
            <v>TRI STATERACQUET CLUB</v>
          </cell>
          <cell r="C502" t="str">
            <v>461 TENNIS LN</v>
          </cell>
        </row>
        <row r="503">
          <cell r="A503">
            <v>61420835</v>
          </cell>
          <cell r="B503" t="str">
            <v>WAAL INVESTMENTS</v>
          </cell>
          <cell r="C503" t="str">
            <v>333B PLZ E</v>
          </cell>
        </row>
        <row r="504">
          <cell r="A504">
            <v>61420840</v>
          </cell>
          <cell r="B504" t="str">
            <v>WALKER INVESTMENT</v>
          </cell>
          <cell r="C504" t="str">
            <v>333 PLZ E</v>
          </cell>
        </row>
        <row r="505">
          <cell r="A505">
            <v>61420845</v>
          </cell>
          <cell r="B505" t="str">
            <v>EXECUTIVE PARK EAST</v>
          </cell>
          <cell r="C505" t="str">
            <v>101 PLZ E</v>
          </cell>
        </row>
        <row r="506">
          <cell r="A506">
            <v>61420853</v>
          </cell>
          <cell r="B506" t="str">
            <v>RENT-A-CARENTERPRISE</v>
          </cell>
          <cell r="C506" t="str">
            <v>5220B E DIVISION ST</v>
          </cell>
        </row>
        <row r="507">
          <cell r="A507">
            <v>61420857</v>
          </cell>
          <cell r="B507" t="str">
            <v>ACCOUNTS PAYABLE #88VALUE CITY FURNITURE</v>
          </cell>
          <cell r="C507" t="str">
            <v>5300B E INDIANA ST</v>
          </cell>
        </row>
        <row r="508">
          <cell r="A508">
            <v>61420858</v>
          </cell>
          <cell r="B508" t="str">
            <v>FOX-N-HOUND</v>
          </cell>
          <cell r="C508" t="str">
            <v>5428 E INDIANA ST</v>
          </cell>
        </row>
        <row r="509">
          <cell r="A509">
            <v>61420860</v>
          </cell>
          <cell r="B509" t="str">
            <v>ATTN: C &amp; I DEPTNISC</v>
          </cell>
          <cell r="C509" t="str">
            <v>5300 E INDIANA ST</v>
          </cell>
        </row>
        <row r="510">
          <cell r="A510">
            <v>61420865</v>
          </cell>
          <cell r="B510" t="str">
            <v>GANDER MOUNTAIN</v>
          </cell>
          <cell r="C510" t="str">
            <v>5476 E INDIANA ST</v>
          </cell>
        </row>
        <row r="511">
          <cell r="A511">
            <v>61420875</v>
          </cell>
          <cell r="B511" t="str">
            <v>STAR HOSPITALITY</v>
          </cell>
          <cell r="C511" t="str">
            <v>5538 E INDIANA ST</v>
          </cell>
        </row>
        <row r="512">
          <cell r="A512">
            <v>61420879</v>
          </cell>
          <cell r="B512" t="str">
            <v>EXPRESSWAY DODGE INC</v>
          </cell>
          <cell r="C512" t="str">
            <v>5531 E INDIANA ST</v>
          </cell>
        </row>
        <row r="513">
          <cell r="A513">
            <v>61420880</v>
          </cell>
          <cell r="B513" t="str">
            <v>EXPRESSWAY DODGE INC</v>
          </cell>
          <cell r="C513" t="str">
            <v>200 N ROYAL AVE</v>
          </cell>
        </row>
        <row r="514">
          <cell r="A514">
            <v>61420884</v>
          </cell>
          <cell r="B514" t="str">
            <v>EVANSVILLE TOYOTA</v>
          </cell>
          <cell r="C514" t="str">
            <v>5600 E DIVISION ST</v>
          </cell>
        </row>
        <row r="515">
          <cell r="A515">
            <v>61420888</v>
          </cell>
          <cell r="B515" t="str">
            <v>PEP BOYSSILICON ENERGY</v>
          </cell>
          <cell r="C515" t="str">
            <v>101 METRO AVE</v>
          </cell>
        </row>
        <row r="516">
          <cell r="A516">
            <v>61420890</v>
          </cell>
          <cell r="B516" t="str">
            <v>BURLINGTON COAT FACTEXPENSE DEPT</v>
          </cell>
          <cell r="C516" t="str">
            <v>101 N GREEN RIVER RD</v>
          </cell>
        </row>
        <row r="517">
          <cell r="A517">
            <v>61420910</v>
          </cell>
          <cell r="B517" t="str">
            <v>CICI PIZZA</v>
          </cell>
          <cell r="C517" t="str">
            <v>150 PLZ E</v>
          </cell>
        </row>
        <row r="518">
          <cell r="A518">
            <v>61420920</v>
          </cell>
          <cell r="B518" t="str">
            <v>KENNY KENT TOYOTA</v>
          </cell>
          <cell r="C518" t="str">
            <v>260 N GREEN RIVER RD</v>
          </cell>
        </row>
        <row r="519">
          <cell r="A519">
            <v>61420940</v>
          </cell>
          <cell r="B519" t="str">
            <v>OFFICE MAX #0641</v>
          </cell>
          <cell r="C519" t="str">
            <v>227 N GREEN RIVER RD</v>
          </cell>
        </row>
        <row r="520">
          <cell r="A520">
            <v>61420950</v>
          </cell>
          <cell r="B520" t="str">
            <v>EVANSVILLE GENSIC#01-3323-1016</v>
          </cell>
          <cell r="C520" t="str">
            <v>201 N GREEN RIVER RD</v>
          </cell>
        </row>
        <row r="521">
          <cell r="A521">
            <v>61420970</v>
          </cell>
          <cell r="B521" t="str">
            <v>D PATRICK EAST</v>
          </cell>
          <cell r="C521" t="str">
            <v>200 N GREEN RIVER RD</v>
          </cell>
        </row>
        <row r="522">
          <cell r="A522">
            <v>61420975</v>
          </cell>
          <cell r="B522" t="str">
            <v>CUSTOM FITSUITE G</v>
          </cell>
          <cell r="C522" t="str">
            <v>15 S GREEN RIVER RD</v>
          </cell>
        </row>
        <row r="523">
          <cell r="A523">
            <v>61420977</v>
          </cell>
          <cell r="B523" t="str">
            <v>FIRST SECURITY BANK</v>
          </cell>
          <cell r="C523" t="str">
            <v>123 S GREEN RIVER RD</v>
          </cell>
        </row>
        <row r="524">
          <cell r="A524">
            <v>61420979</v>
          </cell>
          <cell r="B524" t="str">
            <v>SHYLER'S BAR BQ INC</v>
          </cell>
          <cell r="C524" t="str">
            <v>405 S GREEN RIVER RD</v>
          </cell>
        </row>
        <row r="525">
          <cell r="A525">
            <v>61420980</v>
          </cell>
          <cell r="B525" t="str">
            <v>ADVANTAGE IQ MS 363CVS STORE #6253</v>
          </cell>
          <cell r="C525" t="str">
            <v>4720 LINCOLN AVE</v>
          </cell>
        </row>
        <row r="526">
          <cell r="A526">
            <v>61420990</v>
          </cell>
          <cell r="B526" t="str">
            <v>FIFTH THIRD BANK</v>
          </cell>
          <cell r="C526" t="str">
            <v>651 S GREEN RIVER RD</v>
          </cell>
        </row>
        <row r="527">
          <cell r="A527">
            <v>61421020</v>
          </cell>
          <cell r="B527" t="str">
            <v>EAST BRANCHUNITED FIDELITY BANK</v>
          </cell>
          <cell r="C527" t="str">
            <v>700 S GREEN RIVER RD</v>
          </cell>
        </row>
        <row r="528">
          <cell r="A528">
            <v>61421050</v>
          </cell>
          <cell r="B528" t="str">
            <v>CAR WASHALL AMERICAN</v>
          </cell>
          <cell r="C528" t="str">
            <v>805 S GREEN RIVER RD</v>
          </cell>
        </row>
        <row r="529">
          <cell r="A529">
            <v>61421120</v>
          </cell>
          <cell r="B529" t="str">
            <v>MULTI-SPECIALTYEVANSVILLE</v>
          </cell>
          <cell r="C529" t="str">
            <v>4411B WASHINGTON AVE</v>
          </cell>
        </row>
        <row r="530">
          <cell r="A530">
            <v>61421130</v>
          </cell>
          <cell r="B530" t="str">
            <v>SCHNUCKS MKT # 703</v>
          </cell>
          <cell r="C530" t="str">
            <v>4600 WASHINGTON AVE</v>
          </cell>
        </row>
        <row r="531">
          <cell r="A531">
            <v>61421170</v>
          </cell>
          <cell r="B531" t="str">
            <v>OF EVANSVILLELONG JOHN SILVER #4</v>
          </cell>
          <cell r="C531" t="str">
            <v>1015 S GREEN RIVER RD</v>
          </cell>
        </row>
        <row r="532">
          <cell r="A532">
            <v>61421190</v>
          </cell>
          <cell r="B532" t="str">
            <v>MONTESSORI ACADEMY</v>
          </cell>
          <cell r="C532" t="str">
            <v>1107 S GREEN RIVER RD</v>
          </cell>
        </row>
        <row r="533">
          <cell r="A533">
            <v>61421210</v>
          </cell>
          <cell r="B533" t="str">
            <v>HOLY ROSARY CATH</v>
          </cell>
          <cell r="C533" t="str">
            <v>1301 S GREEN RIVER RD</v>
          </cell>
        </row>
        <row r="534">
          <cell r="A534">
            <v>61421230</v>
          </cell>
          <cell r="B534" t="str">
            <v>CYCLERY/FITNESS CTRGILLES SCHWINN</v>
          </cell>
          <cell r="C534" t="str">
            <v>1424 S GREEN RIVER RD</v>
          </cell>
        </row>
        <row r="535">
          <cell r="A535">
            <v>61421250</v>
          </cell>
          <cell r="B535" t="str">
            <v>WORLD HEAD QUARTERSAMF ARC LANES #61</v>
          </cell>
          <cell r="C535" t="str">
            <v>4901 MONROE AVE</v>
          </cell>
        </row>
        <row r="536">
          <cell r="A536">
            <v>61421270</v>
          </cell>
          <cell r="B536" t="str">
            <v>MERRY GO ROUNDRESTAURANT</v>
          </cell>
          <cell r="C536" t="str">
            <v>5115 MONROE AVE</v>
          </cell>
        </row>
        <row r="537">
          <cell r="A537">
            <v>61421310</v>
          </cell>
          <cell r="B537" t="str">
            <v>CMS STONEHEDGE APTSALLIANCE RES MGMT</v>
          </cell>
          <cell r="C537" t="str">
            <v>5201 MONROE AVE</v>
          </cell>
        </row>
        <row r="538">
          <cell r="A538">
            <v>61421330</v>
          </cell>
          <cell r="B538" t="str">
            <v>REGENCY DEV PLACE</v>
          </cell>
          <cell r="C538" t="str">
            <v>5170 MONROE AVE</v>
          </cell>
        </row>
        <row r="539">
          <cell r="A539">
            <v>61421350</v>
          </cell>
          <cell r="B539" t="str">
            <v>REGENCY DEVONSHIRE</v>
          </cell>
          <cell r="C539" t="str">
            <v>5171 DEVONSHIRE PL</v>
          </cell>
        </row>
        <row r="540">
          <cell r="A540">
            <v>61421370</v>
          </cell>
          <cell r="B540" t="str">
            <v>CONTINENTAL TOWERS</v>
          </cell>
          <cell r="C540" t="str">
            <v>1100 ERIE AVE</v>
          </cell>
        </row>
        <row r="541">
          <cell r="A541">
            <v>61421390</v>
          </cell>
          <cell r="B541" t="str">
            <v>SEARS # 1330ADVANTAGEIQ-MS 1624</v>
          </cell>
          <cell r="C541" t="str">
            <v>1100 S GREEN RIVER RD</v>
          </cell>
        </row>
        <row r="542">
          <cell r="A542">
            <v>61421410</v>
          </cell>
          <cell r="B542" t="str">
            <v>HK PARTNERS LLC</v>
          </cell>
          <cell r="C542" t="str">
            <v>5011 WASHINGTON AVE</v>
          </cell>
        </row>
        <row r="543">
          <cell r="A543">
            <v>61421430</v>
          </cell>
          <cell r="B543" t="str">
            <v>HK PARTNERS LLC</v>
          </cell>
          <cell r="C543" t="str">
            <v>1250 S GREEN RIVER RD</v>
          </cell>
        </row>
        <row r="544">
          <cell r="A544">
            <v>61421450</v>
          </cell>
          <cell r="B544" t="str">
            <v>HK PARTNERS LLC</v>
          </cell>
          <cell r="C544" t="str">
            <v>WASHINGTON SQUARE</v>
          </cell>
        </row>
        <row r="545">
          <cell r="A545">
            <v>61421470</v>
          </cell>
          <cell r="B545" t="str">
            <v>SEARS # 1330ADVANTAGE IQ-MS 1624</v>
          </cell>
          <cell r="C545" t="str">
            <v>1100 S GREEN RIVER RD</v>
          </cell>
        </row>
        <row r="546">
          <cell r="A546">
            <v>61421490</v>
          </cell>
          <cell r="B546" t="str">
            <v>MCCULLOUGH LIB</v>
          </cell>
          <cell r="C546" t="str">
            <v>5115 WASHINGTON AVE</v>
          </cell>
        </row>
        <row r="547">
          <cell r="A547">
            <v>61421495</v>
          </cell>
          <cell r="B547" t="str">
            <v>EASTMINSTER CHURCH</v>
          </cell>
          <cell r="C547" t="str">
            <v>5501 WASHINGTON AVE</v>
          </cell>
        </row>
        <row r="548">
          <cell r="A548">
            <v>61421500</v>
          </cell>
          <cell r="B548" t="str">
            <v>FRANCES TURPIN</v>
          </cell>
          <cell r="C548" t="str">
            <v>1321 PLAZA</v>
          </cell>
        </row>
        <row r="549">
          <cell r="A549">
            <v>61421560</v>
          </cell>
          <cell r="B549" t="str">
            <v>ATRIA COMMUNITIES,IN</v>
          </cell>
          <cell r="C549" t="str">
            <v>5311 ROSEBUD LN</v>
          </cell>
        </row>
        <row r="550">
          <cell r="A550">
            <v>61421600</v>
          </cell>
          <cell r="B550" t="str">
            <v>EVILLE CHRISTIANFELLOWSHIP</v>
          </cell>
          <cell r="C550" t="str">
            <v>1708 FUQUAY RD</v>
          </cell>
        </row>
        <row r="551">
          <cell r="A551">
            <v>61421603</v>
          </cell>
          <cell r="B551" t="str">
            <v>BISHOP LDSCORP OF PRESIDING</v>
          </cell>
          <cell r="C551" t="str">
            <v>8020 COVERT AVE</v>
          </cell>
        </row>
        <row r="552">
          <cell r="A552">
            <v>61421605</v>
          </cell>
          <cell r="B552" t="str">
            <v>CHARTER OAKS ASSOC</v>
          </cell>
          <cell r="C552" t="str">
            <v>8196 LINCOLN AVE</v>
          </cell>
        </row>
        <row r="553">
          <cell r="A553">
            <v>61421630</v>
          </cell>
          <cell r="B553" t="str">
            <v>ASHLEY POINTE APTS</v>
          </cell>
          <cell r="C553" t="str">
            <v>7721 COVENTRY CT</v>
          </cell>
        </row>
        <row r="554">
          <cell r="A554">
            <v>61421650</v>
          </cell>
          <cell r="B554" t="str">
            <v>C/O EVANSVILLE VANDPLAZA PARK</v>
          </cell>
          <cell r="C554" t="str">
            <v>37 PLAZA PARK</v>
          </cell>
        </row>
        <row r="555">
          <cell r="A555">
            <v>61421670</v>
          </cell>
          <cell r="B555" t="str">
            <v>CHURCH OF CHRISTST JOHN EAST UNITED</v>
          </cell>
          <cell r="C555" t="str">
            <v>7000 LINCOLN AVE</v>
          </cell>
        </row>
        <row r="556">
          <cell r="A556">
            <v>61421710</v>
          </cell>
          <cell r="B556" t="str">
            <v>STEPHEN LANZAROTTIELIZABETH BUTLER</v>
          </cell>
          <cell r="C556" t="str">
            <v>6201 LINCOLN AVE</v>
          </cell>
        </row>
        <row r="557">
          <cell r="A557">
            <v>61421720</v>
          </cell>
          <cell r="B557" t="str">
            <v>ADVANTAGE IQ-MS 1993#5377</v>
          </cell>
          <cell r="C557" t="str">
            <v>5050 LINCOLN AVE</v>
          </cell>
        </row>
        <row r="558">
          <cell r="A558">
            <v>61421730</v>
          </cell>
          <cell r="B558" t="str">
            <v>ASSOCIATION INCLACHARMANT HOMEOWNER</v>
          </cell>
          <cell r="C558" t="str">
            <v>6600 NEWBURGH RD</v>
          </cell>
        </row>
        <row r="559">
          <cell r="A559">
            <v>61421750</v>
          </cell>
          <cell r="B559" t="str">
            <v>AMERICAN BAPTIST E</v>
          </cell>
          <cell r="C559" t="str">
            <v>6300 WASHINGTON AVE</v>
          </cell>
        </row>
        <row r="560">
          <cell r="A560">
            <v>61421770</v>
          </cell>
          <cell r="B560" t="str">
            <v>ATTN: R SCHULZR &amp; K INVESTMENTS</v>
          </cell>
          <cell r="C560" t="str">
            <v>5200 WASHINGTON AVE</v>
          </cell>
        </row>
        <row r="561">
          <cell r="A561">
            <v>61421790</v>
          </cell>
          <cell r="B561" t="str">
            <v>HACIENDA MEX REST</v>
          </cell>
          <cell r="C561" t="str">
            <v>990 S GREEN RIVER RD</v>
          </cell>
        </row>
        <row r="562">
          <cell r="A562">
            <v>61421800</v>
          </cell>
          <cell r="B562" t="str">
            <v>BASKIN ROBBINS</v>
          </cell>
          <cell r="C562" t="str">
            <v>848 S GREEN RIVER RD</v>
          </cell>
        </row>
        <row r="563">
          <cell r="A563">
            <v>61421810</v>
          </cell>
          <cell r="B563" t="str">
            <v>SHEAR JOY</v>
          </cell>
          <cell r="C563" t="str">
            <v>5058 WASHINGTON AVE</v>
          </cell>
        </row>
        <row r="564">
          <cell r="A564">
            <v>61421950</v>
          </cell>
          <cell r="B564" t="str">
            <v>U S POSTAL SERVICEPOST MASTER</v>
          </cell>
          <cell r="C564" t="str">
            <v>802 S GREEN RIVER RD</v>
          </cell>
        </row>
        <row r="565">
          <cell r="A565">
            <v>61421970</v>
          </cell>
          <cell r="B565" t="str">
            <v>REGENCY PROPERTIES</v>
          </cell>
          <cell r="C565" t="str">
            <v>711-915 ERIE AVE</v>
          </cell>
        </row>
        <row r="566">
          <cell r="A566">
            <v>61422000</v>
          </cell>
          <cell r="B566" t="str">
            <v>ASSOCIATION OFFICEBELLE MANOR OWNERS</v>
          </cell>
          <cell r="C566" t="str">
            <v>600 S CULLEN AVE</v>
          </cell>
        </row>
        <row r="567">
          <cell r="A567">
            <v>61422010</v>
          </cell>
          <cell r="B567" t="str">
            <v>THE REHAB CENTER,INC</v>
          </cell>
          <cell r="C567" t="str">
            <v>621 S CULLEN AVE</v>
          </cell>
        </row>
        <row r="568">
          <cell r="A568">
            <v>61422050</v>
          </cell>
          <cell r="B568" t="str">
            <v>C/O EVANSVILLE VANDHARRISON</v>
          </cell>
          <cell r="C568" t="str">
            <v>6 HARRISON BLVD</v>
          </cell>
        </row>
        <row r="569">
          <cell r="A569">
            <v>61422070</v>
          </cell>
          <cell r="B569" t="str">
            <v>ATTN BOB TEVAULTS &amp; T INVESTMENT</v>
          </cell>
          <cell r="C569" t="str">
            <v>4900 BELLEMEADE AVE</v>
          </cell>
        </row>
        <row r="570">
          <cell r="A570">
            <v>61422080</v>
          </cell>
          <cell r="B570" t="str">
            <v>BARNES &amp; NOBLE INCEVANSVILLE 2692 MS#3</v>
          </cell>
          <cell r="C570" t="str">
            <v>624 S GREEN RIVER RD</v>
          </cell>
        </row>
        <row r="571">
          <cell r="A571">
            <v>61422110</v>
          </cell>
          <cell r="B571" t="str">
            <v>CHATEAU VILLAGE APTBELLEMEADE INV C</v>
          </cell>
          <cell r="C571" t="str">
            <v>650 S GREEN RIVER RD</v>
          </cell>
        </row>
        <row r="572">
          <cell r="A572">
            <v>61422130</v>
          </cell>
          <cell r="B572" t="str">
            <v>GOOD WILL INDUSTRIES</v>
          </cell>
          <cell r="C572" t="str">
            <v>500 S GREEN RIVER RD</v>
          </cell>
        </row>
        <row r="573">
          <cell r="A573">
            <v>61422150</v>
          </cell>
          <cell r="B573" t="str">
            <v>SAMMY MESSIAH</v>
          </cell>
          <cell r="C573" t="str">
            <v>4900 SHAMROCK CT</v>
          </cell>
        </row>
        <row r="574">
          <cell r="A574">
            <v>61422170</v>
          </cell>
          <cell r="B574" t="str">
            <v>ALDERGATE METH C</v>
          </cell>
          <cell r="C574" t="str">
            <v>5150 LINCOLN AVE</v>
          </cell>
        </row>
        <row r="575">
          <cell r="A575">
            <v>61422190</v>
          </cell>
          <cell r="B575" t="str">
            <v>EQUITY MANAGEMENT</v>
          </cell>
          <cell r="C575" t="str">
            <v>5000 TIPPECANOE DR</v>
          </cell>
        </row>
        <row r="576">
          <cell r="A576">
            <v>61422210</v>
          </cell>
          <cell r="B576" t="str">
            <v>ACCTS PAYABLESUNDANCE PROP MGNT</v>
          </cell>
          <cell r="C576" t="str">
            <v>5001 TIPPECANOE DR</v>
          </cell>
        </row>
        <row r="577">
          <cell r="A577">
            <v>61422230</v>
          </cell>
          <cell r="B577" t="str">
            <v>ACCTS PAYABLESUNDANCE PROP MGNT</v>
          </cell>
          <cell r="C577" t="str">
            <v>5001A TIPPECANOE DR</v>
          </cell>
        </row>
        <row r="578">
          <cell r="A578">
            <v>61422250</v>
          </cell>
          <cell r="B578" t="str">
            <v>ACCTS PAYABLESUNDANCE PROP MGNT</v>
          </cell>
          <cell r="C578" t="str">
            <v>5001B TIPPECANOE DR</v>
          </cell>
        </row>
        <row r="579">
          <cell r="A579">
            <v>61422270</v>
          </cell>
          <cell r="B579" t="str">
            <v>ACCTS PAYABLESUNDANCE PROP MGNT</v>
          </cell>
          <cell r="C579" t="str">
            <v>500 SHAMROCK CT</v>
          </cell>
        </row>
        <row r="580">
          <cell r="A580">
            <v>61422290</v>
          </cell>
          <cell r="B580" t="str">
            <v>ACCTS PAYABLESUNDANCE PROP MGNT</v>
          </cell>
          <cell r="C580" t="str">
            <v>5001D TIPPECANOE DR</v>
          </cell>
        </row>
        <row r="581">
          <cell r="A581">
            <v>61422310</v>
          </cell>
          <cell r="B581" t="str">
            <v>ACCTS PAYABLESUNDANCE PROP MGNT</v>
          </cell>
          <cell r="C581" t="str">
            <v>5001 TIPPECANOE DR</v>
          </cell>
        </row>
        <row r="582">
          <cell r="A582">
            <v>61422330</v>
          </cell>
          <cell r="B582" t="str">
            <v>ACCTS PAYABLESUNDANCE PROP MGNT</v>
          </cell>
          <cell r="C582" t="str">
            <v>500A SHAMROCK CT</v>
          </cell>
        </row>
        <row r="583">
          <cell r="A583">
            <v>61422350</v>
          </cell>
          <cell r="B583" t="str">
            <v>ACCTS PAYABLESUNDANCE PROP MGNT</v>
          </cell>
          <cell r="C583" t="str">
            <v>500B SHAMROCK CT</v>
          </cell>
        </row>
        <row r="584">
          <cell r="A584">
            <v>61422370</v>
          </cell>
          <cell r="B584" t="str">
            <v>ACCTS PAYABLESUNDANCE PROP MGNT</v>
          </cell>
          <cell r="C584" t="str">
            <v>500C SHAMROCK CT</v>
          </cell>
        </row>
        <row r="585">
          <cell r="A585">
            <v>61422390</v>
          </cell>
          <cell r="B585" t="str">
            <v>ACCTS PAYABLESUNDANCE MGNT</v>
          </cell>
          <cell r="C585" t="str">
            <v>500D SHAMROCK CT</v>
          </cell>
        </row>
        <row r="586">
          <cell r="A586">
            <v>61422410</v>
          </cell>
          <cell r="B586" t="str">
            <v>ACCTS PAYABLESUNDANCE PROP MGNT</v>
          </cell>
          <cell r="C586" t="str">
            <v>5001A TIPPECANOE DR</v>
          </cell>
        </row>
        <row r="587">
          <cell r="A587">
            <v>61422430</v>
          </cell>
          <cell r="B587" t="str">
            <v>ACCTS PAYABLESUNDANCE PROP MGNT</v>
          </cell>
          <cell r="C587" t="str">
            <v>500F SHAMROCK CT</v>
          </cell>
        </row>
        <row r="588">
          <cell r="A588">
            <v>61422450</v>
          </cell>
          <cell r="B588" t="str">
            <v>ACCTS PAYABLESUNDANCE PROP MGNT</v>
          </cell>
          <cell r="C588" t="str">
            <v>500G SHAMROCK CT</v>
          </cell>
        </row>
        <row r="589">
          <cell r="A589">
            <v>61422470</v>
          </cell>
          <cell r="B589" t="str">
            <v>EQUITY MANAGEMENT</v>
          </cell>
          <cell r="C589" t="str">
            <v>4981 FAIRMONT DR</v>
          </cell>
        </row>
        <row r="590">
          <cell r="A590">
            <v>61422480</v>
          </cell>
          <cell r="B590" t="str">
            <v>SHIV VANDAN LLC</v>
          </cell>
          <cell r="C590" t="str">
            <v>4819 TECUMSEH LN</v>
          </cell>
        </row>
        <row r="591">
          <cell r="A591">
            <v>61422490</v>
          </cell>
          <cell r="B591" t="str">
            <v>EQUITY MANAGEMENT</v>
          </cell>
          <cell r="C591" t="str">
            <v>5001 FAIRMONT DR</v>
          </cell>
        </row>
        <row r="592">
          <cell r="A592">
            <v>61422510</v>
          </cell>
          <cell r="B592" t="str">
            <v>EQUITY MANAGEMENT</v>
          </cell>
          <cell r="C592" t="str">
            <v>4900 E SYCAMORE ST</v>
          </cell>
        </row>
        <row r="593">
          <cell r="A593">
            <v>61422520</v>
          </cell>
          <cell r="B593" t="str">
            <v>HAMPTON COURT ASSOC</v>
          </cell>
          <cell r="C593" t="str">
            <v>5001D E DIVISION ST</v>
          </cell>
        </row>
        <row r="594">
          <cell r="A594">
            <v>61422540</v>
          </cell>
          <cell r="B594" t="str">
            <v>HAMPTON COURT ASSOC</v>
          </cell>
          <cell r="C594" t="str">
            <v>5001B E DIVISION ST</v>
          </cell>
        </row>
        <row r="595">
          <cell r="A595">
            <v>61422590</v>
          </cell>
          <cell r="B595" t="str">
            <v>HAMPTON COURT ASSOC</v>
          </cell>
          <cell r="C595" t="str">
            <v>5001A E DIVISION ST</v>
          </cell>
        </row>
        <row r="596">
          <cell r="A596">
            <v>61422610</v>
          </cell>
          <cell r="B596" t="str">
            <v>HAMPTON COURT ASSOC</v>
          </cell>
          <cell r="C596" t="str">
            <v>5001C E DIVISION ST</v>
          </cell>
        </row>
        <row r="597">
          <cell r="A597">
            <v>61422630</v>
          </cell>
          <cell r="B597" t="str">
            <v>HAMPTON COURT ASSOC</v>
          </cell>
          <cell r="C597" t="str">
            <v>5001 E DIVISION ST</v>
          </cell>
        </row>
        <row r="598">
          <cell r="A598">
            <v>61422650</v>
          </cell>
          <cell r="B598" t="str">
            <v>HAMPTON COURT ASSOC</v>
          </cell>
          <cell r="C598" t="str">
            <v>5001F E DIVISION ST</v>
          </cell>
        </row>
        <row r="599">
          <cell r="A599">
            <v>61422670</v>
          </cell>
          <cell r="B599" t="str">
            <v>HAMPTON COURT ASSOC</v>
          </cell>
          <cell r="C599" t="str">
            <v>5001I E DIVISION ST</v>
          </cell>
        </row>
        <row r="600">
          <cell r="A600">
            <v>61422690</v>
          </cell>
          <cell r="B600" t="str">
            <v>HAMPTON COURT ASSOC</v>
          </cell>
          <cell r="C600" t="str">
            <v>5001H E DIVISION ST</v>
          </cell>
        </row>
        <row r="601">
          <cell r="A601">
            <v>61422710</v>
          </cell>
          <cell r="B601" t="str">
            <v>HAMPTON COURT ASSOC</v>
          </cell>
          <cell r="C601" t="str">
            <v>5001G E DIVISION ST</v>
          </cell>
        </row>
        <row r="602">
          <cell r="A602">
            <v>61422720</v>
          </cell>
          <cell r="B602" t="str">
            <v>B &amp; S PROPERTY MGMT</v>
          </cell>
          <cell r="C602" t="str">
            <v>4810 TIPPECANOE DR</v>
          </cell>
        </row>
        <row r="603">
          <cell r="A603">
            <v>61422760</v>
          </cell>
          <cell r="B603" t="str">
            <v>DUANE LAUTNER</v>
          </cell>
          <cell r="C603" t="str">
            <v>4808 TIPPECANOE</v>
          </cell>
        </row>
        <row r="604">
          <cell r="A604">
            <v>61422765</v>
          </cell>
          <cell r="B604" t="str">
            <v>MAC'S CONVENIENCE 93ADVNATAGEIQ-MS 1442</v>
          </cell>
          <cell r="C604" t="str">
            <v>324 S GREEN RIVER RD</v>
          </cell>
        </row>
        <row r="605">
          <cell r="A605">
            <v>61422790</v>
          </cell>
          <cell r="B605" t="str">
            <v>OAKLAND CITY UNIVSTY</v>
          </cell>
          <cell r="C605" t="str">
            <v>100 S GREEN RIVER RD</v>
          </cell>
        </row>
        <row r="606">
          <cell r="A606">
            <v>61422810</v>
          </cell>
          <cell r="B606" t="str">
            <v>DUNN HOSPITALITY GRPHOME LIFE STUDIOS</v>
          </cell>
          <cell r="C606" t="str">
            <v>4999 E DIVISION ST</v>
          </cell>
        </row>
        <row r="607">
          <cell r="A607">
            <v>61422870</v>
          </cell>
          <cell r="B607" t="str">
            <v>BUSSING CONST CO</v>
          </cell>
          <cell r="C607" t="str">
            <v>3 BRENTWOOD CIR</v>
          </cell>
        </row>
        <row r="608">
          <cell r="A608">
            <v>61422890</v>
          </cell>
          <cell r="B608" t="str">
            <v>FIELD COURT EAST</v>
          </cell>
          <cell r="C608" t="str">
            <v>5800 5824 E FIELDING</v>
          </cell>
        </row>
        <row r="609">
          <cell r="A609">
            <v>61422910</v>
          </cell>
          <cell r="B609" t="str">
            <v>FIELDING COURT APTS</v>
          </cell>
          <cell r="C609" t="str">
            <v>5 BRENTWOOD CIR</v>
          </cell>
        </row>
        <row r="610">
          <cell r="A610">
            <v>61422930</v>
          </cell>
          <cell r="B610" t="str">
            <v>BUSSING CONST CO</v>
          </cell>
          <cell r="C610" t="str">
            <v>81-121 BRENTWOOD CIR</v>
          </cell>
        </row>
        <row r="611">
          <cell r="A611">
            <v>61422950</v>
          </cell>
          <cell r="B611" t="str">
            <v>BUSSING CONST CO</v>
          </cell>
          <cell r="C611" t="str">
            <v>41 BRENTWOOD CIR</v>
          </cell>
        </row>
        <row r="612">
          <cell r="A612">
            <v>61422960</v>
          </cell>
          <cell r="B612" t="str">
            <v>FIFTH THIRD BANK</v>
          </cell>
          <cell r="C612" t="str">
            <v>7312 EAGLE CREST BLVD</v>
          </cell>
        </row>
        <row r="613">
          <cell r="A613">
            <v>61422970</v>
          </cell>
          <cell r="B613" t="str">
            <v>W C BUSSING JR</v>
          </cell>
          <cell r="C613" t="str">
            <v>40 BRENTWOOD CIR</v>
          </cell>
        </row>
        <row r="614">
          <cell r="A614">
            <v>61422990</v>
          </cell>
          <cell r="B614" t="str">
            <v>BUSSING CONST CO</v>
          </cell>
          <cell r="C614" t="str">
            <v>BRENTWOOD CIR</v>
          </cell>
        </row>
        <row r="615">
          <cell r="A615">
            <v>61423000</v>
          </cell>
          <cell r="B615" t="str">
            <v>D/B/A RESIDENCE EVILFACILITY IQ MS 1474</v>
          </cell>
          <cell r="C615" t="str">
            <v>8303 E WALNUT ST</v>
          </cell>
        </row>
        <row r="616">
          <cell r="A616">
            <v>61423001</v>
          </cell>
          <cell r="B616" t="str">
            <v>DBA BURGER KING 9325HEARTLAND FOOD CORP</v>
          </cell>
          <cell r="C616" t="str">
            <v>101 CROSS POINTE BL</v>
          </cell>
        </row>
        <row r="617">
          <cell r="A617">
            <v>61423002</v>
          </cell>
          <cell r="B617" t="str">
            <v>FAMILY DINING INC</v>
          </cell>
          <cell r="C617" t="str">
            <v>7800 E LLOYD EXPY</v>
          </cell>
        </row>
        <row r="618">
          <cell r="A618">
            <v>61423003</v>
          </cell>
          <cell r="B618" t="str">
            <v>OUTBACK STEAKHOUSE#01519</v>
          </cell>
          <cell r="C618" t="str">
            <v>7201 E INDIANA ST</v>
          </cell>
        </row>
        <row r="619">
          <cell r="A619">
            <v>61423004</v>
          </cell>
          <cell r="B619" t="str">
            <v>STUDIO PLU PROP #35ADVANTAGEIQ-MS 1364</v>
          </cell>
          <cell r="C619" t="str">
            <v>301 EAGLE CREST BLVD</v>
          </cell>
        </row>
        <row r="620">
          <cell r="A620">
            <v>61423005</v>
          </cell>
          <cell r="B620" t="str">
            <v>KEMPER CPA GROUP LLP</v>
          </cell>
          <cell r="C620" t="str">
            <v>7200 EAGLE CREST BLVD</v>
          </cell>
        </row>
        <row r="621">
          <cell r="A621">
            <v>61423007</v>
          </cell>
          <cell r="B621" t="str">
            <v>EMGE REALTORSC/0 FC TUCKER/</v>
          </cell>
          <cell r="C621" t="str">
            <v>7820 EAGLE CREST BLVD</v>
          </cell>
        </row>
        <row r="622">
          <cell r="A622">
            <v>61423009</v>
          </cell>
          <cell r="B622" t="str">
            <v>7700 LLC</v>
          </cell>
          <cell r="C622" t="str">
            <v>7700 EAGLE CREST BLVD</v>
          </cell>
        </row>
        <row r="623">
          <cell r="A623">
            <v>61423010</v>
          </cell>
          <cell r="B623" t="str">
            <v>PARTNERS LLCWILLIAMSBURGH</v>
          </cell>
          <cell r="C623" t="str">
            <v>6101 E DIVISION ST</v>
          </cell>
        </row>
        <row r="624">
          <cell r="A624">
            <v>61423012</v>
          </cell>
          <cell r="B624" t="str">
            <v>FAIRFIELD INN EVILLE</v>
          </cell>
          <cell r="C624" t="str">
            <v>7879 EAGLE CREST BLVD</v>
          </cell>
        </row>
        <row r="625">
          <cell r="A625">
            <v>61423013</v>
          </cell>
          <cell r="B625" t="str">
            <v>CRACKER BARREL #216ACCOUNTS PAYABLE</v>
          </cell>
          <cell r="C625" t="str">
            <v>8215 EAGLE LAKE DR</v>
          </cell>
        </row>
        <row r="626">
          <cell r="A626">
            <v>61423015</v>
          </cell>
          <cell r="B626" t="str">
            <v>D/B/A HAMPTON EVILLEFACILITY IQ MS1474</v>
          </cell>
          <cell r="C626" t="str">
            <v>8000 EAGLE CREST BLVD</v>
          </cell>
        </row>
        <row r="627">
          <cell r="A627">
            <v>61423016</v>
          </cell>
          <cell r="B627" t="str">
            <v>ROMAIN BUICK INC</v>
          </cell>
          <cell r="C627" t="str">
            <v>7600 E DIVISION ST</v>
          </cell>
        </row>
        <row r="628">
          <cell r="A628">
            <v>61423019</v>
          </cell>
          <cell r="B628" t="str">
            <v>FORD &amp; COGAITHER RUTHER</v>
          </cell>
          <cell r="C628" t="str">
            <v>7300 E INDIANA ST</v>
          </cell>
        </row>
        <row r="629">
          <cell r="A629">
            <v>61423021</v>
          </cell>
          <cell r="B629" t="str">
            <v>O'CHARLEY'S INC #237FACILITY IQ-MS 1381</v>
          </cell>
          <cell r="C629" t="str">
            <v>7301 E INDIANA ST</v>
          </cell>
        </row>
        <row r="630">
          <cell r="A630">
            <v>61423023</v>
          </cell>
          <cell r="B630" t="str">
            <v>MANAGEMENT CORPINLAND MID-ATLANTIC</v>
          </cell>
          <cell r="C630" t="str">
            <v>6200C LLOYD EXPY</v>
          </cell>
        </row>
        <row r="631">
          <cell r="A631">
            <v>61423025</v>
          </cell>
          <cell r="B631" t="str">
            <v>DEACONESS CROSS PNTE</v>
          </cell>
          <cell r="C631" t="str">
            <v>7200 E INDIANA ST</v>
          </cell>
        </row>
        <row r="632">
          <cell r="A632">
            <v>61423026</v>
          </cell>
          <cell r="B632" t="str">
            <v>GORDMANS STORE #67GORDMAN BLVD</v>
          </cell>
          <cell r="C632" t="str">
            <v>6200 LLOYD EXPY</v>
          </cell>
        </row>
        <row r="633">
          <cell r="A633">
            <v>61423029</v>
          </cell>
          <cell r="B633" t="str">
            <v>TOWN &amp; COUNTRY FORD</v>
          </cell>
          <cell r="C633" t="str">
            <v>7720 E DIVISION ST</v>
          </cell>
        </row>
        <row r="634">
          <cell r="A634">
            <v>61423030</v>
          </cell>
          <cell r="B634" t="str">
            <v>RESIDENTIAL LPREGENCY CONSOLIDATED</v>
          </cell>
          <cell r="C634" t="str">
            <v>100 KIMBER LN</v>
          </cell>
        </row>
        <row r="635">
          <cell r="A635">
            <v>61423032</v>
          </cell>
          <cell r="B635" t="str">
            <v>KOHL'S #10281ADVANTAGEIQ-MS 1600</v>
          </cell>
          <cell r="C635" t="str">
            <v>201 N BURKHARDT RD</v>
          </cell>
        </row>
        <row r="636">
          <cell r="A636">
            <v>61423033</v>
          </cell>
          <cell r="B636" t="str">
            <v>H H GREGG #115</v>
          </cell>
          <cell r="C636" t="str">
            <v>225 N BURKHARDT RD</v>
          </cell>
        </row>
        <row r="637">
          <cell r="A637">
            <v>61423034</v>
          </cell>
          <cell r="B637" t="str">
            <v>HOME DEPOT #2003FACILITY IQ-MS 222</v>
          </cell>
          <cell r="C637" t="str">
            <v>333 N BURKHARDT RD</v>
          </cell>
        </row>
        <row r="638">
          <cell r="A638">
            <v>61423035</v>
          </cell>
          <cell r="B638" t="str">
            <v>RAMKRISHA CORP</v>
          </cell>
          <cell r="C638" t="str">
            <v>8015 E DIVISION ST</v>
          </cell>
        </row>
        <row r="639">
          <cell r="A639">
            <v>61423037</v>
          </cell>
          <cell r="B639" t="str">
            <v>ATTN NISC C&amp;I DEPT#01-1263</v>
          </cell>
          <cell r="C639" t="str">
            <v>401 N BURKHARDT RD</v>
          </cell>
        </row>
        <row r="640">
          <cell r="A640">
            <v>61423039</v>
          </cell>
          <cell r="B640" t="str">
            <v>ATTN ACCTS PAYABLEMEN'S WEARHOUSE 4703</v>
          </cell>
          <cell r="C640" t="str">
            <v>163 N BURKHARDT RD</v>
          </cell>
        </row>
        <row r="641">
          <cell r="A641">
            <v>61423040</v>
          </cell>
          <cell r="B641" t="str">
            <v>STAPLES INC STR #640ADVANTAGEIQ-MS 379</v>
          </cell>
          <cell r="C641" t="str">
            <v>235 N BURKHARDT RD</v>
          </cell>
        </row>
        <row r="642">
          <cell r="A642">
            <v>61423041</v>
          </cell>
          <cell r="B642" t="str">
            <v>REVCO / CVS #04482ACIS MAIL STOP 363</v>
          </cell>
          <cell r="C642" t="str">
            <v>101 N BURKHARDT RD</v>
          </cell>
        </row>
        <row r="643">
          <cell r="A643">
            <v>61423042</v>
          </cell>
          <cell r="B643" t="str">
            <v>ATTN: ACCTS PAYABLEMENS WEARHOUSE 4703</v>
          </cell>
          <cell r="C643" t="str">
            <v>127 N BURKHARDT RD</v>
          </cell>
        </row>
        <row r="644">
          <cell r="A644">
            <v>61423043</v>
          </cell>
          <cell r="B644" t="str">
            <v>LOGANS ROADHOUSE 316</v>
          </cell>
          <cell r="C644" t="str">
            <v>1 N BURKHARDT RD</v>
          </cell>
        </row>
        <row r="645">
          <cell r="A645">
            <v>61423045</v>
          </cell>
          <cell r="B645" t="str">
            <v>PETSMART INC #502FACILITY IQ-MS 1369</v>
          </cell>
          <cell r="C645" t="str">
            <v>215 N BURKHARDT RD</v>
          </cell>
        </row>
        <row r="646">
          <cell r="A646">
            <v>61423047</v>
          </cell>
          <cell r="B646" t="str">
            <v>PARTY CITY CORP #587</v>
          </cell>
          <cell r="C646" t="str">
            <v>311 N BURKHARDT RD</v>
          </cell>
        </row>
        <row r="647">
          <cell r="A647">
            <v>61423048</v>
          </cell>
          <cell r="B647" t="str">
            <v>RED ROBIN INTL INCADVANTAGE IQ MS653</v>
          </cell>
          <cell r="C647" t="str">
            <v>6636 E LLOYD EXPY</v>
          </cell>
        </row>
        <row r="648">
          <cell r="A648">
            <v>61423050</v>
          </cell>
          <cell r="B648" t="str">
            <v>RESIDENTIAL LPREGENCY CONSOLIDATED</v>
          </cell>
          <cell r="C648" t="str">
            <v>150 KIMBER LN</v>
          </cell>
        </row>
        <row r="649">
          <cell r="A649">
            <v>61423070</v>
          </cell>
          <cell r="B649" t="str">
            <v>RESIDENTIAL LPREGENCY CONSOLIDATED</v>
          </cell>
          <cell r="C649" t="str">
            <v>300 KIMBER LN</v>
          </cell>
        </row>
        <row r="650">
          <cell r="A650">
            <v>61423077</v>
          </cell>
          <cell r="B650" t="str">
            <v>SAM UNITED LLC</v>
          </cell>
          <cell r="C650" t="str">
            <v>600 N BURKHARDT RD</v>
          </cell>
        </row>
        <row r="651">
          <cell r="A651">
            <v>61423090</v>
          </cell>
          <cell r="B651" t="str">
            <v>RESIDENTIAL LPREGENCY CONSOLIDATED</v>
          </cell>
          <cell r="C651" t="str">
            <v>400 KIMBER LN</v>
          </cell>
        </row>
        <row r="652">
          <cell r="A652">
            <v>61423150</v>
          </cell>
          <cell r="B652" t="str">
            <v>THAT WAREHOUSE INC</v>
          </cell>
          <cell r="C652" t="str">
            <v>5719 BNVLE HWY</v>
          </cell>
        </row>
        <row r="653">
          <cell r="A653">
            <v>61423170</v>
          </cell>
          <cell r="B653" t="str">
            <v>ROGERS FAMILY GROUP</v>
          </cell>
          <cell r="C653" t="str">
            <v>5325 OAK GROVE RD</v>
          </cell>
        </row>
        <row r="654">
          <cell r="A654">
            <v>61423190</v>
          </cell>
          <cell r="B654" t="str">
            <v>ARCHITECTURAL METAL</v>
          </cell>
          <cell r="C654" t="str">
            <v>1400 N CULLEN AVE</v>
          </cell>
        </row>
        <row r="655">
          <cell r="A655">
            <v>61423200</v>
          </cell>
          <cell r="B655" t="str">
            <v>PRAMUKH SWAM INC</v>
          </cell>
          <cell r="C655" t="str">
            <v>5006 E MORGAN AVE</v>
          </cell>
        </row>
        <row r="656">
          <cell r="A656">
            <v>61423220</v>
          </cell>
          <cell r="B656" t="str">
            <v>APPLEBEES INTL INC#5244</v>
          </cell>
          <cell r="C656" t="str">
            <v>5100 E MORGAN AVE</v>
          </cell>
        </row>
        <row r="657">
          <cell r="A657">
            <v>61423230</v>
          </cell>
          <cell r="B657" t="str">
            <v>RDSAFE TRAF SYS INCFALCONITE EQUIP INC</v>
          </cell>
          <cell r="C657" t="str">
            <v>6000 BNVLE HWY</v>
          </cell>
        </row>
        <row r="658">
          <cell r="A658">
            <v>61423235</v>
          </cell>
          <cell r="B658" t="str">
            <v>OF EVANSVILLE INCBUILDING A</v>
          </cell>
          <cell r="C658" t="str">
            <v>6600 FRITO LAY DR</v>
          </cell>
        </row>
        <row r="659">
          <cell r="A659">
            <v>61423318</v>
          </cell>
          <cell r="B659" t="str">
            <v>AIRGAS MID AMERICA</v>
          </cell>
          <cell r="C659" t="str">
            <v>2300 N BURKHARDT RD</v>
          </cell>
        </row>
        <row r="660">
          <cell r="A660">
            <v>61423320</v>
          </cell>
          <cell r="B660" t="str">
            <v>AUSTIN CROWE</v>
          </cell>
          <cell r="C660" t="str">
            <v>2750 N BURKHARDT RD</v>
          </cell>
        </row>
        <row r="661">
          <cell r="A661">
            <v>61423322</v>
          </cell>
          <cell r="B661" t="str">
            <v>ADVANTAGE IQ-MS1294FRITO LAY INC</v>
          </cell>
          <cell r="C661" t="str">
            <v>6700 FRITO LAY DR</v>
          </cell>
        </row>
        <row r="662">
          <cell r="A662">
            <v>61423330</v>
          </cell>
          <cell r="B662" t="str">
            <v>EAGLES</v>
          </cell>
          <cell r="C662" t="str">
            <v>6000 OLD BNVL HWY</v>
          </cell>
        </row>
        <row r="663">
          <cell r="A663">
            <v>61423335</v>
          </cell>
          <cell r="B663" t="str">
            <v>ATTN ACCTS PAYABLEEVANSVILLE ARC INDUS</v>
          </cell>
          <cell r="C663" t="str">
            <v>2515 KOTTER AVE</v>
          </cell>
        </row>
        <row r="664">
          <cell r="A664">
            <v>61423340</v>
          </cell>
          <cell r="B664" t="str">
            <v>PIPLE CONST INCOHIO VALLEY</v>
          </cell>
          <cell r="C664" t="str">
            <v>2717 KOTTER AVE</v>
          </cell>
        </row>
        <row r="665">
          <cell r="A665">
            <v>61423345</v>
          </cell>
          <cell r="B665" t="str">
            <v>SCHUTTE LITHOGRAPHY</v>
          </cell>
          <cell r="C665" t="str">
            <v>2716 KOTTER AVE</v>
          </cell>
        </row>
        <row r="666">
          <cell r="A666">
            <v>61423350</v>
          </cell>
          <cell r="B666" t="str">
            <v>EVVIN02 N34123SBC/AMERITECH</v>
          </cell>
          <cell r="C666" t="str">
            <v>5525 BNVLE HWY</v>
          </cell>
        </row>
        <row r="667">
          <cell r="A667">
            <v>61423370</v>
          </cell>
          <cell r="B667" t="str">
            <v>STEAMBOAT PROPERTIES</v>
          </cell>
          <cell r="C667" t="str">
            <v>5350 OLD BNVL HWY</v>
          </cell>
        </row>
        <row r="668">
          <cell r="A668">
            <v>61423390</v>
          </cell>
          <cell r="B668" t="str">
            <v>ESQUIRE ENTERPRISES</v>
          </cell>
          <cell r="C668" t="str">
            <v>2140 N CULLEN AVE</v>
          </cell>
        </row>
        <row r="669">
          <cell r="A669">
            <v>61423400</v>
          </cell>
          <cell r="B669" t="str">
            <v>COUNTER DESIGN CO</v>
          </cell>
          <cell r="C669" t="str">
            <v>2381 N CULLEN AVE</v>
          </cell>
        </row>
        <row r="670">
          <cell r="A670">
            <v>61423410</v>
          </cell>
          <cell r="B670" t="str">
            <v>G-3 MAP PROPERTIES</v>
          </cell>
          <cell r="C670" t="str">
            <v>2641 N CULLEN AVE</v>
          </cell>
        </row>
        <row r="671">
          <cell r="A671">
            <v>61423420</v>
          </cell>
          <cell r="B671" t="str">
            <v>HOSE HOUSE #9CITY CONTROLLER</v>
          </cell>
          <cell r="C671" t="str">
            <v>2020 KEYSTONE HLS</v>
          </cell>
        </row>
        <row r="672">
          <cell r="A672">
            <v>61423430</v>
          </cell>
          <cell r="B672" t="str">
            <v>HALO AUTO WASH</v>
          </cell>
          <cell r="C672" t="str">
            <v>4720 MORGAN CTR</v>
          </cell>
        </row>
        <row r="673">
          <cell r="A673">
            <v>61423450</v>
          </cell>
          <cell r="B673" t="str">
            <v>LOWELL WEBER</v>
          </cell>
          <cell r="C673" t="str">
            <v>1930-40 N GREEN RIVER RD</v>
          </cell>
        </row>
        <row r="674">
          <cell r="A674">
            <v>61423455</v>
          </cell>
          <cell r="B674" t="str">
            <v>WEB ENTERPRISE LLC</v>
          </cell>
          <cell r="C674" t="str">
            <v>2001B N GREEN RIVER RD</v>
          </cell>
        </row>
        <row r="675">
          <cell r="A675">
            <v>61423470</v>
          </cell>
          <cell r="B675" t="str">
            <v>SUGAR MILL CRK TWN</v>
          </cell>
          <cell r="C675" t="str">
            <v>2501 N GREEN RIVER RD</v>
          </cell>
        </row>
        <row r="676">
          <cell r="A676">
            <v>61423475</v>
          </cell>
          <cell r="B676" t="str">
            <v>BILL SPURLINGSTE 145</v>
          </cell>
          <cell r="C676" t="str">
            <v>3101 N GREEN RIVER RD</v>
          </cell>
        </row>
        <row r="677">
          <cell r="A677">
            <v>61423480</v>
          </cell>
          <cell r="B677" t="str">
            <v>LAKESIDE MANORSPURLING PROPERTIES</v>
          </cell>
          <cell r="C677" t="str">
            <v>3201 N GREEN RIVER RD</v>
          </cell>
        </row>
        <row r="678">
          <cell r="A678">
            <v>61423485</v>
          </cell>
          <cell r="B678" t="str">
            <v>SPURLING PROPERTIES</v>
          </cell>
          <cell r="C678" t="str">
            <v>3211 N GREEN RIVER RD</v>
          </cell>
        </row>
        <row r="679">
          <cell r="A679">
            <v>61423490</v>
          </cell>
          <cell r="B679" t="str">
            <v>EVILLE DAY SCHOO</v>
          </cell>
          <cell r="C679" t="str">
            <v>3400 N GREEN RIVER RD</v>
          </cell>
        </row>
        <row r="680">
          <cell r="A680">
            <v>61423510</v>
          </cell>
          <cell r="B680" t="str">
            <v>PLATINUM INVESTGP LLC</v>
          </cell>
          <cell r="C680" t="str">
            <v>4600 SPRING VLY</v>
          </cell>
        </row>
        <row r="681">
          <cell r="A681">
            <v>61423550</v>
          </cell>
          <cell r="B681" t="str">
            <v>DAFAME LLC</v>
          </cell>
          <cell r="C681" t="str">
            <v>4400 SPRINGVALLEY RD</v>
          </cell>
        </row>
        <row r="682">
          <cell r="A682">
            <v>61423560</v>
          </cell>
          <cell r="B682" t="str">
            <v>TIMBERS APTSEDWARD ROSE OF IND</v>
          </cell>
          <cell r="C682" t="str">
            <v>3450 N GREEN RIVER RD</v>
          </cell>
        </row>
        <row r="683">
          <cell r="A683">
            <v>61423570</v>
          </cell>
          <cell r="B683" t="str">
            <v>TIMBER APTSEDWARD ROSE OF IND</v>
          </cell>
          <cell r="C683" t="str">
            <v>GREEN RIVER RD</v>
          </cell>
        </row>
        <row r="684">
          <cell r="A684">
            <v>61423590</v>
          </cell>
          <cell r="B684" t="str">
            <v>GOOD SHEPHERD CH</v>
          </cell>
          <cell r="C684" t="str">
            <v>2301 N STOCKWELL RD</v>
          </cell>
        </row>
        <row r="685">
          <cell r="A685">
            <v>61423610</v>
          </cell>
          <cell r="B685" t="str">
            <v>C/O EVANSVILLE VANDSTOCKWELL</v>
          </cell>
          <cell r="C685" t="str">
            <v>2501 N STOCKWELL RD</v>
          </cell>
        </row>
        <row r="686">
          <cell r="A686">
            <v>61423630</v>
          </cell>
          <cell r="B686" t="str">
            <v>REGENCY MGNT SERVICETERRA TRACE APTS</v>
          </cell>
          <cell r="C686" t="str">
            <v>1745 THEATER DR</v>
          </cell>
        </row>
        <row r="687">
          <cell r="A687">
            <v>61423650</v>
          </cell>
          <cell r="B687" t="str">
            <v>REGENCY MGNT SERVICETERRA TRACE APTS</v>
          </cell>
          <cell r="C687" t="str">
            <v>1705 THEATER DR</v>
          </cell>
        </row>
        <row r="688">
          <cell r="A688">
            <v>61423670</v>
          </cell>
          <cell r="B688" t="str">
            <v>SALES INCBUDS HARLEY DAVIDSON</v>
          </cell>
          <cell r="C688" t="str">
            <v>4700 E MORGAN AVE</v>
          </cell>
        </row>
        <row r="689">
          <cell r="A689">
            <v>61423690</v>
          </cell>
          <cell r="B689" t="str">
            <v>SHOW PLACE THEATER</v>
          </cell>
          <cell r="C689" t="str">
            <v>1801 MORGAN CNTR DR</v>
          </cell>
        </row>
        <row r="690">
          <cell r="A690">
            <v>61423700</v>
          </cell>
          <cell r="B690" t="str">
            <v>SUNRISE HOSPITALITY</v>
          </cell>
          <cell r="C690" t="str">
            <v>4600 E MORGAN AVE</v>
          </cell>
        </row>
        <row r="691">
          <cell r="A691">
            <v>61423705</v>
          </cell>
          <cell r="B691" t="str">
            <v>LASER CAR WASH</v>
          </cell>
          <cell r="C691" t="str">
            <v>4650 MORGAN AVE</v>
          </cell>
        </row>
        <row r="692">
          <cell r="A692">
            <v>61423720</v>
          </cell>
          <cell r="B692" t="str">
            <v>BASSEMIERS INC</v>
          </cell>
          <cell r="C692" t="str">
            <v>4250 E MORGAN AVE</v>
          </cell>
        </row>
        <row r="693">
          <cell r="A693">
            <v>61520020</v>
          </cell>
          <cell r="B693" t="str">
            <v>TERRY RICE</v>
          </cell>
          <cell r="C693" t="str">
            <v>215 N STOCKWELL RD</v>
          </cell>
        </row>
        <row r="694">
          <cell r="A694">
            <v>61520070</v>
          </cell>
          <cell r="B694" t="str">
            <v>KENNY KENT CHEVROLET</v>
          </cell>
          <cell r="C694" t="str">
            <v>4600 E DIVISION ST</v>
          </cell>
        </row>
        <row r="695">
          <cell r="A695">
            <v>61520090</v>
          </cell>
          <cell r="B695" t="str">
            <v>WRIGHT MOTORS</v>
          </cell>
          <cell r="C695" t="str">
            <v>4500 E DIVISION ST</v>
          </cell>
        </row>
        <row r="696">
          <cell r="A696">
            <v>61520110</v>
          </cell>
          <cell r="B696" t="str">
            <v>LINCOLN MERCURYD PATRICK</v>
          </cell>
          <cell r="C696" t="str">
            <v>4300 E DIVISION ST</v>
          </cell>
        </row>
        <row r="697">
          <cell r="A697">
            <v>61520130</v>
          </cell>
          <cell r="B697" t="str">
            <v>AHOC EVANSVILLE LLC</v>
          </cell>
          <cell r="C697" t="str">
            <v>201 N CONGRESS AVE</v>
          </cell>
        </row>
        <row r="698">
          <cell r="A698">
            <v>61520134</v>
          </cell>
          <cell r="B698" t="str">
            <v>AMERISTAMP</v>
          </cell>
          <cell r="C698" t="str">
            <v>1300 N ROYAL AVE</v>
          </cell>
        </row>
        <row r="699">
          <cell r="A699">
            <v>61520135</v>
          </cell>
          <cell r="B699" t="str">
            <v>KARAN PASTORA</v>
          </cell>
          <cell r="C699" t="str">
            <v>5625 VOGEL RD</v>
          </cell>
        </row>
        <row r="700">
          <cell r="A700">
            <v>61520136</v>
          </cell>
          <cell r="B700" t="str">
            <v>HIGH POINT EAST</v>
          </cell>
          <cell r="C700" t="str">
            <v>1220 TUTOR LN</v>
          </cell>
        </row>
        <row r="701">
          <cell r="A701">
            <v>61520138</v>
          </cell>
          <cell r="B701" t="str">
            <v>AND ASSOC,INCBERNARDIN LOCHMULLER</v>
          </cell>
          <cell r="C701" t="str">
            <v>6200 E VOGEL RD</v>
          </cell>
        </row>
        <row r="702">
          <cell r="A702">
            <v>61520170</v>
          </cell>
          <cell r="B702" t="str">
            <v>STERLING BOILER</v>
          </cell>
          <cell r="C702" t="str">
            <v>520 N CONGRESS AVE</v>
          </cell>
        </row>
        <row r="703">
          <cell r="A703">
            <v>61520210</v>
          </cell>
          <cell r="B703" t="str">
            <v>TRAYLOR BROTHERS</v>
          </cell>
          <cell r="C703" t="str">
            <v>800 N CONGRESS AVE</v>
          </cell>
        </row>
        <row r="704">
          <cell r="A704">
            <v>61520230</v>
          </cell>
          <cell r="B704" t="str">
            <v>TRAYLOR</v>
          </cell>
          <cell r="C704" t="str">
            <v>835 N CONGRESS AVE</v>
          </cell>
        </row>
        <row r="705">
          <cell r="A705">
            <v>61520250</v>
          </cell>
          <cell r="B705" t="str">
            <v>WW GRAINGER INC #272ADVANTAGEIQ-MS 529</v>
          </cell>
          <cell r="C705" t="str">
            <v>837 N CONGRESS AVE</v>
          </cell>
        </row>
        <row r="706">
          <cell r="A706">
            <v>61520270</v>
          </cell>
          <cell r="B706" t="str">
            <v>DAVID G MOUNTS</v>
          </cell>
          <cell r="C706" t="str">
            <v>951 N CONGRESS AVE</v>
          </cell>
        </row>
        <row r="707">
          <cell r="A707">
            <v>61520290</v>
          </cell>
          <cell r="B707" t="str">
            <v>FITNESS WORLD</v>
          </cell>
          <cell r="C707" t="str">
            <v>1101 N CONGRESS AVE</v>
          </cell>
        </row>
        <row r="708">
          <cell r="A708">
            <v>61520310</v>
          </cell>
          <cell r="B708" t="str">
            <v>NABISCO BRANDS INC#843112</v>
          </cell>
          <cell r="C708" t="str">
            <v>1111 N CONGRESS AVE</v>
          </cell>
        </row>
        <row r="709">
          <cell r="A709">
            <v>61520330</v>
          </cell>
          <cell r="B709" t="str">
            <v>DSE REALTY LLC</v>
          </cell>
          <cell r="C709" t="str">
            <v>1201 N STOCKWELL RD</v>
          </cell>
        </row>
        <row r="710">
          <cell r="A710">
            <v>61520350</v>
          </cell>
          <cell r="B710" t="str">
            <v>J H RUDOLPH CO</v>
          </cell>
          <cell r="C710" t="str">
            <v>1251 N STOCKWELL RD</v>
          </cell>
        </row>
        <row r="711">
          <cell r="A711">
            <v>61520370</v>
          </cell>
          <cell r="B711" t="str">
            <v>TRAYLOR BROTHERS</v>
          </cell>
          <cell r="C711" t="str">
            <v>821 N STOCKWELL RD</v>
          </cell>
        </row>
        <row r="712">
          <cell r="A712">
            <v>61520390</v>
          </cell>
          <cell r="B712" t="str">
            <v>PLYMOUTHEVANSVILLE CHRYSLER</v>
          </cell>
          <cell r="C712" t="str">
            <v>4000 E DIVISION ST</v>
          </cell>
        </row>
        <row r="713">
          <cell r="A713">
            <v>61520395</v>
          </cell>
          <cell r="B713" t="str">
            <v>MENTAL HEALTH CENTERSOUTHWESTERN INDIANA</v>
          </cell>
          <cell r="C713" t="str">
            <v>4001 JOHN ST</v>
          </cell>
        </row>
        <row r="714">
          <cell r="A714">
            <v>61520420</v>
          </cell>
          <cell r="B714" t="str">
            <v>EVILLE STATE HOSP</v>
          </cell>
          <cell r="C714" t="str">
            <v>3400B LINCOLN AVE</v>
          </cell>
        </row>
        <row r="715">
          <cell r="A715">
            <v>61520446</v>
          </cell>
          <cell r="B715" t="str">
            <v>ATTN MDI CO 19MILITARY DEPT OF IND</v>
          </cell>
          <cell r="C715" t="str">
            <v>3000 E DIVISION ST</v>
          </cell>
        </row>
        <row r="716">
          <cell r="A716">
            <v>61520447</v>
          </cell>
          <cell r="B716" t="str">
            <v>MDI-CO</v>
          </cell>
          <cell r="C716" t="str">
            <v>3304 E DIVISION ST</v>
          </cell>
        </row>
        <row r="717">
          <cell r="A717">
            <v>61520450</v>
          </cell>
          <cell r="B717" t="str">
            <v>ATN:AFRC-CMN-CO-CAPSUS ARMY 88TH RSC</v>
          </cell>
          <cell r="C717" t="str">
            <v>2900 E DIVISION ST</v>
          </cell>
        </row>
        <row r="718">
          <cell r="A718">
            <v>61520490</v>
          </cell>
          <cell r="B718" t="str">
            <v>C/O KRISTA S OLSENROBTS MUNIC STADIUM</v>
          </cell>
          <cell r="C718" t="str">
            <v>DIVISION &amp; VILLA</v>
          </cell>
        </row>
        <row r="719">
          <cell r="A719">
            <v>61520510</v>
          </cell>
          <cell r="B719" t="str">
            <v>C/O KRISTA S OLSENROBTS MUN STADIUM</v>
          </cell>
          <cell r="C719" t="str">
            <v>301 N BOEKE RD</v>
          </cell>
        </row>
        <row r="720">
          <cell r="A720">
            <v>61520530</v>
          </cell>
          <cell r="B720" t="str">
            <v>C/O KRISTA S OLSENHARTKE POOL</v>
          </cell>
          <cell r="C720" t="str">
            <v>201 N BOEKE RD</v>
          </cell>
        </row>
        <row r="721">
          <cell r="A721">
            <v>61520550</v>
          </cell>
          <cell r="B721" t="str">
            <v>HARTKE POOL</v>
          </cell>
          <cell r="C721" t="str">
            <v>201 N BOEKE RD</v>
          </cell>
        </row>
        <row r="722">
          <cell r="A722">
            <v>61520560</v>
          </cell>
          <cell r="B722" t="str">
            <v>MCDONALD GOLFCITY CONTROLLER</v>
          </cell>
          <cell r="C722" t="str">
            <v>551A N BOEKE RD</v>
          </cell>
        </row>
        <row r="723">
          <cell r="A723">
            <v>61520570</v>
          </cell>
          <cell r="B723" t="str">
            <v>GOOD SAMARITAN H</v>
          </cell>
          <cell r="C723" t="str">
            <v>601 N BOEKE RD</v>
          </cell>
        </row>
        <row r="724">
          <cell r="A724">
            <v>61520580</v>
          </cell>
          <cell r="B724" t="str">
            <v>WESSELMAN PARK-MAINTCITY OF EVANSVILLE</v>
          </cell>
          <cell r="C724" t="str">
            <v>551B N BOEKE RD</v>
          </cell>
        </row>
        <row r="725">
          <cell r="A725">
            <v>61520590</v>
          </cell>
          <cell r="B725" t="str">
            <v>OLYMPIC APT INCH F MEYERS</v>
          </cell>
          <cell r="C725" t="str">
            <v>108 N BOEKE RD</v>
          </cell>
        </row>
        <row r="726">
          <cell r="A726">
            <v>61520600</v>
          </cell>
          <cell r="B726" t="str">
            <v>PAYNE'S SERVICE CTR</v>
          </cell>
          <cell r="C726" t="str">
            <v>2074B E DIVISION ST</v>
          </cell>
        </row>
        <row r="727">
          <cell r="A727">
            <v>61520630</v>
          </cell>
          <cell r="B727" t="str">
            <v>SILCO LLC</v>
          </cell>
          <cell r="C727" t="str">
            <v>1 N WEINBACH AVE</v>
          </cell>
        </row>
        <row r="728">
          <cell r="A728">
            <v>61520650</v>
          </cell>
          <cell r="B728" t="str">
            <v>FIFTH THIRD BANK</v>
          </cell>
          <cell r="C728" t="str">
            <v>115A N WEINBACH AVE</v>
          </cell>
        </row>
        <row r="729">
          <cell r="A729">
            <v>61520670</v>
          </cell>
          <cell r="B729" t="str">
            <v>SILCO,INC</v>
          </cell>
          <cell r="C729" t="str">
            <v>115B N WEINBACH AVE</v>
          </cell>
        </row>
        <row r="730">
          <cell r="A730">
            <v>61520710</v>
          </cell>
          <cell r="B730" t="str">
            <v>CSL PLASMA INC</v>
          </cell>
          <cell r="C730" t="str">
            <v>2008A CENTER DR</v>
          </cell>
        </row>
        <row r="731">
          <cell r="A731">
            <v>61520730</v>
          </cell>
          <cell r="B731" t="str">
            <v>CSL PLASMA INC</v>
          </cell>
          <cell r="C731" t="str">
            <v>2018 CENTER DR</v>
          </cell>
        </row>
        <row r="732">
          <cell r="A732">
            <v>61520750</v>
          </cell>
          <cell r="B732" t="str">
            <v>DIV OF WINKLER INCSUITE 750</v>
          </cell>
          <cell r="C732" t="str">
            <v>2026 CENTER DR</v>
          </cell>
        </row>
        <row r="733">
          <cell r="A733">
            <v>61520770</v>
          </cell>
          <cell r="B733" t="str">
            <v>MICHAEL MERRICK</v>
          </cell>
          <cell r="C733" t="str">
            <v>1925 E ILLINOIS ST</v>
          </cell>
        </row>
        <row r="734">
          <cell r="A734">
            <v>61520780</v>
          </cell>
          <cell r="B734" t="str">
            <v>BILL SPURLINGSPURLING PROERTIES</v>
          </cell>
          <cell r="C734" t="str">
            <v>125 N WEINBACH AVE</v>
          </cell>
        </row>
        <row r="735">
          <cell r="A735">
            <v>61520790</v>
          </cell>
          <cell r="B735" t="str">
            <v>DILIP PATEL</v>
          </cell>
          <cell r="C735" t="str">
            <v>300 N WEINBACH AVE</v>
          </cell>
        </row>
        <row r="736">
          <cell r="A736">
            <v>61520810</v>
          </cell>
          <cell r="B736" t="str">
            <v>SJD INC</v>
          </cell>
          <cell r="C736" t="str">
            <v>600 N WEINBACH</v>
          </cell>
        </row>
        <row r="737">
          <cell r="A737">
            <v>61520830</v>
          </cell>
          <cell r="B737" t="str">
            <v>SJD INC</v>
          </cell>
          <cell r="C737" t="str">
            <v>600A N WEINBACH</v>
          </cell>
        </row>
        <row r="738">
          <cell r="A738">
            <v>61520860</v>
          </cell>
          <cell r="B738" t="str">
            <v>THE CROSSINGSUMMIT REAL ESTATE</v>
          </cell>
          <cell r="C738" t="str">
            <v>701 N WEINBACH AVE</v>
          </cell>
        </row>
        <row r="739">
          <cell r="A739">
            <v>61520865</v>
          </cell>
          <cell r="B739" t="str">
            <v>INTERIORS INCSCHOLZ DRYWALL &amp;</v>
          </cell>
          <cell r="C739" t="str">
            <v>609 N WEINBACH AVE</v>
          </cell>
        </row>
        <row r="740">
          <cell r="A740">
            <v>61520870</v>
          </cell>
          <cell r="B740" t="str">
            <v>TERRACE PK GEN BAPT</v>
          </cell>
          <cell r="C740" t="str">
            <v>720 N KELSEY AVE</v>
          </cell>
        </row>
        <row r="741">
          <cell r="A741">
            <v>61520890</v>
          </cell>
          <cell r="B741" t="str">
            <v>ROBERT W LENSING</v>
          </cell>
          <cell r="C741" t="str">
            <v>2161 E COLUMBIA ST</v>
          </cell>
        </row>
        <row r="742">
          <cell r="A742">
            <v>61520930</v>
          </cell>
          <cell r="B742" t="str">
            <v>% UMBACH &amp; ASSOLAMBDA CHI ALPHA</v>
          </cell>
          <cell r="C742" t="str">
            <v>213 S WEINBACH AVE</v>
          </cell>
        </row>
        <row r="743">
          <cell r="A743">
            <v>61520950</v>
          </cell>
          <cell r="B743" t="str">
            <v>EVANSVILLEUNIVERSITY OF</v>
          </cell>
          <cell r="C743" t="str">
            <v>216 S WEINBACH AVE</v>
          </cell>
        </row>
        <row r="744">
          <cell r="A744">
            <v>61520990</v>
          </cell>
          <cell r="B744" t="str">
            <v>SIGMA PHI EPSILONGEORGE DAY</v>
          </cell>
          <cell r="C744" t="str">
            <v>316 S WEINBACH AVE</v>
          </cell>
        </row>
        <row r="745">
          <cell r="A745">
            <v>61521030</v>
          </cell>
          <cell r="B745" t="str">
            <v>UNIVERSITY OF EVILLE</v>
          </cell>
          <cell r="C745" t="str">
            <v>227 S LINCOLN PK DR</v>
          </cell>
        </row>
        <row r="746">
          <cell r="A746">
            <v>61521050</v>
          </cell>
          <cell r="B746" t="str">
            <v>C/O EVANSVILLE VANDHARPER</v>
          </cell>
          <cell r="C746" t="str">
            <v>25 HARPER AVE</v>
          </cell>
        </row>
        <row r="747">
          <cell r="A747">
            <v>61521070</v>
          </cell>
          <cell r="B747" t="str">
            <v>ERIN RAMSEY</v>
          </cell>
          <cell r="C747" t="str">
            <v>219 S ALVORD BLVD</v>
          </cell>
        </row>
        <row r="748">
          <cell r="A748">
            <v>61521080</v>
          </cell>
          <cell r="B748" t="str">
            <v>U OF E</v>
          </cell>
          <cell r="C748" t="str">
            <v>2016 E WALNUT ST</v>
          </cell>
        </row>
        <row r="749">
          <cell r="A749">
            <v>61521090</v>
          </cell>
          <cell r="B749" t="str">
            <v>UNIV OF EVANSVILLE</v>
          </cell>
          <cell r="C749" t="str">
            <v>WALNUT ST</v>
          </cell>
        </row>
        <row r="750">
          <cell r="A750">
            <v>61521110</v>
          </cell>
          <cell r="B750" t="str">
            <v>UNIVERSITY OF EVILLE</v>
          </cell>
          <cell r="C750" t="str">
            <v>201 S ROTHERWOOD</v>
          </cell>
        </row>
        <row r="751">
          <cell r="A751">
            <v>61521120</v>
          </cell>
          <cell r="B751" t="str">
            <v>UNIVERSITY OF EVILLE</v>
          </cell>
          <cell r="C751" t="str">
            <v>1700 WALNUT ST</v>
          </cell>
        </row>
        <row r="752">
          <cell r="A752">
            <v>61521130</v>
          </cell>
          <cell r="B752" t="str">
            <v>UNIV OF EVANSVILLE</v>
          </cell>
          <cell r="C752" t="str">
            <v>1801 E WALNUT ST</v>
          </cell>
        </row>
        <row r="753">
          <cell r="A753">
            <v>61521150</v>
          </cell>
          <cell r="B753" t="str">
            <v>UNIVERSITY OF EVILLE</v>
          </cell>
          <cell r="C753" t="str">
            <v>1800 E WALNUT ST</v>
          </cell>
        </row>
        <row r="754">
          <cell r="A754">
            <v>61521170</v>
          </cell>
          <cell r="B754" t="str">
            <v>UNIV OF EVANSVILLE</v>
          </cell>
          <cell r="C754" t="str">
            <v>431 S WEINBACH AVE</v>
          </cell>
        </row>
        <row r="755">
          <cell r="A755">
            <v>61521190</v>
          </cell>
          <cell r="B755" t="str">
            <v>UNIVERSITY OF EVANS</v>
          </cell>
          <cell r="C755" t="str">
            <v>551 S WEINBACH AVE</v>
          </cell>
        </row>
        <row r="756">
          <cell r="A756">
            <v>61521210</v>
          </cell>
          <cell r="B756" t="str">
            <v>UNIVERSITY OF EVANS</v>
          </cell>
          <cell r="C756" t="str">
            <v>1700 LINCOLN AVE</v>
          </cell>
        </row>
        <row r="757">
          <cell r="A757">
            <v>61521220</v>
          </cell>
          <cell r="B757" t="str">
            <v>SHELL FAST FILLS</v>
          </cell>
          <cell r="C757" t="str">
            <v>1701 LINCOLN AVE</v>
          </cell>
        </row>
        <row r="758">
          <cell r="A758">
            <v>61521230</v>
          </cell>
          <cell r="B758" t="str">
            <v>UNIV OF EVANSVILLE</v>
          </cell>
          <cell r="C758" t="str">
            <v>ROTHERWOOD AVE</v>
          </cell>
        </row>
        <row r="759">
          <cell r="A759">
            <v>61521250</v>
          </cell>
          <cell r="B759" t="str">
            <v>UNIV OF EVANSVILLE</v>
          </cell>
          <cell r="C759" t="str">
            <v>400 S ROTHERWOOD AVE</v>
          </cell>
        </row>
        <row r="760">
          <cell r="A760">
            <v>61521290</v>
          </cell>
          <cell r="B760" t="str">
            <v>MEMORIAL HIGH SC</v>
          </cell>
          <cell r="C760" t="str">
            <v>500 S BENNIGHOF AVE</v>
          </cell>
        </row>
        <row r="761">
          <cell r="A761">
            <v>61521300</v>
          </cell>
          <cell r="B761" t="str">
            <v>HOSE HOUSE #14CITY CONTROLLER</v>
          </cell>
          <cell r="C761" t="str">
            <v>500 S WILLOW RD</v>
          </cell>
        </row>
        <row r="762">
          <cell r="A762">
            <v>61521310</v>
          </cell>
          <cell r="B762" t="str">
            <v>CHURCH RECTORYST BENEDICT</v>
          </cell>
          <cell r="C762" t="str">
            <v>1312 LINCOLN AVE</v>
          </cell>
        </row>
        <row r="763">
          <cell r="A763">
            <v>61521330</v>
          </cell>
          <cell r="B763" t="str">
            <v>ST BENEDICTS</v>
          </cell>
          <cell r="C763" t="str">
            <v>540 S HARLAN AVE</v>
          </cell>
        </row>
        <row r="764">
          <cell r="A764">
            <v>61521350</v>
          </cell>
          <cell r="B764" t="str">
            <v>OF THE POORLITTLE SISTERS</v>
          </cell>
          <cell r="C764" t="str">
            <v>500 S HARLAN AVE</v>
          </cell>
        </row>
        <row r="765">
          <cell r="A765">
            <v>61521370</v>
          </cell>
          <cell r="B765" t="str">
            <v>OF THE POORLITTLE SISTERS</v>
          </cell>
          <cell r="C765" t="str">
            <v>1236 LINCOLN AVE</v>
          </cell>
        </row>
        <row r="766">
          <cell r="A766">
            <v>61521430</v>
          </cell>
          <cell r="B766" t="str">
            <v>LANTZ'S COACHWORKS</v>
          </cell>
          <cell r="C766" t="str">
            <v>100 S KENTUCKY AVE</v>
          </cell>
        </row>
        <row r="767">
          <cell r="A767">
            <v>61521435</v>
          </cell>
          <cell r="B767" t="str">
            <v>SCHNEIDER HEATING AC</v>
          </cell>
          <cell r="C767" t="str">
            <v>101 N GARVIN ST</v>
          </cell>
        </row>
        <row r="768">
          <cell r="A768">
            <v>61521445</v>
          </cell>
          <cell r="B768" t="str">
            <v>RIGGINSTERETT CRANE &amp;</v>
          </cell>
          <cell r="C768" t="str">
            <v>601 E ILLINOIS ST</v>
          </cell>
        </row>
        <row r="769">
          <cell r="A769">
            <v>61521455</v>
          </cell>
          <cell r="B769" t="str">
            <v>MORTON AVE WHSE</v>
          </cell>
          <cell r="C769" t="str">
            <v>ILLINOIS ST</v>
          </cell>
        </row>
        <row r="770">
          <cell r="A770">
            <v>61521465</v>
          </cell>
          <cell r="B770" t="str">
            <v>MORTON AVE WAREHOUSE</v>
          </cell>
          <cell r="C770" t="str">
            <v>777 E FRANKLIN ST</v>
          </cell>
        </row>
        <row r="771">
          <cell r="A771">
            <v>61521475</v>
          </cell>
          <cell r="B771" t="str">
            <v>MORTON AVE WHSE INC</v>
          </cell>
          <cell r="C771" t="str">
            <v>801 E FRANKLIN ST</v>
          </cell>
        </row>
        <row r="772">
          <cell r="A772">
            <v>61521485</v>
          </cell>
          <cell r="B772" t="str">
            <v>FRANKLIN INDUSTRIAL</v>
          </cell>
          <cell r="C772" t="str">
            <v>807 E FRANKLIN ST</v>
          </cell>
        </row>
        <row r="773">
          <cell r="A773">
            <v>61521500</v>
          </cell>
          <cell r="B773" t="str">
            <v>WAREHOUSING INC</v>
          </cell>
          <cell r="C773" t="str">
            <v>KENTUCKY &amp; FRANKLIN</v>
          </cell>
        </row>
        <row r="774">
          <cell r="A774">
            <v>61521540</v>
          </cell>
          <cell r="B774" t="str">
            <v>MARST PROPERTIES LLC</v>
          </cell>
          <cell r="C774" t="str">
            <v>109 N KENTUCKY AVE</v>
          </cell>
        </row>
        <row r="775">
          <cell r="A775">
            <v>61521550</v>
          </cell>
          <cell r="B775" t="str">
            <v>MARST PROP LLC</v>
          </cell>
          <cell r="C775" t="str">
            <v>105 N KENTUCKY AVE</v>
          </cell>
        </row>
        <row r="776">
          <cell r="A776">
            <v>61521560</v>
          </cell>
          <cell r="B776" t="str">
            <v>MARST PROPERTIES</v>
          </cell>
          <cell r="C776" t="str">
            <v>101 N KENTUCKY AVE</v>
          </cell>
        </row>
        <row r="777">
          <cell r="A777">
            <v>61521580</v>
          </cell>
          <cell r="B777" t="str">
            <v>MEISLER CARTAGE</v>
          </cell>
          <cell r="C777" t="str">
            <v>1103B E FRANKLIN ST</v>
          </cell>
        </row>
        <row r="778">
          <cell r="A778">
            <v>61521600</v>
          </cell>
          <cell r="B778" t="str">
            <v>WALTS DRIVE-A-WAY</v>
          </cell>
          <cell r="C778" t="str">
            <v>321 N KERTH AVE</v>
          </cell>
        </row>
        <row r="779">
          <cell r="A779">
            <v>61521620</v>
          </cell>
          <cell r="B779" t="str">
            <v>IMAGE INKS CO</v>
          </cell>
          <cell r="C779" t="str">
            <v>820 E FRANKLIN</v>
          </cell>
        </row>
        <row r="780">
          <cell r="A780">
            <v>61521625</v>
          </cell>
          <cell r="B780" t="str">
            <v>FRANKLIN INDUSTRIALCENTER INC</v>
          </cell>
          <cell r="C780" t="str">
            <v>813 E FRANKLIN ST</v>
          </cell>
        </row>
        <row r="781">
          <cell r="A781">
            <v>61521635</v>
          </cell>
          <cell r="B781" t="str">
            <v>GR TREE PLASTIC INC</v>
          </cell>
          <cell r="C781" t="str">
            <v>1107 E VIRGINIA ST</v>
          </cell>
        </row>
        <row r="782">
          <cell r="A782">
            <v>61521640</v>
          </cell>
          <cell r="B782" t="str">
            <v>EVANSVILLE URBAN#201</v>
          </cell>
          <cell r="C782" t="str">
            <v>1000A E VIRGINIA ST</v>
          </cell>
        </row>
        <row r="783">
          <cell r="A783">
            <v>61521645</v>
          </cell>
          <cell r="B783" t="str">
            <v>CAPE</v>
          </cell>
          <cell r="C783" t="str">
            <v>1000B E VIRGINIA ST</v>
          </cell>
        </row>
        <row r="784">
          <cell r="A784">
            <v>61521660</v>
          </cell>
          <cell r="B784" t="str">
            <v>P S C FABRICATING</v>
          </cell>
          <cell r="C784" t="str">
            <v>900 E VIRGINIA ST</v>
          </cell>
        </row>
        <row r="785">
          <cell r="A785">
            <v>61521675</v>
          </cell>
          <cell r="B785" t="str">
            <v>KENTUCKY AVEWHAREHOUSE</v>
          </cell>
          <cell r="C785" t="str">
            <v>301 N KENTUCKY AVE</v>
          </cell>
        </row>
        <row r="786">
          <cell r="A786">
            <v>61521680</v>
          </cell>
          <cell r="B786" t="str">
            <v>FRANKLIN INDUSTRIAL</v>
          </cell>
          <cell r="C786" t="str">
            <v>900 E FRANKLIN ST</v>
          </cell>
        </row>
        <row r="787">
          <cell r="A787">
            <v>61521810</v>
          </cell>
          <cell r="B787" t="str">
            <v>LEVEE LIFT INC</v>
          </cell>
          <cell r="C787" t="str">
            <v>928 E DIVISION ST</v>
          </cell>
        </row>
        <row r="788">
          <cell r="A788">
            <v>61521830</v>
          </cell>
          <cell r="B788" t="str">
            <v>LOUIS ROTHSCHILD</v>
          </cell>
          <cell r="C788" t="str">
            <v>820 E DIVISION ST</v>
          </cell>
        </row>
        <row r="789">
          <cell r="A789">
            <v>61521850</v>
          </cell>
          <cell r="B789" t="str">
            <v>WILHITE SUPPLY CO IN</v>
          </cell>
          <cell r="C789" t="str">
            <v>800 E DIVISION ST</v>
          </cell>
        </row>
        <row r="790">
          <cell r="A790">
            <v>61521860</v>
          </cell>
          <cell r="B790" t="str">
            <v>HOME CITY ICE</v>
          </cell>
          <cell r="C790" t="str">
            <v>650 E DIVISION ST</v>
          </cell>
        </row>
        <row r="791">
          <cell r="A791">
            <v>61521990</v>
          </cell>
          <cell r="B791" t="str">
            <v>ST JOSEPH SCHOOL</v>
          </cell>
          <cell r="C791" t="str">
            <v>N GARVIN ST</v>
          </cell>
        </row>
        <row r="792">
          <cell r="A792">
            <v>61522000</v>
          </cell>
          <cell r="B792" t="str">
            <v>ERS MANAGEMENT LLC</v>
          </cell>
          <cell r="C792" t="str">
            <v>309 N ELLIOTT ST</v>
          </cell>
        </row>
        <row r="793">
          <cell r="A793">
            <v>61522020</v>
          </cell>
          <cell r="B793" t="str">
            <v>TRI-STATE FOOD BANK</v>
          </cell>
          <cell r="C793" t="str">
            <v>802B E MICHIGAN ST</v>
          </cell>
        </row>
        <row r="794">
          <cell r="A794">
            <v>61522040</v>
          </cell>
          <cell r="B794" t="str">
            <v>TRI-STATE FOOD BANK</v>
          </cell>
          <cell r="C794" t="str">
            <v>823 E VIRGINIA ST</v>
          </cell>
        </row>
        <row r="795">
          <cell r="A795">
            <v>61620010</v>
          </cell>
          <cell r="B795" t="str">
            <v>TRINITY PRE-CATHEDRL</v>
          </cell>
          <cell r="C795" t="str">
            <v>305 COURT ST</v>
          </cell>
        </row>
        <row r="796">
          <cell r="A796">
            <v>61620015</v>
          </cell>
          <cell r="B796" t="str">
            <v>ST JOHN'S CHURCH</v>
          </cell>
          <cell r="C796" t="str">
            <v>316 MARKET ST</v>
          </cell>
        </row>
        <row r="797">
          <cell r="A797">
            <v>61620020</v>
          </cell>
          <cell r="B797" t="str">
            <v>SONITROL OF EVAN INC</v>
          </cell>
          <cell r="C797" t="str">
            <v>208 NW THIRD ST</v>
          </cell>
        </row>
        <row r="798">
          <cell r="A798">
            <v>61620110</v>
          </cell>
          <cell r="B798" t="str">
            <v>SIGECO</v>
          </cell>
          <cell r="C798" t="str">
            <v>112 COURT ST</v>
          </cell>
        </row>
        <row r="799">
          <cell r="A799">
            <v>61620120</v>
          </cell>
          <cell r="B799" t="str">
            <v>INDUSTRIAL CONST INC</v>
          </cell>
          <cell r="C799" t="str">
            <v>401 NW FIRST ST</v>
          </cell>
        </row>
        <row r="800">
          <cell r="A800">
            <v>61620133</v>
          </cell>
          <cell r="B800" t="str">
            <v>FAST EDDYS</v>
          </cell>
          <cell r="C800" t="str">
            <v>507 NW RIVERSIDE DR</v>
          </cell>
        </row>
        <row r="801">
          <cell r="A801">
            <v>61620135</v>
          </cell>
          <cell r="B801" t="str">
            <v>COLUMBIA SUSSEXCASINO AZTAR</v>
          </cell>
          <cell r="C801" t="str">
            <v>421 NW RIVERSIDE DR</v>
          </cell>
        </row>
        <row r="802">
          <cell r="A802">
            <v>61620180</v>
          </cell>
          <cell r="B802" t="str">
            <v>COLUMBIA SUSSEXCASINO AZTAR</v>
          </cell>
          <cell r="C802" t="str">
            <v>700 NW RIVERSIDE DR</v>
          </cell>
        </row>
        <row r="803">
          <cell r="A803">
            <v>61620190</v>
          </cell>
          <cell r="B803" t="str">
            <v>EVANS MATERIAL I</v>
          </cell>
          <cell r="C803" t="str">
            <v>900 NW RIVERSIDE DR</v>
          </cell>
        </row>
        <row r="804">
          <cell r="A804">
            <v>61620270</v>
          </cell>
          <cell r="B804" t="str">
            <v>PORT OF EVANSVILLEKINDER MORGAN</v>
          </cell>
          <cell r="C804" t="str">
            <v>1804 OHIO ST</v>
          </cell>
        </row>
        <row r="805">
          <cell r="A805">
            <v>61620290</v>
          </cell>
          <cell r="B805" t="str">
            <v>ATTN 17376-50303572CARGILL INC FSC</v>
          </cell>
          <cell r="C805" t="str">
            <v>2010 OHIO ST</v>
          </cell>
        </row>
        <row r="806">
          <cell r="A806">
            <v>61620390</v>
          </cell>
          <cell r="B806" t="str">
            <v>AMERICAN GENERAL</v>
          </cell>
          <cell r="C806" t="str">
            <v>160 S THIRD AVE</v>
          </cell>
        </row>
        <row r="807">
          <cell r="A807">
            <v>61620410</v>
          </cell>
          <cell r="B807" t="str">
            <v>STAGG SAFETYEQUIPMENT INC</v>
          </cell>
          <cell r="C807" t="str">
            <v>163 S THIRD AVE</v>
          </cell>
        </row>
        <row r="808">
          <cell r="A808">
            <v>61620450</v>
          </cell>
          <cell r="B808" t="str">
            <v>MOUNTS ELECTRIC</v>
          </cell>
          <cell r="C808" t="str">
            <v>515 NW SECOND ST</v>
          </cell>
        </row>
        <row r="809">
          <cell r="A809">
            <v>61620470</v>
          </cell>
          <cell r="B809" t="str">
            <v>FOX 7 WTVW</v>
          </cell>
          <cell r="C809" t="str">
            <v>477 CARPENTER ST</v>
          </cell>
        </row>
        <row r="810">
          <cell r="A810">
            <v>61620490</v>
          </cell>
          <cell r="B810" t="str">
            <v>MEDIA INCWNIN TRI-STATE PUBLI</v>
          </cell>
          <cell r="C810" t="str">
            <v>413 CARPENTER ST</v>
          </cell>
        </row>
        <row r="811">
          <cell r="A811">
            <v>61620550</v>
          </cell>
          <cell r="B811" t="str">
            <v>FINANCE,INCAMERICAN GENERAL</v>
          </cell>
          <cell r="C811" t="str">
            <v>909 BOND ST</v>
          </cell>
        </row>
        <row r="812">
          <cell r="A812">
            <v>61620570</v>
          </cell>
          <cell r="B812" t="str">
            <v>AMERICAN GENERAL</v>
          </cell>
          <cell r="C812" t="str">
            <v>939-949 BOND ST</v>
          </cell>
        </row>
        <row r="813">
          <cell r="A813">
            <v>61620590</v>
          </cell>
          <cell r="B813" t="str">
            <v>AMERICAN GENERAL</v>
          </cell>
          <cell r="C813" t="str">
            <v>301 S THIRD AVE</v>
          </cell>
        </row>
        <row r="814">
          <cell r="A814">
            <v>61620610</v>
          </cell>
          <cell r="B814" t="str">
            <v>CREDITHRIFT</v>
          </cell>
          <cell r="C814" t="str">
            <v>601 NW SECOND ST</v>
          </cell>
        </row>
        <row r="815">
          <cell r="A815">
            <v>61620630</v>
          </cell>
          <cell r="B815" t="str">
            <v>ELEC SUPPLY COWESTINGHOUSE</v>
          </cell>
          <cell r="C815" t="str">
            <v>401 S THIRD AVE</v>
          </cell>
        </row>
        <row r="816">
          <cell r="A816">
            <v>61620675</v>
          </cell>
          <cell r="B816" t="str">
            <v>FINANCEAMERICAN GENERAL</v>
          </cell>
          <cell r="C816" t="str">
            <v>400 S THIRD AVE</v>
          </cell>
        </row>
        <row r="817">
          <cell r="A817">
            <v>61620790</v>
          </cell>
          <cell r="B817" t="str">
            <v>OLD EVILL BREWERY</v>
          </cell>
          <cell r="C817" t="str">
            <v>1315 W INDIANA ST</v>
          </cell>
        </row>
        <row r="818">
          <cell r="A818">
            <v>61620810</v>
          </cell>
          <cell r="B818" t="str">
            <v>OLD EVILL BREWERY</v>
          </cell>
          <cell r="C818" t="str">
            <v>112 N FIFTH AVE</v>
          </cell>
        </row>
        <row r="819">
          <cell r="A819">
            <v>61620830</v>
          </cell>
          <cell r="B819" t="str">
            <v>UNIVERSAL FURNITURE</v>
          </cell>
          <cell r="C819" t="str">
            <v>1423 PENNSYLVANIA ST</v>
          </cell>
        </row>
        <row r="820">
          <cell r="A820">
            <v>61620860</v>
          </cell>
          <cell r="B820" t="str">
            <v>CRADDOCKFINISHING CORP</v>
          </cell>
          <cell r="C820" t="str">
            <v>1428 W ILLINOIS ST</v>
          </cell>
        </row>
        <row r="821">
          <cell r="A821">
            <v>61620890</v>
          </cell>
          <cell r="B821" t="str">
            <v>CRADDOCK FURN CO</v>
          </cell>
          <cell r="C821" t="str">
            <v>W ILLINOIS ST</v>
          </cell>
        </row>
        <row r="822">
          <cell r="A822">
            <v>61620910</v>
          </cell>
          <cell r="B822" t="str">
            <v>LENSING WHOLESALE</v>
          </cell>
          <cell r="C822" t="str">
            <v>1300 W FRANKLIN ST</v>
          </cell>
        </row>
        <row r="823">
          <cell r="A823">
            <v>61620930</v>
          </cell>
          <cell r="B823" t="str">
            <v>CASE ENGINEERING</v>
          </cell>
          <cell r="C823" t="str">
            <v>1401 W FRANKLIN ST</v>
          </cell>
        </row>
        <row r="824">
          <cell r="A824">
            <v>61620950</v>
          </cell>
          <cell r="B824" t="str">
            <v>COLUMNS &amp; BALUSTER</v>
          </cell>
          <cell r="C824" t="str">
            <v>1431 W FRANKLIN ST</v>
          </cell>
        </row>
        <row r="825">
          <cell r="A825">
            <v>61621010</v>
          </cell>
          <cell r="B825" t="str">
            <v>WANNEMUEHLER OIL CO</v>
          </cell>
          <cell r="C825" t="str">
            <v>520 N SEVENTH AVE</v>
          </cell>
        </row>
        <row r="826">
          <cell r="A826">
            <v>61621030</v>
          </cell>
          <cell r="B826" t="str">
            <v>LENSING WHOLESALE</v>
          </cell>
          <cell r="C826" t="str">
            <v>1501 W FRANKLIN ST</v>
          </cell>
        </row>
        <row r="827">
          <cell r="A827">
            <v>61621050</v>
          </cell>
          <cell r="B827" t="str">
            <v>F J FOLZ CO</v>
          </cell>
          <cell r="C827" t="str">
            <v>1711 W FRANKLIN ST</v>
          </cell>
        </row>
        <row r="828">
          <cell r="A828">
            <v>61621070</v>
          </cell>
          <cell r="B828" t="str">
            <v>WESTSIDE HONDA</v>
          </cell>
          <cell r="C828" t="str">
            <v>1725 W FRANKLIN ST</v>
          </cell>
        </row>
        <row r="829">
          <cell r="A829">
            <v>61621110</v>
          </cell>
          <cell r="B829" t="str">
            <v>FRANKLIN LANES INC</v>
          </cell>
          <cell r="C829" t="str">
            <v>1801 W FRANKLIN ST</v>
          </cell>
        </row>
        <row r="830">
          <cell r="A830">
            <v>61621120</v>
          </cell>
          <cell r="B830" t="str">
            <v>FRANKLIN LANE INC</v>
          </cell>
          <cell r="C830" t="str">
            <v>1801 W FRANKLIN ST</v>
          </cell>
        </row>
        <row r="831">
          <cell r="A831">
            <v>61621130</v>
          </cell>
          <cell r="B831" t="str">
            <v>AERIE 4023RIVERS CITY EAGLES</v>
          </cell>
          <cell r="C831" t="str">
            <v>1824 W FRANKLIN ST</v>
          </cell>
        </row>
        <row r="832">
          <cell r="A832">
            <v>61621140</v>
          </cell>
          <cell r="B832" t="str">
            <v>FARMERS EQUIP CO INC</v>
          </cell>
          <cell r="C832" t="str">
            <v>123 N NINTH AVE</v>
          </cell>
        </row>
        <row r="833">
          <cell r="A833">
            <v>61621160</v>
          </cell>
          <cell r="B833" t="str">
            <v>FRANKLIN INVESTMENT</v>
          </cell>
          <cell r="C833" t="str">
            <v>204 N NINTH AVE</v>
          </cell>
        </row>
        <row r="834">
          <cell r="A834">
            <v>61621190</v>
          </cell>
          <cell r="B834" t="str">
            <v>PLUMBERS SUPPLY CO</v>
          </cell>
          <cell r="C834" t="str">
            <v>1817 W MICHIGAN ST</v>
          </cell>
        </row>
        <row r="835">
          <cell r="A835">
            <v>61621220</v>
          </cell>
          <cell r="B835" t="str">
            <v>WEST SIDE FAMILY MED</v>
          </cell>
          <cell r="C835" t="str">
            <v>1911 W FRANKLIN ST</v>
          </cell>
        </row>
        <row r="836">
          <cell r="A836">
            <v>61621240</v>
          </cell>
          <cell r="B836" t="str">
            <v>FORE INVESTMENTSJIM WILL</v>
          </cell>
          <cell r="C836" t="str">
            <v>1931 W FRANKLIN ST</v>
          </cell>
        </row>
        <row r="837">
          <cell r="A837">
            <v>61621245</v>
          </cell>
          <cell r="B837" t="str">
            <v>THE CAZ CO INC</v>
          </cell>
          <cell r="C837" t="str">
            <v>2001 PENNSYLVANIA ST</v>
          </cell>
        </row>
        <row r="838">
          <cell r="A838">
            <v>61621250</v>
          </cell>
          <cell r="B838" t="str">
            <v>GEO KOCH SONS</v>
          </cell>
          <cell r="C838" t="str">
            <v>1900 PENNSYLVANIA ST</v>
          </cell>
        </row>
        <row r="839">
          <cell r="A839">
            <v>61621290</v>
          </cell>
          <cell r="B839" t="str">
            <v>IRVING MATERIALS,INC</v>
          </cell>
          <cell r="C839" t="str">
            <v>1816 PENNSYLVANIA ST</v>
          </cell>
        </row>
        <row r="840">
          <cell r="A840">
            <v>61621370</v>
          </cell>
          <cell r="B840" t="str">
            <v>GEORGE KOCH &amp; SONS</v>
          </cell>
          <cell r="C840" t="str">
            <v>10 ELEVENTH AVE</v>
          </cell>
        </row>
        <row r="841">
          <cell r="A841">
            <v>61621390</v>
          </cell>
          <cell r="B841" t="str">
            <v>GEORGE KOCH &amp; SONS</v>
          </cell>
          <cell r="C841" t="str">
            <v>2111 OHIO ST</v>
          </cell>
        </row>
        <row r="842">
          <cell r="A842">
            <v>61621410</v>
          </cell>
          <cell r="B842" t="str">
            <v>MEAD JOHNSON NUTRIMIKE DUNLAP T-15</v>
          </cell>
          <cell r="C842" t="str">
            <v>BROADWAY AVE &amp;OHIO</v>
          </cell>
        </row>
        <row r="843">
          <cell r="A843">
            <v>61621425</v>
          </cell>
          <cell r="B843" t="str">
            <v>MEAD JOHNSON NUTRIMIKE DUNLAP  T-15</v>
          </cell>
          <cell r="C843" t="str">
            <v>2300 PENNSYLVANIA ST</v>
          </cell>
        </row>
        <row r="844">
          <cell r="A844">
            <v>61621430</v>
          </cell>
          <cell r="B844" t="str">
            <v>LIFE CHOICE,INC</v>
          </cell>
          <cell r="C844" t="str">
            <v>2225 W INDIANA ST</v>
          </cell>
        </row>
        <row r="845">
          <cell r="A845">
            <v>61621450</v>
          </cell>
          <cell r="B845" t="str">
            <v>FIFTH THIRD BANK</v>
          </cell>
          <cell r="C845" t="str">
            <v>2321 W ILLINOIS</v>
          </cell>
        </row>
        <row r="846">
          <cell r="A846">
            <v>61621470</v>
          </cell>
          <cell r="B846" t="str">
            <v>SIMPSON METH CHU</v>
          </cell>
          <cell r="C846" t="str">
            <v>2201 W ILLINOIS ST</v>
          </cell>
        </row>
        <row r="847">
          <cell r="A847">
            <v>61621490</v>
          </cell>
          <cell r="B847" t="str">
            <v>SCI ACCTS PAYABLE#2684</v>
          </cell>
          <cell r="C847" t="str">
            <v>2100 W ILLINOIS ST</v>
          </cell>
        </row>
        <row r="848">
          <cell r="A848">
            <v>61621510</v>
          </cell>
          <cell r="B848" t="str">
            <v>WEST SIDE LIB</v>
          </cell>
          <cell r="C848" t="str">
            <v>2000 W FRANKLIN ST</v>
          </cell>
        </row>
        <row r="849">
          <cell r="A849">
            <v>61621530</v>
          </cell>
          <cell r="B849" t="str">
            <v>WESTSIDE INVESTMENTS</v>
          </cell>
          <cell r="C849" t="str">
            <v>2007 W FRANKLIN ST</v>
          </cell>
        </row>
        <row r="850">
          <cell r="A850">
            <v>61621550</v>
          </cell>
          <cell r="B850" t="str">
            <v>H &amp; R BLOCK #14594ADVANTAGE IQ-MS 1574</v>
          </cell>
          <cell r="C850" t="str">
            <v>2035 W FRANKLIN ST</v>
          </cell>
        </row>
        <row r="851">
          <cell r="A851">
            <v>61621610</v>
          </cell>
          <cell r="B851" t="str">
            <v>ST BONIFACE SCHO</v>
          </cell>
          <cell r="C851" t="str">
            <v>405 N TENTH AVE</v>
          </cell>
        </row>
        <row r="852">
          <cell r="A852">
            <v>61621630</v>
          </cell>
          <cell r="B852" t="str">
            <v>ST BONIFACE CHURCH</v>
          </cell>
          <cell r="C852" t="str">
            <v>414 N WABASH AVE</v>
          </cell>
        </row>
        <row r="853">
          <cell r="A853">
            <v>61621650</v>
          </cell>
          <cell r="B853" t="str">
            <v>JOHN A HAMILTON</v>
          </cell>
          <cell r="C853" t="str">
            <v>311 N WABASH AVE</v>
          </cell>
        </row>
        <row r="854">
          <cell r="A854">
            <v>61621660</v>
          </cell>
          <cell r="B854" t="str">
            <v>LEFLER BODY SHOP</v>
          </cell>
          <cell r="C854" t="str">
            <v>2011 W IOWA</v>
          </cell>
        </row>
        <row r="855">
          <cell r="A855">
            <v>61621710</v>
          </cell>
          <cell r="B855" t="str">
            <v>RIVER BEND ASSN INC</v>
          </cell>
          <cell r="C855" t="str">
            <v>2207 W FRANKLIN ST</v>
          </cell>
        </row>
        <row r="856">
          <cell r="A856">
            <v>61621760</v>
          </cell>
          <cell r="B856" t="str">
            <v>EVANSVILLE MEDICAL</v>
          </cell>
          <cell r="C856" t="str">
            <v>2345 W FRANKLIN ST</v>
          </cell>
        </row>
        <row r="857">
          <cell r="A857">
            <v>61621790</v>
          </cell>
          <cell r="B857" t="str">
            <v>INVESTMENT CONCEPT</v>
          </cell>
          <cell r="C857" t="str">
            <v>2301-5 W MICHIGAN ST</v>
          </cell>
        </row>
        <row r="858">
          <cell r="A858">
            <v>61621810</v>
          </cell>
          <cell r="B858" t="str">
            <v>EVANS HOUSING AUEVILLE HOUSING AUTH</v>
          </cell>
          <cell r="C858" t="str">
            <v>509 N ST JOE AVE</v>
          </cell>
        </row>
        <row r="859">
          <cell r="A859">
            <v>61621830</v>
          </cell>
          <cell r="B859" t="str">
            <v>AL DIERLAM</v>
          </cell>
          <cell r="C859" t="str">
            <v>2320 W IOWA ST</v>
          </cell>
        </row>
        <row r="860">
          <cell r="A860">
            <v>61621860</v>
          </cell>
          <cell r="B860" t="str">
            <v>PET FOOD CENTER WEST</v>
          </cell>
          <cell r="C860" t="str">
            <v>2334 W FRANKLIN ST</v>
          </cell>
        </row>
        <row r="861">
          <cell r="A861">
            <v>61621870</v>
          </cell>
          <cell r="B861" t="str">
            <v>FRANKLIN INVESTMENTS</v>
          </cell>
          <cell r="C861" t="str">
            <v>2316 W FRANKLIN ST</v>
          </cell>
        </row>
        <row r="862">
          <cell r="A862">
            <v>61621890</v>
          </cell>
          <cell r="B862" t="str">
            <v>DR BILL ROACHDR CHAD ASHLEY AND</v>
          </cell>
          <cell r="C862" t="str">
            <v>2300 W FRANKLIN ST</v>
          </cell>
        </row>
        <row r="863">
          <cell r="A863">
            <v>61621900</v>
          </cell>
          <cell r="B863" t="str">
            <v>CFG LTD DBA WEBER EQ</v>
          </cell>
          <cell r="C863" t="str">
            <v>2218 W FRANKLIN ST</v>
          </cell>
        </row>
        <row r="864">
          <cell r="A864">
            <v>61621910</v>
          </cell>
          <cell r="B864" t="str">
            <v>HARDEES</v>
          </cell>
          <cell r="C864" t="str">
            <v>2315 W ILLINOIS ST</v>
          </cell>
        </row>
        <row r="865">
          <cell r="A865">
            <v>61621950</v>
          </cell>
          <cell r="B865" t="str">
            <v>UMBACH REALTY</v>
          </cell>
          <cell r="C865" t="str">
            <v>2409 W INDIANA ST</v>
          </cell>
        </row>
        <row r="866">
          <cell r="A866">
            <v>61621970</v>
          </cell>
          <cell r="B866" t="str">
            <v>THREE I ENGINEERING</v>
          </cell>
          <cell r="C866" t="str">
            <v>2425 W INDIANA ST</v>
          </cell>
        </row>
        <row r="867">
          <cell r="A867">
            <v>61621990</v>
          </cell>
          <cell r="B867" t="str">
            <v>S W I M F INCHILLCREST HOME</v>
          </cell>
          <cell r="C867" t="str">
            <v>END OF W INDIANA</v>
          </cell>
        </row>
        <row r="868">
          <cell r="A868">
            <v>61622010</v>
          </cell>
          <cell r="B868" t="str">
            <v>S W I M F INCHILLCREST HOME</v>
          </cell>
          <cell r="C868" t="str">
            <v>2700 W INDIANA ST</v>
          </cell>
        </row>
        <row r="869">
          <cell r="A869">
            <v>61622030</v>
          </cell>
          <cell r="B869" t="str">
            <v>HEALTH CENTERSOUTHWEST MENTAL</v>
          </cell>
          <cell r="C869" t="str">
            <v>W PENN &amp; BARKER</v>
          </cell>
        </row>
        <row r="870">
          <cell r="A870">
            <v>61622050</v>
          </cell>
          <cell r="B870" t="str">
            <v>WASHINGTON HOMESWIMF INC</v>
          </cell>
          <cell r="C870" t="str">
            <v>N BARKER AVE</v>
          </cell>
        </row>
        <row r="871">
          <cell r="A871">
            <v>61622070</v>
          </cell>
          <cell r="B871" t="str">
            <v>DONS LAUNDROMAT</v>
          </cell>
          <cell r="C871" t="str">
            <v>2900 MT VERNON AVE</v>
          </cell>
        </row>
        <row r="872">
          <cell r="A872">
            <v>61622090</v>
          </cell>
          <cell r="B872" t="str">
            <v>DIV OF WINKLER INCSUITE 750</v>
          </cell>
          <cell r="C872" t="str">
            <v>700 N SONNTAG AVE</v>
          </cell>
        </row>
        <row r="873">
          <cell r="A873">
            <v>61622130</v>
          </cell>
          <cell r="B873" t="str">
            <v>WESTSIDE WASH TUB</v>
          </cell>
          <cell r="C873" t="str">
            <v>2734 MT VERNON AVE</v>
          </cell>
        </row>
        <row r="874">
          <cell r="A874">
            <v>61622150</v>
          </cell>
          <cell r="B874" t="str">
            <v>SACRED HEART SC &amp; CH</v>
          </cell>
          <cell r="C874" t="str">
            <v>2717 W FRANKLIN ST</v>
          </cell>
        </row>
        <row r="875">
          <cell r="A875">
            <v>61722060</v>
          </cell>
          <cell r="B875" t="str">
            <v>MIKE DUNLAP  T-15MEAD JOHNSON NUTRI</v>
          </cell>
          <cell r="C875" t="str">
            <v>S ST JOE AVE</v>
          </cell>
        </row>
        <row r="876">
          <cell r="A876">
            <v>61722080</v>
          </cell>
          <cell r="B876" t="str">
            <v>MEAD JOHNSON NUTRIMIKE DUNLAP  T-15</v>
          </cell>
          <cell r="C876" t="str">
            <v>2404 PENNSYLVANIA ST</v>
          </cell>
        </row>
        <row r="877">
          <cell r="A877">
            <v>61722100</v>
          </cell>
          <cell r="B877" t="str">
            <v>MEAD JOHNSON NUTRIMIKE DUNLAP  T-15</v>
          </cell>
          <cell r="C877" t="str">
            <v>S ST JOE AVE</v>
          </cell>
        </row>
        <row r="878">
          <cell r="A878">
            <v>61722110</v>
          </cell>
          <cell r="B878" t="str">
            <v>MEAD JOHNSON NUTRIMIKE DUNLAP  T-15</v>
          </cell>
          <cell r="C878" t="str">
            <v>135 S ST JOE AVE</v>
          </cell>
        </row>
        <row r="879">
          <cell r="A879">
            <v>61722120</v>
          </cell>
          <cell r="B879" t="str">
            <v>MEAD JOHNSON NUTRIMIKE DUNLAP  T-15</v>
          </cell>
          <cell r="C879" t="str">
            <v>S ST JOE AVE</v>
          </cell>
        </row>
        <row r="880">
          <cell r="A880">
            <v>61722140</v>
          </cell>
          <cell r="B880" t="str">
            <v>MEADE JOHNSON NUTRIMIKE DUNLAP  T-15</v>
          </cell>
          <cell r="C880" t="str">
            <v>S ST JOE AVE</v>
          </cell>
        </row>
        <row r="881">
          <cell r="A881">
            <v>61722160</v>
          </cell>
          <cell r="B881" t="str">
            <v>MEAD JOHNSON NUTRIMIKE DUNLAP  T-15</v>
          </cell>
          <cell r="C881" t="str">
            <v>S ST JOE AVE</v>
          </cell>
        </row>
        <row r="882">
          <cell r="A882">
            <v>61722180</v>
          </cell>
          <cell r="B882" t="str">
            <v>MEAD JOHNSON NUTRIMIKE DUNLAP  T-15</v>
          </cell>
          <cell r="C882" t="str">
            <v>S ST JOE AVE</v>
          </cell>
        </row>
        <row r="883">
          <cell r="A883">
            <v>61722200</v>
          </cell>
          <cell r="B883" t="str">
            <v>C/O EVANSVILLE VANDREITZ</v>
          </cell>
          <cell r="C883" t="str">
            <v>8 REITZ</v>
          </cell>
        </row>
        <row r="884">
          <cell r="A884">
            <v>61722220</v>
          </cell>
          <cell r="B884" t="str">
            <v>C/O EVANSVILLE VANDREITZ</v>
          </cell>
          <cell r="C884" t="str">
            <v>8 REITZ</v>
          </cell>
        </row>
        <row r="885">
          <cell r="A885">
            <v>61722240</v>
          </cell>
          <cell r="B885" t="str">
            <v>MOCK EDI UTILITYASHLAND OIL INC</v>
          </cell>
          <cell r="C885" t="str">
            <v>2500 BROADWAY AVE</v>
          </cell>
        </row>
        <row r="886">
          <cell r="A886">
            <v>61722260</v>
          </cell>
          <cell r="B886" t="str">
            <v>MEAD JOHNSON NUTRIMIKE DUNLAP  T-15</v>
          </cell>
          <cell r="C886" t="str">
            <v>W OF RAY BECKER PKWY</v>
          </cell>
        </row>
        <row r="887">
          <cell r="A887">
            <v>61722280</v>
          </cell>
          <cell r="B887" t="str">
            <v>SIGECOMARK MCDONALD</v>
          </cell>
          <cell r="C887" t="str">
            <v>BROADWAY AVE</v>
          </cell>
        </row>
        <row r="888">
          <cell r="A888">
            <v>61722320</v>
          </cell>
          <cell r="B888" t="str">
            <v>TTIITAPCO EVANSVILLE</v>
          </cell>
          <cell r="C888" t="str">
            <v>2630 BROADWAY AVE</v>
          </cell>
        </row>
        <row r="889">
          <cell r="A889">
            <v>61722380</v>
          </cell>
          <cell r="B889" t="str">
            <v>CSX TRANSCSX TRANS</v>
          </cell>
          <cell r="C889" t="str">
            <v>EGMONT NEAR BROADWAY</v>
          </cell>
        </row>
        <row r="890">
          <cell r="A890">
            <v>61722390</v>
          </cell>
          <cell r="B890" t="str">
            <v>HOSE HOUSE #7CITY CONTROLLER</v>
          </cell>
          <cell r="C890" t="str">
            <v>1050 S BARKER AVE</v>
          </cell>
        </row>
        <row r="891">
          <cell r="A891">
            <v>61722400</v>
          </cell>
          <cell r="B891" t="str">
            <v>ANVET POST 84</v>
          </cell>
          <cell r="C891" t="str">
            <v>2902 BROADWAY AVE</v>
          </cell>
        </row>
        <row r="892">
          <cell r="A892">
            <v>61722420</v>
          </cell>
          <cell r="B892" t="str">
            <v>CSX TRANSL P N RAILROAD CO</v>
          </cell>
          <cell r="C892" t="str">
            <v>HOWELL YARDS</v>
          </cell>
        </row>
        <row r="893">
          <cell r="A893">
            <v>61722440</v>
          </cell>
          <cell r="B893" t="str">
            <v>LIBERTY GENERALBAPTIST CHURCH</v>
          </cell>
          <cell r="C893" t="str">
            <v>1520 DELMAR AVE</v>
          </cell>
        </row>
        <row r="894">
          <cell r="A894">
            <v>61722500</v>
          </cell>
          <cell r="B894" t="str">
            <v>ST AGNES RECTORYST AGNES SCHOOL</v>
          </cell>
          <cell r="C894" t="str">
            <v>1600 GLENDALE AVE</v>
          </cell>
        </row>
        <row r="895">
          <cell r="A895">
            <v>61722540</v>
          </cell>
          <cell r="B895" t="str">
            <v>TIM WILLIAMS</v>
          </cell>
          <cell r="C895" t="str">
            <v>3157 BROADWAY AVE</v>
          </cell>
        </row>
        <row r="896">
          <cell r="A896">
            <v>61722580</v>
          </cell>
          <cell r="B896" t="str">
            <v>PARKWAY PIZZA</v>
          </cell>
          <cell r="C896" t="str">
            <v>3911 BROADWAY</v>
          </cell>
        </row>
        <row r="897">
          <cell r="A897">
            <v>61722600</v>
          </cell>
          <cell r="B897" t="str">
            <v>NEW BETHEL% DEBBIE MULLINS</v>
          </cell>
          <cell r="C897" t="str">
            <v>4301 BROADWAY AVE</v>
          </cell>
        </row>
        <row r="898">
          <cell r="A898">
            <v>61722620</v>
          </cell>
          <cell r="B898" t="str">
            <v>FOREST D RAILEY</v>
          </cell>
          <cell r="C898" t="str">
            <v>900 DOUGLAS DR</v>
          </cell>
        </row>
        <row r="899">
          <cell r="A899">
            <v>61722640</v>
          </cell>
          <cell r="B899" t="str">
            <v>FOREST D RAILEY</v>
          </cell>
          <cell r="C899" t="str">
            <v>949 DOUGLAS DR</v>
          </cell>
        </row>
        <row r="900">
          <cell r="A900">
            <v>61722660</v>
          </cell>
          <cell r="B900" t="str">
            <v>RICHARD L HARTMANN</v>
          </cell>
          <cell r="C900" t="str">
            <v>1610 SPEAKERRD</v>
          </cell>
        </row>
        <row r="901">
          <cell r="A901">
            <v>61722700</v>
          </cell>
          <cell r="B901" t="str">
            <v>DANIEL WERTZ SCHOOL</v>
          </cell>
          <cell r="C901" t="str">
            <v>1701 S RED BANK RD</v>
          </cell>
        </row>
        <row r="902">
          <cell r="A902">
            <v>61722770</v>
          </cell>
          <cell r="B902" t="str">
            <v>BURDETTE PKENTRANCE METER</v>
          </cell>
          <cell r="C902" t="str">
            <v>NURRENBERN RD</v>
          </cell>
        </row>
        <row r="903">
          <cell r="A903">
            <v>61722790</v>
          </cell>
          <cell r="B903" t="str">
            <v>BURDETTE PARK</v>
          </cell>
          <cell r="C903" t="str">
            <v>R2 NURRENBURN RD</v>
          </cell>
        </row>
        <row r="904">
          <cell r="A904">
            <v>61722811</v>
          </cell>
          <cell r="B904" t="str">
            <v>U S ISUPER PHYSICAL PLANT</v>
          </cell>
          <cell r="C904" t="str">
            <v>MCDOWELL RD</v>
          </cell>
        </row>
        <row r="905">
          <cell r="A905">
            <v>61722840</v>
          </cell>
          <cell r="B905" t="str">
            <v>PHYSICAL PLANT DEPTUNIV OF SOUTHERN IND</v>
          </cell>
          <cell r="C905" t="str">
            <v>918 UNIVERSITY BLVD</v>
          </cell>
        </row>
        <row r="906">
          <cell r="A906">
            <v>61722860</v>
          </cell>
          <cell r="B906" t="str">
            <v>PHYSICAL PLANT DEPTUNIV OF SOUTHERN IND</v>
          </cell>
          <cell r="C906" t="str">
            <v>922 UNIVERSITY CT</v>
          </cell>
        </row>
        <row r="907">
          <cell r="A907">
            <v>61722870</v>
          </cell>
          <cell r="B907" t="str">
            <v>PHYSICAL PLANT DEPTUNIV SOUTHERN IND</v>
          </cell>
          <cell r="C907" t="str">
            <v>901 ECKELS</v>
          </cell>
        </row>
        <row r="908">
          <cell r="A908">
            <v>61722880</v>
          </cell>
          <cell r="B908" t="str">
            <v>PHYSICAL PLANT DEPTUNIV OF SOUTHERN IND</v>
          </cell>
          <cell r="C908" t="str">
            <v>918 UNIVERSITY BLVD</v>
          </cell>
        </row>
        <row r="909">
          <cell r="A909">
            <v>61722910</v>
          </cell>
          <cell r="B909" t="str">
            <v>U S ISUPER PHYSICAL PLANT</v>
          </cell>
          <cell r="C909" t="str">
            <v>CLARK &amp; BLF</v>
          </cell>
        </row>
        <row r="910">
          <cell r="A910">
            <v>61722920</v>
          </cell>
          <cell r="B910" t="str">
            <v>SOLARBRON POINTE</v>
          </cell>
          <cell r="C910" t="str">
            <v>1501 MC DOWELL RD</v>
          </cell>
        </row>
        <row r="911">
          <cell r="A911">
            <v>61722945</v>
          </cell>
          <cell r="B911" t="str">
            <v>PAUL NEVILLEMISSION VIEJO VILLAS</v>
          </cell>
          <cell r="C911" t="str">
            <v>230 S BOEHNE CAMP RD</v>
          </cell>
        </row>
        <row r="912">
          <cell r="A912">
            <v>61722948</v>
          </cell>
          <cell r="B912" t="str">
            <v>BAPTIST CHURCHWESTWOOD GENERAL</v>
          </cell>
          <cell r="C912" t="str">
            <v>121 S BOEHNE CAMP RD</v>
          </cell>
        </row>
        <row r="913">
          <cell r="A913">
            <v>61722950</v>
          </cell>
          <cell r="B913" t="str">
            <v>EXTENDICAREWESTPARK 236</v>
          </cell>
          <cell r="C913" t="str">
            <v>25 S BOEHNE CAMP RD</v>
          </cell>
        </row>
        <row r="914">
          <cell r="A914">
            <v>61723000</v>
          </cell>
          <cell r="B914" t="str">
            <v>ACCOUNTS PAYABLEBUEHLERS BUY LOW 455</v>
          </cell>
          <cell r="C914" t="str">
            <v>4851 PENNSYLVANIA ST</v>
          </cell>
        </row>
        <row r="915">
          <cell r="A915">
            <v>61723001</v>
          </cell>
          <cell r="B915" t="str">
            <v>UNIV SHOPPING CTR</v>
          </cell>
          <cell r="C915" t="str">
            <v>4857 UNIVERSITY DR</v>
          </cell>
        </row>
        <row r="916">
          <cell r="A916">
            <v>61723003</v>
          </cell>
          <cell r="B916" t="str">
            <v>UNIV SHOPPING CTR</v>
          </cell>
          <cell r="C916" t="str">
            <v>4551 UNIVERSITY DR</v>
          </cell>
        </row>
        <row r="917">
          <cell r="A917">
            <v>61723004</v>
          </cell>
          <cell r="B917" t="str">
            <v>MCDONALD'S CORP 4900MIKE MRAVLE</v>
          </cell>
          <cell r="C917" t="str">
            <v>115 S ROSENBERGER</v>
          </cell>
        </row>
        <row r="918">
          <cell r="A918">
            <v>61723010</v>
          </cell>
          <cell r="B918" t="str">
            <v>STORE #85SUITE 200</v>
          </cell>
          <cell r="C918" t="str">
            <v>114 S ROSENBERGER</v>
          </cell>
        </row>
        <row r="919">
          <cell r="A919">
            <v>61723011</v>
          </cell>
          <cell r="B919" t="str">
            <v>PATRIOT PRE-OWNEDSUPER STORE</v>
          </cell>
          <cell r="C919" t="str">
            <v>106 S ROSENBERGER</v>
          </cell>
        </row>
        <row r="920">
          <cell r="A920">
            <v>61723012</v>
          </cell>
          <cell r="B920" t="str">
            <v>MCW-RD-EVILLE WEST92040-601702</v>
          </cell>
          <cell r="C920" t="str">
            <v>4404-44 W LLOYD EXPY</v>
          </cell>
        </row>
        <row r="921">
          <cell r="A921">
            <v>61723013</v>
          </cell>
          <cell r="B921" t="str">
            <v>DEACONESS DEVEL CORPFACILITIES MGMT</v>
          </cell>
          <cell r="C921" t="str">
            <v>4600 LLOYD EXPRSWY</v>
          </cell>
        </row>
        <row r="922">
          <cell r="A922">
            <v>61723015</v>
          </cell>
          <cell r="B922" t="str">
            <v>SCHNUCKS MARKETS 705</v>
          </cell>
          <cell r="C922" t="str">
            <v>4520 W LLOYD EXPY</v>
          </cell>
        </row>
        <row r="923">
          <cell r="A923">
            <v>61723016</v>
          </cell>
          <cell r="B923" t="str">
            <v>PIZZA HUT #316299</v>
          </cell>
          <cell r="C923" t="str">
            <v>4700 PENNSYLVANIA ST</v>
          </cell>
        </row>
        <row r="924">
          <cell r="A924">
            <v>61723018</v>
          </cell>
          <cell r="B924" t="str">
            <v>TERRY J TURNER</v>
          </cell>
          <cell r="C924" t="str">
            <v>4710 W LLOYD EXPY</v>
          </cell>
        </row>
        <row r="925">
          <cell r="A925">
            <v>61723019</v>
          </cell>
          <cell r="B925" t="str">
            <v>FAMILY DINING INC</v>
          </cell>
          <cell r="C925" t="str">
            <v>4850 W LLOYD EXPY</v>
          </cell>
        </row>
        <row r="926">
          <cell r="A926">
            <v>61723020</v>
          </cell>
          <cell r="B926" t="str">
            <v>C/O EVANSVILLE VANDWEST TERRACE</v>
          </cell>
          <cell r="C926" t="str">
            <v>45 W TERRACE DR</v>
          </cell>
        </row>
        <row r="927">
          <cell r="A927">
            <v>61723021</v>
          </cell>
          <cell r="B927" t="str">
            <v>STARBUCKS STORE 9759ADVANTAGEIQ-MS 215</v>
          </cell>
          <cell r="C927" t="str">
            <v>5000 W LLOYD EXPY</v>
          </cell>
        </row>
        <row r="928">
          <cell r="A928">
            <v>61723060</v>
          </cell>
          <cell r="B928" t="str">
            <v>C/O EVANSVILLE VANDPERRY HEIGHTS</v>
          </cell>
          <cell r="C928" t="str">
            <v>36 PERRY HTS</v>
          </cell>
        </row>
        <row r="929">
          <cell r="A929">
            <v>61723080</v>
          </cell>
          <cell r="B929" t="str">
            <v>CORPUS CHRISTI C</v>
          </cell>
          <cell r="C929" t="str">
            <v>5528 HOGUE RD</v>
          </cell>
        </row>
        <row r="930">
          <cell r="A930">
            <v>61723260</v>
          </cell>
          <cell r="B930" t="str">
            <v>WESTSIDE MARINELYNN'S</v>
          </cell>
          <cell r="C930" t="str">
            <v>4360 UP MT VERNON RD</v>
          </cell>
        </row>
        <row r="931">
          <cell r="A931">
            <v>61723300</v>
          </cell>
          <cell r="B931" t="str">
            <v>SEVEN OAKS PROP II</v>
          </cell>
          <cell r="C931" t="str">
            <v>352 N RED BANK RD</v>
          </cell>
        </row>
        <row r="932">
          <cell r="A932">
            <v>61723340</v>
          </cell>
          <cell r="B932" t="str">
            <v>HUGHES SIMMONS</v>
          </cell>
          <cell r="C932" t="str">
            <v>5040 LAKESIDE DR</v>
          </cell>
        </row>
        <row r="933">
          <cell r="A933">
            <v>61723360</v>
          </cell>
          <cell r="B933" t="str">
            <v>HOUSING OF IND INCNSH AFFORDABLE</v>
          </cell>
          <cell r="C933" t="str">
            <v>4909 LAKESIDE DR</v>
          </cell>
        </row>
        <row r="934">
          <cell r="A934">
            <v>61723380</v>
          </cell>
          <cell r="B934" t="str">
            <v>HOUSING OF IND INCNSH AFFORDABLE</v>
          </cell>
          <cell r="C934" t="str">
            <v>4801 LAKESIDE DR</v>
          </cell>
        </row>
        <row r="935">
          <cell r="A935">
            <v>61723400</v>
          </cell>
          <cell r="B935" t="str">
            <v>HOUSING OF IND INCNSH AFFORDABLE</v>
          </cell>
          <cell r="C935" t="str">
            <v>4601 LAKESIDE DR</v>
          </cell>
        </row>
        <row r="936">
          <cell r="A936">
            <v>61723420</v>
          </cell>
          <cell r="B936" t="str">
            <v>HOUSING OF IND INCNSH AFFORDABLE</v>
          </cell>
          <cell r="C936" t="str">
            <v>4715 LAKESIDE DR</v>
          </cell>
        </row>
        <row r="937">
          <cell r="A937">
            <v>61723423</v>
          </cell>
          <cell r="B937" t="str">
            <v>DENNY'S DINER #290</v>
          </cell>
          <cell r="C937" t="str">
            <v>5212 WESTON RD</v>
          </cell>
        </row>
        <row r="938">
          <cell r="A938">
            <v>61723424</v>
          </cell>
          <cell r="B938" t="str">
            <v>FAZOLI'S</v>
          </cell>
          <cell r="C938" t="str">
            <v>5232 WESTON RD</v>
          </cell>
        </row>
        <row r="939">
          <cell r="A939">
            <v>61723425</v>
          </cell>
          <cell r="B939" t="str">
            <v>EVILLE RED BANK LIB</v>
          </cell>
          <cell r="C939" t="str">
            <v>120 S RED BANK RD</v>
          </cell>
        </row>
        <row r="940">
          <cell r="A940">
            <v>61723426</v>
          </cell>
          <cell r="B940" t="str">
            <v>FAIRFIELD INN WEST</v>
          </cell>
          <cell r="C940" t="str">
            <v>5400 WESTON RD</v>
          </cell>
        </row>
        <row r="941">
          <cell r="A941">
            <v>61723430</v>
          </cell>
          <cell r="B941" t="str">
            <v>LAKEWOOD W APTSHUGHES SIMMONES</v>
          </cell>
          <cell r="C941" t="str">
            <v>4921 LAKESIDE DR</v>
          </cell>
        </row>
        <row r="942">
          <cell r="A942">
            <v>61723440</v>
          </cell>
          <cell r="B942" t="str">
            <v>K &amp; G MOBILE HOME</v>
          </cell>
          <cell r="C942" t="str">
            <v>301 SEQUOIA LN</v>
          </cell>
        </row>
        <row r="943">
          <cell r="A943">
            <v>61723460</v>
          </cell>
          <cell r="B943" t="str">
            <v>K &amp; G MOBILE HOME</v>
          </cell>
          <cell r="C943" t="str">
            <v>301 SEQUOIA LN</v>
          </cell>
        </row>
        <row r="944">
          <cell r="A944">
            <v>61723480</v>
          </cell>
          <cell r="B944" t="str">
            <v>V RAYMOND FUNKE</v>
          </cell>
          <cell r="C944" t="str">
            <v>4333 CLAREMONT AVE</v>
          </cell>
        </row>
        <row r="945">
          <cell r="A945">
            <v>61723490</v>
          </cell>
          <cell r="B945" t="str">
            <v>HIGH POINT CHILD CAR</v>
          </cell>
          <cell r="C945" t="str">
            <v>240 S ROSENBERGER</v>
          </cell>
        </row>
        <row r="946">
          <cell r="A946">
            <v>61723500</v>
          </cell>
          <cell r="B946" t="str">
            <v>CABAT PROPERTIES LLC</v>
          </cell>
          <cell r="C946" t="str">
            <v>4500 WOCKLER AVE</v>
          </cell>
        </row>
        <row r="947">
          <cell r="A947">
            <v>61723515</v>
          </cell>
          <cell r="B947" t="str">
            <v>A C WAREHOUSE</v>
          </cell>
          <cell r="C947" t="str">
            <v>3300 CLAREMONT AVE</v>
          </cell>
        </row>
        <row r="948">
          <cell r="A948">
            <v>61723520</v>
          </cell>
          <cell r="B948" t="str">
            <v>HOOSIER STAMP &amp; MFG</v>
          </cell>
          <cell r="C948" t="str">
            <v>700 SCHRADER DR</v>
          </cell>
        </row>
        <row r="949">
          <cell r="A949">
            <v>61723530</v>
          </cell>
          <cell r="B949" t="str">
            <v>OZARK MOTOR LINES</v>
          </cell>
          <cell r="C949" t="str">
            <v>3040 CLAREMONT AVE</v>
          </cell>
        </row>
        <row r="950">
          <cell r="A950">
            <v>61723540</v>
          </cell>
          <cell r="B950" t="str">
            <v>REGENCY PROPERTYJAMES R MCKINNEY</v>
          </cell>
          <cell r="C950" t="str">
            <v>411 S BARKER/CLAREMN</v>
          </cell>
        </row>
        <row r="951">
          <cell r="A951">
            <v>61723580</v>
          </cell>
          <cell r="B951" t="str">
            <v>OF TRANSPORTATIONINDIANA DEPARTMENT</v>
          </cell>
          <cell r="C951" t="str">
            <v>3200 MARION AVE</v>
          </cell>
        </row>
        <row r="952">
          <cell r="A952">
            <v>61723620</v>
          </cell>
          <cell r="B952" t="str">
            <v>C/O EVANSVILLE VANDTEKOPPEL</v>
          </cell>
          <cell r="C952" t="str">
            <v>41 S TEKOPPEL AVE</v>
          </cell>
        </row>
        <row r="953">
          <cell r="A953">
            <v>61723658</v>
          </cell>
          <cell r="B953" t="str">
            <v>BRICKYARD DEV ASSOC</v>
          </cell>
          <cell r="C953" t="str">
            <v>3701 UP MT VERNON RD</v>
          </cell>
        </row>
        <row r="954">
          <cell r="A954">
            <v>61723660</v>
          </cell>
          <cell r="B954" t="str">
            <v>DIRK S MOORE</v>
          </cell>
          <cell r="C954" t="str">
            <v>3712 UP MT VERNON</v>
          </cell>
        </row>
        <row r="955">
          <cell r="A955">
            <v>61723700</v>
          </cell>
          <cell r="B955" t="str">
            <v>WESTPARK APTS</v>
          </cell>
          <cell r="C955" t="str">
            <v>3188 DROLL AVE</v>
          </cell>
        </row>
        <row r="956">
          <cell r="A956">
            <v>61723720</v>
          </cell>
          <cell r="B956" t="str">
            <v>WESTPARK APTS</v>
          </cell>
          <cell r="C956" t="str">
            <v>3150 DROLL AVE</v>
          </cell>
        </row>
        <row r="957">
          <cell r="A957">
            <v>61723740</v>
          </cell>
          <cell r="B957" t="str">
            <v>HIGH SCHOOLMATER DEI CATHOLIC</v>
          </cell>
          <cell r="C957" t="str">
            <v>1300 HARMONY WAY</v>
          </cell>
        </row>
        <row r="958">
          <cell r="A958">
            <v>61723750</v>
          </cell>
          <cell r="B958" t="str">
            <v>PARKS DEPTCITY CONTROLLER</v>
          </cell>
          <cell r="C958" t="str">
            <v>B GOLFMOORRD</v>
          </cell>
        </row>
        <row r="959">
          <cell r="A959">
            <v>61723760</v>
          </cell>
          <cell r="B959" t="str">
            <v>AND REHAB CTRPINE HAVEN HEALTH</v>
          </cell>
          <cell r="C959" t="str">
            <v>3400A STOCKER DR</v>
          </cell>
        </row>
        <row r="960">
          <cell r="A960">
            <v>61723780</v>
          </cell>
          <cell r="B960" t="str">
            <v>C/O EVANSVILLE VANDWEST HEIGHTS</v>
          </cell>
          <cell r="C960" t="str">
            <v>WEST HEIGHTS</v>
          </cell>
        </row>
        <row r="961">
          <cell r="A961">
            <v>61723785</v>
          </cell>
          <cell r="B961" t="str">
            <v>G GORDON MILLER</v>
          </cell>
          <cell r="C961" t="str">
            <v>3500 RODENBERG AVE</v>
          </cell>
        </row>
        <row r="962">
          <cell r="A962">
            <v>61723788</v>
          </cell>
          <cell r="B962" t="str">
            <v>G GORDON MILLER</v>
          </cell>
          <cell r="C962" t="str">
            <v>3518 RODENBERG AVE</v>
          </cell>
        </row>
        <row r="963">
          <cell r="A963">
            <v>61723793</v>
          </cell>
          <cell r="B963" t="str">
            <v>G GORDON MILLER</v>
          </cell>
          <cell r="C963" t="str">
            <v>1621 N ELM AVE</v>
          </cell>
        </row>
        <row r="964">
          <cell r="A964">
            <v>61723795</v>
          </cell>
          <cell r="B964" t="str">
            <v>G GORDON MILLER</v>
          </cell>
          <cell r="C964" t="str">
            <v>3510 RODENBERG AVE</v>
          </cell>
        </row>
        <row r="965">
          <cell r="A965">
            <v>61723796</v>
          </cell>
          <cell r="B965" t="str">
            <v>G GORDON MILLER</v>
          </cell>
          <cell r="C965" t="str">
            <v>1607 N ELM AVE</v>
          </cell>
        </row>
        <row r="966">
          <cell r="A966">
            <v>61723800</v>
          </cell>
          <cell r="B966" t="str">
            <v>WESTERN HILLS APT</v>
          </cell>
          <cell r="C966" t="str">
            <v>1200 WESTERN HLS</v>
          </cell>
        </row>
        <row r="967">
          <cell r="A967">
            <v>61723820</v>
          </cell>
          <cell r="B967" t="str">
            <v>WESTERN HILLS APTS</v>
          </cell>
          <cell r="C967" t="str">
            <v>1020 WESTERN HLS</v>
          </cell>
        </row>
        <row r="968">
          <cell r="A968">
            <v>61724007</v>
          </cell>
          <cell r="B968" t="str">
            <v>DAVID L SCHNEIDER</v>
          </cell>
          <cell r="C968" t="str">
            <v>2912 W MARYLAND ST</v>
          </cell>
        </row>
        <row r="969">
          <cell r="A969">
            <v>61724015</v>
          </cell>
          <cell r="B969" t="str">
            <v>STANLEY R BALLARD</v>
          </cell>
          <cell r="C969" t="str">
            <v>3037 W MARYLAND ST</v>
          </cell>
        </row>
        <row r="970">
          <cell r="A970">
            <v>61724020</v>
          </cell>
          <cell r="B970" t="str">
            <v>C/O EVANSVILLE VANDHELFRICH PARK</v>
          </cell>
          <cell r="C970" t="str">
            <v>28 HELFRICH PARK</v>
          </cell>
        </row>
        <row r="971">
          <cell r="A971">
            <v>61724035</v>
          </cell>
          <cell r="B971" t="str">
            <v>HOSE HOUSE #5CITY CONTROLLER</v>
          </cell>
          <cell r="C971" t="str">
            <v>2413 W MARYLAND ST</v>
          </cell>
        </row>
        <row r="972">
          <cell r="A972">
            <v>61724040</v>
          </cell>
          <cell r="B972" t="str">
            <v>U S POST OFFICE ST BPOST MASTER</v>
          </cell>
          <cell r="C972" t="str">
            <v>801 N WABASH AVE</v>
          </cell>
        </row>
        <row r="973">
          <cell r="A973">
            <v>61724080</v>
          </cell>
          <cell r="B973" t="str">
            <v>METAL WORKSEVANSVILLE SHEET</v>
          </cell>
          <cell r="C973" t="str">
            <v>1901 W MARYLAND ST</v>
          </cell>
        </row>
        <row r="974">
          <cell r="A974">
            <v>61724100</v>
          </cell>
          <cell r="B974" t="str">
            <v>EVANSVILLE SHEET</v>
          </cell>
          <cell r="C974" t="str">
            <v>1917 W MARYLAND ST</v>
          </cell>
        </row>
        <row r="975">
          <cell r="A975">
            <v>61724140</v>
          </cell>
          <cell r="B975" t="str">
            <v>INDUSTRIAL CONTRACT</v>
          </cell>
          <cell r="C975" t="str">
            <v>2015 W MARYLAND ST</v>
          </cell>
        </row>
        <row r="976">
          <cell r="A976">
            <v>61724145</v>
          </cell>
          <cell r="B976" t="str">
            <v>E'VILL SHEET METAL</v>
          </cell>
          <cell r="C976" t="str">
            <v>801 BUCHANAN RD</v>
          </cell>
        </row>
        <row r="977">
          <cell r="A977">
            <v>61724160</v>
          </cell>
          <cell r="B977" t="str">
            <v>WFIEPREMIER TELEVISION</v>
          </cell>
          <cell r="C977" t="str">
            <v>1115 MT AUBURN RD</v>
          </cell>
        </row>
        <row r="978">
          <cell r="A978">
            <v>61724180</v>
          </cell>
          <cell r="B978" t="str">
            <v>SILGAN CLOSURES LLC</v>
          </cell>
          <cell r="C978" t="str">
            <v>MT AUBURN RD</v>
          </cell>
        </row>
        <row r="979">
          <cell r="A979">
            <v>61724200</v>
          </cell>
          <cell r="B979" t="str">
            <v>INDUSTRIAL CONTRACTR</v>
          </cell>
          <cell r="C979" t="str">
            <v>1001 MT AUBURN RD</v>
          </cell>
        </row>
        <row r="980">
          <cell r="A980">
            <v>61724220</v>
          </cell>
          <cell r="B980" t="str">
            <v>WIKY RADIO</v>
          </cell>
          <cell r="C980" t="str">
            <v>1162 MT AUBURN RD</v>
          </cell>
        </row>
        <row r="981">
          <cell r="A981">
            <v>61724260</v>
          </cell>
          <cell r="B981" t="str">
            <v>BOOTZ PLUMBING</v>
          </cell>
          <cell r="C981" t="str">
            <v>915 N ST JOE AVE</v>
          </cell>
        </row>
        <row r="982">
          <cell r="A982">
            <v>61724280</v>
          </cell>
          <cell r="B982" t="str">
            <v>MC DONALD'SP &amp; L ENTERPRISES</v>
          </cell>
          <cell r="C982" t="str">
            <v>909 N ST JOE AVE</v>
          </cell>
        </row>
        <row r="983">
          <cell r="A983">
            <v>61724320</v>
          </cell>
          <cell r="B983" t="str">
            <v>DANIEL NORMAN</v>
          </cell>
          <cell r="C983" t="str">
            <v>1431 MESKER PARK DR</v>
          </cell>
        </row>
        <row r="984">
          <cell r="A984">
            <v>61724323</v>
          </cell>
          <cell r="B984" t="str">
            <v>HELFRICH GOLF COURSECITY CONTROLLER</v>
          </cell>
          <cell r="C984" t="str">
            <v>MESKER PARK DR</v>
          </cell>
        </row>
        <row r="985">
          <cell r="A985">
            <v>61724340</v>
          </cell>
          <cell r="B985" t="str">
            <v>BUSLER ENTERPRISES</v>
          </cell>
          <cell r="C985" t="str">
            <v>2331 BUCHANAN RD</v>
          </cell>
        </row>
        <row r="986">
          <cell r="A986">
            <v>61724370</v>
          </cell>
          <cell r="B986" t="str">
            <v>COMMUNICATIONS CORPSOUTH CENTRAL</v>
          </cell>
          <cell r="C986" t="str">
            <v>1277 N ST JOE AVE</v>
          </cell>
        </row>
        <row r="987">
          <cell r="A987">
            <v>61820030</v>
          </cell>
          <cell r="B987" t="str">
            <v>REIS TIRE SALES INC</v>
          </cell>
          <cell r="C987" t="str">
            <v>1512 W COLUMBIA ST</v>
          </cell>
        </row>
        <row r="988">
          <cell r="A988">
            <v>61820065</v>
          </cell>
          <cell r="B988" t="str">
            <v>TRUCK CLEAN INC.</v>
          </cell>
          <cell r="C988" t="str">
            <v>601 N NINTH AVE</v>
          </cell>
        </row>
        <row r="989">
          <cell r="A989">
            <v>61820085</v>
          </cell>
          <cell r="B989" t="str">
            <v>LAPPE HEATING &amp; AIR</v>
          </cell>
          <cell r="C989" t="str">
            <v>621 N NINTH AVE</v>
          </cell>
        </row>
        <row r="990">
          <cell r="A990">
            <v>61820150</v>
          </cell>
          <cell r="B990" t="str">
            <v>UNISEAL INC</v>
          </cell>
          <cell r="C990" t="str">
            <v>701 N NINTH AVE</v>
          </cell>
        </row>
        <row r="991">
          <cell r="A991">
            <v>61820170</v>
          </cell>
          <cell r="B991" t="str">
            <v>STIPPLER TOOL &amp; SUP</v>
          </cell>
          <cell r="C991" t="str">
            <v>816 N NINTH AVE</v>
          </cell>
        </row>
        <row r="992">
          <cell r="A992">
            <v>61820190</v>
          </cell>
          <cell r="B992" t="str">
            <v>UNISEAL INC</v>
          </cell>
          <cell r="C992" t="str">
            <v>1700 W MARYLAND ST</v>
          </cell>
        </row>
        <row r="993">
          <cell r="A993">
            <v>61820210</v>
          </cell>
          <cell r="B993" t="str">
            <v>CYTEX PLASTICS OF IN</v>
          </cell>
          <cell r="C993" t="str">
            <v>1000 GROVE ST</v>
          </cell>
        </row>
        <row r="994">
          <cell r="A994">
            <v>61820270</v>
          </cell>
          <cell r="B994" t="str">
            <v>KARGES FURNITURE</v>
          </cell>
          <cell r="C994" t="str">
            <v>1503 W MARYLAND ST</v>
          </cell>
        </row>
        <row r="995">
          <cell r="A995">
            <v>61820280</v>
          </cell>
          <cell r="B995" t="str">
            <v>ROBERT DEWIG</v>
          </cell>
          <cell r="C995" t="str">
            <v>1500 W MARYLAND ST</v>
          </cell>
        </row>
        <row r="996">
          <cell r="A996">
            <v>61820285</v>
          </cell>
          <cell r="B996" t="str">
            <v>LENSING WHOLESALE</v>
          </cell>
          <cell r="C996" t="str">
            <v>710 N SIXTH AVE</v>
          </cell>
        </row>
        <row r="997">
          <cell r="A997">
            <v>61820290</v>
          </cell>
          <cell r="B997" t="str">
            <v>LENSING WHOLESALE</v>
          </cell>
          <cell r="C997" t="str">
            <v>600 N SIXTH AVE</v>
          </cell>
        </row>
        <row r="998">
          <cell r="A998">
            <v>61820310</v>
          </cell>
          <cell r="B998" t="str">
            <v>BUNNY BREAD</v>
          </cell>
          <cell r="C998" t="str">
            <v>W VIRGINIA &amp; FIFTH</v>
          </cell>
        </row>
        <row r="999">
          <cell r="A999">
            <v>61820330</v>
          </cell>
          <cell r="B999" t="str">
            <v>00887 EVILL IN 00887FAMILY DOLLAR 434100</v>
          </cell>
          <cell r="C999" t="str">
            <v>1200 W COLUMBIA ST</v>
          </cell>
        </row>
        <row r="1000">
          <cell r="A1000">
            <v>61820370</v>
          </cell>
          <cell r="B1000" t="str">
            <v>HARTFORD BAKERY</v>
          </cell>
          <cell r="C1000" t="str">
            <v>518 N FULTON AVE</v>
          </cell>
        </row>
        <row r="1001">
          <cell r="A1001">
            <v>61820390</v>
          </cell>
          <cell r="B1001" t="str">
            <v>HARTFORD BAKERY</v>
          </cell>
          <cell r="C1001" t="str">
            <v>500 N FULTON AVE</v>
          </cell>
        </row>
        <row r="1002">
          <cell r="A1002">
            <v>61820410</v>
          </cell>
          <cell r="B1002" t="str">
            <v>CIVIC THEATRE INCEVANSVILLE CIVIC</v>
          </cell>
          <cell r="C1002" t="str">
            <v>717 N FULTON AVE</v>
          </cell>
        </row>
        <row r="1003">
          <cell r="A1003">
            <v>61820450</v>
          </cell>
          <cell r="B1003" t="str">
            <v>ACE HOME IMPROVEMENT</v>
          </cell>
          <cell r="C1003" t="str">
            <v>813 N FULTON AVE</v>
          </cell>
        </row>
        <row r="1004">
          <cell r="A1004">
            <v>61820470</v>
          </cell>
          <cell r="B1004" t="str">
            <v>DAVID W PFETTESHEROFFICE OF TREASURER</v>
          </cell>
          <cell r="C1004" t="str">
            <v>1227 FOUNTAIN AVE</v>
          </cell>
        </row>
        <row r="1005">
          <cell r="A1005">
            <v>61820490</v>
          </cell>
          <cell r="B1005" t="str">
            <v>ARTISAN</v>
          </cell>
          <cell r="C1005" t="str">
            <v>1408 W MISSOURI ST</v>
          </cell>
        </row>
        <row r="1006">
          <cell r="A1006">
            <v>61820510</v>
          </cell>
          <cell r="B1006" t="str">
            <v>LPI LEGACY PLASTICS</v>
          </cell>
          <cell r="C1006" t="str">
            <v>1407 W MISSOURI</v>
          </cell>
        </row>
        <row r="1007">
          <cell r="A1007">
            <v>61820530</v>
          </cell>
          <cell r="B1007" t="str">
            <v>POWERS WELDING SHOP</v>
          </cell>
          <cell r="C1007" t="str">
            <v>FIFTH AVE</v>
          </cell>
        </row>
        <row r="1008">
          <cell r="A1008">
            <v>61820550</v>
          </cell>
          <cell r="B1008" t="str">
            <v>FACILITY IQ-MS1215STORE #200233</v>
          </cell>
          <cell r="C1008" t="str">
            <v>1520 N FIFTH AVE</v>
          </cell>
        </row>
        <row r="1009">
          <cell r="A1009">
            <v>61820570</v>
          </cell>
          <cell r="B1009" t="str">
            <v>KWIK WASH</v>
          </cell>
          <cell r="C1009" t="str">
            <v>1208 W FLORIDA ST</v>
          </cell>
        </row>
        <row r="1010">
          <cell r="A1010">
            <v>61820590</v>
          </cell>
          <cell r="B1010" t="str">
            <v>COMSTEELACTION</v>
          </cell>
          <cell r="C1010" t="str">
            <v>1413 W FLORIDA ST</v>
          </cell>
        </row>
        <row r="1011">
          <cell r="A1011">
            <v>61820630</v>
          </cell>
          <cell r="B1011" t="str">
            <v>WM R BOOTZ</v>
          </cell>
          <cell r="C1011" t="str">
            <v>PARK AND BELT ST DR</v>
          </cell>
        </row>
        <row r="1012">
          <cell r="A1012">
            <v>61820650</v>
          </cell>
          <cell r="B1012" t="str">
            <v>BOOTZ MFG CO</v>
          </cell>
          <cell r="C1012" t="str">
            <v>1400 PARK ST</v>
          </cell>
        </row>
        <row r="1013">
          <cell r="A1013">
            <v>61820700</v>
          </cell>
          <cell r="B1013" t="str">
            <v>KERRY INC</v>
          </cell>
          <cell r="C1013" t="str">
            <v>1515B PARK ST</v>
          </cell>
        </row>
        <row r="1014">
          <cell r="A1014">
            <v>61820730</v>
          </cell>
          <cell r="B1014" t="str">
            <v>EVANSVILLE METAL PRO</v>
          </cell>
          <cell r="C1014" t="str">
            <v>2010 N SIXTH AVE</v>
          </cell>
        </row>
        <row r="1015">
          <cell r="A1015">
            <v>61820750</v>
          </cell>
          <cell r="B1015" t="str">
            <v>C/O EVANSVILLE VANDCEDAR HALL</v>
          </cell>
          <cell r="C1015" t="str">
            <v>14 CEDAR HALL</v>
          </cell>
        </row>
        <row r="1016">
          <cell r="A1016">
            <v>61820760</v>
          </cell>
          <cell r="B1016" t="str">
            <v>CHESTER'S IRON SHOPPCHESTER REED</v>
          </cell>
          <cell r="C1016" t="str">
            <v>1922 N FULTON AVE</v>
          </cell>
        </row>
        <row r="1017">
          <cell r="A1017">
            <v>61820810</v>
          </cell>
          <cell r="B1017" t="str">
            <v>JOE BOATMAN</v>
          </cell>
          <cell r="C1017" t="str">
            <v>2325 N FULTON AVE</v>
          </cell>
        </row>
        <row r="1018">
          <cell r="A1018">
            <v>61820850</v>
          </cell>
          <cell r="B1018" t="str">
            <v>% MR PAUL JOINERINTERMARK INVESTMENT</v>
          </cell>
          <cell r="C1018" t="str">
            <v>2900 N FULTON AVE</v>
          </cell>
        </row>
        <row r="1019">
          <cell r="A1019">
            <v>61820870</v>
          </cell>
          <cell r="B1019" t="str">
            <v>DIAMOND VALLEY INV</v>
          </cell>
          <cell r="C1019" t="str">
            <v>1200-1321 NORTHBROOK</v>
          </cell>
        </row>
        <row r="1020">
          <cell r="A1020">
            <v>61820910</v>
          </cell>
          <cell r="B1020" t="str">
            <v>DIAMOND VALLEY INV</v>
          </cell>
          <cell r="C1020" t="str">
            <v>1151 FULTON PKWY</v>
          </cell>
        </row>
        <row r="1021">
          <cell r="A1021">
            <v>61820920</v>
          </cell>
          <cell r="B1021" t="str">
            <v>GAYLE TELLER</v>
          </cell>
          <cell r="C1021" t="str">
            <v>3024 N FULTON AVE</v>
          </cell>
        </row>
        <row r="1022">
          <cell r="A1022">
            <v>61820930</v>
          </cell>
          <cell r="B1022" t="str">
            <v>RESTORATIONENVIRONMENTAL</v>
          </cell>
          <cell r="C1022" t="str">
            <v>3200 N SIXTH</v>
          </cell>
        </row>
        <row r="1023">
          <cell r="A1023">
            <v>61820950</v>
          </cell>
          <cell r="B1023" t="str">
            <v>MOBILE HOMESGENE WHITEHEAD</v>
          </cell>
          <cell r="C1023" t="str">
            <v>ALLENS LN &amp;SIXTH AVE</v>
          </cell>
        </row>
        <row r="1024">
          <cell r="A1024">
            <v>61820970</v>
          </cell>
          <cell r="B1024" t="str">
            <v>MPMF REALITY LLC</v>
          </cell>
          <cell r="C1024" t="str">
            <v>1551 ALLENS LN</v>
          </cell>
        </row>
        <row r="1025">
          <cell r="A1025">
            <v>61821010</v>
          </cell>
          <cell r="B1025" t="str">
            <v>SPECTRUM PACKAGING</v>
          </cell>
          <cell r="C1025" t="str">
            <v>1625 ALLENS LN</v>
          </cell>
        </row>
        <row r="1026">
          <cell r="A1026">
            <v>61821030</v>
          </cell>
          <cell r="B1026" t="str">
            <v>FRONTIER KEMPER CONS</v>
          </cell>
          <cell r="C1026" t="str">
            <v>1695 ALLENS LN</v>
          </cell>
        </row>
        <row r="1027">
          <cell r="A1027">
            <v>61821090</v>
          </cell>
          <cell r="B1027" t="str">
            <v>H A CTY OF EVANSEVILLE HOUSING AUTH</v>
          </cell>
          <cell r="C1027" t="str">
            <v>1710 N FULTON AVE</v>
          </cell>
        </row>
        <row r="1028">
          <cell r="A1028">
            <v>61821130</v>
          </cell>
          <cell r="B1028" t="str">
            <v>H A CTY OF EVANSEVILLE HOUSING AUTH</v>
          </cell>
          <cell r="C1028" t="str">
            <v>SHANKLIN AVE</v>
          </cell>
        </row>
        <row r="1029">
          <cell r="A1029">
            <v>61821150</v>
          </cell>
          <cell r="B1029" t="str">
            <v>H A CTY OF EVANSEVILLE HOUSING AUTH</v>
          </cell>
          <cell r="C1029" t="str">
            <v>1601 SHANKLIN AVE</v>
          </cell>
        </row>
        <row r="1030">
          <cell r="A1030">
            <v>61821170</v>
          </cell>
          <cell r="B1030" t="str">
            <v>H A CTY OF EVANSEVILLE HOUSING AUTH</v>
          </cell>
          <cell r="C1030" t="str">
            <v>1426 FLORENCE ST</v>
          </cell>
        </row>
        <row r="1031">
          <cell r="A1031">
            <v>61821230</v>
          </cell>
          <cell r="B1031" t="str">
            <v>UNIFORM SERVICESARAMARK</v>
          </cell>
          <cell r="C1031" t="str">
            <v>1115 DRESDEN ST</v>
          </cell>
        </row>
        <row r="1032">
          <cell r="A1032">
            <v>61821250</v>
          </cell>
          <cell r="B1032" t="str">
            <v>UNISEAL,INC</v>
          </cell>
          <cell r="C1032" t="str">
            <v>1014 UHLHORN ST</v>
          </cell>
        </row>
        <row r="1033">
          <cell r="A1033">
            <v>61821260</v>
          </cell>
          <cell r="B1033" t="str">
            <v>EVANSVILLE ANIMAL SH</v>
          </cell>
          <cell r="C1033" t="str">
            <v>815 UHLHORN ST</v>
          </cell>
        </row>
        <row r="1034">
          <cell r="A1034">
            <v>61821270</v>
          </cell>
          <cell r="B1034" t="str">
            <v>WALKER INVEST , LLC</v>
          </cell>
          <cell r="C1034" t="str">
            <v>1125 W EICHEL AVE</v>
          </cell>
        </row>
        <row r="1035">
          <cell r="A1035">
            <v>61821290</v>
          </cell>
          <cell r="B1035" t="str">
            <v>LUCENT POLYMERS INC</v>
          </cell>
          <cell r="C1035" t="str">
            <v>1328 N FULTON AVE</v>
          </cell>
        </row>
        <row r="1036">
          <cell r="A1036">
            <v>61821300</v>
          </cell>
          <cell r="B1036" t="str">
            <v>THE SALVATION ARMY</v>
          </cell>
          <cell r="C1036" t="str">
            <v>1040 N FULTON AVE</v>
          </cell>
        </row>
        <row r="1037">
          <cell r="A1037">
            <v>61821305</v>
          </cell>
          <cell r="B1037" t="str">
            <v>ROYAL CARWASH</v>
          </cell>
          <cell r="C1037" t="str">
            <v>1201 N FULTON AVE</v>
          </cell>
        </row>
        <row r="1038">
          <cell r="A1038">
            <v>61821370</v>
          </cell>
          <cell r="B1038" t="str">
            <v>BODY PANELS CO</v>
          </cell>
          <cell r="C1038" t="str">
            <v>1007 W MARYLAND ST</v>
          </cell>
        </row>
        <row r="1039">
          <cell r="A1039">
            <v>61821390</v>
          </cell>
          <cell r="B1039" t="str">
            <v>ENERGY ADVANTAGEWOODBRIDGE HLTH CARE</v>
          </cell>
          <cell r="C1039" t="str">
            <v>815 N SECOND AVE</v>
          </cell>
        </row>
        <row r="1040">
          <cell r="A1040">
            <v>61821410</v>
          </cell>
          <cell r="B1040" t="str">
            <v>ST ANTHONY'SCNTR FOR FAMILY LIFE</v>
          </cell>
          <cell r="C1040" t="str">
            <v>816 W COLUMBIA ST</v>
          </cell>
        </row>
        <row r="1041">
          <cell r="A1041">
            <v>61821420</v>
          </cell>
          <cell r="B1041" t="str">
            <v>ST ANTHONY CHURCH</v>
          </cell>
          <cell r="C1041" t="str">
            <v>710 N FIRST AVE</v>
          </cell>
        </row>
        <row r="1042">
          <cell r="A1042">
            <v>61821440</v>
          </cell>
          <cell r="B1042" t="str">
            <v>ZIEMER FUNERAL HOME</v>
          </cell>
          <cell r="C1042" t="str">
            <v>626 N FIRST AVE</v>
          </cell>
        </row>
        <row r="1043">
          <cell r="A1043">
            <v>61821470</v>
          </cell>
          <cell r="B1043" t="str">
            <v>ST VINCENT'S DAY CAR</v>
          </cell>
          <cell r="C1043" t="str">
            <v>625 N FIRST AVE</v>
          </cell>
        </row>
        <row r="1044">
          <cell r="A1044">
            <v>61821490</v>
          </cell>
          <cell r="B1044" t="str">
            <v>ST VINCENT DAY CARE</v>
          </cell>
          <cell r="C1044" t="str">
            <v>611 N FIRST AVE</v>
          </cell>
        </row>
        <row r="1045">
          <cell r="A1045">
            <v>61821510</v>
          </cell>
          <cell r="B1045" t="str">
            <v>ST VINCENT DAY NURS</v>
          </cell>
          <cell r="C1045" t="str">
            <v>611 N FIRST AVE</v>
          </cell>
        </row>
        <row r="1046">
          <cell r="A1046">
            <v>61821530</v>
          </cell>
          <cell r="B1046" t="str">
            <v>FIRST AVE DINER</v>
          </cell>
          <cell r="C1046" t="str">
            <v>520 N FIRST AVE</v>
          </cell>
        </row>
        <row r="1047">
          <cell r="A1047">
            <v>61821550</v>
          </cell>
          <cell r="B1047" t="str">
            <v>RALEN INVESTMENT LLC</v>
          </cell>
          <cell r="C1047" t="str">
            <v>811 W VIRGINIA ST</v>
          </cell>
        </row>
        <row r="1048">
          <cell r="A1048">
            <v>61821570</v>
          </cell>
          <cell r="B1048" t="str">
            <v>EVILLE BLIND ASSN</v>
          </cell>
          <cell r="C1048" t="str">
            <v>512 N SECOND AVE</v>
          </cell>
        </row>
        <row r="1049">
          <cell r="A1049">
            <v>61821590</v>
          </cell>
          <cell r="B1049" t="str">
            <v>MARLIN GOEBEL</v>
          </cell>
          <cell r="C1049" t="str">
            <v>1011 W FRANKLIN ST</v>
          </cell>
        </row>
        <row r="1050">
          <cell r="A1050">
            <v>61821610</v>
          </cell>
          <cell r="B1050" t="str">
            <v>EVILLE HOUSING AUTHEVILLE HOUSING AUTH</v>
          </cell>
          <cell r="C1050" t="str">
            <v>1030 W FRANKLIN ST</v>
          </cell>
        </row>
        <row r="1051">
          <cell r="A1051">
            <v>61821630</v>
          </cell>
          <cell r="B1051" t="str">
            <v>TRINITY LUTH CHURCH</v>
          </cell>
          <cell r="C1051" t="str">
            <v>INDIANA &amp; THIRD AVE</v>
          </cell>
        </row>
        <row r="1052">
          <cell r="A1052">
            <v>61821650</v>
          </cell>
          <cell r="B1052" t="str">
            <v>ATTN: CENTRAL STATESCOCA COLA V#69004</v>
          </cell>
          <cell r="C1052" t="str">
            <v>931 PENNSYLVANIA ST</v>
          </cell>
        </row>
        <row r="1053">
          <cell r="A1053">
            <v>61821670</v>
          </cell>
          <cell r="B1053" t="str">
            <v>ATTN: CENTRAL STATESCOCA COLA V#69004</v>
          </cell>
          <cell r="C1053" t="str">
            <v>W INDIANA ST</v>
          </cell>
        </row>
        <row r="1054">
          <cell r="A1054">
            <v>61821680</v>
          </cell>
          <cell r="B1054" t="str">
            <v>RICHARD E ALLENCHANCES R INC</v>
          </cell>
          <cell r="C1054" t="str">
            <v>819 W INDIANA ST</v>
          </cell>
        </row>
        <row r="1055">
          <cell r="A1055">
            <v>61821710</v>
          </cell>
          <cell r="B1055" t="str">
            <v>HARDY BRAKE &amp; ELECTR</v>
          </cell>
          <cell r="C1055" t="str">
            <v>917 W ILLINOIS ST</v>
          </cell>
        </row>
        <row r="1056">
          <cell r="A1056">
            <v>61821730</v>
          </cell>
          <cell r="B1056" t="str">
            <v>ATTN: TREASUREREMANUEL LUTHERAN CH</v>
          </cell>
          <cell r="C1056" t="str">
            <v>308 N FIRST AVE</v>
          </cell>
        </row>
        <row r="1057">
          <cell r="A1057">
            <v>61821750</v>
          </cell>
          <cell r="B1057" t="str">
            <v>BYRON D WARREN</v>
          </cell>
          <cell r="C1057" t="str">
            <v>714 W MICHIGAN ST</v>
          </cell>
        </row>
        <row r="1058">
          <cell r="A1058">
            <v>61821780</v>
          </cell>
          <cell r="B1058" t="str">
            <v>EVILLE BOYS CLUB</v>
          </cell>
          <cell r="C1058" t="str">
            <v>716 W ILLINOIS ST</v>
          </cell>
        </row>
        <row r="1059">
          <cell r="A1059">
            <v>61821790</v>
          </cell>
          <cell r="B1059" t="str">
            <v>BERRY PLASTICS</v>
          </cell>
          <cell r="C1059" t="str">
            <v>101 OAKLEY ST</v>
          </cell>
        </row>
        <row r="1060">
          <cell r="A1060">
            <v>61821795</v>
          </cell>
          <cell r="B1060" t="str">
            <v>BERRY PLASTICS</v>
          </cell>
          <cell r="C1060" t="str">
            <v>101 OAKLEY ST</v>
          </cell>
        </row>
        <row r="1061">
          <cell r="A1061">
            <v>61821810</v>
          </cell>
          <cell r="B1061" t="str">
            <v>CENTRAL METH CHU</v>
          </cell>
          <cell r="C1061" t="str">
            <v>310 MARY ST</v>
          </cell>
        </row>
        <row r="1062">
          <cell r="A1062">
            <v>61821820</v>
          </cell>
          <cell r="B1062" t="str">
            <v>DEACONESS HEALTH SYS</v>
          </cell>
          <cell r="C1062" t="str">
            <v>504 MARY ST</v>
          </cell>
        </row>
        <row r="1063">
          <cell r="A1063">
            <v>61821830</v>
          </cell>
          <cell r="B1063" t="str">
            <v>AND ALTEKRUSEDRS TROYEE</v>
          </cell>
          <cell r="C1063" t="str">
            <v>550 W VIRGINIA ST</v>
          </cell>
        </row>
        <row r="1064">
          <cell r="A1064">
            <v>61821850</v>
          </cell>
          <cell r="B1064" t="str">
            <v>DEACONESS HEALTH SYS</v>
          </cell>
          <cell r="C1064" t="str">
            <v>611A HARRIET ST</v>
          </cell>
        </row>
        <row r="1065">
          <cell r="A1065">
            <v>61821870</v>
          </cell>
          <cell r="B1065" t="str">
            <v>DEACONESS HEALTH SYS</v>
          </cell>
          <cell r="C1065" t="str">
            <v>611B HARRIET ST</v>
          </cell>
        </row>
        <row r="1066">
          <cell r="A1066">
            <v>61821890</v>
          </cell>
          <cell r="B1066" t="str">
            <v>ASSOCIATION INCCOLUMBIA PHYS CTR</v>
          </cell>
          <cell r="C1066" t="str">
            <v>350 W COLUMBIA ST</v>
          </cell>
        </row>
        <row r="1067">
          <cell r="A1067">
            <v>61821900</v>
          </cell>
          <cell r="B1067" t="str">
            <v>DEACONESS HEALTH SYS</v>
          </cell>
          <cell r="C1067" t="str">
            <v>415 W COLUMBIA ST</v>
          </cell>
        </row>
        <row r="1068">
          <cell r="A1068">
            <v>61821910</v>
          </cell>
          <cell r="B1068" t="str">
            <v>DEACONESS HOSP LAUNDATTN TOM BARNETT</v>
          </cell>
          <cell r="C1068" t="str">
            <v>720 HARRIET ST</v>
          </cell>
        </row>
        <row r="1069">
          <cell r="A1069">
            <v>61821925</v>
          </cell>
          <cell r="B1069" t="str">
            <v>DEACONESS HOSPITALT J BARNETT</v>
          </cell>
          <cell r="C1069" t="str">
            <v>600 MARY ST</v>
          </cell>
        </row>
        <row r="1070">
          <cell r="A1070">
            <v>61821930</v>
          </cell>
          <cell r="B1070" t="str">
            <v>WALTER HARDISON</v>
          </cell>
          <cell r="C1070" t="str">
            <v>1010 MARY ST</v>
          </cell>
        </row>
        <row r="1071">
          <cell r="A1071">
            <v>61821970</v>
          </cell>
          <cell r="B1071" t="str">
            <v>DEACONESS HOSPITALATTN TOM BARNETT</v>
          </cell>
          <cell r="C1071" t="str">
            <v>506 HARRIET ST</v>
          </cell>
        </row>
        <row r="1072">
          <cell r="A1072">
            <v>61821980</v>
          </cell>
          <cell r="B1072" t="str">
            <v>ATTN TOM BARNETTDEACONESS HOSPITAL</v>
          </cell>
          <cell r="C1072" t="str">
            <v>600 EDGAR ST</v>
          </cell>
        </row>
        <row r="1073">
          <cell r="A1073">
            <v>61821990</v>
          </cell>
          <cell r="B1073" t="str">
            <v>ATTN TOM BARNETTDEACONESS HOSPITAL</v>
          </cell>
          <cell r="C1073" t="str">
            <v>EDGAR &amp; W DELAWARE</v>
          </cell>
        </row>
        <row r="1074">
          <cell r="A1074">
            <v>61822000</v>
          </cell>
          <cell r="B1074" t="str">
            <v>DEACONESS HOSPITAL</v>
          </cell>
          <cell r="C1074" t="str">
            <v>614 EDGAR ST</v>
          </cell>
        </row>
        <row r="1075">
          <cell r="A1075">
            <v>61822040</v>
          </cell>
          <cell r="B1075" t="str">
            <v>E'VILLE SURGERY CTR</v>
          </cell>
          <cell r="C1075" t="str">
            <v>520A MARY ST</v>
          </cell>
        </row>
        <row r="1076">
          <cell r="A1076">
            <v>61822060</v>
          </cell>
          <cell r="B1076" t="str">
            <v>DEACONESS HEALTH SYS</v>
          </cell>
          <cell r="C1076" t="str">
            <v>520C MARY ST</v>
          </cell>
        </row>
        <row r="1077">
          <cell r="A1077">
            <v>61822080</v>
          </cell>
          <cell r="B1077" t="str">
            <v>ATTN ACCTS PAYABLEEVANSVILLE ARC INDU</v>
          </cell>
          <cell r="C1077" t="str">
            <v>615 W VIRGINIA ST</v>
          </cell>
        </row>
        <row r="1078">
          <cell r="A1078">
            <v>61822120</v>
          </cell>
          <cell r="B1078" t="str">
            <v>JACOBSVILLE DEVELER</v>
          </cell>
          <cell r="C1078" t="str">
            <v>533 W COLUMBIA ST</v>
          </cell>
        </row>
        <row r="1079">
          <cell r="A1079">
            <v>61822130</v>
          </cell>
          <cell r="B1079" t="str">
            <v>COLUMBIA NURSING PLA8/286</v>
          </cell>
          <cell r="C1079" t="str">
            <v>612 W COLUMBIA ST</v>
          </cell>
        </row>
        <row r="1080">
          <cell r="A1080">
            <v>61822150</v>
          </cell>
          <cell r="B1080" t="str">
            <v>P&amp;C INVESTMENTS</v>
          </cell>
          <cell r="C1080" t="str">
            <v>702 W COLUMBIA ST</v>
          </cell>
        </row>
        <row r="1081">
          <cell r="A1081">
            <v>61822170</v>
          </cell>
          <cell r="B1081" t="str">
            <v>ANIL PATELECONOMY INN</v>
          </cell>
          <cell r="C1081" t="str">
            <v>701 N FIRST AVE</v>
          </cell>
        </row>
        <row r="1082">
          <cell r="A1082">
            <v>61822190</v>
          </cell>
          <cell r="B1082" t="str">
            <v>HACIENDA MEXICANACCOUNTING OFFICE</v>
          </cell>
          <cell r="C1082" t="str">
            <v>711 N FIRST AVE</v>
          </cell>
        </row>
        <row r="1083">
          <cell r="A1083">
            <v>61822210</v>
          </cell>
          <cell r="B1083" t="str">
            <v>LEN GRIES</v>
          </cell>
          <cell r="C1083" t="str">
            <v>40 W COLUMBIA ST</v>
          </cell>
        </row>
        <row r="1084">
          <cell r="A1084">
            <v>61822220</v>
          </cell>
          <cell r="B1084" t="str">
            <v>HOSE HOUSE #10</v>
          </cell>
          <cell r="C1084" t="str">
            <v>120 E COLUMBIA ST</v>
          </cell>
        </row>
        <row r="1085">
          <cell r="A1085">
            <v>61822230</v>
          </cell>
          <cell r="B1085" t="str">
            <v>COMAIER SERVICE</v>
          </cell>
          <cell r="C1085" t="str">
            <v>104 E DELAWARE ST</v>
          </cell>
        </row>
        <row r="1086">
          <cell r="A1086">
            <v>61822240</v>
          </cell>
          <cell r="B1086" t="str">
            <v>DARLA J SMITH</v>
          </cell>
          <cell r="C1086" t="str">
            <v>701 N MAIN ST</v>
          </cell>
        </row>
        <row r="1087">
          <cell r="A1087">
            <v>61822250</v>
          </cell>
          <cell r="B1087" t="str">
            <v>INDEPENDENCE SQUARERHF HOUSING INC</v>
          </cell>
          <cell r="C1087" t="str">
            <v>201 W DELAWARE ST</v>
          </cell>
        </row>
        <row r="1088">
          <cell r="A1088">
            <v>61822260</v>
          </cell>
          <cell r="B1088" t="str">
            <v>EYE CARE ASSO PCTALLEY MEDICAL SURGI</v>
          </cell>
          <cell r="C1088" t="str">
            <v>201 W IOWA ST</v>
          </cell>
        </row>
        <row r="1089">
          <cell r="A1089">
            <v>61822290</v>
          </cell>
          <cell r="B1089" t="str">
            <v>TRI STATE FAMILY</v>
          </cell>
          <cell r="C1089" t="str">
            <v>800 N FIRST AVE</v>
          </cell>
        </row>
        <row r="1090">
          <cell r="A1090">
            <v>61822310</v>
          </cell>
          <cell r="B1090" t="str">
            <v>ENERGY ADVANTAGEWOODBRIDGE HLTH CARE</v>
          </cell>
          <cell r="C1090" t="str">
            <v>816 N FIRST AVE</v>
          </cell>
        </row>
        <row r="1091">
          <cell r="A1091">
            <v>61822330</v>
          </cell>
          <cell r="B1091" t="str">
            <v>EVANSVILLEGENTLE CARE OF</v>
          </cell>
          <cell r="C1091" t="str">
            <v>909 N FIRST AVE</v>
          </cell>
        </row>
        <row r="1092">
          <cell r="A1092">
            <v>61822350</v>
          </cell>
          <cell r="B1092" t="str">
            <v>LUCENT POLYMERS</v>
          </cell>
          <cell r="C1092" t="str">
            <v>EICHEL &amp; OAKLEY</v>
          </cell>
        </row>
        <row r="1093">
          <cell r="A1093">
            <v>61822410</v>
          </cell>
          <cell r="B1093" t="str">
            <v>EEMSCO,INC</v>
          </cell>
          <cell r="C1093" t="str">
            <v>600 W EICHEL AVE</v>
          </cell>
        </row>
        <row r="1094">
          <cell r="A1094">
            <v>61822450</v>
          </cell>
          <cell r="B1094" t="str">
            <v>NECA IBEW ELECTRICAL</v>
          </cell>
          <cell r="C1094" t="str">
            <v>1321 EDGAR ST</v>
          </cell>
        </row>
        <row r="1095">
          <cell r="A1095">
            <v>61822460</v>
          </cell>
          <cell r="B1095" t="str">
            <v>ACCOUNTS PAYABLEJ E SHEKELL,INC</v>
          </cell>
          <cell r="C1095" t="str">
            <v>424 W TENNESSEE ST</v>
          </cell>
        </row>
        <row r="1096">
          <cell r="A1096">
            <v>61822470</v>
          </cell>
          <cell r="B1096" t="str">
            <v>TENNESSEE ST PROP</v>
          </cell>
          <cell r="C1096" t="str">
            <v>409 W TENNESSEE ST</v>
          </cell>
        </row>
        <row r="1097">
          <cell r="A1097">
            <v>61822490</v>
          </cell>
          <cell r="B1097" t="str">
            <v>ENTERPRISEEVANSVILLE URBAN</v>
          </cell>
          <cell r="C1097" t="str">
            <v>1511 HARRIET ST</v>
          </cell>
        </row>
        <row r="1098">
          <cell r="A1098">
            <v>61940050</v>
          </cell>
          <cell r="B1098" t="str">
            <v>FIRST AVE CAR WASH</v>
          </cell>
          <cell r="C1098" t="str">
            <v>2110 N FIRST AVE</v>
          </cell>
        </row>
        <row r="1099">
          <cell r="A1099">
            <v>61940055</v>
          </cell>
          <cell r="B1099" t="str">
            <v>FIRST AVE CORP</v>
          </cell>
          <cell r="C1099" t="str">
            <v>2303 N FIRST AVE</v>
          </cell>
        </row>
        <row r="1100">
          <cell r="A1100">
            <v>61940070</v>
          </cell>
          <cell r="B1100" t="str">
            <v>WAREHOUSING INC</v>
          </cell>
          <cell r="C1100" t="str">
            <v>1600 N FIRST AVE</v>
          </cell>
        </row>
        <row r="1101">
          <cell r="A1101">
            <v>61940080</v>
          </cell>
          <cell r="B1101" t="str">
            <v>ILPEA/LUCENT POLYME</v>
          </cell>
          <cell r="C1101" t="str">
            <v>MORGAN AVE</v>
          </cell>
        </row>
        <row r="1102">
          <cell r="A1102">
            <v>61940130</v>
          </cell>
          <cell r="B1102" t="str">
            <v>FERGUSON ENTERPRISES</v>
          </cell>
          <cell r="C1102" t="str">
            <v>621 W MORGAN AVE</v>
          </cell>
        </row>
        <row r="1103">
          <cell r="A1103">
            <v>61940150</v>
          </cell>
          <cell r="B1103" t="str">
            <v>FERGUSON ENTERPRISES</v>
          </cell>
          <cell r="C1103" t="str">
            <v>621B W MORGAN AVE</v>
          </cell>
        </row>
        <row r="1104">
          <cell r="A1104">
            <v>61940215</v>
          </cell>
          <cell r="B1104" t="str">
            <v>DON'S CLEANERS</v>
          </cell>
          <cell r="C1104" t="str">
            <v>225 W MORGAN AVE-3B</v>
          </cell>
        </row>
        <row r="1105">
          <cell r="A1105">
            <v>61940240</v>
          </cell>
          <cell r="B1105" t="str">
            <v>AMERIQUAL FOODS PKGS</v>
          </cell>
          <cell r="C1105" t="str">
            <v>225 W MORGAN AVE</v>
          </cell>
        </row>
        <row r="1106">
          <cell r="A1106">
            <v>61940250</v>
          </cell>
          <cell r="B1106" t="str">
            <v>STUART B MILLNERSUITE 302</v>
          </cell>
          <cell r="C1106" t="str">
            <v>READ ST</v>
          </cell>
        </row>
        <row r="1107">
          <cell r="A1107">
            <v>61940260</v>
          </cell>
          <cell r="B1107" t="str">
            <v>ENERGY TECH INCINTEGRATED</v>
          </cell>
          <cell r="C1107" t="str">
            <v>225 W MORGAN AVE</v>
          </cell>
        </row>
        <row r="1108">
          <cell r="A1108">
            <v>61940330</v>
          </cell>
          <cell r="B1108" t="str">
            <v>RALPH EFFINGER</v>
          </cell>
          <cell r="C1108" t="str">
            <v>636 W LOUISIANA ST</v>
          </cell>
        </row>
        <row r="1109">
          <cell r="A1109">
            <v>61940350</v>
          </cell>
          <cell r="B1109" t="str">
            <v>DBA BURGER KING 6490HEARTLAND FOOD CORP</v>
          </cell>
          <cell r="C1109" t="str">
            <v>910 N MAIN ST</v>
          </cell>
        </row>
        <row r="1110">
          <cell r="A1110">
            <v>61940430</v>
          </cell>
          <cell r="B1110" t="str">
            <v>DAVID R RUEGER</v>
          </cell>
          <cell r="C1110" t="str">
            <v>811 N MAIN ST</v>
          </cell>
        </row>
        <row r="1111">
          <cell r="A1111">
            <v>61940450</v>
          </cell>
          <cell r="B1111" t="str">
            <v>VICTORIA PROPERTIES</v>
          </cell>
          <cell r="C1111" t="str">
            <v>1313 N MAIN ST</v>
          </cell>
        </row>
        <row r="1112">
          <cell r="A1112">
            <v>61940470</v>
          </cell>
          <cell r="B1112" t="str">
            <v>CCD LLC</v>
          </cell>
          <cell r="C1112" t="str">
            <v>1421B MAIN ST</v>
          </cell>
        </row>
        <row r="1113">
          <cell r="A1113">
            <v>61940530</v>
          </cell>
          <cell r="B1113" t="str">
            <v>EVANS SCHOOL CORP</v>
          </cell>
          <cell r="C1113" t="str">
            <v>BOSSE FIELD</v>
          </cell>
        </row>
        <row r="1114">
          <cell r="A1114">
            <v>61940540</v>
          </cell>
          <cell r="B1114" t="str">
            <v>E V S C</v>
          </cell>
          <cell r="C1114" t="str">
            <v>MAIN &amp; MORGAN</v>
          </cell>
        </row>
        <row r="1115">
          <cell r="A1115">
            <v>61940550</v>
          </cell>
          <cell r="B1115" t="str">
            <v>CRAWFORD SALES INC</v>
          </cell>
          <cell r="C1115" t="str">
            <v>200-12 E MORGAN AVE</v>
          </cell>
        </row>
        <row r="1116">
          <cell r="A1116">
            <v>61940570</v>
          </cell>
          <cell r="B1116" t="str">
            <v>BRUCE R BALSDON</v>
          </cell>
          <cell r="C1116" t="str">
            <v>2 RICHARDT AVE</v>
          </cell>
        </row>
        <row r="1117">
          <cell r="A1117">
            <v>61940610</v>
          </cell>
          <cell r="B1117" t="str">
            <v>EVSC</v>
          </cell>
          <cell r="C1117" t="str">
            <v>2150 STRINGTOWN RD</v>
          </cell>
        </row>
        <row r="1118">
          <cell r="A1118">
            <v>61940630</v>
          </cell>
          <cell r="B1118" t="str">
            <v>NORTH SIDE LIB</v>
          </cell>
          <cell r="C1118" t="str">
            <v>2100 STRINGTOWN RD</v>
          </cell>
        </row>
        <row r="1119">
          <cell r="A1119">
            <v>61940640</v>
          </cell>
          <cell r="B1119" t="str">
            <v>HAYHURST AUTO CENTER</v>
          </cell>
          <cell r="C1119" t="str">
            <v>2006 STRINGTOWN RD</v>
          </cell>
        </row>
        <row r="1120">
          <cell r="A1120">
            <v>61940670</v>
          </cell>
          <cell r="B1120" t="str">
            <v>ST THERESA CHURCHRECTORY</v>
          </cell>
          <cell r="C1120" t="str">
            <v>900 WEDEKING AVE</v>
          </cell>
        </row>
        <row r="1121">
          <cell r="A1121">
            <v>61940690</v>
          </cell>
          <cell r="B1121" t="str">
            <v>C/O EVANSVILLE VANDNORTH</v>
          </cell>
          <cell r="C1121" t="str">
            <v>2319 STRINGTOWN RD</v>
          </cell>
        </row>
        <row r="1122">
          <cell r="A1122">
            <v>61940710</v>
          </cell>
          <cell r="B1122" t="str">
            <v>DR LEE B WALDEN</v>
          </cell>
          <cell r="C1122" t="str">
            <v>2625 STRINGTOWN RD</v>
          </cell>
        </row>
        <row r="1123">
          <cell r="A1123">
            <v>61940750</v>
          </cell>
          <cell r="B1123" t="str">
            <v>FERNWOOD PLACE INC</v>
          </cell>
          <cell r="C1123" t="str">
            <v>126 FERNWOOD PL</v>
          </cell>
        </row>
        <row r="1124">
          <cell r="A1124">
            <v>61940770</v>
          </cell>
          <cell r="B1124" t="str">
            <v>ROSE HILL CEMETERY</v>
          </cell>
          <cell r="C1124" t="str">
            <v>STRINGTOWN RD</v>
          </cell>
        </row>
        <row r="1125">
          <cell r="A1125">
            <v>61940790</v>
          </cell>
          <cell r="B1125" t="str">
            <v>EVANS COUNTRY CL</v>
          </cell>
          <cell r="C1125" t="str">
            <v>3810 STRINGTOWN RD</v>
          </cell>
        </row>
        <row r="1126">
          <cell r="A1126">
            <v>61940810</v>
          </cell>
          <cell r="B1126" t="str">
            <v>SCI ACCTS PAYABLE#2677</v>
          </cell>
          <cell r="C1126" t="str">
            <v>4302 STRINGTOWN RD</v>
          </cell>
        </row>
        <row r="1127">
          <cell r="A1127">
            <v>61940830</v>
          </cell>
          <cell r="B1127" t="str">
            <v>C/O EVANSVILLE VANDSTRINGTOWN</v>
          </cell>
          <cell r="C1127" t="str">
            <v>40 STRINGTOWN RD</v>
          </cell>
        </row>
        <row r="1128">
          <cell r="A1128">
            <v>61940850</v>
          </cell>
          <cell r="B1128" t="str">
            <v>CHRIST LUTH CHURCH</v>
          </cell>
          <cell r="C1128" t="str">
            <v>200 W MILL RD</v>
          </cell>
        </row>
        <row r="1129">
          <cell r="A1129">
            <v>61940870</v>
          </cell>
          <cell r="B1129" t="str">
            <v>ACCOUNTS PAYABLEBUEHLERS BUY LOW 453</v>
          </cell>
          <cell r="C1129" t="str">
            <v>4635 FIRST AVE</v>
          </cell>
        </row>
        <row r="1130">
          <cell r="A1130">
            <v>61940890</v>
          </cell>
          <cell r="B1130" t="str">
            <v>D MICHAEL DEAN DDS</v>
          </cell>
          <cell r="C1130" t="str">
            <v>710 W MILL RD</v>
          </cell>
        </row>
        <row r="1131">
          <cell r="A1131">
            <v>61940910</v>
          </cell>
          <cell r="B1131" t="str">
            <v>PIZZA HUT #316300</v>
          </cell>
          <cell r="C1131" t="str">
            <v>711 W MILL RD</v>
          </cell>
        </row>
        <row r="1132">
          <cell r="A1132">
            <v>61940915</v>
          </cell>
          <cell r="B1132" t="str">
            <v>PHILIP LIEBERMANTEMPLE ADATH ISRAEL</v>
          </cell>
          <cell r="C1132" t="str">
            <v>5725 N FIRST AVE</v>
          </cell>
        </row>
        <row r="1133">
          <cell r="A1133">
            <v>61940920</v>
          </cell>
          <cell r="B1133" t="str">
            <v>C/O EVANSVILLE VANDCENTRAL</v>
          </cell>
          <cell r="C1133" t="str">
            <v>5 CENTRAL</v>
          </cell>
        </row>
        <row r="1134">
          <cell r="A1134">
            <v>61940925</v>
          </cell>
          <cell r="B1134" t="str">
            <v>C/O EVANSVILLE VANDCENTRAL</v>
          </cell>
          <cell r="C1134" t="str">
            <v>5 CENTRAL</v>
          </cell>
        </row>
        <row r="1135">
          <cell r="A1135">
            <v>61940926</v>
          </cell>
          <cell r="B1135" t="str">
            <v>SCHOOL CORPEVANSVILLE</v>
          </cell>
          <cell r="C1135" t="str">
            <v>5400 N FIRST AVE</v>
          </cell>
        </row>
        <row r="1136">
          <cell r="A1136">
            <v>61940927</v>
          </cell>
          <cell r="B1136" t="str">
            <v>C &amp; S, INC</v>
          </cell>
          <cell r="C1136" t="str">
            <v>5314B N FIRST AVE</v>
          </cell>
        </row>
        <row r="1137">
          <cell r="A1137">
            <v>61940930</v>
          </cell>
          <cell r="B1137" t="str">
            <v>CALVARY TEMPLE ASSEM</v>
          </cell>
          <cell r="C1137" t="str">
            <v>5050 N FIRST AVE</v>
          </cell>
        </row>
        <row r="1138">
          <cell r="A1138">
            <v>61940950</v>
          </cell>
          <cell r="B1138" t="str">
            <v>BIBLE CENTER CHURCH</v>
          </cell>
          <cell r="C1138" t="str">
            <v>4912 N FIRST AVE</v>
          </cell>
        </row>
        <row r="1139">
          <cell r="A1139">
            <v>61941050</v>
          </cell>
          <cell r="B1139" t="str">
            <v>DIV OF WINKLER INCSUITE 750</v>
          </cell>
          <cell r="C1139" t="str">
            <v>4624 N FIRST AVE</v>
          </cell>
        </row>
        <row r="1140">
          <cell r="A1140">
            <v>61941070</v>
          </cell>
          <cell r="B1140" t="str">
            <v>GENE WARREN JR CODBA NORTH PARK CORP</v>
          </cell>
          <cell r="C1140" t="str">
            <v>4500 N FIRST AVE</v>
          </cell>
        </row>
        <row r="1141">
          <cell r="A1141">
            <v>61941090</v>
          </cell>
          <cell r="B1141" t="str">
            <v>DBA BURGER KING 1264HEARTLAND FOOD CORP</v>
          </cell>
          <cell r="C1141" t="str">
            <v>4400 N FIRST AVE</v>
          </cell>
        </row>
        <row r="1142">
          <cell r="A1142">
            <v>61941110</v>
          </cell>
          <cell r="B1142" t="str">
            <v>ADVANTAGEIQ-MS 363CVS STORE #6252</v>
          </cell>
          <cell r="C1142" t="str">
            <v>4480 N FIRST AVE</v>
          </cell>
        </row>
        <row r="1143">
          <cell r="A1143">
            <v>61941130</v>
          </cell>
          <cell r="B1143" t="str">
            <v>NORTH PARK CORP</v>
          </cell>
          <cell r="C1143" t="str">
            <v>4490 N FIRST AVE</v>
          </cell>
        </row>
        <row r="1144">
          <cell r="A1144">
            <v>61941150</v>
          </cell>
          <cell r="B1144" t="str">
            <v>PARDY TIME ENTERAIN</v>
          </cell>
          <cell r="C1144" t="str">
            <v>1000 N PARK DR</v>
          </cell>
        </row>
        <row r="1145">
          <cell r="A1145">
            <v>61941170</v>
          </cell>
          <cell r="B1145" t="str">
            <v>NORTH PARK CORP</v>
          </cell>
          <cell r="C1145" t="str">
            <v>1010 N PARK DR</v>
          </cell>
        </row>
        <row r="1146">
          <cell r="A1146">
            <v>61941190</v>
          </cell>
          <cell r="B1146" t="str">
            <v>ENTERPRISE INCPAUL STIELER</v>
          </cell>
          <cell r="C1146" t="str">
            <v>4428 N FIRST AVE</v>
          </cell>
        </row>
        <row r="1147">
          <cell r="A1147">
            <v>61941210</v>
          </cell>
          <cell r="B1147" t="str">
            <v>RJA DEVELOPMENTS LLC</v>
          </cell>
          <cell r="C1147" t="str">
            <v>4200 N FIRST AVE</v>
          </cell>
        </row>
        <row r="1148">
          <cell r="A1148">
            <v>61941230</v>
          </cell>
          <cell r="B1148" t="str">
            <v>SBBS INC</v>
          </cell>
          <cell r="C1148" t="str">
            <v>3960 N FIRST AVE</v>
          </cell>
        </row>
        <row r="1149">
          <cell r="A1149">
            <v>61941250</v>
          </cell>
          <cell r="B1149" t="str">
            <v>MAC'S CONVENIENCE 84ADVANTAGEIQ-MS 1442</v>
          </cell>
          <cell r="C1149" t="str">
            <v>3900 N FIRST AVE</v>
          </cell>
        </row>
        <row r="1150">
          <cell r="A1150">
            <v>61941270</v>
          </cell>
          <cell r="B1150" t="str">
            <v>1726 DA VITA INCN E'VILLE DIALYSIS</v>
          </cell>
          <cell r="C1150" t="str">
            <v>1151 W BUENA VIS</v>
          </cell>
        </row>
        <row r="1151">
          <cell r="A1151">
            <v>61941290</v>
          </cell>
          <cell r="B1151" t="str">
            <v>TARGET STORE #108</v>
          </cell>
          <cell r="C1151" t="str">
            <v>4000 N FIRST AVE</v>
          </cell>
        </row>
        <row r="1152">
          <cell r="A1152">
            <v>61941310</v>
          </cell>
          <cell r="B1152" t="str">
            <v>NORTH PARK CINEMA</v>
          </cell>
          <cell r="C1152" t="str">
            <v>4200 N THIRD AVE</v>
          </cell>
        </row>
        <row r="1153">
          <cell r="A1153">
            <v>61941330</v>
          </cell>
          <cell r="B1153" t="str">
            <v>3-D MED OFFICE BLDGN S P B CORP</v>
          </cell>
          <cell r="C1153" t="str">
            <v>1202 W BUENA VIS</v>
          </cell>
        </row>
        <row r="1154">
          <cell r="A1154">
            <v>61941350</v>
          </cell>
          <cell r="B1154" t="str">
            <v>3 D CORPORATIONHOLIDAY VILLAGE RET</v>
          </cell>
          <cell r="C1154" t="str">
            <v>1200 W BUENA VIS</v>
          </cell>
        </row>
        <row r="1155">
          <cell r="A1155">
            <v>61941370</v>
          </cell>
          <cell r="B1155" t="str">
            <v>HOLIDAY HOMES INHERITAGE CENTER</v>
          </cell>
          <cell r="C1155" t="str">
            <v>1201 W BUENA VIS</v>
          </cell>
        </row>
        <row r="1156">
          <cell r="A1156">
            <v>61941390</v>
          </cell>
          <cell r="B1156" t="str">
            <v>BUENA VISTA ASSC LTDTHE MARTIN GROUP</v>
          </cell>
          <cell r="C1156" t="str">
            <v>3900 VISTA DR</v>
          </cell>
        </row>
        <row r="1157">
          <cell r="A1157">
            <v>61941410</v>
          </cell>
          <cell r="B1157" t="str">
            <v>BUENA VISTA ASSC LTDTHE MARTIN GROUP</v>
          </cell>
          <cell r="C1157" t="str">
            <v>1245 BELLA VISTA SQ</v>
          </cell>
        </row>
        <row r="1158">
          <cell r="A1158">
            <v>61941430</v>
          </cell>
          <cell r="B1158" t="str">
            <v>BUENA VISTA ASSC LDTTHE MARTIN GROUP</v>
          </cell>
          <cell r="C1158" t="str">
            <v>1210 VISTA CT</v>
          </cell>
        </row>
        <row r="1159">
          <cell r="A1159">
            <v>61941450</v>
          </cell>
          <cell r="B1159" t="str">
            <v>MARTIN GROUP       TBUENA VISTA ASSC LDT</v>
          </cell>
          <cell r="C1159" t="str">
            <v>3951 VISTA DR</v>
          </cell>
        </row>
        <row r="1160">
          <cell r="A1160">
            <v>61941470</v>
          </cell>
          <cell r="B1160" t="str">
            <v>BUENA VISTA ASSC LDTTHE MARTIN GROUP</v>
          </cell>
          <cell r="C1160" t="str">
            <v>3911 VISTA DR</v>
          </cell>
        </row>
        <row r="1161">
          <cell r="A1161">
            <v>61941490</v>
          </cell>
          <cell r="B1161" t="str">
            <v>SCHNUCKS MRKT # 704</v>
          </cell>
          <cell r="C1161" t="str">
            <v>3700 N FIRST AVE</v>
          </cell>
        </row>
        <row r="1162">
          <cell r="A1162">
            <v>61941510</v>
          </cell>
          <cell r="B1162" t="str">
            <v>WOODBRIDGE PLACE APT</v>
          </cell>
          <cell r="C1162" t="str">
            <v>3550 WOODBRIDGE DR</v>
          </cell>
        </row>
        <row r="1163">
          <cell r="A1163">
            <v>61941515</v>
          </cell>
          <cell r="B1163" t="str">
            <v>ARBY'S #7255ADVANTAGE IQ MS 2071</v>
          </cell>
          <cell r="C1163" t="str">
            <v>3600 N FIRST AVE</v>
          </cell>
        </row>
        <row r="1164">
          <cell r="A1164">
            <v>61941530</v>
          </cell>
          <cell r="B1164" t="str">
            <v>&amp; BISCUITSPOPEYES CHICKEN</v>
          </cell>
          <cell r="C1164" t="str">
            <v>3300 N FIRST AVE</v>
          </cell>
        </row>
        <row r="1165">
          <cell r="A1165">
            <v>61941580</v>
          </cell>
          <cell r="B1165" t="str">
            <v>SGF MANAGEMENT INCGRANDVIEW TOWERS</v>
          </cell>
          <cell r="C1165" t="str">
            <v>1000 FULTON PKWY</v>
          </cell>
        </row>
        <row r="1166">
          <cell r="A1166">
            <v>61941590</v>
          </cell>
          <cell r="B1166" t="str">
            <v>VETERINARY CLINICNORTH PARK</v>
          </cell>
          <cell r="C1166" t="str">
            <v>2613 N FIRST AVE</v>
          </cell>
        </row>
        <row r="1167">
          <cell r="A1167">
            <v>61941610</v>
          </cell>
          <cell r="B1167" t="str">
            <v>CHRISTIAN EDUCAT ENT</v>
          </cell>
          <cell r="C1167" t="str">
            <v>2536 WATERBRIDGE WAY</v>
          </cell>
        </row>
        <row r="1168">
          <cell r="A1168">
            <v>61941650</v>
          </cell>
          <cell r="B1168" t="str">
            <v>U S POST OFFICE ST APOST MASTER</v>
          </cell>
          <cell r="C1168" t="str">
            <v>600 CROSS VALLEY CRK</v>
          </cell>
        </row>
        <row r="1169">
          <cell r="A1169">
            <v>61941660</v>
          </cell>
          <cell r="B1169" t="str">
            <v>THE CROSSING APTSMONARCH MANAGEMENT</v>
          </cell>
          <cell r="C1169" t="str">
            <v>2451 WATERBRIDGE WAY</v>
          </cell>
        </row>
        <row r="1170">
          <cell r="A1170">
            <v>61941670</v>
          </cell>
          <cell r="B1170" t="str">
            <v>C/O EVANSVILLE VANDHARWOOD</v>
          </cell>
          <cell r="C1170" t="str">
            <v>26 HARWOOD</v>
          </cell>
        </row>
        <row r="1171">
          <cell r="A1171">
            <v>61941690</v>
          </cell>
          <cell r="B1171" t="str">
            <v>GROSSMAN RENTALS LLC</v>
          </cell>
          <cell r="C1171" t="str">
            <v>700 FAIRWAY DR</v>
          </cell>
        </row>
        <row r="1172">
          <cell r="A1172">
            <v>61941710</v>
          </cell>
          <cell r="B1172" t="str">
            <v>HHC DBA NORTH PARK</v>
          </cell>
          <cell r="C1172" t="str">
            <v>600 FAIRWAY DR</v>
          </cell>
        </row>
        <row r="1173">
          <cell r="A1173">
            <v>61941790</v>
          </cell>
          <cell r="B1173" t="str">
            <v>CLAYTON CLEANERS</v>
          </cell>
          <cell r="C1173" t="str">
            <v>4319 COMMERCE ST</v>
          </cell>
        </row>
        <row r="1174">
          <cell r="A1174">
            <v>61941810</v>
          </cell>
          <cell r="B1174" t="str">
            <v>F C TUCKER/HUBER</v>
          </cell>
          <cell r="C1174" t="str">
            <v>4445 COMMERCE ST</v>
          </cell>
        </row>
        <row r="1175">
          <cell r="A1175">
            <v>61941830</v>
          </cell>
          <cell r="B1175" t="str">
            <v>HOLLYS HOUSE INC</v>
          </cell>
          <cell r="C1175" t="str">
            <v>750 N PARK DR</v>
          </cell>
        </row>
        <row r="1176">
          <cell r="A1176">
            <v>61941850</v>
          </cell>
          <cell r="B1176" t="str">
            <v>D K R INC</v>
          </cell>
          <cell r="C1176" t="str">
            <v>709 N PARK DR</v>
          </cell>
        </row>
        <row r="1177">
          <cell r="A1177">
            <v>61941870</v>
          </cell>
          <cell r="B1177" t="str">
            <v>MKS ENTERPRISES INC</v>
          </cell>
          <cell r="C1177" t="str">
            <v>4525 N FIRST AVE</v>
          </cell>
        </row>
        <row r="1178">
          <cell r="A1178">
            <v>61941890</v>
          </cell>
          <cell r="B1178" t="str">
            <v>HALO AUTO WASH CENTE</v>
          </cell>
          <cell r="C1178" t="str">
            <v>753 N PARK DR</v>
          </cell>
        </row>
        <row r="1179">
          <cell r="A1179">
            <v>61941900</v>
          </cell>
          <cell r="B1179" t="str">
            <v>EVANSVILLE GOODWILLINDUSTRIES INC</v>
          </cell>
          <cell r="C1179" t="str">
            <v>1351 W BUENA VIS</v>
          </cell>
        </row>
        <row r="1180">
          <cell r="A1180">
            <v>61941910</v>
          </cell>
          <cell r="B1180" t="str">
            <v>NORTHWOODS APTS</v>
          </cell>
          <cell r="C1180" t="str">
            <v>3900 N FULTON AVE</v>
          </cell>
        </row>
        <row r="1181">
          <cell r="A1181">
            <v>61941930</v>
          </cell>
          <cell r="B1181" t="str">
            <v>TEG NORTH PARK LLCBARRETT &amp; STOKELY</v>
          </cell>
          <cell r="C1181" t="str">
            <v>1100 W MILL RD</v>
          </cell>
        </row>
        <row r="1182">
          <cell r="A1182">
            <v>61941970</v>
          </cell>
          <cell r="B1182" t="str">
            <v>TEG NORTH PARK LLCBARRETT &amp; STOKELY</v>
          </cell>
          <cell r="C1182" t="str">
            <v>1131 OXFORD CT</v>
          </cell>
        </row>
        <row r="1183">
          <cell r="A1183">
            <v>61942010</v>
          </cell>
          <cell r="B1183" t="str">
            <v>TEG NORTH PARK LLCBARRETT &amp; STOKELY</v>
          </cell>
          <cell r="C1183" t="str">
            <v>4616 OXFORD CT</v>
          </cell>
        </row>
        <row r="1184">
          <cell r="A1184">
            <v>61942030</v>
          </cell>
          <cell r="B1184" t="str">
            <v>TEG NORTH PARK LLCBARRETT &amp; STOKELY</v>
          </cell>
          <cell r="C1184" t="str">
            <v>4516 OXFORD CT</v>
          </cell>
        </row>
        <row r="1185">
          <cell r="A1185">
            <v>61942050</v>
          </cell>
          <cell r="B1185" t="str">
            <v>TEG NORTH PARK LLCBARRETT &amp; STOKELY</v>
          </cell>
          <cell r="C1185" t="str">
            <v>1138 WELLINGTON DR</v>
          </cell>
        </row>
        <row r="1186">
          <cell r="A1186">
            <v>61942070</v>
          </cell>
          <cell r="B1186" t="str">
            <v>TEG NORTH PARK LLCBARRETT &amp; STOKELY</v>
          </cell>
          <cell r="C1186" t="str">
            <v>1125 WELLINGTON DR</v>
          </cell>
        </row>
        <row r="1187">
          <cell r="A1187">
            <v>61942090</v>
          </cell>
          <cell r="B1187" t="str">
            <v>TEG NORTH PARK LLCBARRETT &amp; STOKELY</v>
          </cell>
          <cell r="C1187" t="str">
            <v>4613 OXFORD CT</v>
          </cell>
        </row>
        <row r="1188">
          <cell r="A1188">
            <v>61942110</v>
          </cell>
          <cell r="B1188" t="str">
            <v>TEG NORTH PARK LLCBARRETT &amp; STOKELY</v>
          </cell>
          <cell r="C1188" t="str">
            <v>1125 SHERWOOD PARK</v>
          </cell>
        </row>
        <row r="1189">
          <cell r="A1189">
            <v>61942130</v>
          </cell>
          <cell r="B1189" t="str">
            <v>TEG NORTH PARK LLCBARRETT &amp; STOKELY</v>
          </cell>
          <cell r="C1189" t="str">
            <v>1142 WIMBLEDON CT</v>
          </cell>
        </row>
        <row r="1190">
          <cell r="A1190">
            <v>61942150</v>
          </cell>
          <cell r="B1190" t="str">
            <v>TEG NORTH PARK LLCBARRETT &amp; STOKELY</v>
          </cell>
          <cell r="C1190" t="str">
            <v>1137 CHELSEA LN</v>
          </cell>
        </row>
        <row r="1191">
          <cell r="A1191">
            <v>61942170</v>
          </cell>
          <cell r="B1191" t="str">
            <v>TEG NORTH PARK LLCBARRETT &amp; STOKELY</v>
          </cell>
          <cell r="C1191" t="str">
            <v>1124 CHELSEA LN</v>
          </cell>
        </row>
        <row r="1192">
          <cell r="A1192">
            <v>61942190</v>
          </cell>
          <cell r="B1192" t="str">
            <v>TEG NORTH PARK LLCBARRETT &amp; STOKELY</v>
          </cell>
          <cell r="C1192" t="str">
            <v>1130 LIECESTER</v>
          </cell>
        </row>
        <row r="1193">
          <cell r="A1193">
            <v>61942210</v>
          </cell>
          <cell r="B1193" t="str">
            <v>TEG NORTH PARK LLCBARRETT &amp; STOKELY</v>
          </cell>
          <cell r="C1193" t="str">
            <v>4300 N FOURTH AVE</v>
          </cell>
        </row>
        <row r="1194">
          <cell r="A1194">
            <v>61942230</v>
          </cell>
          <cell r="B1194" t="str">
            <v>TEG NORTH PARK LLCBARRETT &amp; STOKELY</v>
          </cell>
          <cell r="C1194" t="str">
            <v>4268 N FOURTH AVE</v>
          </cell>
        </row>
        <row r="1195">
          <cell r="A1195">
            <v>61942250</v>
          </cell>
          <cell r="B1195" t="str">
            <v>TEG NORTH PARK LLCBARRETT &amp; STOKELY</v>
          </cell>
          <cell r="C1195" t="str">
            <v>4218 N FOURTH AVE</v>
          </cell>
        </row>
        <row r="1196">
          <cell r="A1196">
            <v>61942270</v>
          </cell>
          <cell r="B1196" t="str">
            <v>LOCAL 561LABORERS INTERNATION</v>
          </cell>
          <cell r="C1196" t="str">
            <v>951 N PARK DR</v>
          </cell>
        </row>
        <row r="1197">
          <cell r="A1197">
            <v>61942290</v>
          </cell>
          <cell r="B1197" t="str">
            <v>TEG NORTH PARK LLCBARRETT &amp; STOKELY</v>
          </cell>
          <cell r="C1197" t="str">
            <v>4422 N FOURTH AVE</v>
          </cell>
        </row>
        <row r="1198">
          <cell r="A1198">
            <v>61942310</v>
          </cell>
          <cell r="B1198" t="str">
            <v>TEG NORTH PARK LLCBARRETT &amp; STOKELY</v>
          </cell>
          <cell r="C1198" t="str">
            <v>4511 N FOURTH AVE</v>
          </cell>
        </row>
        <row r="1199">
          <cell r="A1199">
            <v>61942330</v>
          </cell>
          <cell r="B1199" t="str">
            <v>TEG NORTH PARK LLCBARRETT &amp; STOKELY</v>
          </cell>
          <cell r="C1199" t="str">
            <v>4605 N FOURTH AVE</v>
          </cell>
        </row>
        <row r="1200">
          <cell r="A1200">
            <v>61942340</v>
          </cell>
          <cell r="B1200" t="str">
            <v>DEACONESS CLINIC INC</v>
          </cell>
          <cell r="C1200" t="str">
            <v>1137 W MILL RD</v>
          </cell>
        </row>
        <row r="1201">
          <cell r="A1201">
            <v>61942350</v>
          </cell>
          <cell r="B1201" t="str">
            <v>C/O EVANSVILLE VANDTHOMPKINS</v>
          </cell>
          <cell r="C1201" t="str">
            <v>42 THOMPKINS</v>
          </cell>
        </row>
        <row r="1202">
          <cell r="A1202">
            <v>61942370</v>
          </cell>
          <cell r="B1202" t="str">
            <v>RUAL KING</v>
          </cell>
          <cell r="C1202" t="str">
            <v>2810 N ST JOE AVE</v>
          </cell>
        </row>
        <row r="1203">
          <cell r="A1203">
            <v>61942390</v>
          </cell>
          <cell r="B1203" t="str">
            <v>RUAL KING SUPPLY</v>
          </cell>
          <cell r="C1203" t="str">
            <v>2800 N ST JOE AVE</v>
          </cell>
        </row>
        <row r="1204">
          <cell r="A1204">
            <v>61942410</v>
          </cell>
          <cell r="B1204" t="str">
            <v>PARKVIEW CONVALESCEN</v>
          </cell>
          <cell r="C1204" t="str">
            <v>2819 N ST JOE AVE</v>
          </cell>
        </row>
        <row r="1205">
          <cell r="A1205">
            <v>61942430</v>
          </cell>
          <cell r="B1205" t="str">
            <v>WAGNER INVEST PROP</v>
          </cell>
          <cell r="C1205" t="str">
            <v>3620 N ST JOE</v>
          </cell>
        </row>
        <row r="1206">
          <cell r="A1206">
            <v>61942440</v>
          </cell>
          <cell r="B1206" t="str">
            <v>AAA AUTO PARTS</v>
          </cell>
          <cell r="C1206" t="str">
            <v>3718 N ST JOE AVE</v>
          </cell>
        </row>
        <row r="1207">
          <cell r="A1207">
            <v>61942450</v>
          </cell>
          <cell r="B1207" t="str">
            <v>H F REFRIGERATION</v>
          </cell>
          <cell r="C1207" t="str">
            <v>2297 COMMERCIAL CT</v>
          </cell>
        </row>
        <row r="1208">
          <cell r="A1208">
            <v>61942490</v>
          </cell>
          <cell r="B1208" t="str">
            <v>EMPIRE CONTRACTORS</v>
          </cell>
          <cell r="C1208" t="str">
            <v>2200 LEXINGTON RD</v>
          </cell>
        </row>
        <row r="1209">
          <cell r="A1209">
            <v>61942495</v>
          </cell>
          <cell r="B1209" t="str">
            <v>INDIANA TUBE CORP</v>
          </cell>
          <cell r="C1209" t="str">
            <v>2100 LEXINGTON RD</v>
          </cell>
        </row>
        <row r="1210">
          <cell r="A1210">
            <v>61942505</v>
          </cell>
          <cell r="B1210" t="str">
            <v>EV PLUMBERS APPRENTITRAINING TRUST FUND</v>
          </cell>
          <cell r="C1210" t="str">
            <v>4301 N ST JOE AVE</v>
          </cell>
        </row>
        <row r="1211">
          <cell r="A1211">
            <v>61942510</v>
          </cell>
          <cell r="B1211" t="str">
            <v>Q T R INC</v>
          </cell>
          <cell r="C1211" t="str">
            <v>2301 ST JOE IND PARK</v>
          </cell>
        </row>
        <row r="1212">
          <cell r="A1212">
            <v>61942530</v>
          </cell>
          <cell r="B1212" t="str">
            <v>PLUMBERS &amp; STEAMFITT</v>
          </cell>
          <cell r="C1212" t="str">
            <v>2300 ST JOE IND PARK</v>
          </cell>
        </row>
        <row r="1213">
          <cell r="A1213">
            <v>61942535</v>
          </cell>
          <cell r="B1213" t="str">
            <v>FAIRMONT SUPPLY COMP</v>
          </cell>
          <cell r="C1213" t="str">
            <v>2534 LOCUST CRK DR</v>
          </cell>
        </row>
        <row r="1214">
          <cell r="A1214">
            <v>61942550</v>
          </cell>
          <cell r="B1214" t="str">
            <v>DSM ENG PLASITCS,INC</v>
          </cell>
          <cell r="C1214" t="str">
            <v>5413 N ST JOE AVE</v>
          </cell>
        </row>
        <row r="1215">
          <cell r="A1215">
            <v>61942560</v>
          </cell>
          <cell r="B1215" t="str">
            <v>MILL CREEK ESTATES</v>
          </cell>
          <cell r="C1215" t="str">
            <v>1901 W MILL RD</v>
          </cell>
        </row>
        <row r="1216">
          <cell r="A1216">
            <v>61942570</v>
          </cell>
          <cell r="B1216" t="str">
            <v>COUNTY GARAGE</v>
          </cell>
          <cell r="C1216" t="str">
            <v>W MILL RD</v>
          </cell>
        </row>
        <row r="1217">
          <cell r="A1217">
            <v>61942590</v>
          </cell>
          <cell r="B1217" t="str">
            <v>N ST JOE AVEWESTBROOK MOBILEHOME</v>
          </cell>
          <cell r="C1217" t="str">
            <v>5901A N ST JOE AVE</v>
          </cell>
        </row>
        <row r="1218">
          <cell r="A1218">
            <v>61942610</v>
          </cell>
          <cell r="B1218" t="str">
            <v>GENE WHITEHEAD</v>
          </cell>
          <cell r="C1218" t="str">
            <v>N ST JOE AVE</v>
          </cell>
        </row>
        <row r="1219">
          <cell r="A1219">
            <v>61942650</v>
          </cell>
          <cell r="B1219" t="str">
            <v>BETHEL SANITARIUM</v>
          </cell>
          <cell r="C1219" t="str">
            <v>5801 TRIBBY LN</v>
          </cell>
        </row>
        <row r="1220">
          <cell r="A1220">
            <v>61942670</v>
          </cell>
          <cell r="B1220" t="str">
            <v>BETHEL SANITARIUM</v>
          </cell>
          <cell r="C1220" t="str">
            <v>5837 KRATZVILLE RD</v>
          </cell>
        </row>
        <row r="1221">
          <cell r="A1221">
            <v>61942690</v>
          </cell>
          <cell r="B1221" t="str">
            <v>BETHEL SANITAR I</v>
          </cell>
          <cell r="C1221" t="str">
            <v>5800 KRATZVILLE RD</v>
          </cell>
        </row>
        <row r="1222">
          <cell r="A1222">
            <v>61942710</v>
          </cell>
          <cell r="B1222" t="str">
            <v>HIGHLAND POINTEBETHEL MANOR</v>
          </cell>
          <cell r="C1222" t="str">
            <v>6015 KRATZVILLE RD</v>
          </cell>
        </row>
        <row r="1223">
          <cell r="A1223">
            <v>61942730</v>
          </cell>
          <cell r="B1223" t="str">
            <v>SALEM METHODIST</v>
          </cell>
          <cell r="C1223" t="str">
            <v>6311 KRATZVILLE RD</v>
          </cell>
        </row>
        <row r="1224">
          <cell r="A1224">
            <v>61942750</v>
          </cell>
          <cell r="B1224" t="str">
            <v>ROY RITZERT</v>
          </cell>
          <cell r="C1224" t="str">
            <v>6407 KRATZVILLE RD</v>
          </cell>
        </row>
        <row r="1225">
          <cell r="A1225">
            <v>61942770</v>
          </cell>
          <cell r="B1225" t="str">
            <v>7 OAKS PROP LLC</v>
          </cell>
          <cell r="C1225" t="str">
            <v>6951 ARLA JANE DR</v>
          </cell>
        </row>
        <row r="1226">
          <cell r="A1226">
            <v>61942790</v>
          </cell>
          <cell r="B1226" t="str">
            <v>7 OAKS PROP LLC</v>
          </cell>
          <cell r="C1226" t="str">
            <v>6911 ARLA JANE DR</v>
          </cell>
        </row>
        <row r="1227">
          <cell r="A1227">
            <v>61942810</v>
          </cell>
          <cell r="B1227" t="str">
            <v>7 OAKS PROP LLC</v>
          </cell>
          <cell r="C1227" t="str">
            <v>6951 ARLA JANE DR</v>
          </cell>
        </row>
        <row r="1228">
          <cell r="A1228">
            <v>61942830</v>
          </cell>
          <cell r="B1228" t="str">
            <v>7 OAKS PROP LLC</v>
          </cell>
          <cell r="C1228" t="str">
            <v>6951 ARLA JANE DR</v>
          </cell>
        </row>
        <row r="1229">
          <cell r="A1229">
            <v>61942850</v>
          </cell>
          <cell r="B1229" t="str">
            <v>7 OAKS PROP LLC</v>
          </cell>
          <cell r="C1229" t="str">
            <v>6951 ARLA JANE DR</v>
          </cell>
        </row>
        <row r="1230">
          <cell r="A1230">
            <v>61942890</v>
          </cell>
          <cell r="B1230" t="str">
            <v>WOLF'S BAR-B-Q INC</v>
          </cell>
          <cell r="C1230" t="str">
            <v>6669 KRATZVILLE RD</v>
          </cell>
        </row>
        <row r="1231">
          <cell r="A1231">
            <v>61942910</v>
          </cell>
          <cell r="B1231" t="str">
            <v>KENNETH HELM</v>
          </cell>
          <cell r="C1231" t="str">
            <v>6600 N FIRST AVE</v>
          </cell>
        </row>
        <row r="1232">
          <cell r="A1232">
            <v>61942930</v>
          </cell>
          <cell r="B1232" t="str">
            <v>WOLF'S BARBECUE</v>
          </cell>
          <cell r="C1232" t="str">
            <v>6600 N FIRST AVE</v>
          </cell>
        </row>
        <row r="1233">
          <cell r="A1233">
            <v>61942950</v>
          </cell>
          <cell r="B1233" t="str">
            <v>ZIEMER FUNERAL HOME</v>
          </cell>
          <cell r="C1233" t="str">
            <v>6310 N FIRST AVE</v>
          </cell>
        </row>
        <row r="1234">
          <cell r="A1234">
            <v>61942970</v>
          </cell>
          <cell r="B1234" t="str">
            <v>C/O EVANSVILLE VANDHIGHLAND</v>
          </cell>
          <cell r="C1234" t="str">
            <v>30 HIGHLAND</v>
          </cell>
        </row>
        <row r="1235">
          <cell r="A1235">
            <v>61943230</v>
          </cell>
          <cell r="B1235" t="str">
            <v>VAND CO 4-H CENTER</v>
          </cell>
          <cell r="C1235" t="str">
            <v>201 E BNVL NH RD</v>
          </cell>
        </row>
        <row r="1236">
          <cell r="A1236">
            <v>61943250</v>
          </cell>
          <cell r="B1236" t="str">
            <v>COMMUNITY CENTERTTT CHRISTIAN</v>
          </cell>
          <cell r="C1236" t="str">
            <v>12814 HWY 41 N</v>
          </cell>
        </row>
        <row r="1237">
          <cell r="A1237">
            <v>61943280</v>
          </cell>
          <cell r="B1237" t="str">
            <v>UNITED METHODISTCENTENARY</v>
          </cell>
          <cell r="C1237" t="str">
            <v>14340B OLD STATE RD</v>
          </cell>
        </row>
        <row r="1238">
          <cell r="A1238">
            <v>61943300</v>
          </cell>
          <cell r="B1238" t="str">
            <v>KOESTER 41 PROP INC</v>
          </cell>
          <cell r="C1238" t="str">
            <v>14649B HWY 41 N</v>
          </cell>
        </row>
        <row r="1239">
          <cell r="A1239">
            <v>61943310</v>
          </cell>
          <cell r="B1239" t="str">
            <v>INDIANA STATE POLICEINDIANA GOV CNTR N</v>
          </cell>
          <cell r="C1239" t="str">
            <v>19411 HWY 41 N</v>
          </cell>
        </row>
        <row r="1240">
          <cell r="A1240">
            <v>61943330</v>
          </cell>
          <cell r="B1240" t="str">
            <v>BUSLER ENTERPRISES</v>
          </cell>
          <cell r="C1240" t="str">
            <v>I-64 HWY 41 NORTH</v>
          </cell>
        </row>
        <row r="1241">
          <cell r="A1241">
            <v>61943358</v>
          </cell>
          <cell r="B1241" t="str">
            <v>DENNYS'S DINER #316</v>
          </cell>
          <cell r="C1241" t="str">
            <v>19501 ELPERS RD</v>
          </cell>
        </row>
        <row r="1242">
          <cell r="A1242">
            <v>61943360</v>
          </cell>
          <cell r="B1242" t="str">
            <v>HOLIDAY INN EXPRESS</v>
          </cell>
          <cell r="C1242" t="str">
            <v>19600 ELPERS RD</v>
          </cell>
        </row>
        <row r="1243">
          <cell r="A1243">
            <v>61943365</v>
          </cell>
          <cell r="B1243" t="str">
            <v>ATTN ACCOUNT PAYABLESTE 140 BOX 8</v>
          </cell>
          <cell r="C1243" t="str">
            <v>15700 HWY 41 N</v>
          </cell>
        </row>
        <row r="1244">
          <cell r="A1244">
            <v>61943370</v>
          </cell>
          <cell r="B1244" t="str">
            <v>MCDONALDS CORPCOLUMBUS ACCT M4131</v>
          </cell>
          <cell r="C1244" t="str">
            <v>19700 HWY 41 N</v>
          </cell>
        </row>
        <row r="1245">
          <cell r="A1245">
            <v>61943382</v>
          </cell>
          <cell r="B1245" t="str">
            <v>COMFORT INN</v>
          </cell>
          <cell r="C1245" t="str">
            <v>19622 ELPERS RD</v>
          </cell>
        </row>
        <row r="1246">
          <cell r="A1246">
            <v>61943385</v>
          </cell>
          <cell r="B1246" t="str">
            <v>SUPER 8 MOTEL NORTHVISHNU CORP</v>
          </cell>
          <cell r="C1246" t="str">
            <v>19601 ELPERS RD</v>
          </cell>
        </row>
        <row r="1247">
          <cell r="A1247">
            <v>61943392</v>
          </cell>
          <cell r="B1247" t="str">
            <v>REPLAS INC MATRIXX</v>
          </cell>
          <cell r="C1247" t="str">
            <v>15000 HWY 41 N</v>
          </cell>
        </row>
        <row r="1248">
          <cell r="A1248">
            <v>61943400</v>
          </cell>
          <cell r="B1248" t="str">
            <v>IND DEPT OF TRANSPI D O T</v>
          </cell>
          <cell r="C1248" t="str">
            <v>16601 BOYLE LN</v>
          </cell>
        </row>
        <row r="1249">
          <cell r="A1249">
            <v>61943410</v>
          </cell>
          <cell r="B1249" t="str">
            <v>PPG INDUSTRIES</v>
          </cell>
          <cell r="C1249" t="str">
            <v>424 E INGLEFIELD RD</v>
          </cell>
        </row>
        <row r="1250">
          <cell r="A1250">
            <v>61943420</v>
          </cell>
          <cell r="B1250" t="str">
            <v>I N D O T</v>
          </cell>
          <cell r="C1250" t="str">
            <v>16619 BOYLE LN</v>
          </cell>
        </row>
        <row r="1251">
          <cell r="A1251">
            <v>61943423</v>
          </cell>
          <cell r="B1251" t="str">
            <v>MCDONALDS #5113</v>
          </cell>
          <cell r="C1251" t="str">
            <v>999 E MT PLEASANT</v>
          </cell>
        </row>
        <row r="1252">
          <cell r="A1252">
            <v>61943425</v>
          </cell>
          <cell r="B1252" t="str">
            <v>CIRCLE S FOOD MART</v>
          </cell>
          <cell r="C1252" t="str">
            <v>11001 HWY 41 N</v>
          </cell>
        </row>
        <row r="1253">
          <cell r="A1253">
            <v>61943490</v>
          </cell>
          <cell r="B1253" t="str">
            <v>WOLFORD INVESTMENTS</v>
          </cell>
          <cell r="C1253" t="str">
            <v>20 E CAMP GROUND RD</v>
          </cell>
        </row>
        <row r="1254">
          <cell r="A1254">
            <v>61943510</v>
          </cell>
          <cell r="B1254" t="str">
            <v>SENATE ESTATES BLDG</v>
          </cell>
          <cell r="C1254" t="str">
            <v>700 SENATE AVE</v>
          </cell>
        </row>
        <row r="1255">
          <cell r="A1255">
            <v>61943525</v>
          </cell>
          <cell r="B1255" t="str">
            <v>SOONCHAE J HERZER</v>
          </cell>
          <cell r="C1255" t="str">
            <v>211 E MILL RD</v>
          </cell>
        </row>
        <row r="1256">
          <cell r="A1256">
            <v>61943530</v>
          </cell>
          <cell r="B1256" t="str">
            <v>CHURCHBETHANY CHRISTIAN</v>
          </cell>
          <cell r="C1256" t="str">
            <v>601 E MILL RD</v>
          </cell>
        </row>
        <row r="1257">
          <cell r="A1257">
            <v>61943550</v>
          </cell>
          <cell r="B1257" t="str">
            <v>CATHOLIC CENTER ACT</v>
          </cell>
          <cell r="C1257" t="str">
            <v>KY &amp; HESMERRD AVE</v>
          </cell>
        </row>
        <row r="1258">
          <cell r="A1258">
            <v>61943570</v>
          </cell>
          <cell r="B1258" t="str">
            <v>SARTO RETREAT HOUSECATHOLIC CENTER</v>
          </cell>
          <cell r="C1258" t="str">
            <v>4200 N KENTUCKY AVE</v>
          </cell>
        </row>
        <row r="1259">
          <cell r="A1259">
            <v>61943600</v>
          </cell>
          <cell r="B1259" t="str">
            <v>CAROL M CHRISTMAN</v>
          </cell>
          <cell r="C1259" t="str">
            <v>605 PFEIFFERRD</v>
          </cell>
        </row>
        <row r="1260">
          <cell r="A1260">
            <v>61943650</v>
          </cell>
          <cell r="B1260" t="str">
            <v>ANGELA S ROCCA</v>
          </cell>
          <cell r="C1260" t="str">
            <v>300 E BUENA VIS</v>
          </cell>
        </row>
        <row r="1261">
          <cell r="A1261">
            <v>61943660</v>
          </cell>
          <cell r="B1261" t="str">
            <v>STANLEY R NEVILL DDS</v>
          </cell>
          <cell r="C1261" t="str">
            <v>246 E BUENA VIS</v>
          </cell>
        </row>
        <row r="1262">
          <cell r="A1262">
            <v>61943670</v>
          </cell>
          <cell r="B1262" t="str">
            <v>EVANSVILLE INCFARM BOY MEATS OF</v>
          </cell>
          <cell r="C1262" t="str">
            <v>2761 N KENTUCKY AVE</v>
          </cell>
        </row>
        <row r="1263">
          <cell r="A1263">
            <v>61943710</v>
          </cell>
          <cell r="B1263" t="str">
            <v>C/O EVANSVILLE VANDEVANS</v>
          </cell>
          <cell r="C1263" t="str">
            <v>21 EVANS AVE</v>
          </cell>
        </row>
        <row r="1264">
          <cell r="A1264">
            <v>61943730</v>
          </cell>
          <cell r="B1264" t="str">
            <v>CALICOURT PROP LLC</v>
          </cell>
          <cell r="C1264" t="str">
            <v>2760 N KENTUCKY AVE</v>
          </cell>
        </row>
        <row r="1265">
          <cell r="A1265">
            <v>61943780</v>
          </cell>
          <cell r="B1265" t="str">
            <v>RICK SCHOLZDBA R&amp;K INVESTMENTS</v>
          </cell>
          <cell r="C1265" t="str">
            <v>2511 N KENTUCKY AVE</v>
          </cell>
        </row>
        <row r="1266">
          <cell r="A1266">
            <v>68020000</v>
          </cell>
          <cell r="B1266" t="str">
            <v>FACULTIES IQ MS 1348111 CROSSROADS OF CO</v>
          </cell>
          <cell r="C1266" t="str">
            <v>901 E DIAMOND AVE</v>
          </cell>
        </row>
        <row r="1267">
          <cell r="A1267">
            <v>68020010</v>
          </cell>
          <cell r="B1267" t="str">
            <v>CRESCENT PLASTIC</v>
          </cell>
          <cell r="C1267" t="str">
            <v>955 E DIAMOND AVE</v>
          </cell>
        </row>
        <row r="1268">
          <cell r="A1268">
            <v>68020030</v>
          </cell>
          <cell r="B1268" t="str">
            <v>CORBETT GROUP LLC</v>
          </cell>
          <cell r="C1268" t="str">
            <v>1003 E DIAMOND AVE</v>
          </cell>
        </row>
        <row r="1269">
          <cell r="A1269">
            <v>68020050</v>
          </cell>
          <cell r="B1269" t="str">
            <v>ADCO PRODUCTS</v>
          </cell>
          <cell r="C1269" t="str">
            <v>1175 E DIAMOND AVE</v>
          </cell>
        </row>
        <row r="1270">
          <cell r="A1270">
            <v>68020070</v>
          </cell>
          <cell r="B1270" t="str">
            <v>ADCO PRODUCTS</v>
          </cell>
          <cell r="C1270" t="str">
            <v>1171 E DIAMOND AVE</v>
          </cell>
        </row>
        <row r="1271">
          <cell r="A1271">
            <v>68020080</v>
          </cell>
          <cell r="B1271" t="str">
            <v>INDUSTRIAL SERVICESMGMT INC</v>
          </cell>
          <cell r="C1271" t="str">
            <v>1147 WEDEKING AVE</v>
          </cell>
        </row>
        <row r="1272">
          <cell r="A1272">
            <v>68020085</v>
          </cell>
          <cell r="B1272" t="str">
            <v>ADCO PRODUCTS</v>
          </cell>
          <cell r="C1272" t="str">
            <v>1176 WEDEKING AVE</v>
          </cell>
        </row>
        <row r="1273">
          <cell r="A1273">
            <v>68020090</v>
          </cell>
          <cell r="B1273" t="str">
            <v>ADCO PRODUCTS</v>
          </cell>
          <cell r="C1273" t="str">
            <v>1170 WEDEKING AVE</v>
          </cell>
        </row>
        <row r="1274">
          <cell r="A1274">
            <v>68020150</v>
          </cell>
          <cell r="B1274" t="str">
            <v>INDUSTRIAL SERVICESMGMT INC</v>
          </cell>
          <cell r="C1274" t="str">
            <v>1147 WEDEKING AVE</v>
          </cell>
        </row>
        <row r="1275">
          <cell r="A1275">
            <v>68020210</v>
          </cell>
          <cell r="B1275" t="str">
            <v>RABEN TIRE</v>
          </cell>
          <cell r="C1275" t="str">
            <v>2100 N NEW YORK AVE</v>
          </cell>
        </row>
        <row r="1276">
          <cell r="A1276">
            <v>68020230</v>
          </cell>
          <cell r="B1276" t="str">
            <v>PRESCOTECH</v>
          </cell>
          <cell r="C1276" t="str">
            <v>2000 N NEW YORK AVE</v>
          </cell>
        </row>
        <row r="1277">
          <cell r="A1277">
            <v>68020250</v>
          </cell>
          <cell r="B1277" t="str">
            <v>INDUSTRIAL SERVICEMGMT INC</v>
          </cell>
          <cell r="C1277" t="str">
            <v>2001 N NEW YORK AVE</v>
          </cell>
        </row>
        <row r="1278">
          <cell r="A1278">
            <v>68020270</v>
          </cell>
          <cell r="B1278" t="str">
            <v>INDUSTRIAL SERVICESMGMT INC</v>
          </cell>
          <cell r="C1278" t="str">
            <v>2001 N NEW YORK AVE</v>
          </cell>
        </row>
        <row r="1279">
          <cell r="A1279">
            <v>68020290</v>
          </cell>
          <cell r="B1279" t="str">
            <v>INDUSTRIAL SERVICESMGMT INC</v>
          </cell>
          <cell r="C1279" t="str">
            <v>1900 N NEW YORK AVE</v>
          </cell>
        </row>
        <row r="1280">
          <cell r="A1280">
            <v>68020310</v>
          </cell>
          <cell r="B1280" t="str">
            <v>GOEBEL MECHANICAL</v>
          </cell>
          <cell r="C1280" t="str">
            <v>1025 REIS AVE</v>
          </cell>
        </row>
        <row r="1281">
          <cell r="A1281">
            <v>68020330</v>
          </cell>
          <cell r="B1281" t="str">
            <v>FETTER PROPERTIES</v>
          </cell>
          <cell r="C1281" t="str">
            <v>1167 REIS AVE</v>
          </cell>
        </row>
        <row r="1282">
          <cell r="A1282">
            <v>68020370</v>
          </cell>
          <cell r="B1282" t="str">
            <v>INSIGHT COMMUNICATIO</v>
          </cell>
          <cell r="C1282" t="str">
            <v>1150 MAXWELL AVE</v>
          </cell>
        </row>
        <row r="1283">
          <cell r="A1283">
            <v>68020390</v>
          </cell>
          <cell r="B1283" t="str">
            <v>MILLS BODY SHOP</v>
          </cell>
          <cell r="C1283" t="str">
            <v>1018 MAXWELL AVE</v>
          </cell>
        </row>
        <row r="1284">
          <cell r="A1284">
            <v>68020410</v>
          </cell>
          <cell r="B1284" t="str">
            <v>DRYWALL COHAHN'S BROTHERS</v>
          </cell>
          <cell r="C1284" t="str">
            <v>1006 MAXWELL AVE</v>
          </cell>
        </row>
        <row r="1285">
          <cell r="A1285">
            <v>68020430</v>
          </cell>
          <cell r="B1285" t="str">
            <v>DBA INDUSTRIAL SRERVVAN ZANT ENTERPRIS</v>
          </cell>
          <cell r="C1285" t="str">
            <v>1125 MAXWELL AVE</v>
          </cell>
        </row>
        <row r="1286">
          <cell r="A1286">
            <v>68020490</v>
          </cell>
          <cell r="B1286" t="str">
            <v>JORGENSEN PETROLEUMMAINTENANCE INC</v>
          </cell>
          <cell r="C1286" t="str">
            <v>921 KECK AVE</v>
          </cell>
        </row>
        <row r="1287">
          <cell r="A1287">
            <v>68020530</v>
          </cell>
          <cell r="B1287" t="str">
            <v>HAHN PROPERTIES</v>
          </cell>
          <cell r="C1287" t="str">
            <v>1625 N GARVIN ST</v>
          </cell>
        </row>
        <row r="1288">
          <cell r="A1288">
            <v>68020550</v>
          </cell>
          <cell r="B1288" t="str">
            <v>ESCALADE SPORTS</v>
          </cell>
          <cell r="C1288" t="str">
            <v>817 MAXWELL AVE</v>
          </cell>
        </row>
        <row r="1289">
          <cell r="A1289">
            <v>68020590</v>
          </cell>
          <cell r="B1289" t="str">
            <v>VINDHURST SHEET META</v>
          </cell>
          <cell r="C1289" t="str">
            <v>2010 N GRAND AVE</v>
          </cell>
        </row>
        <row r="1290">
          <cell r="A1290">
            <v>68020650</v>
          </cell>
          <cell r="B1290" t="str">
            <v>FED CREDIT UNIONDIAMOND VALLEY</v>
          </cell>
          <cell r="C1290" t="str">
            <v>840 E DIAMOND AVE</v>
          </cell>
        </row>
        <row r="1291">
          <cell r="A1291">
            <v>68020670</v>
          </cell>
          <cell r="B1291" t="str">
            <v>METHODIST CHURCHALBRIGHT UNITED</v>
          </cell>
          <cell r="C1291" t="str">
            <v>606 VAN DUSEN AVE</v>
          </cell>
        </row>
        <row r="1292">
          <cell r="A1292">
            <v>68020690</v>
          </cell>
          <cell r="B1292" t="str">
            <v>STEVEN R HAHN</v>
          </cell>
          <cell r="C1292" t="str">
            <v>2411 N SHERMAN ST</v>
          </cell>
        </row>
        <row r="1293">
          <cell r="A1293">
            <v>68020710</v>
          </cell>
          <cell r="B1293" t="str">
            <v>BUSLER ENTERPRISES</v>
          </cell>
          <cell r="C1293" t="str">
            <v>652A E DIAMOND AVE</v>
          </cell>
        </row>
        <row r="1294">
          <cell r="A1294">
            <v>68020730</v>
          </cell>
          <cell r="B1294" t="str">
            <v>SHERWIN-WILLIAMS</v>
          </cell>
          <cell r="C1294" t="str">
            <v>620 E DIAMOND AVE</v>
          </cell>
        </row>
        <row r="1295">
          <cell r="A1295">
            <v>68020750</v>
          </cell>
          <cell r="B1295" t="str">
            <v>TRADERBAKER'S FLEAMARKET</v>
          </cell>
          <cell r="C1295" t="str">
            <v>242B E DIAMOND AVE</v>
          </cell>
        </row>
        <row r="1296">
          <cell r="A1296">
            <v>68020790</v>
          </cell>
          <cell r="B1296" t="str">
            <v>KOOL SMILES, PCSTE 800</v>
          </cell>
          <cell r="C1296" t="str">
            <v>400 E DIAMOND AVE</v>
          </cell>
        </row>
        <row r="1297">
          <cell r="A1297">
            <v>68020810</v>
          </cell>
          <cell r="B1297" t="str">
            <v>UNITED PARCEL SERVINEVA-E'VILLE 4770</v>
          </cell>
          <cell r="C1297" t="str">
            <v>21 NEGLEY AVE</v>
          </cell>
        </row>
        <row r="1298">
          <cell r="A1298">
            <v>68020820</v>
          </cell>
          <cell r="B1298" t="str">
            <v>NORTHSIDE CHEVROLET</v>
          </cell>
          <cell r="C1298" t="str">
            <v>140 E DIAMOND AVE</v>
          </cell>
        </row>
        <row r="1299">
          <cell r="A1299">
            <v>68020830</v>
          </cell>
          <cell r="B1299" t="str">
            <v>TACIT SOLUTIONS INC</v>
          </cell>
          <cell r="C1299" t="str">
            <v>2312 N HEIDELBACH</v>
          </cell>
        </row>
        <row r="1300">
          <cell r="A1300">
            <v>68020840</v>
          </cell>
          <cell r="B1300" t="str">
            <v>SERVICES INCCASHLAND FINANCIAL</v>
          </cell>
          <cell r="C1300" t="str">
            <v>301 E DIAMOND AVE</v>
          </cell>
        </row>
        <row r="1301">
          <cell r="A1301">
            <v>68020850</v>
          </cell>
          <cell r="B1301" t="str">
            <v>FIFTH THIRD BANK</v>
          </cell>
          <cell r="C1301" t="str">
            <v>691 E DIAMOND AVE</v>
          </cell>
        </row>
        <row r="1302">
          <cell r="A1302">
            <v>68020870</v>
          </cell>
          <cell r="B1302" t="str">
            <v>C/O EVANSVILLE VANDNORTH ANNEX</v>
          </cell>
          <cell r="C1302" t="str">
            <v>62 N ANX</v>
          </cell>
        </row>
        <row r="1303">
          <cell r="A1303">
            <v>68020890</v>
          </cell>
          <cell r="B1303" t="str">
            <v>RAY ELPERS</v>
          </cell>
          <cell r="C1303" t="str">
            <v>320 REIS AVE</v>
          </cell>
        </row>
        <row r="1304">
          <cell r="A1304">
            <v>68020910</v>
          </cell>
          <cell r="B1304" t="str">
            <v>ANGLICAN CHURCHST ANDREWS</v>
          </cell>
          <cell r="C1304" t="str">
            <v>523 REIS AVE</v>
          </cell>
        </row>
        <row r="1305">
          <cell r="A1305">
            <v>68020930</v>
          </cell>
          <cell r="B1305" t="str">
            <v>SIGN CRAFTERS INC</v>
          </cell>
          <cell r="C1305" t="str">
            <v>1508 STRINGTOWN RD</v>
          </cell>
        </row>
        <row r="1306">
          <cell r="A1306">
            <v>68020940</v>
          </cell>
          <cell r="B1306" t="str">
            <v>BODY PANELS CO</v>
          </cell>
          <cell r="C1306" t="str">
            <v>1101 N GOVERNOR ST</v>
          </cell>
        </row>
        <row r="1307">
          <cell r="A1307">
            <v>68020950</v>
          </cell>
          <cell r="B1307" t="str">
            <v>WHITTLEYS LAWN CARE</v>
          </cell>
          <cell r="C1307" t="str">
            <v>1104 N GOVERNOR</v>
          </cell>
        </row>
        <row r="1308">
          <cell r="A1308">
            <v>68020970</v>
          </cell>
          <cell r="B1308" t="str">
            <v>GARVIN ST WAREHOUSE</v>
          </cell>
          <cell r="C1308" t="str">
            <v>1501 N GARVIN ST</v>
          </cell>
        </row>
        <row r="1309">
          <cell r="A1309">
            <v>68020990</v>
          </cell>
          <cell r="B1309" t="str">
            <v>MEL-KAY ELECTRIC CO</v>
          </cell>
          <cell r="C1309" t="str">
            <v>1511 N GARVIN ST</v>
          </cell>
        </row>
        <row r="1310">
          <cell r="A1310">
            <v>68021020</v>
          </cell>
          <cell r="B1310" t="str">
            <v>INDIAN INDUSTRIES</v>
          </cell>
          <cell r="C1310" t="str">
            <v>817A MAXWELL AVE</v>
          </cell>
        </row>
        <row r="1311">
          <cell r="A1311">
            <v>68021030</v>
          </cell>
          <cell r="B1311" t="str">
            <v>JIC ENTERPRISES INC</v>
          </cell>
          <cell r="C1311" t="str">
            <v>1401 N EVANS AVE</v>
          </cell>
        </row>
        <row r="1312">
          <cell r="A1312">
            <v>68021050</v>
          </cell>
          <cell r="B1312" t="str">
            <v>VICTORIA PROPERTIES</v>
          </cell>
          <cell r="C1312" t="str">
            <v>805 E LOUISIANA ST</v>
          </cell>
        </row>
        <row r="1313">
          <cell r="A1313">
            <v>68021070</v>
          </cell>
          <cell r="B1313" t="str">
            <v>SHREDX</v>
          </cell>
          <cell r="C1313" t="str">
            <v>816 E LOUISIANA ST</v>
          </cell>
        </row>
        <row r="1314">
          <cell r="A1314">
            <v>68021150</v>
          </cell>
          <cell r="B1314" t="str">
            <v>BRINKS INADVANTAGE IQ-MS1590</v>
          </cell>
          <cell r="C1314" t="str">
            <v>331 E FLORIDA ST</v>
          </cell>
        </row>
        <row r="1315">
          <cell r="A1315">
            <v>68021170</v>
          </cell>
          <cell r="B1315" t="str">
            <v>BMS</v>
          </cell>
          <cell r="C1315" t="str">
            <v>1320 N ELLIOTT ST</v>
          </cell>
        </row>
        <row r="1316">
          <cell r="A1316">
            <v>68021190</v>
          </cell>
          <cell r="B1316" t="str">
            <v>GRACE BAPTIST CH</v>
          </cell>
          <cell r="C1316" t="str">
            <v>1213 N ELLIOTT ST</v>
          </cell>
        </row>
        <row r="1317">
          <cell r="A1317">
            <v>68021210</v>
          </cell>
          <cell r="B1317" t="str">
            <v>ARENA OF FAITH</v>
          </cell>
          <cell r="C1317" t="str">
            <v>1100 N ELLIOTT ST</v>
          </cell>
        </row>
        <row r="1318">
          <cell r="A1318">
            <v>68021230</v>
          </cell>
          <cell r="B1318" t="str">
            <v>C/O EVANSVILLE VANDDELAWARE</v>
          </cell>
          <cell r="C1318" t="str">
            <v>19 E DELAWARE ST</v>
          </cell>
        </row>
        <row r="1319">
          <cell r="A1319">
            <v>68021250</v>
          </cell>
          <cell r="B1319" t="str">
            <v>KLIPSCH ENTERPRISES</v>
          </cell>
          <cell r="C1319" t="str">
            <v>818 E COLUMBIA ST</v>
          </cell>
        </row>
        <row r="1320">
          <cell r="A1320">
            <v>68021290</v>
          </cell>
          <cell r="B1320" t="str">
            <v>FEIGEL CONSTJ H RUDOLPH CO</v>
          </cell>
          <cell r="C1320" t="str">
            <v>903 E COLUMBIA ST</v>
          </cell>
        </row>
        <row r="1321">
          <cell r="A1321">
            <v>68021310</v>
          </cell>
          <cell r="B1321" t="str">
            <v>MALEY &amp; WERTZ LU</v>
          </cell>
          <cell r="C1321" t="str">
            <v>900 E COLUMBIA ST</v>
          </cell>
        </row>
        <row r="1322">
          <cell r="A1322">
            <v>68021330</v>
          </cell>
          <cell r="B1322" t="str">
            <v>VARNISH CORED SPOT PAINT AND</v>
          </cell>
          <cell r="C1322" t="str">
            <v>966 E COLUMBIA ST</v>
          </cell>
        </row>
        <row r="1323">
          <cell r="A1323">
            <v>68021350</v>
          </cell>
          <cell r="B1323" t="str">
            <v>VARNISH CORED SPOT PAINT AND</v>
          </cell>
          <cell r="C1323" t="str">
            <v>966 E COLUMBIA ST</v>
          </cell>
        </row>
        <row r="1324">
          <cell r="A1324">
            <v>68021370</v>
          </cell>
          <cell r="B1324" t="str">
            <v>FLANDERS ELECT CO</v>
          </cell>
          <cell r="C1324" t="str">
            <v>1050 E MARYLAND ST</v>
          </cell>
        </row>
        <row r="1325">
          <cell r="A1325">
            <v>68021410</v>
          </cell>
          <cell r="B1325" t="str">
            <v>KELLER CRESCENT</v>
          </cell>
          <cell r="C1325" t="str">
            <v>E LOUISIANA &amp; KERTH</v>
          </cell>
        </row>
        <row r="1326">
          <cell r="A1326">
            <v>68021430</v>
          </cell>
          <cell r="B1326" t="str">
            <v>INDURALL COATINGRED SPOT PAINT AND</v>
          </cell>
          <cell r="C1326" t="str">
            <v>1001 E LOUISIANA ST</v>
          </cell>
        </row>
        <row r="1327">
          <cell r="A1327">
            <v>68021450</v>
          </cell>
          <cell r="B1327" t="str">
            <v>VARNISH CO INCRED SPOT PAINT &amp;</v>
          </cell>
          <cell r="C1327" t="str">
            <v>1111 E LOUISIANA ST</v>
          </cell>
        </row>
        <row r="1328">
          <cell r="A1328">
            <v>68021460</v>
          </cell>
          <cell r="B1328" t="str">
            <v>SECURITY INCCRESCENT CITY</v>
          </cell>
          <cell r="C1328" t="str">
            <v>810 N FARES AVE</v>
          </cell>
        </row>
        <row r="1329">
          <cell r="A1329">
            <v>68021470</v>
          </cell>
          <cell r="B1329" t="str">
            <v>BOBS LOUNGE INC</v>
          </cell>
          <cell r="C1329" t="str">
            <v>907 N FARES AVE</v>
          </cell>
        </row>
        <row r="1330">
          <cell r="A1330">
            <v>68021510</v>
          </cell>
          <cell r="B1330" t="str">
            <v>TRI-STATE REPAIR SER</v>
          </cell>
          <cell r="C1330" t="str">
            <v>1327 N FARES AVE</v>
          </cell>
        </row>
        <row r="1331">
          <cell r="A1331">
            <v>68021530</v>
          </cell>
          <cell r="B1331" t="str">
            <v>DANCO CONST INC</v>
          </cell>
          <cell r="C1331" t="str">
            <v>1401 N FARES AVE</v>
          </cell>
        </row>
        <row r="1332">
          <cell r="A1332">
            <v>68021590</v>
          </cell>
          <cell r="B1332" t="str">
            <v>VICTORIA PROPERTIES</v>
          </cell>
          <cell r="C1332" t="str">
            <v>1400 N FARES AVE</v>
          </cell>
        </row>
        <row r="1333">
          <cell r="A1333">
            <v>68021610</v>
          </cell>
          <cell r="B1333" t="str">
            <v>GRIBBINS INSTAL CO</v>
          </cell>
          <cell r="C1333" t="str">
            <v>1409 E MARYLAND ST</v>
          </cell>
        </row>
        <row r="1334">
          <cell r="A1334">
            <v>68021650</v>
          </cell>
          <cell r="B1334" t="str">
            <v>SERVICE LLCATTN ACCTS PAYABLE</v>
          </cell>
          <cell r="C1334" t="str">
            <v>1200 N WILLOW RD</v>
          </cell>
        </row>
        <row r="1335">
          <cell r="A1335">
            <v>68021670</v>
          </cell>
          <cell r="B1335" t="str">
            <v>SWAN INVESTMENTSEVILLE ESQUIRE INN</v>
          </cell>
          <cell r="C1335" t="str">
            <v>1719 HWY 41 N</v>
          </cell>
        </row>
        <row r="1336">
          <cell r="A1336">
            <v>68021690</v>
          </cell>
          <cell r="B1336" t="str">
            <v>INLAND MANAGEMENTSERVICE</v>
          </cell>
          <cell r="C1336" t="str">
            <v>1273 MAXWELL AVE</v>
          </cell>
        </row>
        <row r="1337">
          <cell r="A1337">
            <v>68021710</v>
          </cell>
          <cell r="B1337" t="str">
            <v>SWAN INVESTMENTS INCEVILLE ESQUIRE INN</v>
          </cell>
          <cell r="C1337" t="str">
            <v>1817 HWY 41 N</v>
          </cell>
        </row>
        <row r="1338">
          <cell r="A1338">
            <v>68021730</v>
          </cell>
          <cell r="B1338" t="str">
            <v>SWAN INVESTMENTS INCEVILLE ESQUIRE INN</v>
          </cell>
          <cell r="C1338" t="str">
            <v>1817 HWY 41 N</v>
          </cell>
        </row>
        <row r="1339">
          <cell r="A1339">
            <v>68021750</v>
          </cell>
          <cell r="B1339" t="str">
            <v>H G PATELGREER MOTEL</v>
          </cell>
          <cell r="C1339" t="str">
            <v>1901 N FARES AVE</v>
          </cell>
        </row>
        <row r="1340">
          <cell r="A1340">
            <v>68021770</v>
          </cell>
          <cell r="B1340" t="str">
            <v>ATTN ACCTS PAYABLEBROWNING FERRIS IND</v>
          </cell>
          <cell r="C1340" t="str">
            <v>2017 N FARES AVE</v>
          </cell>
        </row>
        <row r="1341">
          <cell r="A1341">
            <v>68021790</v>
          </cell>
          <cell r="B1341" t="str">
            <v>ARROWHEAD MOTELHASMUKH PATEL</v>
          </cell>
          <cell r="C1341" t="str">
            <v>2013 HWY 41 N</v>
          </cell>
        </row>
        <row r="1342">
          <cell r="A1342">
            <v>68021810</v>
          </cell>
          <cell r="B1342" t="str">
            <v>2211 N FARES 5163CAR QUEST OF EVILLE</v>
          </cell>
          <cell r="C1342" t="str">
            <v>2124 N WILLOW RD</v>
          </cell>
        </row>
        <row r="1343">
          <cell r="A1343">
            <v>68021830</v>
          </cell>
          <cell r="B1343" t="str">
            <v>BEYERS RV WORLD</v>
          </cell>
          <cell r="C1343" t="str">
            <v>2225 HWY 41 N</v>
          </cell>
        </row>
        <row r="1344">
          <cell r="A1344">
            <v>68021840</v>
          </cell>
          <cell r="B1344" t="str">
            <v>C S X TRANS 39906</v>
          </cell>
          <cell r="C1344" t="str">
            <v>LYNCH RD WANSFORD</v>
          </cell>
        </row>
        <row r="1345">
          <cell r="A1345">
            <v>68021850</v>
          </cell>
          <cell r="B1345" t="str">
            <v>YEROLEMOS LLC</v>
          </cell>
          <cell r="C1345" t="str">
            <v>2508 HWY 41 N</v>
          </cell>
        </row>
        <row r="1346">
          <cell r="A1346">
            <v>68021870</v>
          </cell>
          <cell r="B1346" t="str">
            <v>ASHIRVAD INC</v>
          </cell>
          <cell r="C1346" t="str">
            <v>2508C HWY 41N</v>
          </cell>
        </row>
        <row r="1347">
          <cell r="A1347">
            <v>68021890</v>
          </cell>
          <cell r="B1347" t="str">
            <v>ASHIRVAD INC</v>
          </cell>
          <cell r="C1347" t="str">
            <v>2508 HWY 41N</v>
          </cell>
        </row>
        <row r="1348">
          <cell r="A1348">
            <v>68021910</v>
          </cell>
          <cell r="B1348" t="str">
            <v>ASHIRVAD INC</v>
          </cell>
          <cell r="C1348" t="str">
            <v>2508 HWY 41N</v>
          </cell>
        </row>
        <row r="1349">
          <cell r="A1349">
            <v>68021950</v>
          </cell>
          <cell r="B1349" t="str">
            <v>DIAMOND LANES IN</v>
          </cell>
          <cell r="C1349" t="str">
            <v>2400 HWY 41 N</v>
          </cell>
        </row>
        <row r="1350">
          <cell r="A1350">
            <v>68021970</v>
          </cell>
          <cell r="B1350" t="str">
            <v>SHETLER MOV &amp; STORGE</v>
          </cell>
          <cell r="C1350" t="str">
            <v>1251 E DIAMOND AVE</v>
          </cell>
        </row>
        <row r="1351">
          <cell r="A1351">
            <v>68021990</v>
          </cell>
          <cell r="B1351" t="str">
            <v>PLUMBING &amp; IND SUPPL</v>
          </cell>
          <cell r="C1351" t="str">
            <v>2220 N FARES AVE</v>
          </cell>
        </row>
        <row r="1352">
          <cell r="A1352">
            <v>68022010</v>
          </cell>
          <cell r="B1352" t="str">
            <v>FACILITY IQ-MS 459#12099899</v>
          </cell>
          <cell r="C1352" t="str">
            <v>2110 N FARES AVE</v>
          </cell>
        </row>
        <row r="1353">
          <cell r="A1353">
            <v>68022020</v>
          </cell>
          <cell r="B1353" t="str">
            <v>PLKM INC</v>
          </cell>
          <cell r="C1353" t="str">
            <v>2010 N FARES AVE</v>
          </cell>
        </row>
        <row r="1354">
          <cell r="A1354">
            <v>68022030</v>
          </cell>
          <cell r="B1354" t="str">
            <v>INSIGHT COMMUNICATIOATTN PAULA CROWELL</v>
          </cell>
          <cell r="C1354" t="str">
            <v>1900 HWY 41N</v>
          </cell>
        </row>
        <row r="1355">
          <cell r="A1355">
            <v>68022050</v>
          </cell>
          <cell r="B1355" t="str">
            <v>INTEGRA BANK</v>
          </cell>
          <cell r="C1355" t="str">
            <v>1718 N FARES AVE</v>
          </cell>
        </row>
        <row r="1356">
          <cell r="A1356">
            <v>68022070</v>
          </cell>
          <cell r="B1356" t="str">
            <v>DYNA-MECHS TRUCKSERV INC</v>
          </cell>
          <cell r="C1356" t="str">
            <v>1650 N FARES AVE</v>
          </cell>
        </row>
        <row r="1357">
          <cell r="A1357">
            <v>68022090</v>
          </cell>
          <cell r="B1357" t="str">
            <v>SURESH P PATELSUNSET MOTEL</v>
          </cell>
          <cell r="C1357" t="str">
            <v>1608 N FARES AVE</v>
          </cell>
        </row>
        <row r="1358">
          <cell r="A1358">
            <v>68022095</v>
          </cell>
          <cell r="B1358" t="str">
            <v>APOLLO LIQUORS</v>
          </cell>
          <cell r="C1358" t="str">
            <v>1207 E MORGAN AVE</v>
          </cell>
        </row>
        <row r="1359">
          <cell r="A1359">
            <v>68022130</v>
          </cell>
          <cell r="B1359" t="str">
            <v>MILAN EXPRESS INC</v>
          </cell>
          <cell r="C1359" t="str">
            <v>1312 MAXWELL AVE</v>
          </cell>
        </row>
        <row r="1360">
          <cell r="A1360">
            <v>68022150</v>
          </cell>
          <cell r="B1360" t="str">
            <v>WAGNER INVEST PROP</v>
          </cell>
          <cell r="C1360" t="str">
            <v>1901 N BARTLETT</v>
          </cell>
        </row>
        <row r="1361">
          <cell r="A1361">
            <v>68022170</v>
          </cell>
          <cell r="B1361" t="str">
            <v>EVILLE RUG CLEANING</v>
          </cell>
          <cell r="C1361" t="str">
            <v>2124 N WILLOW RD</v>
          </cell>
        </row>
        <row r="1362">
          <cell r="A1362">
            <v>68022190</v>
          </cell>
          <cell r="B1362" t="str">
            <v>ST MARYS MOTELC/O PARESHKUMA PATEL</v>
          </cell>
          <cell r="C1362" t="str">
            <v>2221 HWY 41 N</v>
          </cell>
        </row>
        <row r="1363">
          <cell r="A1363">
            <v>68120030</v>
          </cell>
          <cell r="B1363" t="str">
            <v>HOLIDAY INN</v>
          </cell>
          <cell r="C1363" t="str">
            <v>4101 HWY 41 N</v>
          </cell>
        </row>
        <row r="1364">
          <cell r="A1364">
            <v>68120050</v>
          </cell>
          <cell r="B1364" t="str">
            <v>DENNYS #397</v>
          </cell>
          <cell r="C1364" t="str">
            <v>3901 HWY 41N</v>
          </cell>
        </row>
        <row r="1365">
          <cell r="A1365">
            <v>68120070</v>
          </cell>
          <cell r="B1365" t="str">
            <v>DRURY INN EVANSVILLEFACILITY IQ-MS 748</v>
          </cell>
          <cell r="C1365" t="str">
            <v>3901 HWY 41 N</v>
          </cell>
        </row>
        <row r="1366">
          <cell r="A1366">
            <v>68120090</v>
          </cell>
          <cell r="B1366" t="str">
            <v>AZIMUTH CUSTOM EXT</v>
          </cell>
          <cell r="C1366" t="str">
            <v>1618 LYNCH RD</v>
          </cell>
        </row>
        <row r="1367">
          <cell r="A1367">
            <v>68120100</v>
          </cell>
          <cell r="B1367" t="str">
            <v>ULRICH CHEMICAL</v>
          </cell>
          <cell r="C1367" t="str">
            <v>4219 GARRISON AVE</v>
          </cell>
        </row>
        <row r="1368">
          <cell r="A1368">
            <v>68120110</v>
          </cell>
          <cell r="B1368" t="str">
            <v>LUCENT POLYMERS,INC</v>
          </cell>
          <cell r="C1368" t="str">
            <v>1800 LYNCH RD</v>
          </cell>
        </row>
        <row r="1369">
          <cell r="A1369">
            <v>68120130</v>
          </cell>
          <cell r="B1369" t="str">
            <v>CUSTOM TOOL &amp; MF</v>
          </cell>
          <cell r="C1369" t="str">
            <v>1900 LYNCH RD</v>
          </cell>
        </row>
        <row r="1370">
          <cell r="A1370">
            <v>68120150</v>
          </cell>
          <cell r="B1370" t="str">
            <v>NEWTON-BUYING CORPDIST CENTER # 897</v>
          </cell>
          <cell r="C1370" t="str">
            <v>2101 LYNCH RD</v>
          </cell>
        </row>
        <row r="1371">
          <cell r="A1371">
            <v>68120160</v>
          </cell>
          <cell r="B1371" t="str">
            <v>FIRE STATION #2CITY CONTROLLER</v>
          </cell>
          <cell r="C1371" t="str">
            <v>3601 MAXX RD</v>
          </cell>
        </row>
        <row r="1372">
          <cell r="A1372">
            <v>68120165</v>
          </cell>
          <cell r="B1372" t="str">
            <v>SIGMA PACKAGING LLC</v>
          </cell>
          <cell r="C1372" t="str">
            <v>3001 MAXX RD</v>
          </cell>
        </row>
        <row r="1373">
          <cell r="A1373">
            <v>68120167</v>
          </cell>
          <cell r="B1373" t="str">
            <v>BELMONT MOVING &amp;STORAGE</v>
          </cell>
          <cell r="C1373" t="str">
            <v>2825 MAXX RD</v>
          </cell>
        </row>
        <row r="1374">
          <cell r="A1374">
            <v>68120170</v>
          </cell>
          <cell r="B1374" t="str">
            <v>OVERNITE TRANSP COSHP 054-WU-0066</v>
          </cell>
          <cell r="C1374" t="str">
            <v>2400 LYNCH RD</v>
          </cell>
        </row>
        <row r="1375">
          <cell r="A1375">
            <v>68120190</v>
          </cell>
          <cell r="B1375" t="str">
            <v>FLAIR MOLDED PLASTIC</v>
          </cell>
          <cell r="C1375" t="str">
            <v>2521 LYNCH RD</v>
          </cell>
        </row>
        <row r="1376">
          <cell r="A1376">
            <v>68120210</v>
          </cell>
          <cell r="B1376" t="str">
            <v>AMER WINDOW-GLASS</v>
          </cell>
          <cell r="C1376" t="str">
            <v>2715 LYNCH RD</v>
          </cell>
        </row>
        <row r="1377">
          <cell r="A1377">
            <v>68120230</v>
          </cell>
          <cell r="B1377" t="str">
            <v>FAMILY TRUST NO 1BUTTERFIELD</v>
          </cell>
          <cell r="C1377" t="str">
            <v>2800 LYNCH RD</v>
          </cell>
        </row>
        <row r="1378">
          <cell r="A1378">
            <v>68120250</v>
          </cell>
          <cell r="B1378" t="str">
            <v>MORTON WHAREHOUSE</v>
          </cell>
          <cell r="C1378" t="str">
            <v>2506 LYNCH RD</v>
          </cell>
        </row>
        <row r="1379">
          <cell r="A1379">
            <v>68120270</v>
          </cell>
          <cell r="B1379" t="str">
            <v>WHAYNE SUPPLY CO</v>
          </cell>
          <cell r="C1379" t="str">
            <v>2420 LYNCH RD</v>
          </cell>
        </row>
        <row r="1380">
          <cell r="A1380">
            <v>68120290</v>
          </cell>
          <cell r="B1380" t="str">
            <v>HARTLAND DISTIL,INC</v>
          </cell>
          <cell r="C1380" t="str">
            <v>2410 LYNCH RD</v>
          </cell>
        </row>
        <row r="1381">
          <cell r="A1381">
            <v>68120300</v>
          </cell>
          <cell r="B1381" t="str">
            <v>RUPERT-NYE DEV LLC</v>
          </cell>
          <cell r="C1381" t="str">
            <v>2330 LYNCH RD</v>
          </cell>
        </row>
        <row r="1382">
          <cell r="A1382">
            <v>68120310</v>
          </cell>
          <cell r="B1382" t="str">
            <v>OMNI PLASTICS LLC</v>
          </cell>
          <cell r="C1382" t="str">
            <v>2300 LYNCH RD</v>
          </cell>
        </row>
        <row r="1383">
          <cell r="A1383">
            <v>68120330</v>
          </cell>
          <cell r="B1383" t="str">
            <v>C/O N U SPURINA MILLS INC</v>
          </cell>
          <cell r="C1383" t="str">
            <v>2004 LYNCH RD</v>
          </cell>
        </row>
        <row r="1384">
          <cell r="A1384">
            <v>68120350</v>
          </cell>
          <cell r="B1384" t="str">
            <v>C/O N U SPURINA MILLS INC</v>
          </cell>
          <cell r="C1384" t="str">
            <v>2124 LYNCH RD</v>
          </cell>
        </row>
        <row r="1385">
          <cell r="A1385">
            <v>68120370</v>
          </cell>
          <cell r="B1385" t="str">
            <v>INLAND CONTAINERATTN ACCTS PAYABLE</v>
          </cell>
          <cell r="C1385" t="str">
            <v>2000 LYNCH RD</v>
          </cell>
        </row>
        <row r="1386">
          <cell r="A1386">
            <v>68120390</v>
          </cell>
          <cell r="B1386" t="str">
            <v>MULTI-SEAL,INC</v>
          </cell>
          <cell r="C1386" t="str">
            <v>4300 HITCH PETERS</v>
          </cell>
        </row>
        <row r="1387">
          <cell r="A1387">
            <v>68120410</v>
          </cell>
          <cell r="B1387" t="str">
            <v>FERRO CORP</v>
          </cell>
          <cell r="C1387" t="str">
            <v>4400 HITCH PETERS</v>
          </cell>
        </row>
        <row r="1388">
          <cell r="A1388">
            <v>68120430</v>
          </cell>
          <cell r="B1388" t="str">
            <v>EL MAIZAL</v>
          </cell>
          <cell r="C1388" t="str">
            <v>4501 HITCH PETERS</v>
          </cell>
        </row>
        <row r="1389">
          <cell r="A1389">
            <v>68120490</v>
          </cell>
          <cell r="B1389" t="str">
            <v>OHIO VALLEY PLASTICS</v>
          </cell>
          <cell r="C1389" t="str">
            <v>4825 N SPRING ST</v>
          </cell>
        </row>
        <row r="1390">
          <cell r="A1390">
            <v>68120505</v>
          </cell>
          <cell r="B1390" t="str">
            <v>BELL-SOUTH MOBILITYCASS</v>
          </cell>
          <cell r="C1390" t="str">
            <v>4510 OHARA DR</v>
          </cell>
        </row>
        <row r="1391">
          <cell r="A1391">
            <v>68120530</v>
          </cell>
          <cell r="B1391" t="str">
            <v>MASTER MFG CO</v>
          </cell>
          <cell r="C1391" t="str">
            <v>4703 OHARA DR</v>
          </cell>
        </row>
        <row r="1392">
          <cell r="A1392">
            <v>68120550</v>
          </cell>
          <cell r="B1392" t="str">
            <v>SURE-FINE FOODS</v>
          </cell>
          <cell r="C1392" t="str">
            <v>4800 OHARA DR</v>
          </cell>
        </row>
        <row r="1393">
          <cell r="A1393">
            <v>68120570</v>
          </cell>
          <cell r="B1393" t="str">
            <v>FERRO CORP</v>
          </cell>
          <cell r="C1393" t="str">
            <v>4991 OHARA DR</v>
          </cell>
        </row>
        <row r="1394">
          <cell r="A1394">
            <v>68120600</v>
          </cell>
          <cell r="B1394" t="str">
            <v>GLENN HESEMAN</v>
          </cell>
          <cell r="C1394" t="str">
            <v>2145 BERGDOLT RD</v>
          </cell>
        </row>
        <row r="1395">
          <cell r="A1395">
            <v>68120630</v>
          </cell>
          <cell r="B1395" t="str">
            <v>SIGECO</v>
          </cell>
          <cell r="C1395" t="str">
            <v>BERGDOLT RD</v>
          </cell>
        </row>
        <row r="1396">
          <cell r="A1396">
            <v>68120650</v>
          </cell>
          <cell r="B1396" t="str">
            <v>SUNSET PLAZA</v>
          </cell>
          <cell r="C1396" t="str">
            <v>4209 HWY 41 N</v>
          </cell>
        </row>
        <row r="1397">
          <cell r="A1397">
            <v>68120670</v>
          </cell>
          <cell r="B1397" t="str">
            <v>HARDEES</v>
          </cell>
          <cell r="C1397" t="str">
            <v>4249 HWY 41 N</v>
          </cell>
        </row>
        <row r="1398">
          <cell r="A1398">
            <v>68120730</v>
          </cell>
          <cell r="B1398" t="str">
            <v>MOTEL #6 1157FACILITY IQ MS1133</v>
          </cell>
          <cell r="C1398" t="str">
            <v>4301 HWY 41N</v>
          </cell>
        </row>
        <row r="1399">
          <cell r="A1399">
            <v>68120740</v>
          </cell>
          <cell r="B1399" t="str">
            <v>FACILITY IQ-MS1133ACCOR ECONOMY LODGE</v>
          </cell>
          <cell r="C1399" t="str">
            <v>4201 HWY 41 N</v>
          </cell>
        </row>
        <row r="1400">
          <cell r="A1400">
            <v>68120750</v>
          </cell>
          <cell r="B1400" t="str">
            <v>7131000000-87273WHIRLPOOL CORP</v>
          </cell>
          <cell r="C1400" t="str">
            <v>HWY 41 N</v>
          </cell>
        </row>
        <row r="1401">
          <cell r="A1401">
            <v>68120770</v>
          </cell>
          <cell r="B1401" t="str">
            <v>7131000000-87273WHIRLPOOL CORP</v>
          </cell>
          <cell r="C1401" t="str">
            <v>HWY 41 N</v>
          </cell>
        </row>
        <row r="1402">
          <cell r="A1402">
            <v>68120790</v>
          </cell>
          <cell r="B1402" t="str">
            <v>7131000000-87273WHIRLPOOL CORP</v>
          </cell>
          <cell r="C1402" t="str">
            <v>HWY 41 N</v>
          </cell>
        </row>
        <row r="1403">
          <cell r="A1403">
            <v>68120800</v>
          </cell>
          <cell r="B1403" t="str">
            <v>DIV OF KENCOST GEORGE WHSES</v>
          </cell>
          <cell r="C1403" t="str">
            <v>2007 ST GEORGE RD</v>
          </cell>
        </row>
        <row r="1404">
          <cell r="A1404">
            <v>68120820</v>
          </cell>
          <cell r="B1404" t="str">
            <v>STAG II EVANSVILLE</v>
          </cell>
          <cell r="C1404" t="str">
            <v>2301 ST GEORGE RD</v>
          </cell>
        </row>
        <row r="1405">
          <cell r="A1405">
            <v>68120855</v>
          </cell>
          <cell r="B1405" t="str">
            <v>ATLAS VAN LINES</v>
          </cell>
          <cell r="C1405" t="str">
            <v>1212 ST GEORGE RD</v>
          </cell>
        </row>
        <row r="1406">
          <cell r="A1406">
            <v>68120865</v>
          </cell>
          <cell r="B1406" t="str">
            <v>HYDRAULIC PUMP SPECI</v>
          </cell>
          <cell r="C1406" t="str">
            <v>5977B N FARES AVE</v>
          </cell>
        </row>
        <row r="1407">
          <cell r="A1407">
            <v>68120890</v>
          </cell>
          <cell r="B1407" t="str">
            <v>THOMAS M SPEER</v>
          </cell>
          <cell r="C1407" t="str">
            <v>6107 N FARES AVE</v>
          </cell>
        </row>
        <row r="1408">
          <cell r="A1408">
            <v>68120925</v>
          </cell>
          <cell r="B1408" t="str">
            <v>EVAA</v>
          </cell>
          <cell r="C1408" t="str">
            <v>5603 HWY 41 N</v>
          </cell>
        </row>
        <row r="1409">
          <cell r="A1409">
            <v>68120930</v>
          </cell>
          <cell r="B1409" t="str">
            <v>DBA HAMPTON INNOF EVANSVILLE</v>
          </cell>
          <cell r="C1409" t="str">
            <v>5701B HWY 41 N</v>
          </cell>
        </row>
        <row r="1410">
          <cell r="A1410">
            <v>68120940</v>
          </cell>
          <cell r="B1410" t="str">
            <v>ENCORE HOTEL OWNERS% EVANSVILLE LLC</v>
          </cell>
          <cell r="C1410" t="str">
            <v>5701 HWY 41 N</v>
          </cell>
        </row>
        <row r="1411">
          <cell r="A1411">
            <v>68120945</v>
          </cell>
          <cell r="B1411" t="str">
            <v>SHERIFFS COMM POST</v>
          </cell>
          <cell r="C1411" t="str">
            <v>5607 HWY 41 N</v>
          </cell>
        </row>
        <row r="1412">
          <cell r="A1412">
            <v>68120950</v>
          </cell>
          <cell r="B1412" t="str">
            <v>ENCORE HOTEL OWNERS% EVANSVILLE LLC</v>
          </cell>
          <cell r="C1412" t="str">
            <v>5699 HWY 41 N</v>
          </cell>
        </row>
        <row r="1413">
          <cell r="A1413">
            <v>68120990</v>
          </cell>
          <cell r="B1413" t="str">
            <v>AMERICAN GENERAL</v>
          </cell>
          <cell r="C1413" t="str">
            <v>5701 FLIGHTLINE DR</v>
          </cell>
        </row>
        <row r="1414">
          <cell r="A1414">
            <v>68121010</v>
          </cell>
          <cell r="B1414" t="str">
            <v>AUTHORITY DISTEVANS VAND AIRPORT</v>
          </cell>
          <cell r="C1414" t="str">
            <v>6001 HWY 41 N</v>
          </cell>
        </row>
        <row r="1415">
          <cell r="A1415">
            <v>68121060</v>
          </cell>
          <cell r="B1415" t="str">
            <v>RON SCHULTZTHE WINDMILL</v>
          </cell>
          <cell r="C1415" t="str">
            <v>6801 HWY 41 N</v>
          </cell>
        </row>
        <row r="1416">
          <cell r="A1416">
            <v>68121065</v>
          </cell>
          <cell r="B1416" t="str">
            <v>TRI-STATE AERO</v>
          </cell>
          <cell r="C1416" t="str">
            <v>6101 FLIGHTLINE DR</v>
          </cell>
        </row>
        <row r="1417">
          <cell r="A1417">
            <v>68121067</v>
          </cell>
          <cell r="B1417" t="str">
            <v>TRI-STATE AERO INC</v>
          </cell>
          <cell r="C1417" t="str">
            <v>6101 FLIGHTLINE DR</v>
          </cell>
        </row>
        <row r="1418">
          <cell r="A1418">
            <v>68121075</v>
          </cell>
          <cell r="B1418" t="str">
            <v>EVILLE VAND AIRP</v>
          </cell>
          <cell r="C1418" t="str">
            <v>7503 HWY 57</v>
          </cell>
        </row>
        <row r="1419">
          <cell r="A1419">
            <v>68121080</v>
          </cell>
          <cell r="B1419" t="str">
            <v>RUDD CONST EQUIP</v>
          </cell>
          <cell r="C1419" t="str">
            <v>6900 HWY 57</v>
          </cell>
        </row>
        <row r="1420">
          <cell r="A1420">
            <v>68121115</v>
          </cell>
          <cell r="B1420" t="str">
            <v>VANDERBRUGH AIRPORTDISTRICT</v>
          </cell>
          <cell r="C1420" t="str">
            <v>6901 PETERSBURG RD</v>
          </cell>
        </row>
        <row r="1421">
          <cell r="A1421">
            <v>68121116</v>
          </cell>
          <cell r="B1421" t="str">
            <v>ADVANTAGE IQ-MS 1995#1220</v>
          </cell>
          <cell r="C1421" t="str">
            <v>6521 GREENDALE DR</v>
          </cell>
        </row>
        <row r="1422">
          <cell r="A1422">
            <v>68121118</v>
          </cell>
          <cell r="B1422" t="str">
            <v>BILL SPURLING</v>
          </cell>
          <cell r="C1422" t="str">
            <v>7001 PETERSBURG RD</v>
          </cell>
        </row>
        <row r="1423">
          <cell r="A1423">
            <v>68121119</v>
          </cell>
          <cell r="B1423" t="str">
            <v>U S POSTAL SERVICE</v>
          </cell>
          <cell r="C1423" t="str">
            <v>7100 PETERSBURG RD</v>
          </cell>
        </row>
        <row r="1424">
          <cell r="A1424">
            <v>68121125</v>
          </cell>
          <cell r="B1424" t="str">
            <v>EVANSVILLE AIRPORTMARRIOTT</v>
          </cell>
          <cell r="C1424" t="str">
            <v>7101 HWY 41 N</v>
          </cell>
        </row>
        <row r="1425">
          <cell r="A1425">
            <v>68121135</v>
          </cell>
          <cell r="B1425" t="str">
            <v>DELUX INDUSTRIES INC</v>
          </cell>
          <cell r="C1425" t="str">
            <v>1187 BURCH DR</v>
          </cell>
        </row>
        <row r="1426">
          <cell r="A1426">
            <v>68121140</v>
          </cell>
          <cell r="B1426" t="str">
            <v>ANCHOR INDUSTRIES</v>
          </cell>
          <cell r="C1426" t="str">
            <v>BURCH &amp; BAUMGART RD</v>
          </cell>
        </row>
        <row r="1427">
          <cell r="A1427">
            <v>68121160</v>
          </cell>
          <cell r="B1427" t="str">
            <v>WABASH PLASTIC</v>
          </cell>
          <cell r="C1427" t="str">
            <v>1300 BURCH DR</v>
          </cell>
        </row>
        <row r="1428">
          <cell r="A1428">
            <v>68121180</v>
          </cell>
          <cell r="B1428" t="str">
            <v>O NEAL STEEL</v>
          </cell>
          <cell r="C1428" t="str">
            <v>1323 BURCH DR</v>
          </cell>
        </row>
        <row r="1429">
          <cell r="A1429">
            <v>68121210</v>
          </cell>
          <cell r="B1429" t="str">
            <v>CUMMINS CROSSPOINTE</v>
          </cell>
          <cell r="C1429" t="str">
            <v>7901 HWY 41 N</v>
          </cell>
        </row>
        <row r="1430">
          <cell r="A1430">
            <v>68121220</v>
          </cell>
          <cell r="B1430" t="str">
            <v>PARK BLDG #341 NORTH BUSINESS</v>
          </cell>
          <cell r="C1430" t="str">
            <v>8401 N KENTUCKY AVE</v>
          </cell>
        </row>
        <row r="1431">
          <cell r="A1431">
            <v>68121230</v>
          </cell>
          <cell r="B1431" t="str">
            <v>ANCHOR INDUSTRIES</v>
          </cell>
          <cell r="C1431" t="str">
            <v>7701 HWY 41 N</v>
          </cell>
        </row>
        <row r="1432">
          <cell r="A1432">
            <v>68121260</v>
          </cell>
          <cell r="B1432" t="str">
            <v>W W R T</v>
          </cell>
          <cell r="C1432" t="str">
            <v>8601 N KENTUCKY AVE</v>
          </cell>
        </row>
        <row r="1433">
          <cell r="A1433">
            <v>68121270</v>
          </cell>
          <cell r="B1433" t="str">
            <v>NATL WINE &amp; SPIRITS</v>
          </cell>
          <cell r="C1433" t="str">
            <v>8841 N KENTUCKY AVE</v>
          </cell>
        </row>
        <row r="1434">
          <cell r="A1434">
            <v>68121290</v>
          </cell>
          <cell r="B1434" t="str">
            <v>KEEBLER COC/O FINANCIAL SERV</v>
          </cell>
          <cell r="C1434" t="str">
            <v>8906 N KENTUCKY AVE</v>
          </cell>
        </row>
        <row r="1435">
          <cell r="A1435">
            <v>68121310</v>
          </cell>
          <cell r="B1435" t="str">
            <v>STERNBERG INT'L</v>
          </cell>
          <cell r="C1435" t="str">
            <v>8950 N KENTUCKY AVE</v>
          </cell>
        </row>
        <row r="1436">
          <cell r="A1436">
            <v>68121333</v>
          </cell>
          <cell r="B1436" t="str">
            <v>IBEW LOCAL NO 16</v>
          </cell>
          <cell r="C1436" t="str">
            <v>9001 N KENTUCKY AVE</v>
          </cell>
        </row>
        <row r="1437">
          <cell r="A1437">
            <v>68121334</v>
          </cell>
          <cell r="B1437" t="str">
            <v>ARMOUR ECKRICHCHARLOTTE COLLINS</v>
          </cell>
          <cell r="C1437" t="str">
            <v>8426 BAUMGART RD</v>
          </cell>
        </row>
        <row r="1438">
          <cell r="A1438">
            <v>68121335</v>
          </cell>
          <cell r="B1438" t="str">
            <v>FLANDERS ELECTRIC</v>
          </cell>
          <cell r="C1438" t="str">
            <v>8233 BAUMGART RD</v>
          </cell>
        </row>
        <row r="1439">
          <cell r="A1439">
            <v>68121337</v>
          </cell>
          <cell r="B1439" t="str">
            <v>CHURCH OF GOD, INCMOUNT PLEASANT</v>
          </cell>
          <cell r="C1439" t="str">
            <v>8900 BAUMGART RD</v>
          </cell>
        </row>
        <row r="1440">
          <cell r="A1440">
            <v>68121345</v>
          </cell>
          <cell r="B1440" t="str">
            <v>FLANDERS ELECTRIC COVENOR # 151</v>
          </cell>
          <cell r="C1440" t="str">
            <v>8101 BAUMGART RD</v>
          </cell>
        </row>
        <row r="1441">
          <cell r="A1441">
            <v>68121355</v>
          </cell>
          <cell r="B1441" t="str">
            <v>V#341665-L0565RYDER TRUCK CO</v>
          </cell>
          <cell r="C1441" t="str">
            <v>7925 BAUMGART RD</v>
          </cell>
        </row>
        <row r="1442">
          <cell r="A1442">
            <v>68121365</v>
          </cell>
          <cell r="B1442" t="str">
            <v>SYSTEMATIC CONT DES</v>
          </cell>
          <cell r="C1442" t="str">
            <v>7925 BURCH PARK DR</v>
          </cell>
        </row>
        <row r="1443">
          <cell r="A1443">
            <v>68121400</v>
          </cell>
          <cell r="B1443" t="str">
            <v>COO6290FAA/MMAC</v>
          </cell>
          <cell r="C1443" t="str">
            <v>DRESS REG AIRPORT</v>
          </cell>
        </row>
        <row r="1444">
          <cell r="A1444">
            <v>68121415</v>
          </cell>
          <cell r="B1444" t="str">
            <v>EVANSVILLE AIRPORTFIRE RESCUE BLDG</v>
          </cell>
          <cell r="C1444" t="str">
            <v>7801 BUSSING DR</v>
          </cell>
        </row>
        <row r="1445">
          <cell r="A1445">
            <v>68121420</v>
          </cell>
          <cell r="B1445" t="str">
            <v>E V A A D</v>
          </cell>
          <cell r="C1445" t="str">
            <v>7801 HIGHWAY 57</v>
          </cell>
        </row>
        <row r="1446">
          <cell r="A1446">
            <v>68121492</v>
          </cell>
          <cell r="B1446" t="str">
            <v>O'DANIEL RANESAVIS RENT-CAR</v>
          </cell>
          <cell r="C1446" t="str">
            <v>7801A HIGHWAY 57</v>
          </cell>
        </row>
        <row r="1447">
          <cell r="A1447">
            <v>68121494</v>
          </cell>
          <cell r="B1447" t="str">
            <v>NATIONAL CAR RENTAL</v>
          </cell>
          <cell r="C1447" t="str">
            <v>7801B HIGHWAY 57</v>
          </cell>
        </row>
        <row r="1448">
          <cell r="A1448">
            <v>68121495</v>
          </cell>
          <cell r="B1448" t="str">
            <v>ATTN P O BOX CONTROLHERTZ CORP</v>
          </cell>
          <cell r="C1448" t="str">
            <v>6801 BUSSING DR</v>
          </cell>
        </row>
        <row r="1449">
          <cell r="A1449">
            <v>68121496</v>
          </cell>
          <cell r="B1449" t="str">
            <v>EVANS VAND AIRPORT</v>
          </cell>
          <cell r="C1449" t="str">
            <v>7801 HIGHWAY 57</v>
          </cell>
        </row>
        <row r="1450">
          <cell r="A1450">
            <v>68121590</v>
          </cell>
          <cell r="B1450" t="str">
            <v>UNITED METH CHURMC CUTCHANVILLE</v>
          </cell>
          <cell r="C1450" t="str">
            <v>9505 PETERSBURG RD</v>
          </cell>
        </row>
        <row r="1451">
          <cell r="A1451">
            <v>68121620</v>
          </cell>
          <cell r="B1451" t="str">
            <v>SCOTT WINK</v>
          </cell>
          <cell r="C1451" t="str">
            <v>10200 SE BROWNING RD</v>
          </cell>
        </row>
        <row r="1452">
          <cell r="A1452">
            <v>68121628</v>
          </cell>
          <cell r="B1452" t="str">
            <v>EAGLE VALLEY GOLF</v>
          </cell>
          <cell r="C1452" t="str">
            <v>10350 PETERSBURG RD</v>
          </cell>
        </row>
        <row r="1453">
          <cell r="A1453">
            <v>68121630</v>
          </cell>
          <cell r="B1453" t="str">
            <v>BENTWOOD HOME OWNERERNIE BROTHERS</v>
          </cell>
          <cell r="C1453" t="str">
            <v>1441 BENTWOOD DR</v>
          </cell>
        </row>
        <row r="1454">
          <cell r="A1454">
            <v>68121650</v>
          </cell>
          <cell r="B1454" t="str">
            <v>THOMAS M HITE</v>
          </cell>
          <cell r="C1454" t="str">
            <v>26 OAK MEADOW RD</v>
          </cell>
        </row>
        <row r="1455">
          <cell r="A1455">
            <v>68121655</v>
          </cell>
          <cell r="B1455" t="str">
            <v>OAK MEADOW GOLF CLUB</v>
          </cell>
          <cell r="C1455" t="str">
            <v>11505 BROWNING RD</v>
          </cell>
        </row>
        <row r="1456">
          <cell r="A1456">
            <v>68121656</v>
          </cell>
          <cell r="B1456" t="str">
            <v>OAK MEADOW GOLF CLUB</v>
          </cell>
          <cell r="C1456" t="str">
            <v>11505 BROWNING RD</v>
          </cell>
        </row>
        <row r="1457">
          <cell r="A1457">
            <v>68121690</v>
          </cell>
          <cell r="B1457" t="str">
            <v>OAK MEADOW LODGE INC</v>
          </cell>
          <cell r="C1457" t="str">
            <v>11505 BROWNING RD</v>
          </cell>
        </row>
        <row r="1458">
          <cell r="A1458">
            <v>68121710</v>
          </cell>
          <cell r="B1458" t="str">
            <v>OAK MEADOW GOLF CLUB</v>
          </cell>
          <cell r="C1458" t="str">
            <v>11505 BROWNING RD</v>
          </cell>
        </row>
        <row r="1459">
          <cell r="A1459">
            <v>68121840</v>
          </cell>
          <cell r="B1459" t="str">
            <v>RENTCO</v>
          </cell>
          <cell r="C1459" t="str">
            <v>10200 HWY 57</v>
          </cell>
        </row>
        <row r="1460">
          <cell r="A1460">
            <v>68121850</v>
          </cell>
          <cell r="B1460" t="str">
            <v>LEED SELLING TOOLS</v>
          </cell>
          <cell r="C1460" t="str">
            <v>HWY 57 &amp; KANSAN RD</v>
          </cell>
        </row>
        <row r="1461">
          <cell r="A1461">
            <v>68121870</v>
          </cell>
          <cell r="B1461" t="str">
            <v>REXAM CLOSURES</v>
          </cell>
          <cell r="C1461" t="str">
            <v>3245 KANSAS RD</v>
          </cell>
        </row>
        <row r="1462">
          <cell r="A1462">
            <v>68121890</v>
          </cell>
          <cell r="B1462" t="str">
            <v>MIDWESTERN PET FOODS</v>
          </cell>
          <cell r="C1462" t="str">
            <v>9634 HEDDEN RD</v>
          </cell>
        </row>
        <row r="1463">
          <cell r="A1463">
            <v>68121910</v>
          </cell>
          <cell r="B1463" t="str">
            <v>MARKS MATTRESS OUTLE</v>
          </cell>
          <cell r="C1463" t="str">
            <v>9844 HEDDEN RD</v>
          </cell>
        </row>
        <row r="1464">
          <cell r="A1464">
            <v>68121920</v>
          </cell>
          <cell r="B1464" t="str">
            <v>JBI CONSTRUCTION INC</v>
          </cell>
          <cell r="C1464" t="str">
            <v>10335 HEDDEN RD</v>
          </cell>
        </row>
        <row r="1465">
          <cell r="A1465">
            <v>68121925</v>
          </cell>
          <cell r="B1465" t="str">
            <v>CABORN DEVELOPMENT</v>
          </cell>
          <cell r="C1465" t="str">
            <v>10334 HEDDEN RD</v>
          </cell>
        </row>
        <row r="1466">
          <cell r="A1466">
            <v>68121930</v>
          </cell>
          <cell r="B1466" t="str">
            <v>DAVID RESSLER</v>
          </cell>
          <cell r="C1466" t="str">
            <v>9951 HEDDEN RD</v>
          </cell>
        </row>
        <row r="1467">
          <cell r="A1467">
            <v>68121940</v>
          </cell>
          <cell r="B1467" t="str">
            <v>SHAMROCK TOOL</v>
          </cell>
          <cell r="C1467" t="str">
            <v>10499 HEDDEN RD</v>
          </cell>
        </row>
        <row r="1468">
          <cell r="A1468">
            <v>68121950</v>
          </cell>
          <cell r="B1468" t="str">
            <v>MULTIBAND EC INC</v>
          </cell>
          <cell r="C1468" t="str">
            <v>9631 HEDDEN RD</v>
          </cell>
        </row>
        <row r="1469">
          <cell r="A1469">
            <v>68121960</v>
          </cell>
          <cell r="B1469" t="str">
            <v>H WILLIAM MOORSCORR-WOOD MFG INC</v>
          </cell>
          <cell r="C1469" t="str">
            <v>10501 HEDDEN RD</v>
          </cell>
        </row>
        <row r="1470">
          <cell r="A1470">
            <v>68122060</v>
          </cell>
          <cell r="B1470" t="str">
            <v>CHURCH OF CHRISTBETH UNITED</v>
          </cell>
          <cell r="C1470" t="str">
            <v>6400 OAK HILL RD</v>
          </cell>
        </row>
        <row r="1471">
          <cell r="A1471">
            <v>68122070</v>
          </cell>
          <cell r="B1471" t="str">
            <v>RANDY J MUSTON JR</v>
          </cell>
          <cell r="C1471" t="str">
            <v>6609 WHETSTONE RD</v>
          </cell>
        </row>
        <row r="1472">
          <cell r="A1472">
            <v>68122090</v>
          </cell>
          <cell r="B1472" t="str">
            <v>OLIVET PRESBY CH</v>
          </cell>
          <cell r="C1472" t="str">
            <v>5600 OAK HILL RD</v>
          </cell>
        </row>
        <row r="1473">
          <cell r="A1473">
            <v>68122110</v>
          </cell>
          <cell r="B1473" t="str">
            <v>CHRISTIAN CENOAK HILL</v>
          </cell>
          <cell r="C1473" t="str">
            <v>4901 OAK HILL RD</v>
          </cell>
        </row>
        <row r="1474">
          <cell r="A1474">
            <v>68122130</v>
          </cell>
          <cell r="B1474" t="str">
            <v>PLEASANT RIDGE LLCEVANSVILLE</v>
          </cell>
          <cell r="C1474" t="str">
            <v>4901 PLEASANT RDG</v>
          </cell>
        </row>
        <row r="1475">
          <cell r="A1475">
            <v>68122190</v>
          </cell>
          <cell r="B1475" t="str">
            <v>CHURCHOAK HILL BAPTIST</v>
          </cell>
          <cell r="C1475" t="str">
            <v>4615 OAK HILL RD</v>
          </cell>
        </row>
        <row r="1476">
          <cell r="A1476">
            <v>68122210</v>
          </cell>
          <cell r="B1476" t="str">
            <v>MORGAN AV CH OF CHST</v>
          </cell>
          <cell r="C1476" t="str">
            <v>4311 OAK HILL RD</v>
          </cell>
        </row>
        <row r="1477">
          <cell r="A1477">
            <v>68122230</v>
          </cell>
          <cell r="B1477" t="str">
            <v>THE LAW SCHOOL LLC</v>
          </cell>
          <cell r="C1477" t="str">
            <v>3820 OAK HILL RD</v>
          </cell>
        </row>
        <row r="1478">
          <cell r="A1478">
            <v>68122250</v>
          </cell>
          <cell r="B1478" t="str">
            <v>WAGNER PROPERTIES</v>
          </cell>
          <cell r="C1478" t="str">
            <v>1901 OAK HILL RD</v>
          </cell>
        </row>
        <row r="1479">
          <cell r="A1479">
            <v>68122255</v>
          </cell>
          <cell r="B1479" t="str">
            <v>ROBERT K BARBER</v>
          </cell>
          <cell r="C1479" t="str">
            <v>1801 OAK HILL RD</v>
          </cell>
        </row>
        <row r="1480">
          <cell r="A1480">
            <v>68122290</v>
          </cell>
          <cell r="B1480" t="str">
            <v>MARK MATTRESS OUTLET</v>
          </cell>
          <cell r="C1480" t="str">
            <v>2070 E MORGAN AVE</v>
          </cell>
        </row>
        <row r="1481">
          <cell r="A1481">
            <v>68122300</v>
          </cell>
          <cell r="B1481" t="str">
            <v>PAT BATEMANDANNY BATEMAN</v>
          </cell>
          <cell r="C1481" t="str">
            <v>1708 N SPRING ST</v>
          </cell>
        </row>
        <row r="1482">
          <cell r="A1482">
            <v>68122310</v>
          </cell>
          <cell r="B1482" t="str">
            <v>JAMES PATTONYORKSHIRE APTS</v>
          </cell>
          <cell r="C1482" t="str">
            <v>2500 E TENNESSEE ST</v>
          </cell>
        </row>
        <row r="1483">
          <cell r="A1483">
            <v>68122340</v>
          </cell>
          <cell r="B1483" t="str">
            <v>D/B/AEMPERIAN PROP MNGMNT</v>
          </cell>
          <cell r="C1483" t="str">
            <v>3500 E MORGAN AVE</v>
          </cell>
        </row>
        <row r="1484">
          <cell r="A1484">
            <v>68122350</v>
          </cell>
          <cell r="B1484" t="str">
            <v>CENTER FOR CHILDEVANSVILLE ST PSYCH</v>
          </cell>
          <cell r="C1484" t="str">
            <v>3300 E MORGAN AVE</v>
          </cell>
        </row>
        <row r="1485">
          <cell r="A1485">
            <v>68122370</v>
          </cell>
          <cell r="B1485" t="str">
            <v>DOLLAR GENERAL CORP</v>
          </cell>
          <cell r="C1485" t="str">
            <v>2250 MORGAN AVE</v>
          </cell>
        </row>
        <row r="1486">
          <cell r="A1486">
            <v>68122390</v>
          </cell>
          <cell r="B1486" t="str">
            <v>EVILLE RURAL KING SP</v>
          </cell>
          <cell r="C1486" t="str">
            <v>2300 E MORGAN AVE</v>
          </cell>
        </row>
        <row r="1487">
          <cell r="A1487">
            <v>68122400</v>
          </cell>
          <cell r="B1487" t="str">
            <v>FUEL CNETERBUEHLER BUY LOW 452</v>
          </cell>
          <cell r="C1487" t="str">
            <v>2240 E MORGAN AVE</v>
          </cell>
        </row>
        <row r="1488">
          <cell r="A1488">
            <v>68122410</v>
          </cell>
          <cell r="B1488" t="str">
            <v>BRADLEY NASH</v>
          </cell>
          <cell r="C1488" t="str">
            <v>2323 E FLORIDA ST</v>
          </cell>
        </row>
        <row r="1489">
          <cell r="A1489">
            <v>68122430</v>
          </cell>
          <cell r="B1489" t="str">
            <v>BRADLEY NASH</v>
          </cell>
          <cell r="C1489" t="str">
            <v>2326 VOGEL RD</v>
          </cell>
        </row>
        <row r="1490">
          <cell r="A1490">
            <v>68122450</v>
          </cell>
          <cell r="B1490" t="str">
            <v>JAMES C MOSELEY</v>
          </cell>
          <cell r="C1490" t="str">
            <v>2055 VOGEL RD</v>
          </cell>
        </row>
        <row r="1491">
          <cell r="A1491">
            <v>68122470</v>
          </cell>
          <cell r="B1491" t="str">
            <v>EVILLE VAND SCHOOL</v>
          </cell>
          <cell r="C1491" t="str">
            <v>1402 OAK HILL RD</v>
          </cell>
        </row>
        <row r="1492">
          <cell r="A1492">
            <v>68122490</v>
          </cell>
          <cell r="B1492" t="str">
            <v>C/O EVANSVILLE VANDVOGEL</v>
          </cell>
          <cell r="C1492" t="str">
            <v>43 VOGEL RD</v>
          </cell>
        </row>
        <row r="1493">
          <cell r="A1493">
            <v>68122530</v>
          </cell>
          <cell r="B1493" t="str">
            <v>DONS LAUNDERY INC</v>
          </cell>
          <cell r="C1493" t="str">
            <v>2000 E MORGAN AVE</v>
          </cell>
        </row>
        <row r="1494">
          <cell r="A1494">
            <v>68122550</v>
          </cell>
          <cell r="B1494" t="str">
            <v>OAK HILL EVANGELICAL</v>
          </cell>
          <cell r="C1494" t="str">
            <v>1212 OAK HILL RD</v>
          </cell>
        </row>
        <row r="1495">
          <cell r="A1495">
            <v>68122590</v>
          </cell>
          <cell r="B1495" t="str">
            <v>EVANSVILLE BOLT/NUT</v>
          </cell>
          <cell r="C1495" t="str">
            <v>1701 E COLUMBIA ST</v>
          </cell>
        </row>
        <row r="1496">
          <cell r="A1496">
            <v>68122610</v>
          </cell>
          <cell r="B1496" t="str">
            <v>STE 400CURRAN MILLER</v>
          </cell>
          <cell r="C1496" t="str">
            <v>616 N NORMAN AVE</v>
          </cell>
        </row>
        <row r="1497">
          <cell r="A1497">
            <v>68122630</v>
          </cell>
          <cell r="B1497" t="str">
            <v>SHADY GROVE INC</v>
          </cell>
          <cell r="C1497" t="str">
            <v>701 OAK HILL RD</v>
          </cell>
        </row>
        <row r="1498">
          <cell r="A1498">
            <v>68122640</v>
          </cell>
          <cell r="B1498" t="str">
            <v>OAK HILL CEMETARYCITY CONTROLLER</v>
          </cell>
          <cell r="C1498" t="str">
            <v>1400 E VIRGINIA ST</v>
          </cell>
        </row>
        <row r="1499">
          <cell r="A1499">
            <v>68122650</v>
          </cell>
          <cell r="B1499" t="str">
            <v>ENVIRO COATINGS</v>
          </cell>
          <cell r="C1499" t="str">
            <v>1311 E VIRGINIA ST</v>
          </cell>
        </row>
        <row r="1500">
          <cell r="A1500">
            <v>68122670</v>
          </cell>
          <cell r="B1500" t="str">
            <v>SHAMROCK ENGINEERING</v>
          </cell>
          <cell r="C1500" t="str">
            <v>408 N WILLOW RD</v>
          </cell>
        </row>
        <row r="1501">
          <cell r="A1501">
            <v>68122690</v>
          </cell>
          <cell r="B1501" t="str">
            <v>LARRY POLLACK</v>
          </cell>
          <cell r="C1501" t="str">
            <v>1352 E DIVISION ST</v>
          </cell>
        </row>
        <row r="1502">
          <cell r="A1502">
            <v>68122695</v>
          </cell>
          <cell r="B1502" t="str">
            <v>D &amp; M CONSTRUCTION</v>
          </cell>
          <cell r="C1502" t="str">
            <v>1332 E DIVISION ST</v>
          </cell>
        </row>
        <row r="1503">
          <cell r="A1503">
            <v>68122710</v>
          </cell>
          <cell r="B1503" t="str">
            <v>ETA INVESTMENTS LLC</v>
          </cell>
          <cell r="C1503" t="str">
            <v>1316 E DIVISION ST</v>
          </cell>
        </row>
        <row r="1504">
          <cell r="A1504">
            <v>68122730</v>
          </cell>
          <cell r="B1504" t="str">
            <v>C/O EVANSVILLE VANDHOWARD ROOSA</v>
          </cell>
          <cell r="C1504" t="str">
            <v>31 HOWARD ROOSA</v>
          </cell>
        </row>
        <row r="1505">
          <cell r="A1505">
            <v>68122740</v>
          </cell>
          <cell r="B1505" t="str">
            <v>SISCO CORP</v>
          </cell>
          <cell r="C1505" t="str">
            <v>1231 E MICHIGAN</v>
          </cell>
        </row>
        <row r="1506">
          <cell r="A1506">
            <v>68122750</v>
          </cell>
          <cell r="B1506" t="str">
            <v>CHAS RAYBURNWILLOW LANES</v>
          </cell>
          <cell r="C1506" t="str">
            <v>1230 E MICHIGAN ST</v>
          </cell>
        </row>
        <row r="1507">
          <cell r="A1507">
            <v>68122770</v>
          </cell>
          <cell r="B1507" t="str">
            <v>EXPRESS MART</v>
          </cell>
          <cell r="C1507" t="str">
            <v>501 N FARES AVE</v>
          </cell>
        </row>
        <row r="1508">
          <cell r="A1508">
            <v>69800010</v>
          </cell>
          <cell r="B1508" t="str">
            <v>DRURY DEVELOPMENT COC/O ACCTS PAYABLE</v>
          </cell>
          <cell r="C1508" t="str">
            <v>100 CROSS POINTE BL</v>
          </cell>
        </row>
        <row r="1509">
          <cell r="A1509">
            <v>69800020</v>
          </cell>
          <cell r="B1509" t="str">
            <v>THORNTONS OIL CORPSTE #200</v>
          </cell>
          <cell r="C1509" t="str">
            <v>500 N BURKHARDT RD</v>
          </cell>
        </row>
        <row r="1510">
          <cell r="A1510">
            <v>69800040</v>
          </cell>
          <cell r="B1510" t="str">
            <v>PARKS DEPT</v>
          </cell>
          <cell r="C1510" t="str">
            <v>1200 WATERWORKS RD</v>
          </cell>
        </row>
        <row r="1511">
          <cell r="A1511">
            <v>69800050</v>
          </cell>
          <cell r="B1511" t="str">
            <v>EVILLE ORDER OF OWLS</v>
          </cell>
          <cell r="C1511" t="str">
            <v>407 N FIRST AVE</v>
          </cell>
        </row>
        <row r="1512">
          <cell r="A1512">
            <v>69800060</v>
          </cell>
          <cell r="B1512" t="str">
            <v>OLD CHICAGO</v>
          </cell>
          <cell r="C1512" t="str">
            <v>6550 E LLOYD EXPY</v>
          </cell>
        </row>
        <row r="1513">
          <cell r="A1513">
            <v>69800080</v>
          </cell>
          <cell r="B1513" t="str">
            <v>RED ROOF INN</v>
          </cell>
          <cell r="C1513" t="str">
            <v>8331 E WALNUT ST</v>
          </cell>
        </row>
        <row r="1514">
          <cell r="A1514">
            <v>69800090</v>
          </cell>
          <cell r="B1514" t="str">
            <v>SIGECOM LLCWOW</v>
          </cell>
          <cell r="C1514" t="str">
            <v>1301A W LLOYD EXPY</v>
          </cell>
        </row>
        <row r="1515">
          <cell r="A1515">
            <v>69800130</v>
          </cell>
          <cell r="B1515" t="str">
            <v>PINEWOOD DEVELPMNT</v>
          </cell>
          <cell r="C1515" t="str">
            <v>1105 S DEXTER AVE</v>
          </cell>
        </row>
        <row r="1516">
          <cell r="A1516">
            <v>69800140</v>
          </cell>
          <cell r="B1516" t="str">
            <v>EVAPAR</v>
          </cell>
          <cell r="C1516" t="str">
            <v>9000 N KENTUCKY AVE</v>
          </cell>
        </row>
        <row r="1517">
          <cell r="A1517">
            <v>69800150</v>
          </cell>
          <cell r="B1517" t="str">
            <v>FEDEX NATIONAL LTLATTN PROP DEPT</v>
          </cell>
          <cell r="C1517" t="str">
            <v>2225 BERGDOLT RD</v>
          </cell>
        </row>
        <row r="1518">
          <cell r="A1518">
            <v>69800160</v>
          </cell>
          <cell r="B1518" t="str">
            <v>PRICE PARKCITY OF EVILLE</v>
          </cell>
          <cell r="C1518" t="str">
            <v>1740 SEASONS RDG</v>
          </cell>
        </row>
        <row r="1519">
          <cell r="A1519">
            <v>69800170</v>
          </cell>
          <cell r="B1519" t="str">
            <v>EVILLE APTS LTD</v>
          </cell>
          <cell r="C1519" t="str">
            <v>5009 E RIVERSIDE DR</v>
          </cell>
        </row>
        <row r="1520">
          <cell r="A1520">
            <v>69800180</v>
          </cell>
          <cell r="B1520" t="str">
            <v>EVILLE APT LTD</v>
          </cell>
          <cell r="C1520" t="str">
            <v>5008 ANGEL DR</v>
          </cell>
        </row>
        <row r="1521">
          <cell r="A1521">
            <v>69800190</v>
          </cell>
          <cell r="B1521" t="str">
            <v>EVILLE APTS LTD</v>
          </cell>
          <cell r="C1521" t="str">
            <v>2700 CORRUNA DR</v>
          </cell>
        </row>
        <row r="1522">
          <cell r="A1522">
            <v>69800200</v>
          </cell>
          <cell r="B1522" t="str">
            <v>EVILLE APTS LTD</v>
          </cell>
          <cell r="C1522" t="str">
            <v>5011 FALCON</v>
          </cell>
        </row>
        <row r="1523">
          <cell r="A1523">
            <v>69800210</v>
          </cell>
          <cell r="B1523" t="str">
            <v>EVILLE APTS LTD</v>
          </cell>
          <cell r="C1523" t="str">
            <v>2601 RALEIGH DR</v>
          </cell>
        </row>
        <row r="1524">
          <cell r="A1524">
            <v>69800220</v>
          </cell>
          <cell r="B1524" t="str">
            <v>EVILLE APTS LTD</v>
          </cell>
          <cell r="C1524" t="str">
            <v>2701 RALEIGH DR</v>
          </cell>
        </row>
        <row r="1525">
          <cell r="A1525">
            <v>69800240</v>
          </cell>
          <cell r="B1525" t="str">
            <v>SHOWPLACE CINEMAS</v>
          </cell>
          <cell r="C1525" t="str">
            <v>1801B MORGAN CTR</v>
          </cell>
        </row>
        <row r="1526">
          <cell r="A1526">
            <v>69800250</v>
          </cell>
          <cell r="B1526" t="str">
            <v>MIKE DUNLAP T-15MEAD JOHNSON NUTR</v>
          </cell>
          <cell r="C1526" t="str">
            <v>2400 OHIO ST</v>
          </cell>
        </row>
        <row r="1527">
          <cell r="A1527">
            <v>69800270</v>
          </cell>
          <cell r="B1527" t="str">
            <v>ALESER CORPORATION</v>
          </cell>
          <cell r="C1527" t="str">
            <v>3526 INTERSTATE DR</v>
          </cell>
        </row>
        <row r="1528">
          <cell r="A1528">
            <v>69800290</v>
          </cell>
          <cell r="B1528" t="str">
            <v>S A E FRATERNITY</v>
          </cell>
          <cell r="C1528" t="str">
            <v>1723 LINCOLN AVE</v>
          </cell>
        </row>
        <row r="1529">
          <cell r="A1529">
            <v>69800300</v>
          </cell>
          <cell r="B1529" t="str">
            <v>RITZERT CO INC</v>
          </cell>
          <cell r="C1529" t="str">
            <v>3117 KRATZVILLE RD</v>
          </cell>
        </row>
        <row r="1530">
          <cell r="A1530">
            <v>69800310</v>
          </cell>
          <cell r="B1530" t="str">
            <v>GOOD SAMARITAN PATH</v>
          </cell>
          <cell r="C1530" t="str">
            <v>601 N BOEKE RD</v>
          </cell>
        </row>
        <row r="1531">
          <cell r="A1531">
            <v>69800320</v>
          </cell>
          <cell r="B1531" t="str">
            <v>ANGEL RIVER HEALTH</v>
          </cell>
          <cell r="C1531" t="str">
            <v>5233 ROSEBUD LN</v>
          </cell>
        </row>
        <row r="1532">
          <cell r="A1532">
            <v>69800330</v>
          </cell>
          <cell r="B1532" t="str">
            <v>LOS BRAVOS MEX REST</v>
          </cell>
          <cell r="C1532" t="str">
            <v>834 TUTOR LN</v>
          </cell>
        </row>
        <row r="1533">
          <cell r="A1533">
            <v>69800340</v>
          </cell>
          <cell r="B1533" t="str">
            <v>GERST BAVARIAN HAUS</v>
          </cell>
          <cell r="C1533" t="str">
            <v>2100 W FRANKLIN ST</v>
          </cell>
        </row>
        <row r="1534">
          <cell r="A1534">
            <v>69800360</v>
          </cell>
          <cell r="B1534" t="str">
            <v>FIRE AND RAIN</v>
          </cell>
          <cell r="C1534" t="str">
            <v>800 W INDIANA ST</v>
          </cell>
        </row>
        <row r="1535">
          <cell r="A1535">
            <v>69800400</v>
          </cell>
          <cell r="B1535" t="str">
            <v>C/O ACCOUNTS PAYABLERIVER POINTE</v>
          </cell>
          <cell r="C1535" t="str">
            <v>3001 GALAXY DR</v>
          </cell>
        </row>
        <row r="1536">
          <cell r="A1536">
            <v>69800420</v>
          </cell>
          <cell r="B1536" t="str">
            <v>ST MARY'S MED CENTERATTN  JIM MCGILLEM</v>
          </cell>
          <cell r="C1536" t="str">
            <v>3801 BELLEMEADE AVE</v>
          </cell>
        </row>
        <row r="1537">
          <cell r="A1537">
            <v>69800430</v>
          </cell>
          <cell r="B1537" t="str">
            <v>GOLDEN CORRAL #674</v>
          </cell>
          <cell r="C1537" t="str">
            <v>5301 PEARL DR</v>
          </cell>
        </row>
        <row r="1538">
          <cell r="A1538">
            <v>69800440</v>
          </cell>
          <cell r="B1538" t="str">
            <v>KERASOTES THEATRE</v>
          </cell>
          <cell r="C1538" t="str">
            <v>5600 PEARL DR</v>
          </cell>
        </row>
        <row r="1539">
          <cell r="A1539">
            <v>69800470</v>
          </cell>
          <cell r="B1539" t="str">
            <v>MEMORIAL PLACE</v>
          </cell>
          <cell r="C1539" t="str">
            <v>401-421 SE TENTH</v>
          </cell>
        </row>
        <row r="1540">
          <cell r="A1540">
            <v>69800500</v>
          </cell>
          <cell r="B1540" t="str">
            <v>O CHARLEY INC #296FACILITY IQ-MS 1381</v>
          </cell>
          <cell r="C1540" t="str">
            <v>5125 PEARL DR</v>
          </cell>
        </row>
        <row r="1541">
          <cell r="A1541">
            <v>69800510</v>
          </cell>
          <cell r="B1541" t="str">
            <v>GARAGESYCAMORE ST PARKING</v>
          </cell>
          <cell r="C1541" t="str">
            <v>500 SYCAMORE ST</v>
          </cell>
        </row>
        <row r="1542">
          <cell r="A1542">
            <v>69800550</v>
          </cell>
          <cell r="B1542" t="str">
            <v>BROWNSTONES OF DANBUOWNER ASSOCIATION</v>
          </cell>
          <cell r="C1542" t="str">
            <v>2501 DANBURY LN</v>
          </cell>
        </row>
        <row r="1543">
          <cell r="A1543">
            <v>69800560</v>
          </cell>
          <cell r="B1543" t="str">
            <v>J A WELLS-DR WELLS</v>
          </cell>
          <cell r="C1543" t="str">
            <v>1311 KIMBER LN</v>
          </cell>
        </row>
        <row r="1544">
          <cell r="A1544">
            <v>69800570</v>
          </cell>
          <cell r="B1544" t="str">
            <v>BAYMONT INN</v>
          </cell>
          <cell r="C1544" t="str">
            <v>8005 E DIVISION ST</v>
          </cell>
        </row>
        <row r="1545">
          <cell r="A1545">
            <v>69800600</v>
          </cell>
          <cell r="B1545" t="str">
            <v>EBA LLC</v>
          </cell>
          <cell r="C1545" t="str">
            <v>2800 KOTTER AVE</v>
          </cell>
        </row>
        <row r="1546">
          <cell r="A1546">
            <v>69800610</v>
          </cell>
          <cell r="B1546" t="str">
            <v>STERLING BOILER MECH</v>
          </cell>
          <cell r="C1546" t="str">
            <v>1420 KIMBER LN</v>
          </cell>
        </row>
        <row r="1547">
          <cell r="A1547">
            <v>69800620</v>
          </cell>
          <cell r="B1547" t="str">
            <v>CARVER COMMUNITY</v>
          </cell>
          <cell r="C1547" t="str">
            <v>400 SE EIGHTH ST</v>
          </cell>
        </row>
        <row r="1548">
          <cell r="A1548">
            <v>69800630</v>
          </cell>
          <cell r="B1548" t="str">
            <v>ATLAS VAN LINES</v>
          </cell>
          <cell r="C1548" t="str">
            <v>1212 GEORGE RD</v>
          </cell>
        </row>
        <row r="1549">
          <cell r="A1549">
            <v>69800640</v>
          </cell>
          <cell r="B1549" t="str">
            <v>MARLIN GOEBEL</v>
          </cell>
          <cell r="C1549" t="str">
            <v>4400 N FULTON AVE</v>
          </cell>
        </row>
        <row r="1550">
          <cell r="A1550">
            <v>69800650</v>
          </cell>
          <cell r="B1550" t="str">
            <v>EVANSVILLE LLCPIES &amp; MORE OF</v>
          </cell>
          <cell r="C1550" t="str">
            <v>6245 VOGEL RD</v>
          </cell>
        </row>
        <row r="1551">
          <cell r="A1551">
            <v>69800670</v>
          </cell>
          <cell r="B1551" t="str">
            <v>LOWES HOME #630ADVANTAGEIQ-MS 1257</v>
          </cell>
          <cell r="C1551" t="str">
            <v>6716 OAK GROVE RD</v>
          </cell>
        </row>
        <row r="1552">
          <cell r="A1552">
            <v>69800680</v>
          </cell>
          <cell r="B1552" t="str">
            <v>LEISURE LIVING APT</v>
          </cell>
          <cell r="C1552" t="str">
            <v>3000 N ST JOE AVE</v>
          </cell>
        </row>
        <row r="1553">
          <cell r="A1553">
            <v>69800700</v>
          </cell>
          <cell r="B1553" t="str">
            <v>YEROLEMOU &amp; SON LLC</v>
          </cell>
          <cell r="C1553" t="str">
            <v>1930 CROSS POINTE BL</v>
          </cell>
        </row>
        <row r="1554">
          <cell r="A1554">
            <v>69800710</v>
          </cell>
          <cell r="B1554" t="str">
            <v>FIFTH THIRD BANK</v>
          </cell>
          <cell r="C1554" t="str">
            <v>4209 WASHINGTON AVE</v>
          </cell>
        </row>
        <row r="1555">
          <cell r="A1555">
            <v>69800720</v>
          </cell>
          <cell r="B1555" t="str">
            <v>A &amp; A METAL PRODUCTS</v>
          </cell>
          <cell r="C1555" t="str">
            <v>2125 BERGDOLT RD</v>
          </cell>
        </row>
        <row r="1556">
          <cell r="A1556">
            <v>69800740</v>
          </cell>
          <cell r="B1556" t="str">
            <v>CONVENTION CENTEREVILLE AUDITORIUM &amp;</v>
          </cell>
          <cell r="C1556" t="str">
            <v>WALNUT ST</v>
          </cell>
        </row>
        <row r="1557">
          <cell r="A1557">
            <v>69800770</v>
          </cell>
          <cell r="B1557" t="str">
            <v>STE 200 MAIL 411PO #1430164205</v>
          </cell>
          <cell r="C1557" t="str">
            <v>1109 S GREEN RIVER RD</v>
          </cell>
        </row>
        <row r="1558">
          <cell r="A1558">
            <v>69800780</v>
          </cell>
          <cell r="B1558" t="str">
            <v>ACCURIDE</v>
          </cell>
          <cell r="C1558" t="str">
            <v>7140 OFFICE CIR</v>
          </cell>
        </row>
        <row r="1559">
          <cell r="A1559">
            <v>69800790</v>
          </cell>
          <cell r="B1559" t="str">
            <v>GOLDEN CORRAL #683FACILITY IQ MS 467</v>
          </cell>
          <cell r="C1559" t="str">
            <v>130 CROSS POINTE BL</v>
          </cell>
        </row>
        <row r="1560">
          <cell r="A1560">
            <v>69800800</v>
          </cell>
          <cell r="B1560" t="str">
            <v>OWNER'S ASSOCIATIONARBOR VALLEY CONDO</v>
          </cell>
          <cell r="C1560" t="str">
            <v>100 S BOEHNE CAMP RD</v>
          </cell>
        </row>
        <row r="1561">
          <cell r="A1561">
            <v>69800810</v>
          </cell>
          <cell r="B1561" t="str">
            <v>KERSTIENS CORP</v>
          </cell>
          <cell r="C1561" t="str">
            <v>700 E WALNUT ST</v>
          </cell>
        </row>
        <row r="1562">
          <cell r="A1562">
            <v>69800840</v>
          </cell>
          <cell r="B1562" t="str">
            <v>DIAMOND VALLEY PROP</v>
          </cell>
          <cell r="C1562" t="str">
            <v>2524 WATERBRIDGE WAY</v>
          </cell>
        </row>
        <row r="1563">
          <cell r="A1563">
            <v>69800870</v>
          </cell>
          <cell r="B1563" t="str">
            <v>LOWES HOME #679ADVANTAGEIQ-MS 1257</v>
          </cell>
          <cell r="C1563" t="str">
            <v>103 S RED BANK RD</v>
          </cell>
        </row>
        <row r="1564">
          <cell r="A1564">
            <v>69800890</v>
          </cell>
          <cell r="B1564" t="str">
            <v>FREIGHTLINER OF EVV</v>
          </cell>
          <cell r="C1564" t="str">
            <v>325 RUSHER CREEK DR</v>
          </cell>
        </row>
        <row r="1565">
          <cell r="A1565">
            <v>69800900</v>
          </cell>
          <cell r="B1565" t="str">
            <v>DEIG BROTHERS</v>
          </cell>
          <cell r="C1565" t="str">
            <v>600 S BARKER ST</v>
          </cell>
        </row>
        <row r="1566">
          <cell r="A1566">
            <v>69800930</v>
          </cell>
          <cell r="B1566" t="str">
            <v>B&amp;NJ INC SIMPSONS</v>
          </cell>
          <cell r="C1566" t="str">
            <v>1365 COVERT AVE</v>
          </cell>
        </row>
        <row r="1567">
          <cell r="A1567">
            <v>69800940</v>
          </cell>
          <cell r="B1567" t="str">
            <v>SIMPSONS FOOD FAIR</v>
          </cell>
          <cell r="C1567" t="str">
            <v>1349-1361 COVERT AVE</v>
          </cell>
        </row>
        <row r="1568">
          <cell r="A1568">
            <v>69800950</v>
          </cell>
          <cell r="B1568" t="str">
            <v>SUNDAY'S INCSUPER WASH</v>
          </cell>
          <cell r="C1568" t="str">
            <v>2451 COVERT AVE</v>
          </cell>
        </row>
        <row r="1569">
          <cell r="A1569">
            <v>69800960</v>
          </cell>
          <cell r="B1569" t="str">
            <v>PERFECTION HYDRULICS</v>
          </cell>
          <cell r="C1569" t="str">
            <v>2220 PERFECTION CT</v>
          </cell>
        </row>
        <row r="1570">
          <cell r="A1570">
            <v>69800970</v>
          </cell>
          <cell r="B1570" t="str">
            <v>EL MAIZAL</v>
          </cell>
          <cell r="C1570" t="str">
            <v>4501 HITCH PETERS</v>
          </cell>
        </row>
        <row r="1571">
          <cell r="A1571">
            <v>69800980</v>
          </cell>
          <cell r="B1571" t="str">
            <v>EYE-MART</v>
          </cell>
          <cell r="C1571" t="str">
            <v>6614 LOGAN DR</v>
          </cell>
        </row>
        <row r="1572">
          <cell r="A1572">
            <v>69800990</v>
          </cell>
          <cell r="B1572" t="str">
            <v>TBJ/JOHN F FROGERS II</v>
          </cell>
          <cell r="C1572" t="str">
            <v>6636 LOGAN DR</v>
          </cell>
        </row>
        <row r="1573">
          <cell r="A1573">
            <v>69801000</v>
          </cell>
          <cell r="B1573" t="str">
            <v>CANTON INN</v>
          </cell>
          <cell r="C1573" t="str">
            <v>947 N PARK DR</v>
          </cell>
        </row>
        <row r="1574">
          <cell r="A1574">
            <v>69801010</v>
          </cell>
          <cell r="B1574" t="str">
            <v>DAEWOO EXPRESS</v>
          </cell>
          <cell r="C1574" t="str">
            <v>300 N ROYAL AVE</v>
          </cell>
        </row>
        <row r="1575">
          <cell r="A1575">
            <v>69801020</v>
          </cell>
          <cell r="B1575" t="str">
            <v>BOB EVANS RESTAURANTEVANSVILLE 000373</v>
          </cell>
          <cell r="C1575" t="str">
            <v>5201 PEARL DR</v>
          </cell>
        </row>
        <row r="1576">
          <cell r="A1576">
            <v>69801030</v>
          </cell>
          <cell r="B1576" t="str">
            <v>SOUTHWEST PROPERTIESGROUP LLC</v>
          </cell>
          <cell r="C1576" t="str">
            <v>1449 KIMBER LN</v>
          </cell>
        </row>
        <row r="1577">
          <cell r="A1577">
            <v>69801040</v>
          </cell>
          <cell r="B1577" t="str">
            <v>GEIGER PROPERTIES IN</v>
          </cell>
          <cell r="C1577" t="str">
            <v>6219 VOGEL RD</v>
          </cell>
        </row>
        <row r="1578">
          <cell r="A1578">
            <v>69801050</v>
          </cell>
          <cell r="B1578" t="str">
            <v>INTERPROP FUND VII</v>
          </cell>
          <cell r="C1578" t="str">
            <v>650 S BOEHNE CAMP RD</v>
          </cell>
        </row>
        <row r="1579">
          <cell r="A1579">
            <v>69801080</v>
          </cell>
          <cell r="B1579" t="str">
            <v>HACIENDA</v>
          </cell>
          <cell r="C1579" t="str">
            <v>5440 PEARL DR</v>
          </cell>
        </row>
        <row r="1580">
          <cell r="A1580">
            <v>69801090</v>
          </cell>
          <cell r="B1580" t="str">
            <v>MARKET #88ATTN ACCTS PAYABLE</v>
          </cell>
          <cell r="C1580" t="str">
            <v>6300 E MORGAN AVE</v>
          </cell>
        </row>
        <row r="1581">
          <cell r="A1581">
            <v>69801100</v>
          </cell>
          <cell r="B1581" t="str">
            <v>ELLEN M GRIMMDANIEL GRIMM JR</v>
          </cell>
          <cell r="C1581" t="str">
            <v>14241 PETERSBURG RD</v>
          </cell>
        </row>
        <row r="1582">
          <cell r="A1582">
            <v>69801110</v>
          </cell>
          <cell r="B1582" t="str">
            <v>SPURLING CO PROP</v>
          </cell>
          <cell r="C1582" t="str">
            <v>3401 N GREEN RIVER RD</v>
          </cell>
        </row>
        <row r="1583">
          <cell r="A1583">
            <v>69801120</v>
          </cell>
          <cell r="B1583" t="str">
            <v>FERRO CORP</v>
          </cell>
          <cell r="C1583" t="str">
            <v>4917 OHARA DR</v>
          </cell>
        </row>
        <row r="1584">
          <cell r="A1584">
            <v>69801130</v>
          </cell>
          <cell r="B1584" t="str">
            <v>SPURLING PROPERTIES</v>
          </cell>
          <cell r="C1584" t="str">
            <v>4313 E MORGAN AVE</v>
          </cell>
        </row>
        <row r="1585">
          <cell r="A1585">
            <v>69801150</v>
          </cell>
          <cell r="B1585" t="str">
            <v>NEPHROLOGY ASSOC</v>
          </cell>
          <cell r="C1585" t="str">
            <v>1312A PROFESSIONAL</v>
          </cell>
        </row>
        <row r="1586">
          <cell r="A1586">
            <v>69801160</v>
          </cell>
          <cell r="B1586" t="str">
            <v>1725 DA VITA INCE E'VILLE DIALYSIS</v>
          </cell>
          <cell r="C1586" t="str">
            <v>1312B PROFESSIONAL</v>
          </cell>
        </row>
        <row r="1587">
          <cell r="A1587">
            <v>69801170</v>
          </cell>
          <cell r="B1587" t="str">
            <v>ATLAS VAN LINES</v>
          </cell>
          <cell r="C1587" t="str">
            <v>1212 ST GEORGE RD</v>
          </cell>
        </row>
        <row r="1588">
          <cell r="A1588">
            <v>69801180</v>
          </cell>
          <cell r="B1588" t="str">
            <v>LUCAS PLACE LLC</v>
          </cell>
          <cell r="C1588" t="str">
            <v>400 BAKER AVE</v>
          </cell>
        </row>
        <row r="1589">
          <cell r="A1589">
            <v>69801190</v>
          </cell>
          <cell r="B1589" t="str">
            <v>KEY WEST PROPERTIES</v>
          </cell>
          <cell r="C1589" t="str">
            <v>120 N ROSENBERGER</v>
          </cell>
        </row>
        <row r="1590">
          <cell r="A1590">
            <v>69801200</v>
          </cell>
          <cell r="B1590" t="str">
            <v>BOB'S GYM</v>
          </cell>
          <cell r="C1590" t="str">
            <v>120A N ROSENBERGER</v>
          </cell>
        </row>
        <row r="1591">
          <cell r="A1591">
            <v>69801210</v>
          </cell>
          <cell r="B1591" t="str">
            <v>BURKHARDT CORNER</v>
          </cell>
          <cell r="C1591" t="str">
            <v>1211 TUTOR LN</v>
          </cell>
        </row>
        <row r="1592">
          <cell r="A1592">
            <v>69801230</v>
          </cell>
          <cell r="B1592" t="str">
            <v>FERRO CORP</v>
          </cell>
          <cell r="C1592" t="str">
            <v>5001 OHARA DR</v>
          </cell>
        </row>
        <row r="1593">
          <cell r="A1593">
            <v>69801250</v>
          </cell>
          <cell r="B1593" t="str">
            <v>LINCOLN ESTATE</v>
          </cell>
          <cell r="C1593" t="str">
            <v>401 JEANETTE BENTON</v>
          </cell>
        </row>
        <row r="1594">
          <cell r="A1594">
            <v>69801280</v>
          </cell>
          <cell r="B1594" t="str">
            <v>MCDONALDS #6717</v>
          </cell>
          <cell r="C1594" t="str">
            <v>49 N BURKHARDT RD</v>
          </cell>
        </row>
        <row r="1595">
          <cell r="A1595">
            <v>69801290</v>
          </cell>
          <cell r="B1595" t="str">
            <v>OLD NATIONAL BANKACCTS PAYABLE DEPT</v>
          </cell>
          <cell r="C1595" t="str">
            <v>5124 PEARL DR</v>
          </cell>
        </row>
        <row r="1596">
          <cell r="A1596">
            <v>69801300</v>
          </cell>
          <cell r="B1596" t="str">
            <v>BLACK BEAUTY COAL CO</v>
          </cell>
          <cell r="C1596" t="str">
            <v>7100B EAGLE CREST BLVD</v>
          </cell>
        </row>
        <row r="1597">
          <cell r="A1597">
            <v>69801310</v>
          </cell>
          <cell r="B1597" t="str">
            <v>CROSS LAKE APTS</v>
          </cell>
          <cell r="C1597" t="str">
            <v>7730 E VIRGINIA ST</v>
          </cell>
        </row>
        <row r="1598">
          <cell r="A1598">
            <v>69801320</v>
          </cell>
          <cell r="B1598" t="str">
            <v>EVILLE HOUSING AUTH</v>
          </cell>
          <cell r="C1598" t="str">
            <v>413 SE EIGHTH ST</v>
          </cell>
        </row>
        <row r="1599">
          <cell r="A1599">
            <v>69801330</v>
          </cell>
          <cell r="B1599" t="str">
            <v>EAGLE CREST BLDG LLC</v>
          </cell>
          <cell r="C1599" t="str">
            <v>7100C EAGLE CREST BLVD</v>
          </cell>
        </row>
        <row r="1600">
          <cell r="A1600">
            <v>69801340</v>
          </cell>
          <cell r="B1600" t="str">
            <v>GUARDIAN INDUSTRIES</v>
          </cell>
          <cell r="C1600" t="str">
            <v>601 N CONGRESS AVE</v>
          </cell>
        </row>
        <row r="1601">
          <cell r="A1601">
            <v>69801360</v>
          </cell>
          <cell r="B1601" t="str">
            <v>HOSE HOUSE #3</v>
          </cell>
          <cell r="C1601" t="str">
            <v>310 N FOURTH AVE</v>
          </cell>
        </row>
        <row r="1602">
          <cell r="A1602">
            <v>69801370</v>
          </cell>
          <cell r="B1602" t="str">
            <v>HOSE HOUSE #17</v>
          </cell>
          <cell r="C1602" t="str">
            <v>425 W MILL RD</v>
          </cell>
        </row>
        <row r="1603">
          <cell r="A1603">
            <v>69801380</v>
          </cell>
          <cell r="B1603" t="str">
            <v>HOSE HOUSE #4</v>
          </cell>
          <cell r="C1603" t="str">
            <v>1200 OAK HILL RD</v>
          </cell>
        </row>
        <row r="1604">
          <cell r="A1604">
            <v>69801390</v>
          </cell>
          <cell r="B1604" t="str">
            <v>OFFICE DEPOT #2120ADVANTAGEIQ-MS 553</v>
          </cell>
          <cell r="C1604" t="str">
            <v>206 S ROSENBERGER</v>
          </cell>
        </row>
        <row r="1605">
          <cell r="A1605">
            <v>69801400</v>
          </cell>
          <cell r="B1605" t="str">
            <v>THE STATE GROUP INTE</v>
          </cell>
          <cell r="C1605" t="str">
            <v>13800 STATE RD HWY57</v>
          </cell>
        </row>
        <row r="1606">
          <cell r="A1606">
            <v>69801410</v>
          </cell>
          <cell r="B1606" t="str">
            <v>BUFFALO WILD WINGSSUITE 1600</v>
          </cell>
          <cell r="C1606" t="str">
            <v>5405 PEARL DR</v>
          </cell>
        </row>
        <row r="1607">
          <cell r="A1607">
            <v>69801420</v>
          </cell>
          <cell r="B1607" t="str">
            <v>MOTO MARTSKG OIL CO</v>
          </cell>
          <cell r="C1607" t="str">
            <v>3222 MARINER DR</v>
          </cell>
        </row>
        <row r="1608">
          <cell r="A1608">
            <v>69801430</v>
          </cell>
          <cell r="B1608" t="str">
            <v>GOOD SAMARITAN HOMES</v>
          </cell>
          <cell r="C1608" t="str">
            <v>601 N BOEKE RD</v>
          </cell>
        </row>
        <row r="1609">
          <cell r="A1609">
            <v>69801440</v>
          </cell>
          <cell r="B1609" t="str">
            <v>AUTO HAUS CAR WASH</v>
          </cell>
          <cell r="C1609" t="str">
            <v>4115 E MORGAN AVE</v>
          </cell>
        </row>
        <row r="1610">
          <cell r="A1610">
            <v>69801450</v>
          </cell>
          <cell r="B1610" t="str">
            <v>STANDARD LABORATORIE</v>
          </cell>
          <cell r="C1610" t="str">
            <v>1530 N CULLEN AVE</v>
          </cell>
        </row>
        <row r="1611">
          <cell r="A1611">
            <v>69801460</v>
          </cell>
          <cell r="B1611" t="str">
            <v>MEAD JOHNSON NUTRMIKE DUNLAP T-15</v>
          </cell>
          <cell r="C1611" t="str">
            <v>2400B W LLOYD EXPY</v>
          </cell>
        </row>
        <row r="1612">
          <cell r="A1612">
            <v>69801470</v>
          </cell>
          <cell r="B1612" t="str">
            <v>MEAD JOHNSON NUTRMIKE DUNLAP T-15</v>
          </cell>
          <cell r="C1612" t="str">
            <v>2400 W LLOYD EXPY</v>
          </cell>
        </row>
        <row r="1613">
          <cell r="A1613">
            <v>69801490</v>
          </cell>
          <cell r="B1613" t="str">
            <v>WPS ENERGY SERVICESATTN NISC/C&amp;I 1 DEPT</v>
          </cell>
          <cell r="C1613" t="str">
            <v>7233 ENTERPRISE PARK</v>
          </cell>
        </row>
        <row r="1614">
          <cell r="A1614">
            <v>69801500</v>
          </cell>
          <cell r="B1614" t="str">
            <v>BAYMONT INNPAM RUSH</v>
          </cell>
          <cell r="C1614" t="str">
            <v>5737 PEARL DR</v>
          </cell>
        </row>
        <row r="1615">
          <cell r="A1615">
            <v>69801510</v>
          </cell>
          <cell r="B1615" t="str">
            <v>VISION SERVICE CORP</v>
          </cell>
          <cell r="C1615" t="str">
            <v>5405 PEARL DR</v>
          </cell>
        </row>
        <row r="1616">
          <cell r="A1616">
            <v>69801520</v>
          </cell>
          <cell r="B1616" t="str">
            <v>HOME DEPOTFACILITY IQ-MS 222</v>
          </cell>
          <cell r="C1616" t="str">
            <v>5230 PEARL DR</v>
          </cell>
        </row>
        <row r="1617">
          <cell r="A1617">
            <v>69801530</v>
          </cell>
          <cell r="B1617" t="str">
            <v>BERRY PLASTICS</v>
          </cell>
          <cell r="C1617" t="str">
            <v>101 OAKLEY ST</v>
          </cell>
        </row>
        <row r="1618">
          <cell r="A1618">
            <v>69801540</v>
          </cell>
          <cell r="B1618" t="str">
            <v>CHRISTIAN FELLOWSHIP</v>
          </cell>
          <cell r="C1618" t="str">
            <v>4100 MILLERSBURG RD</v>
          </cell>
        </row>
        <row r="1619">
          <cell r="A1619">
            <v>69801580</v>
          </cell>
          <cell r="B1619" t="str">
            <v>PINE HAVE HEALTH REH</v>
          </cell>
          <cell r="C1619" t="str">
            <v>3400 STOCKER DR</v>
          </cell>
        </row>
        <row r="1620">
          <cell r="A1620">
            <v>69801590</v>
          </cell>
          <cell r="B1620" t="str">
            <v>MANAGEMENTOLYMPIA PROPERTY</v>
          </cell>
          <cell r="C1620" t="str">
            <v>100 S MORTON</v>
          </cell>
        </row>
        <row r="1621">
          <cell r="A1621">
            <v>69801600</v>
          </cell>
          <cell r="B1621" t="str">
            <v>MEMORIAL POINT II</v>
          </cell>
          <cell r="C1621" t="str">
            <v>678 CHERRY</v>
          </cell>
        </row>
        <row r="1622">
          <cell r="A1622">
            <v>69801620</v>
          </cell>
          <cell r="B1622" t="str">
            <v>SITCO LLC</v>
          </cell>
          <cell r="C1622" t="str">
            <v>4631 OHARA DR</v>
          </cell>
        </row>
        <row r="1623">
          <cell r="A1623">
            <v>69801630</v>
          </cell>
          <cell r="B1623" t="str">
            <v>CENT UNITED METHODIS</v>
          </cell>
          <cell r="C1623" t="str">
            <v>14340 OLD STATE RD</v>
          </cell>
        </row>
        <row r="1624">
          <cell r="A1624">
            <v>69801640</v>
          </cell>
          <cell r="B1624" t="str">
            <v>DBA BEST WESTERNCGM LIC, INC</v>
          </cell>
          <cell r="C1624" t="str">
            <v>324 RUSHER CREEK RD</v>
          </cell>
        </row>
        <row r="1625">
          <cell r="A1625">
            <v>69801650</v>
          </cell>
          <cell r="B1625" t="str">
            <v>WALGREENS #6151</v>
          </cell>
          <cell r="C1625" t="str">
            <v>2015 COVERT AVE</v>
          </cell>
        </row>
        <row r="1626">
          <cell r="A1626">
            <v>69801660</v>
          </cell>
          <cell r="B1626" t="str">
            <v>GR RIVER INVESTMENTS</v>
          </cell>
          <cell r="C1626" t="str">
            <v>4929 RIVERWIND PTE</v>
          </cell>
        </row>
        <row r="1627">
          <cell r="A1627">
            <v>69801670</v>
          </cell>
          <cell r="B1627" t="str">
            <v>UTILITIES PAY #0550ATTN NISC C&amp;I DEPT</v>
          </cell>
          <cell r="C1627" t="str">
            <v>6700 E VIRGINIA ST</v>
          </cell>
        </row>
        <row r="1628">
          <cell r="A1628">
            <v>69801690</v>
          </cell>
          <cell r="B1628" t="str">
            <v>ITALIAN CUISINERAFFI'S</v>
          </cell>
          <cell r="C1628" t="str">
            <v>1100 N BURKHARDT RD</v>
          </cell>
        </row>
        <row r="1629">
          <cell r="A1629">
            <v>69801700</v>
          </cell>
          <cell r="B1629" t="str">
            <v>FUEL CENTERBUEHLERS BUY LOW 456</v>
          </cell>
          <cell r="C1629" t="str">
            <v>12500 HWY 41 N</v>
          </cell>
        </row>
        <row r="1630">
          <cell r="A1630">
            <v>69801710</v>
          </cell>
          <cell r="B1630" t="str">
            <v>LAUNDRY &amp; TAN EXPRES</v>
          </cell>
          <cell r="C1630" t="str">
            <v>2020 COVERT AVE</v>
          </cell>
        </row>
        <row r="1631">
          <cell r="A1631">
            <v>69801740</v>
          </cell>
          <cell r="B1631" t="str">
            <v>COM-TECH PLASTICS</v>
          </cell>
          <cell r="C1631" t="str">
            <v>9 N KENTUCKY AVE</v>
          </cell>
        </row>
        <row r="1632">
          <cell r="A1632">
            <v>69801750</v>
          </cell>
          <cell r="B1632" t="str">
            <v>VECTREN</v>
          </cell>
          <cell r="C1632" t="str">
            <v>300 E INDIANA ST</v>
          </cell>
        </row>
        <row r="1633">
          <cell r="A1633">
            <v>69801760</v>
          </cell>
          <cell r="B1633" t="str">
            <v>STATE FARM INSURANCEFIELD OFFICE MAINT</v>
          </cell>
          <cell r="C1633" t="str">
            <v>320 EAGLE CREST BLVD</v>
          </cell>
        </row>
        <row r="1634">
          <cell r="A1634">
            <v>69801770</v>
          </cell>
          <cell r="B1634" t="str">
            <v>VERMEER OF INDIANA</v>
          </cell>
          <cell r="C1634" t="str">
            <v>3566 CITADEL CIR</v>
          </cell>
        </row>
        <row r="1635">
          <cell r="A1635">
            <v>69801790</v>
          </cell>
          <cell r="B1635" t="str">
            <v>HOSE HOUSE #6</v>
          </cell>
          <cell r="C1635" t="str">
            <v>6521 WASHINGTON AVE</v>
          </cell>
        </row>
        <row r="1636">
          <cell r="A1636">
            <v>69801800</v>
          </cell>
          <cell r="B1636" t="str">
            <v>HOSE HOUSE #15</v>
          </cell>
          <cell r="C1636" t="str">
            <v>1711 S WEINBACH AVE</v>
          </cell>
        </row>
        <row r="1637">
          <cell r="A1637">
            <v>69801810</v>
          </cell>
          <cell r="B1637" t="str">
            <v>SSS RRL RESTAURANT</v>
          </cell>
          <cell r="C1637" t="str">
            <v>5501 PEARL DR</v>
          </cell>
        </row>
        <row r="1638">
          <cell r="A1638">
            <v>69801820</v>
          </cell>
          <cell r="B1638" t="str">
            <v>BOBS GYM</v>
          </cell>
          <cell r="C1638" t="str">
            <v>345 BENTEE WES CT</v>
          </cell>
        </row>
        <row r="1639">
          <cell r="A1639">
            <v>69801830</v>
          </cell>
          <cell r="B1639" t="str">
            <v>WALGREEN #6150</v>
          </cell>
          <cell r="C1639" t="str">
            <v>1601 OAK HILL RD</v>
          </cell>
        </row>
        <row r="1640">
          <cell r="A1640">
            <v>69801840</v>
          </cell>
          <cell r="B1640" t="str">
            <v>EVILLE STATE HOSP</v>
          </cell>
          <cell r="C1640" t="str">
            <v>3400 LINCOLN AVE</v>
          </cell>
        </row>
        <row r="1641">
          <cell r="A1641">
            <v>69801850</v>
          </cell>
          <cell r="B1641" t="str">
            <v>LOGAN ROADHOUSE #381ADVANTAGE IQ MS 1958</v>
          </cell>
          <cell r="C1641" t="str">
            <v>5645 PEARL DR</v>
          </cell>
        </row>
        <row r="1642">
          <cell r="A1642">
            <v>69801870</v>
          </cell>
          <cell r="B1642" t="str">
            <v>FOUR M PROPERTIESCENTRAL WAREHOUSE</v>
          </cell>
          <cell r="C1642" t="str">
            <v>15000B HWY 41 N</v>
          </cell>
        </row>
        <row r="1643">
          <cell r="A1643">
            <v>69801880</v>
          </cell>
          <cell r="B1643" t="str">
            <v>WALGREENS 6152</v>
          </cell>
          <cell r="C1643" t="str">
            <v>925 S GREEN RIVER RD</v>
          </cell>
        </row>
        <row r="1644">
          <cell r="A1644">
            <v>69801900</v>
          </cell>
          <cell r="B1644" t="str">
            <v>STEVE WICKISER</v>
          </cell>
          <cell r="C1644" t="str">
            <v>1713 N SPRING ST</v>
          </cell>
        </row>
        <row r="1645">
          <cell r="A1645">
            <v>69801910</v>
          </cell>
          <cell r="B1645" t="str">
            <v>IHOP 5404 INC</v>
          </cell>
          <cell r="C1645" t="str">
            <v>601 N BURKHARDT RD</v>
          </cell>
        </row>
        <row r="1646">
          <cell r="A1646">
            <v>69801920</v>
          </cell>
          <cell r="B1646" t="str">
            <v>BMB</v>
          </cell>
          <cell r="C1646" t="str">
            <v>3614 CITADEL CIR</v>
          </cell>
        </row>
        <row r="1647">
          <cell r="A1647">
            <v>69801930</v>
          </cell>
          <cell r="B1647" t="str">
            <v>TEMPLE ADATH B'NAI</v>
          </cell>
          <cell r="C1647" t="str">
            <v>8440 NEWBURGH RD</v>
          </cell>
        </row>
        <row r="1648">
          <cell r="A1648">
            <v>69801940</v>
          </cell>
          <cell r="B1648" t="str">
            <v>OAK HILL/ARBORISTCITY CONTROLLER</v>
          </cell>
          <cell r="C1648" t="str">
            <v>1400C E VIRGINIA ST</v>
          </cell>
        </row>
        <row r="1649">
          <cell r="A1649">
            <v>69801950</v>
          </cell>
          <cell r="B1649" t="str">
            <v>WAREHOUSE SERVICES</v>
          </cell>
          <cell r="C1649" t="str">
            <v>911B E VIRGINIA ST</v>
          </cell>
        </row>
        <row r="1650">
          <cell r="A1650">
            <v>69801970</v>
          </cell>
          <cell r="B1650" t="str">
            <v>GRAHAM PACKAGING CO</v>
          </cell>
          <cell r="C1650" t="str">
            <v>5504 FOUNDATION DR</v>
          </cell>
        </row>
        <row r="1651">
          <cell r="A1651">
            <v>69801980</v>
          </cell>
          <cell r="B1651" t="str">
            <v>GRAHAM PACKAGING CO</v>
          </cell>
          <cell r="C1651" t="str">
            <v>5504A FOUNDATION DR</v>
          </cell>
        </row>
        <row r="1652">
          <cell r="A1652">
            <v>69802000</v>
          </cell>
          <cell r="B1652" t="str">
            <v>ADOPTIONFAMILIES THRU INTL</v>
          </cell>
          <cell r="C1652" t="str">
            <v>330 BENTEE WES CT</v>
          </cell>
        </row>
        <row r="1653">
          <cell r="A1653">
            <v>69802010</v>
          </cell>
          <cell r="B1653" t="str">
            <v>PROLIFT IND INC LLC</v>
          </cell>
          <cell r="C1653" t="str">
            <v>5500 FOUNDATION BLVD</v>
          </cell>
        </row>
        <row r="1654">
          <cell r="A1654">
            <v>69802030</v>
          </cell>
          <cell r="B1654" t="str">
            <v>TARGET STORE T-1481</v>
          </cell>
          <cell r="C1654" t="str">
            <v>6625 E LLOYD EXPY</v>
          </cell>
        </row>
        <row r="1655">
          <cell r="A1655">
            <v>69802040</v>
          </cell>
          <cell r="B1655" t="str">
            <v>PYROTEK</v>
          </cell>
          <cell r="C1655" t="str">
            <v>14828 FOUNDATION DR</v>
          </cell>
        </row>
        <row r="1656">
          <cell r="A1656">
            <v>69802070</v>
          </cell>
          <cell r="B1656" t="str">
            <v>HOLY REDEEMER</v>
          </cell>
          <cell r="C1656" t="str">
            <v>918B W MILL RD</v>
          </cell>
        </row>
        <row r="1657">
          <cell r="A1657">
            <v>69802080</v>
          </cell>
          <cell r="B1657" t="str">
            <v>AT&amp;T MOBILITYATTN ARLETTA RIGGS</v>
          </cell>
          <cell r="C1657" t="str">
            <v>330 N BURKHARDT RD</v>
          </cell>
        </row>
        <row r="1658">
          <cell r="A1658">
            <v>69802090</v>
          </cell>
          <cell r="B1658" t="str">
            <v>OF EVANSVILLE LLCC/O EVANSVILLE PAVIL</v>
          </cell>
          <cell r="C1658" t="str">
            <v>6401 E LLOYD EXPY</v>
          </cell>
        </row>
        <row r="1659">
          <cell r="A1659">
            <v>69802100</v>
          </cell>
          <cell r="B1659" t="str">
            <v>OF EVANSVILLE LLCC/O EVANSVILLE PAVIL</v>
          </cell>
          <cell r="C1659" t="str">
            <v>6501 E LLOYD EXPY</v>
          </cell>
        </row>
        <row r="1660">
          <cell r="A1660">
            <v>69802110</v>
          </cell>
          <cell r="B1660" t="str">
            <v>DRESS BARN #0570E'VILLE PAVILLION</v>
          </cell>
          <cell r="C1660" t="str">
            <v>6501 E LLOYD EXPY</v>
          </cell>
        </row>
        <row r="1661">
          <cell r="A1661">
            <v>69802130</v>
          </cell>
          <cell r="B1661" t="str">
            <v>BORDERS GROUP INCCASS INFO SYSTEMS</v>
          </cell>
          <cell r="C1661" t="str">
            <v>6401 E LLOYD EXPY</v>
          </cell>
        </row>
        <row r="1662">
          <cell r="A1662">
            <v>69802140</v>
          </cell>
          <cell r="B1662" t="str">
            <v>T J MAXX</v>
          </cell>
          <cell r="C1662" t="str">
            <v>6601 E LLOYD EXPY</v>
          </cell>
        </row>
        <row r="1663">
          <cell r="A1663">
            <v>69802150</v>
          </cell>
          <cell r="B1663" t="str">
            <v>EVILLE GOODWILL IND</v>
          </cell>
          <cell r="C1663" t="str">
            <v>4660 W LLOYD EXPY</v>
          </cell>
        </row>
        <row r="1664">
          <cell r="A1664">
            <v>69802160</v>
          </cell>
          <cell r="B1664" t="str">
            <v>LINENS N THINGS</v>
          </cell>
          <cell r="C1664" t="str">
            <v>6601 E LLOYD EXPY</v>
          </cell>
        </row>
        <row r="1665">
          <cell r="A1665">
            <v>69802170</v>
          </cell>
          <cell r="B1665" t="str">
            <v>DICK'S SPORTINGADVANTAGEIQ-MS 1494</v>
          </cell>
          <cell r="C1665" t="str">
            <v>6601 E LLOYD EXPY</v>
          </cell>
        </row>
        <row r="1666">
          <cell r="A1666">
            <v>69802180</v>
          </cell>
          <cell r="B1666" t="str">
            <v>VHS</v>
          </cell>
          <cell r="C1666" t="str">
            <v>400 MILLNER IND DR</v>
          </cell>
        </row>
        <row r="1667">
          <cell r="A1667">
            <v>69802200</v>
          </cell>
          <cell r="B1667" t="str">
            <v>SWONDER ICE RINKCITY EVANSVILLE</v>
          </cell>
          <cell r="C1667" t="str">
            <v>209 N BOEKE RD</v>
          </cell>
        </row>
        <row r="1668">
          <cell r="A1668">
            <v>69802220</v>
          </cell>
          <cell r="B1668" t="str">
            <v>C/O SUMMIT REAL ESTSUITE 202</v>
          </cell>
          <cell r="C1668" t="str">
            <v>5702 E VIRGINIA ST</v>
          </cell>
        </row>
        <row r="1669">
          <cell r="A1669">
            <v>69802230</v>
          </cell>
          <cell r="B1669" t="str">
            <v>NAGASAKI INN</v>
          </cell>
          <cell r="C1669" t="str">
            <v>5720 E VIRGINIA ST</v>
          </cell>
        </row>
        <row r="1670">
          <cell r="A1670">
            <v>69802240</v>
          </cell>
          <cell r="B1670" t="str">
            <v>2489RLADVANTAGE IQ-MS2470</v>
          </cell>
          <cell r="C1670" t="str">
            <v>6501 E LLOYD EXPY</v>
          </cell>
        </row>
        <row r="1671">
          <cell r="A1671">
            <v>69802270</v>
          </cell>
          <cell r="B1671" t="str">
            <v>JUSTICE #656</v>
          </cell>
          <cell r="C1671" t="str">
            <v>6501 E LLOYD EXPY</v>
          </cell>
        </row>
        <row r="1672">
          <cell r="A1672">
            <v>69802280</v>
          </cell>
          <cell r="B1672" t="str">
            <v>ADVANTAGE IQ 2224ELECTRONIC BOUT OF</v>
          </cell>
          <cell r="C1672" t="str">
            <v>6401 E LLOYD</v>
          </cell>
        </row>
        <row r="1673">
          <cell r="A1673">
            <v>69802290</v>
          </cell>
          <cell r="B1673" t="str">
            <v>AFTER HOURS FORMALMS #7</v>
          </cell>
          <cell r="C1673" t="str">
            <v>6401 E LLOYD EXPY</v>
          </cell>
        </row>
        <row r="1674">
          <cell r="A1674">
            <v>69802300</v>
          </cell>
          <cell r="B1674" t="str">
            <v>FANCY NAILS</v>
          </cell>
          <cell r="C1674" t="str">
            <v>6401 E LLOYD</v>
          </cell>
        </row>
        <row r="1675">
          <cell r="A1675">
            <v>69802310</v>
          </cell>
          <cell r="B1675" t="str">
            <v>DBA MOE'S SOUTHWESTEVM RESTURANTS LLC</v>
          </cell>
          <cell r="C1675" t="str">
            <v>6401 E LLOYD</v>
          </cell>
        </row>
        <row r="1676">
          <cell r="A1676">
            <v>69802330</v>
          </cell>
          <cell r="B1676" t="str">
            <v>FASHION BUG #3601</v>
          </cell>
          <cell r="C1676" t="str">
            <v>6501 E LLOYD</v>
          </cell>
        </row>
        <row r="1677">
          <cell r="A1677">
            <v>69802340</v>
          </cell>
          <cell r="B1677" t="str">
            <v>KIRKLANDS INC #436</v>
          </cell>
          <cell r="C1677" t="str">
            <v>6501 E LLOYD EXPY</v>
          </cell>
        </row>
        <row r="1678">
          <cell r="A1678">
            <v>69802350</v>
          </cell>
          <cell r="B1678" t="str">
            <v>ONB CORP TRUSTDAVID CROW</v>
          </cell>
          <cell r="C1678" t="str">
            <v>900 TUTOR LN</v>
          </cell>
        </row>
        <row r="1679">
          <cell r="A1679">
            <v>69802360</v>
          </cell>
          <cell r="B1679" t="str">
            <v>SCHUCK MARKET #728</v>
          </cell>
          <cell r="C1679" t="str">
            <v>3501 N GREEN RIVER RD</v>
          </cell>
        </row>
        <row r="1680">
          <cell r="A1680">
            <v>69802370</v>
          </cell>
          <cell r="B1680" t="str">
            <v>STOLLS COUNTRY INN</v>
          </cell>
          <cell r="C1680" t="str">
            <v>19820 CASTLE CRK</v>
          </cell>
        </row>
        <row r="1681">
          <cell r="A1681">
            <v>69802390</v>
          </cell>
          <cell r="B1681" t="str">
            <v>LAKESIDE DEVELOPMENT</v>
          </cell>
          <cell r="C1681" t="str">
            <v>3401 N GREEN RIVER RD</v>
          </cell>
        </row>
        <row r="1682">
          <cell r="A1682">
            <v>69802410</v>
          </cell>
          <cell r="B1682" t="str">
            <v>PUBLIC LIBRARYEVANSVILLE VAND</v>
          </cell>
          <cell r="C1682" t="str">
            <v>3001 OAKLYN DR</v>
          </cell>
        </row>
        <row r="1683">
          <cell r="A1683">
            <v>69802440</v>
          </cell>
          <cell r="B1683" t="str">
            <v>WORKING DISTRIBUTORS</v>
          </cell>
          <cell r="C1683" t="str">
            <v>2800 DIEGO DR</v>
          </cell>
        </row>
        <row r="1684">
          <cell r="A1684">
            <v>69802450</v>
          </cell>
          <cell r="B1684" t="str">
            <v>INDIANA DOWNS OFFTRA</v>
          </cell>
          <cell r="C1684" t="str">
            <v>5480A E INDIANA ST</v>
          </cell>
        </row>
        <row r="1685">
          <cell r="A1685">
            <v>69802460</v>
          </cell>
          <cell r="B1685" t="str">
            <v>MEAD JOHNSON NUTRMIKE DUNLAP T-15</v>
          </cell>
          <cell r="C1685" t="str">
            <v>2400 W LLOY EXPY</v>
          </cell>
        </row>
        <row r="1686">
          <cell r="A1686">
            <v>69802462</v>
          </cell>
          <cell r="B1686" t="str">
            <v>FIRST PRESBYTERIAN</v>
          </cell>
          <cell r="C1686" t="str">
            <v>609 SE SECOND ST</v>
          </cell>
        </row>
        <row r="1687">
          <cell r="A1687">
            <v>69802463</v>
          </cell>
          <cell r="B1687" t="str">
            <v>OLD NATIONAL BANCORP</v>
          </cell>
          <cell r="C1687" t="str">
            <v>3535 N GREEN RIVER RD</v>
          </cell>
        </row>
        <row r="1688">
          <cell r="A1688">
            <v>69802464</v>
          </cell>
          <cell r="B1688" t="str">
            <v>US INCUBATOR LLC</v>
          </cell>
          <cell r="C1688" t="str">
            <v>815 JOHN ST</v>
          </cell>
        </row>
        <row r="1689">
          <cell r="A1689">
            <v>69802465</v>
          </cell>
          <cell r="B1689" t="str">
            <v>TRUCK &amp; TRAILER INCMIDWEST</v>
          </cell>
          <cell r="C1689" t="str">
            <v>3323 INTERSTATE DR</v>
          </cell>
        </row>
        <row r="1690">
          <cell r="A1690">
            <v>69802466</v>
          </cell>
          <cell r="B1690" t="str">
            <v>FCUEVANSVILLE TEACHERS</v>
          </cell>
          <cell r="C1690" t="str">
            <v>1900 HIRSCHLAND RD</v>
          </cell>
        </row>
        <row r="1691">
          <cell r="A1691">
            <v>69802467</v>
          </cell>
          <cell r="B1691" t="str">
            <v>SYCAMORE POINTE CONDDAN BUCK</v>
          </cell>
          <cell r="C1691" t="str">
            <v>108 S ROYAL AVE</v>
          </cell>
        </row>
        <row r="1692">
          <cell r="A1692">
            <v>69802468</v>
          </cell>
          <cell r="B1692" t="str">
            <v>HICKORY LAKE APT LLC</v>
          </cell>
          <cell r="C1692" t="str">
            <v>4800 MD MT VERNON RD</v>
          </cell>
        </row>
        <row r="1693">
          <cell r="A1693">
            <v>69802470</v>
          </cell>
          <cell r="B1693" t="str">
            <v>OLD NATIONAL BANK</v>
          </cell>
          <cell r="C1693" t="str">
            <v>1 MAIN ST</v>
          </cell>
        </row>
        <row r="1694">
          <cell r="A1694">
            <v>69802471</v>
          </cell>
          <cell r="B1694" t="str">
            <v>BIAGGIS RISTORANTE</v>
          </cell>
          <cell r="C1694" t="str">
            <v>6401 E LLOYD</v>
          </cell>
        </row>
        <row r="1695">
          <cell r="A1695">
            <v>69802472</v>
          </cell>
          <cell r="B1695" t="str">
            <v>WESSELMANS</v>
          </cell>
          <cell r="C1695" t="str">
            <v>4845 POLLACK AVE</v>
          </cell>
        </row>
        <row r="1696">
          <cell r="A1696">
            <v>69802473</v>
          </cell>
          <cell r="B1696" t="str">
            <v>KENNY KENT KYUNDAI</v>
          </cell>
          <cell r="C1696" t="str">
            <v>4400 E DIVISION ST</v>
          </cell>
        </row>
        <row r="1697">
          <cell r="A1697">
            <v>69802474</v>
          </cell>
          <cell r="B1697" t="str">
            <v>AMERICAN RED CROSS</v>
          </cell>
          <cell r="C1697" t="str">
            <v>29 S STOCKWELL</v>
          </cell>
        </row>
        <row r="1698">
          <cell r="A1698">
            <v>69802475</v>
          </cell>
          <cell r="B1698" t="str">
            <v>CHURCH OF CHRIST</v>
          </cell>
          <cell r="C1698" t="str">
            <v>4001 WASHINGTON AVE</v>
          </cell>
        </row>
        <row r="1699">
          <cell r="A1699">
            <v>69802476</v>
          </cell>
          <cell r="B1699" t="str">
            <v>NATIONAL VISION INC</v>
          </cell>
          <cell r="C1699" t="str">
            <v>6501 E LLOYD</v>
          </cell>
        </row>
        <row r="1700">
          <cell r="A1700">
            <v>69802477</v>
          </cell>
          <cell r="B1700" t="str">
            <v>PIER 1 IMPORTSADVANTAGEIQ-MS 217</v>
          </cell>
          <cell r="C1700" t="str">
            <v>6501 E LLOYD</v>
          </cell>
        </row>
        <row r="1701">
          <cell r="A1701">
            <v>69802479</v>
          </cell>
          <cell r="B1701" t="str">
            <v>SOCCER COMPLEXCITY OF EVANSVILLE</v>
          </cell>
          <cell r="C1701" t="str">
            <v>6800 N GREEN RIVER RD</v>
          </cell>
        </row>
        <row r="1702">
          <cell r="A1702">
            <v>69802481</v>
          </cell>
          <cell r="B1702" t="str">
            <v>BILL S GOUGH LLC</v>
          </cell>
          <cell r="C1702" t="str">
            <v>619 N BURKHARDT RD</v>
          </cell>
        </row>
        <row r="1703">
          <cell r="A1703">
            <v>69802483</v>
          </cell>
          <cell r="B1703" t="str">
            <v>BILL S GONGH LLC</v>
          </cell>
          <cell r="C1703" t="str">
            <v>701 N BURKHARDT RD</v>
          </cell>
        </row>
        <row r="1704">
          <cell r="A1704">
            <v>69802484</v>
          </cell>
          <cell r="B1704" t="str">
            <v>REGENCY CLUB APTS</v>
          </cell>
          <cell r="C1704" t="str">
            <v>8416 LINCOLN AVE</v>
          </cell>
        </row>
        <row r="1705">
          <cell r="A1705">
            <v>69802485</v>
          </cell>
          <cell r="B1705" t="str">
            <v>BROOKLYN PLACE APTSSUITE 3000</v>
          </cell>
          <cell r="C1705" t="str">
            <v>6900 E VIRGINIA ST</v>
          </cell>
        </row>
        <row r="1706">
          <cell r="A1706">
            <v>69802486</v>
          </cell>
          <cell r="B1706" t="str">
            <v>AMERIQUAL FOODS</v>
          </cell>
          <cell r="C1706" t="str">
            <v>18200C HWY 41 N</v>
          </cell>
        </row>
        <row r="1707">
          <cell r="A1707">
            <v>69802487</v>
          </cell>
          <cell r="B1707" t="str">
            <v>ADVANTAGEIQ-MS 475BABIES R US</v>
          </cell>
          <cell r="C1707" t="str">
            <v>6501 E LLOYD EXW 6</v>
          </cell>
        </row>
        <row r="1708">
          <cell r="A1708">
            <v>69802488</v>
          </cell>
          <cell r="B1708" t="str">
            <v>COMMUNITY COLLEGEIVY TECH</v>
          </cell>
          <cell r="C1708" t="str">
            <v>3501 N FIRST AVE</v>
          </cell>
        </row>
        <row r="1709">
          <cell r="A1709">
            <v>69802489</v>
          </cell>
          <cell r="B1709" t="str">
            <v>KRISPY KREMEADVANTAGEIQ-MS 438</v>
          </cell>
          <cell r="C1709" t="str">
            <v>727 N BURKHARDT RD</v>
          </cell>
        </row>
        <row r="1710">
          <cell r="A1710">
            <v>69802490</v>
          </cell>
          <cell r="B1710" t="str">
            <v>OWNER ASSOCIATIONC/O BLANKENBERGER</v>
          </cell>
          <cell r="C1710" t="str">
            <v>1035 BEACON HILL DR</v>
          </cell>
        </row>
        <row r="1711">
          <cell r="A1711">
            <v>69802491</v>
          </cell>
          <cell r="B1711" t="str">
            <v>%FACITITY IQ MS 484REGIS CORP #75862</v>
          </cell>
          <cell r="C1711" t="str">
            <v>6401 E LLOYD</v>
          </cell>
        </row>
        <row r="1712">
          <cell r="A1712">
            <v>69802492</v>
          </cell>
          <cell r="B1712" t="str">
            <v>ETFCU</v>
          </cell>
          <cell r="C1712" t="str">
            <v>4405 THEATER DR</v>
          </cell>
        </row>
        <row r="1713">
          <cell r="A1713">
            <v>69802493</v>
          </cell>
          <cell r="B1713" t="str">
            <v>TRES BRAVOS INC</v>
          </cell>
          <cell r="C1713" t="str">
            <v>4630 W LLOYD EXPY</v>
          </cell>
        </row>
        <row r="1714">
          <cell r="A1714">
            <v>69802495</v>
          </cell>
          <cell r="B1714" t="str">
            <v>PUBLIC LIBRARYEVANSVILLE VAND</v>
          </cell>
          <cell r="C1714" t="str">
            <v>200 SE MLK JR BLVD</v>
          </cell>
        </row>
        <row r="1715">
          <cell r="A1715">
            <v>69802497</v>
          </cell>
          <cell r="B1715" t="str">
            <v>BURDETTE PARK</v>
          </cell>
          <cell r="C1715" t="str">
            <v>5301 NURRENBURN RD</v>
          </cell>
        </row>
        <row r="1716">
          <cell r="A1716">
            <v>69802498</v>
          </cell>
          <cell r="B1716" t="str">
            <v>NAZARENE BAPT CHURCH</v>
          </cell>
          <cell r="C1716" t="str">
            <v>867 E WALNUT ST</v>
          </cell>
        </row>
        <row r="1717">
          <cell r="A1717">
            <v>69802499</v>
          </cell>
          <cell r="B1717" t="str">
            <v>ATLAS VANN LINES</v>
          </cell>
          <cell r="C1717" t="str">
            <v>5801 N FARES AVE</v>
          </cell>
        </row>
        <row r="1718">
          <cell r="A1718">
            <v>69802500</v>
          </cell>
          <cell r="B1718" t="str">
            <v>LEISURE LIVING APT</v>
          </cell>
          <cell r="C1718" t="str">
            <v>2750 ALLENS LN</v>
          </cell>
        </row>
        <row r="1719">
          <cell r="A1719">
            <v>69802501</v>
          </cell>
          <cell r="B1719" t="str">
            <v>PARTY OUTLET #319FACTORY CARD &amp;</v>
          </cell>
          <cell r="C1719" t="str">
            <v>6501 E LLOYD EXPY</v>
          </cell>
        </row>
        <row r="1720">
          <cell r="A1720">
            <v>69802502</v>
          </cell>
          <cell r="B1720" t="str">
            <v>ATTN NISC C&amp;I DEPT#01-5372</v>
          </cell>
          <cell r="C1720" t="str">
            <v>3430 TAYLOR AVE</v>
          </cell>
        </row>
        <row r="1721">
          <cell r="A1721">
            <v>69802504</v>
          </cell>
          <cell r="B1721" t="str">
            <v>SCOTT SCHOOLEVSC</v>
          </cell>
          <cell r="C1721" t="str">
            <v>14940 OLD STATE RD</v>
          </cell>
        </row>
        <row r="1722">
          <cell r="A1722">
            <v>69802505</v>
          </cell>
          <cell r="B1722" t="str">
            <v>MEMORIAL PLACE II</v>
          </cell>
          <cell r="C1722" t="str">
            <v>501 SE TENTH ST</v>
          </cell>
        </row>
        <row r="1723">
          <cell r="A1723">
            <v>69802506</v>
          </cell>
          <cell r="B1723" t="str">
            <v>TEXAS OF EVANSVILLESTE 400</v>
          </cell>
          <cell r="C1723" t="str">
            <v>7900 EAGLE CREST BLVD</v>
          </cell>
        </row>
        <row r="1724">
          <cell r="A1724">
            <v>69802507</v>
          </cell>
          <cell r="B1724" t="str">
            <v>EVILLE HOUSING AUTH</v>
          </cell>
          <cell r="C1724" t="str">
            <v>1111 CHERRY ST</v>
          </cell>
        </row>
        <row r="1725">
          <cell r="A1725">
            <v>69802508</v>
          </cell>
          <cell r="B1725" t="str">
            <v>LONGHORN STEAKHOUSE#221</v>
          </cell>
          <cell r="C1725" t="str">
            <v>320 N GREEN RIVER RD</v>
          </cell>
        </row>
        <row r="1726">
          <cell r="A1726">
            <v>69802510</v>
          </cell>
          <cell r="B1726" t="str">
            <v>ERIC GRIES DISPOSAL</v>
          </cell>
          <cell r="C1726" t="str">
            <v>4430 PROFICIENT CT</v>
          </cell>
        </row>
        <row r="1727">
          <cell r="A1727">
            <v>69802511</v>
          </cell>
          <cell r="B1727" t="str">
            <v>EVANSVILLE ARC</v>
          </cell>
          <cell r="C1727" t="str">
            <v>2515B KOTTER AVE</v>
          </cell>
        </row>
        <row r="1728">
          <cell r="A1728">
            <v>69802512</v>
          </cell>
          <cell r="B1728" t="str">
            <v>OF AMERICAVOLUNTEERS</v>
          </cell>
          <cell r="C1728" t="str">
            <v>811 E FRANKLIN</v>
          </cell>
        </row>
        <row r="1729">
          <cell r="A1729">
            <v>69802513</v>
          </cell>
          <cell r="B1729" t="str">
            <v>SURGICARE</v>
          </cell>
          <cell r="C1729" t="str">
            <v>225B CROSSLAKE DR</v>
          </cell>
        </row>
        <row r="1730">
          <cell r="A1730">
            <v>69802514</v>
          </cell>
          <cell r="B1730" t="str">
            <v>TRISTATE ORTHOPAEDICATTN ACCTS PAYABLE</v>
          </cell>
          <cell r="C1730" t="str">
            <v>225 CROSSLAKE DR</v>
          </cell>
        </row>
        <row r="1731">
          <cell r="A1731">
            <v>69802516</v>
          </cell>
          <cell r="B1731" t="str">
            <v>NORTH HAMPTON LLC</v>
          </cell>
          <cell r="C1731" t="str">
            <v>4240 N THIRD AVE</v>
          </cell>
        </row>
        <row r="1732">
          <cell r="A1732">
            <v>69802517</v>
          </cell>
          <cell r="B1732" t="str">
            <v>CHICK-FIL-A</v>
          </cell>
          <cell r="C1732" t="str">
            <v>7101 E INDIANA ST</v>
          </cell>
        </row>
        <row r="1733">
          <cell r="A1733">
            <v>69802518</v>
          </cell>
          <cell r="B1733" t="str">
            <v>ELITE FITNESS CENTER</v>
          </cell>
          <cell r="C1733" t="str">
            <v>9515 SEIB RD</v>
          </cell>
        </row>
        <row r="1734">
          <cell r="A1734">
            <v>69802519</v>
          </cell>
          <cell r="B1734" t="str">
            <v>HOMES LLCLAKESHORE APARTMENTS</v>
          </cell>
          <cell r="C1734" t="str">
            <v>8301-8331 SAIL DR</v>
          </cell>
        </row>
        <row r="1735">
          <cell r="A1735">
            <v>69802520</v>
          </cell>
          <cell r="B1735" t="str">
            <v>C/O GIVEN &amp; SPINDLERTCC PROPERTIES LLC</v>
          </cell>
          <cell r="C1735" t="str">
            <v>303 N STOCKWELL RD</v>
          </cell>
        </row>
        <row r="1736">
          <cell r="A1736">
            <v>69802521</v>
          </cell>
          <cell r="B1736" t="str">
            <v>BOBS GYM &amp; FITNESS</v>
          </cell>
          <cell r="C1736" t="str">
            <v>8700 N KENTUCKY AVE</v>
          </cell>
        </row>
        <row r="1737">
          <cell r="A1737">
            <v>69802522</v>
          </cell>
          <cell r="B1737" t="str">
            <v>STAR BUCKSADVANTAGEIQ-MS 215</v>
          </cell>
          <cell r="C1737" t="str">
            <v>4650 N FIRST AVE</v>
          </cell>
        </row>
        <row r="1738">
          <cell r="A1738">
            <v>69802523</v>
          </cell>
          <cell r="B1738" t="str">
            <v>COLUMBIA SUSSEXCASINO AZTAR</v>
          </cell>
          <cell r="C1738" t="str">
            <v>512 NW FIRST</v>
          </cell>
        </row>
        <row r="1739">
          <cell r="A1739">
            <v>69802524</v>
          </cell>
          <cell r="B1739" t="str">
            <v>LAKESHORE APARTMENTS</v>
          </cell>
          <cell r="C1739" t="str">
            <v>8201-8231 SAIL DR</v>
          </cell>
        </row>
        <row r="1740">
          <cell r="A1740">
            <v>69802525</v>
          </cell>
          <cell r="B1740" t="str">
            <v>UTILITIES PAYABLEATTN NSIC C&amp; I DEPT</v>
          </cell>
          <cell r="C1740" t="str">
            <v>335 S RED BANK RD</v>
          </cell>
        </row>
        <row r="1741">
          <cell r="A1741">
            <v>69802526</v>
          </cell>
          <cell r="B1741" t="str">
            <v>UTILITIES PAYABLEATTN NISC C&amp;I DEPT</v>
          </cell>
          <cell r="C1741" t="str">
            <v>335B S RED BANK RD</v>
          </cell>
        </row>
        <row r="1742">
          <cell r="A1742">
            <v>69802528</v>
          </cell>
          <cell r="B1742" t="str">
            <v>BUILDING AUTHORITY</v>
          </cell>
          <cell r="C1742" t="str">
            <v>3500 N HARLAN AVE</v>
          </cell>
        </row>
        <row r="1743">
          <cell r="A1743">
            <v>69802529</v>
          </cell>
          <cell r="B1743" t="str">
            <v>AMERICABOY SCOUTS OF</v>
          </cell>
          <cell r="C1743" t="str">
            <v>3501 E LLOYD EXPWY</v>
          </cell>
        </row>
        <row r="1744">
          <cell r="A1744">
            <v>69802530</v>
          </cell>
          <cell r="B1744" t="str">
            <v>LP PROP A/P DEPTARBORS OF EASTLAND</v>
          </cell>
          <cell r="C1744" t="str">
            <v>2700 ARBORS DR</v>
          </cell>
        </row>
        <row r="1745">
          <cell r="A1745">
            <v>69802531</v>
          </cell>
          <cell r="B1745" t="str">
            <v>IVY GARDENS</v>
          </cell>
          <cell r="C1745" t="str">
            <v>4321 N FULTON AVE</v>
          </cell>
        </row>
        <row r="1746">
          <cell r="A1746">
            <v>69802532</v>
          </cell>
          <cell r="B1746" t="str">
            <v>BONEFISH GRILL</v>
          </cell>
          <cell r="C1746" t="str">
            <v>6401 E LLOYD EXPY</v>
          </cell>
        </row>
        <row r="1747">
          <cell r="A1747">
            <v>69802533</v>
          </cell>
          <cell r="B1747" t="str">
            <v>HOMES LLCLAKESHORE APARTMENTS</v>
          </cell>
          <cell r="C1747" t="str">
            <v>8135-8165 SAIL DR</v>
          </cell>
        </row>
        <row r="1748">
          <cell r="A1748">
            <v>69802534</v>
          </cell>
          <cell r="B1748" t="str">
            <v>LP PROP A/P DEPTARBORS OF EASTLAND</v>
          </cell>
          <cell r="C1748" t="str">
            <v>2600 ARBORS DR</v>
          </cell>
        </row>
        <row r="1749">
          <cell r="A1749">
            <v>69802535</v>
          </cell>
          <cell r="B1749" t="str">
            <v>VECTREN</v>
          </cell>
          <cell r="C1749" t="str">
            <v>101 COURT ST</v>
          </cell>
        </row>
        <row r="1750">
          <cell r="A1750">
            <v>69802536</v>
          </cell>
          <cell r="B1750" t="str">
            <v>HOMES LLCLAKESHORE APARTMENTS</v>
          </cell>
          <cell r="C1750" t="str">
            <v>8101-8131 SAIL DR</v>
          </cell>
        </row>
        <row r="1751">
          <cell r="A1751">
            <v>69802537</v>
          </cell>
          <cell r="B1751" t="str">
            <v>AUDIT - TILCLAIRE'S ETC #6381</v>
          </cell>
          <cell r="C1751" t="str">
            <v>6501 E LLOYD</v>
          </cell>
        </row>
        <row r="1752">
          <cell r="A1752">
            <v>69802538</v>
          </cell>
          <cell r="B1752" t="str">
            <v>RUE 21 #413ACCOUNTS PAYABLE</v>
          </cell>
          <cell r="C1752" t="str">
            <v>6501 E LLOYD</v>
          </cell>
        </row>
        <row r="1753">
          <cell r="A1753">
            <v>69802539</v>
          </cell>
          <cell r="B1753" t="str">
            <v>HOMES LLCLAKESHORE APARTMENTS</v>
          </cell>
          <cell r="C1753" t="str">
            <v>500 530 BEACHFRONT</v>
          </cell>
        </row>
        <row r="1754">
          <cell r="A1754">
            <v>69802540</v>
          </cell>
          <cell r="B1754" t="str">
            <v>LP PROP A/P DEPTARBORS OF EASTLAND</v>
          </cell>
          <cell r="C1754" t="str">
            <v>2531 ARBOR DR</v>
          </cell>
        </row>
        <row r="1755">
          <cell r="A1755">
            <v>69802541</v>
          </cell>
          <cell r="B1755" t="str">
            <v>LP PROP A/P DEPTARBORS OF EASTLAND</v>
          </cell>
          <cell r="C1755" t="str">
            <v>6900 ARBORS CT</v>
          </cell>
        </row>
        <row r="1756">
          <cell r="A1756">
            <v>69802542</v>
          </cell>
          <cell r="B1756" t="str">
            <v>FEDEX GROUND</v>
          </cell>
          <cell r="C1756" t="str">
            <v>14831 FOUNDATION DR</v>
          </cell>
        </row>
        <row r="1757">
          <cell r="A1757">
            <v>69802543</v>
          </cell>
          <cell r="B1757" t="str">
            <v>C/O SUMMIT REAL ESTSIUTE 202</v>
          </cell>
          <cell r="C1757" t="str">
            <v>5612 E VIRGINIA ST</v>
          </cell>
        </row>
        <row r="1758">
          <cell r="A1758">
            <v>69802544</v>
          </cell>
          <cell r="B1758" t="str">
            <v>SPURLING MANGEMENT</v>
          </cell>
          <cell r="C1758" t="str">
            <v>3400 TURTLE DOVE LN</v>
          </cell>
        </row>
        <row r="1759">
          <cell r="A1759">
            <v>69802545</v>
          </cell>
          <cell r="B1759" t="str">
            <v>SPURLING MANAGEMENT</v>
          </cell>
          <cell r="C1759" t="str">
            <v>3600 TURTLE DOVE LN</v>
          </cell>
        </row>
        <row r="1760">
          <cell r="A1760">
            <v>69802546</v>
          </cell>
          <cell r="B1760" t="str">
            <v>EMI</v>
          </cell>
          <cell r="C1760" t="str">
            <v>5701B OLD BNVL HWY</v>
          </cell>
        </row>
        <row r="1761">
          <cell r="A1761">
            <v>69802547</v>
          </cell>
          <cell r="B1761" t="str">
            <v>SOUTHWESTERN INYMCA OF</v>
          </cell>
          <cell r="C1761" t="str">
            <v>6846 OAK GROVE RD</v>
          </cell>
        </row>
        <row r="1762">
          <cell r="A1762">
            <v>69802548</v>
          </cell>
          <cell r="B1762" t="str">
            <v>C/O CAPEPAODISE ESTATES</v>
          </cell>
          <cell r="C1762" t="str">
            <v>252 E MULBERRY ST</v>
          </cell>
        </row>
        <row r="1763">
          <cell r="A1763">
            <v>69802549</v>
          </cell>
          <cell r="B1763" t="str">
            <v>KIP HUSKGHJQ LLC</v>
          </cell>
          <cell r="C1763" t="str">
            <v>5820 METRO CTR</v>
          </cell>
        </row>
        <row r="1764">
          <cell r="A1764">
            <v>69802550</v>
          </cell>
          <cell r="B1764" t="str">
            <v>PUBLIC LIBRARYEVANSVILLE VAND</v>
          </cell>
          <cell r="C1764" t="str">
            <v>960 KOEHLER AVE</v>
          </cell>
        </row>
        <row r="1765">
          <cell r="A1765">
            <v>69802551</v>
          </cell>
          <cell r="B1765" t="str">
            <v>HOMES LLCLAKESHORE APARTMENTS</v>
          </cell>
          <cell r="C1765" t="str">
            <v>7920-7950 BEACHFRONT</v>
          </cell>
        </row>
        <row r="1766">
          <cell r="A1766">
            <v>69802552</v>
          </cell>
          <cell r="B1766" t="str">
            <v>LP PROP A/P DEPTARBORS OF EASTLAND</v>
          </cell>
          <cell r="C1766" t="str">
            <v>2516 ARBORS DR</v>
          </cell>
        </row>
        <row r="1767">
          <cell r="A1767">
            <v>69802553</v>
          </cell>
          <cell r="B1767" t="str">
            <v>LP PROP A/P DEPTARBORS OF EASTLAND</v>
          </cell>
          <cell r="C1767" t="str">
            <v>2501 ARBORS DR</v>
          </cell>
        </row>
        <row r="1768">
          <cell r="A1768">
            <v>69802554</v>
          </cell>
          <cell r="B1768" t="str">
            <v>LP PROP A/P DEPTARBORS OF EASTLAND</v>
          </cell>
          <cell r="C1768" t="str">
            <v>6917 ARBORS CT</v>
          </cell>
        </row>
        <row r="1769">
          <cell r="A1769">
            <v>69802555</v>
          </cell>
          <cell r="B1769" t="str">
            <v>SCOTTRADE</v>
          </cell>
          <cell r="C1769" t="str">
            <v>6401 E LLOYD</v>
          </cell>
        </row>
        <row r="1770">
          <cell r="A1770">
            <v>69802556</v>
          </cell>
          <cell r="B1770" t="str">
            <v>CHICO'S FAS INC 526</v>
          </cell>
          <cell r="C1770" t="str">
            <v>6401 E LLOYD</v>
          </cell>
        </row>
        <row r="1771">
          <cell r="A1771">
            <v>69802557</v>
          </cell>
          <cell r="B1771" t="str">
            <v>LLD INVESTMENTS INC</v>
          </cell>
          <cell r="C1771" t="str">
            <v>6401 E LLOYD</v>
          </cell>
        </row>
        <row r="1772">
          <cell r="A1772">
            <v>69802558</v>
          </cell>
          <cell r="B1772" t="str">
            <v>MORLEY &amp; ASSOCIATES</v>
          </cell>
          <cell r="C1772" t="str">
            <v>4800 ROSEBUD LN</v>
          </cell>
        </row>
        <row r="1773">
          <cell r="A1773">
            <v>69802559</v>
          </cell>
          <cell r="B1773" t="str">
            <v>CULVERS RESTAURANT</v>
          </cell>
          <cell r="C1773" t="str">
            <v>1734B HIRSCHLAND RD</v>
          </cell>
        </row>
        <row r="1774">
          <cell r="A1774">
            <v>69802560</v>
          </cell>
          <cell r="B1774" t="str">
            <v>VANDEBURGH COUNTYEVANSVILLE</v>
          </cell>
          <cell r="C1774" t="str">
            <v>3500B N HARLAN AVE</v>
          </cell>
        </row>
        <row r="1775">
          <cell r="A1775">
            <v>69802561</v>
          </cell>
          <cell r="B1775" t="str">
            <v>LAKESHORE APARTMENTS</v>
          </cell>
          <cell r="C1775" t="str">
            <v>635-665 BEACHFRONT</v>
          </cell>
        </row>
        <row r="1776">
          <cell r="A1776">
            <v>69802562</v>
          </cell>
          <cell r="B1776" t="str">
            <v>LAKESHORE APARTMENTS</v>
          </cell>
          <cell r="C1776" t="str">
            <v>7917-7947 BEACHFRONT</v>
          </cell>
        </row>
        <row r="1777">
          <cell r="A1777">
            <v>69802564</v>
          </cell>
          <cell r="B1777" t="str">
            <v>LP PROP A/P DEPTARBORS OF EASTLAND</v>
          </cell>
          <cell r="C1777" t="str">
            <v>2416 ARBORS DR</v>
          </cell>
        </row>
        <row r="1778">
          <cell r="A1778">
            <v>69802565</v>
          </cell>
          <cell r="B1778" t="str">
            <v>LP PROP A/P DEPTARBORS OF EASTLAND</v>
          </cell>
          <cell r="C1778" t="str">
            <v>2410 ARBORS DR</v>
          </cell>
        </row>
        <row r="1779">
          <cell r="A1779">
            <v>69802566</v>
          </cell>
          <cell r="B1779" t="str">
            <v>UNIVERSITY OF EVILLE</v>
          </cell>
          <cell r="C1779" t="str">
            <v>301 S WEINBACH AVE</v>
          </cell>
        </row>
        <row r="1780">
          <cell r="A1780">
            <v>69802568</v>
          </cell>
          <cell r="B1780" t="str">
            <v>LP PROP A/P DEPTARBORS OF EASTLAND</v>
          </cell>
          <cell r="C1780" t="str">
            <v>2433 STERLING DR</v>
          </cell>
        </row>
        <row r="1781">
          <cell r="A1781">
            <v>69802569</v>
          </cell>
          <cell r="B1781" t="str">
            <v>LP PROP A/P DEPTARBORS OF EASTLAND</v>
          </cell>
          <cell r="C1781" t="str">
            <v>2532 STERLING DR</v>
          </cell>
        </row>
        <row r="1782">
          <cell r="A1782">
            <v>69802571</v>
          </cell>
          <cell r="B1782" t="str">
            <v>BRICKYARD SEVEN LLC</v>
          </cell>
          <cell r="C1782" t="str">
            <v>3615 UP MT VERNON RD</v>
          </cell>
        </row>
        <row r="1783">
          <cell r="A1783">
            <v>69802572</v>
          </cell>
          <cell r="B1783" t="str">
            <v>HOMES LLCLAKESHORE APARTMENTS</v>
          </cell>
          <cell r="C1783" t="str">
            <v>634-664 BEACHFRONT D</v>
          </cell>
        </row>
        <row r="1784">
          <cell r="A1784">
            <v>69802573</v>
          </cell>
          <cell r="B1784" t="str">
            <v>ATTN MARKETPLACE ACCADVANTAGE IQ MS 2468</v>
          </cell>
          <cell r="C1784" t="str">
            <v>1510 N BURKHARDT RD</v>
          </cell>
        </row>
        <row r="1785">
          <cell r="A1785">
            <v>69802574</v>
          </cell>
          <cell r="B1785" t="str">
            <v>WALGREENS #9321</v>
          </cell>
          <cell r="C1785" t="str">
            <v>710 N ST JOE AVE</v>
          </cell>
        </row>
        <row r="1786">
          <cell r="A1786">
            <v>69802576</v>
          </cell>
          <cell r="B1786" t="str">
            <v>DEACONESS CLINIC INC</v>
          </cell>
          <cell r="C1786" t="str">
            <v>545 S BOEHNE CAMP RD</v>
          </cell>
        </row>
        <row r="1787">
          <cell r="A1787">
            <v>69802577</v>
          </cell>
          <cell r="B1787" t="str">
            <v>HOMES LLCLAKESHORE APARTMENTS</v>
          </cell>
          <cell r="C1787" t="str">
            <v>420-450 BEACHFRONT</v>
          </cell>
        </row>
        <row r="1788">
          <cell r="A1788">
            <v>69802578</v>
          </cell>
          <cell r="B1788" t="str">
            <v>HOMES LLCLAKESHORE APARTMENTS</v>
          </cell>
          <cell r="C1788" t="str">
            <v>600-630 BEACHFRONT</v>
          </cell>
        </row>
        <row r="1789">
          <cell r="A1789">
            <v>69802579</v>
          </cell>
          <cell r="B1789" t="str">
            <v>STARBUCKS COFFEEADVANTAGEIQ-MS 215</v>
          </cell>
          <cell r="C1789" t="str">
            <v>6401 E LLOYD EXPY</v>
          </cell>
        </row>
        <row r="1790">
          <cell r="A1790">
            <v>69802580</v>
          </cell>
          <cell r="B1790" t="str">
            <v>LAKESHORE APARTMENTS</v>
          </cell>
          <cell r="C1790" t="str">
            <v>601-631 BEACHFRONT</v>
          </cell>
        </row>
        <row r="1791">
          <cell r="A1791">
            <v>69802581</v>
          </cell>
          <cell r="B1791" t="str">
            <v>PANERA LLC</v>
          </cell>
          <cell r="C1791" t="str">
            <v>220 N BURKHARDT RD</v>
          </cell>
        </row>
        <row r="1792">
          <cell r="A1792">
            <v>69802582</v>
          </cell>
          <cell r="B1792" t="str">
            <v>INLAND MID-ATLANTIC</v>
          </cell>
          <cell r="C1792" t="str">
            <v>302 N BURKHARDT RD</v>
          </cell>
        </row>
        <row r="1793">
          <cell r="A1793">
            <v>69802583</v>
          </cell>
          <cell r="B1793" t="str">
            <v>PATRIOT GROUP LLCTHE AMERICAN</v>
          </cell>
          <cell r="C1793" t="str">
            <v>250 CROSS POINTE BL</v>
          </cell>
        </row>
        <row r="1794">
          <cell r="A1794">
            <v>69802584</v>
          </cell>
          <cell r="B1794" t="str">
            <v>BEST BUYADVANTAGEIQ-MS 441</v>
          </cell>
          <cell r="C1794" t="str">
            <v>6300 E LLOYD EXPY</v>
          </cell>
        </row>
        <row r="1795">
          <cell r="A1795">
            <v>69802585</v>
          </cell>
          <cell r="B1795" t="str">
            <v>MICHAEL'S #5817</v>
          </cell>
          <cell r="C1795" t="str">
            <v>6212 E LLOYD EXPY</v>
          </cell>
        </row>
        <row r="1796">
          <cell r="A1796">
            <v>69802586</v>
          </cell>
          <cell r="B1796" t="str">
            <v>MANAGEMENT CORPINLAND MID-ATLANTIC</v>
          </cell>
          <cell r="C1796" t="str">
            <v>5940 E LLOYD EXPY</v>
          </cell>
        </row>
        <row r="1797">
          <cell r="A1797">
            <v>69802587</v>
          </cell>
          <cell r="B1797" t="str">
            <v>ENERGY SYSTEMS GROUP</v>
          </cell>
          <cell r="C1797" t="str">
            <v>4655 ROSEBUD LN</v>
          </cell>
        </row>
        <row r="1798">
          <cell r="A1798">
            <v>69802588</v>
          </cell>
          <cell r="B1798" t="str">
            <v>LP PROP A/P DEPTARBORS OF EASTLAND</v>
          </cell>
          <cell r="C1798" t="str">
            <v>2617 STERLING DR</v>
          </cell>
        </row>
        <row r="1799">
          <cell r="A1799">
            <v>69802589</v>
          </cell>
          <cell r="B1799" t="str">
            <v>ROYAL CAR WASH</v>
          </cell>
          <cell r="C1799" t="str">
            <v>5406 PEARL DR</v>
          </cell>
        </row>
        <row r="1800">
          <cell r="A1800">
            <v>69802590</v>
          </cell>
          <cell r="B1800" t="str">
            <v>FIFTH THIRD BANK</v>
          </cell>
          <cell r="C1800" t="str">
            <v>800 SCHUTTE RD</v>
          </cell>
        </row>
        <row r="1801">
          <cell r="A1801">
            <v>69802591</v>
          </cell>
          <cell r="B1801" t="str">
            <v>LUTHERAN CHURCHSHEPHERD OF THE HILL</v>
          </cell>
          <cell r="C1801" t="str">
            <v>3600 OAK HILL RD</v>
          </cell>
        </row>
        <row r="1802">
          <cell r="A1802">
            <v>69802592</v>
          </cell>
          <cell r="B1802" t="str">
            <v>HOME LLCLAKESHORE APARTMENTS</v>
          </cell>
          <cell r="C1802" t="str">
            <v>501-531 BEACHFRONT</v>
          </cell>
        </row>
        <row r="1803">
          <cell r="A1803">
            <v>69802593</v>
          </cell>
          <cell r="B1803" t="str">
            <v>CAR WAS UNLIMITED</v>
          </cell>
          <cell r="C1803" t="str">
            <v>3303 MARINER DR</v>
          </cell>
        </row>
        <row r="1804">
          <cell r="A1804">
            <v>69802594</v>
          </cell>
          <cell r="B1804" t="str">
            <v>HOMES LLCLAKESHORE APARTMENTS</v>
          </cell>
          <cell r="C1804" t="str">
            <v>419-449 BEACHFRONT</v>
          </cell>
        </row>
        <row r="1805">
          <cell r="A1805">
            <v>69802597</v>
          </cell>
          <cell r="B1805" t="str">
            <v>LP PROP A/P DEPTARBORS OF EASTLAND</v>
          </cell>
          <cell r="C1805" t="str">
            <v>2701 STERLING DR</v>
          </cell>
        </row>
        <row r="1806">
          <cell r="A1806">
            <v>69802598</v>
          </cell>
          <cell r="B1806" t="str">
            <v>WE BUY GOLD LLC</v>
          </cell>
          <cell r="C1806" t="str">
            <v>6401 E LLOYD</v>
          </cell>
        </row>
        <row r="1807">
          <cell r="A1807">
            <v>69802599</v>
          </cell>
          <cell r="B1807" t="str">
            <v>STARBUCK COFFEE 9759ADVANTAGEIQ-MS 215</v>
          </cell>
          <cell r="C1807" t="str">
            <v>512 N GREEN RIVER RD</v>
          </cell>
        </row>
        <row r="1808">
          <cell r="A1808">
            <v>69802600</v>
          </cell>
          <cell r="B1808" t="str">
            <v>KOHLS #169ADVANTAGEIQ-MS 1600</v>
          </cell>
          <cell r="C1808" t="str">
            <v>4200 HOGUE RD</v>
          </cell>
        </row>
        <row r="1809">
          <cell r="A1809">
            <v>69802601</v>
          </cell>
          <cell r="B1809" t="str">
            <v>DAYTON FREIGHT</v>
          </cell>
          <cell r="C1809" t="str">
            <v>11601 N GREEN RIVER RD</v>
          </cell>
        </row>
        <row r="1810">
          <cell r="A1810">
            <v>69802603</v>
          </cell>
          <cell r="B1810" t="str">
            <v>CREDIT UNIONHERITAGE FEDERAL</v>
          </cell>
          <cell r="C1810" t="str">
            <v>331 E BNVL NH RD</v>
          </cell>
        </row>
        <row r="1811">
          <cell r="A1811">
            <v>69802604</v>
          </cell>
          <cell r="B1811" t="str">
            <v>BLACK BUGGY GROWTH</v>
          </cell>
          <cell r="C1811" t="str">
            <v>4920 DAVIS LANT DR</v>
          </cell>
        </row>
        <row r="1812">
          <cell r="A1812">
            <v>69802605</v>
          </cell>
          <cell r="B1812" t="str">
            <v>S IN CAREER &amp; TECHEVSC</v>
          </cell>
          <cell r="C1812" t="str">
            <v>1901 LYNCH RD</v>
          </cell>
        </row>
        <row r="1813">
          <cell r="A1813">
            <v>69802607</v>
          </cell>
          <cell r="B1813" t="str">
            <v>CROSS POINTE DEV LLC</v>
          </cell>
          <cell r="C1813" t="str">
            <v>7525 E VIRGINIA ST</v>
          </cell>
        </row>
        <row r="1814">
          <cell r="A1814">
            <v>69802608</v>
          </cell>
          <cell r="B1814" t="str">
            <v>MCDONALDS</v>
          </cell>
          <cell r="C1814" t="str">
            <v>3350 N GREEN RIVER RD</v>
          </cell>
        </row>
        <row r="1815">
          <cell r="A1815">
            <v>69802609</v>
          </cell>
          <cell r="B1815" t="str">
            <v>RJC INC</v>
          </cell>
          <cell r="C1815" t="str">
            <v>3000 N BURKHARDT RD</v>
          </cell>
        </row>
        <row r="1816">
          <cell r="A1816">
            <v>69802610</v>
          </cell>
          <cell r="B1816" t="str">
            <v>ATTN: ACCOUNTING DEPFIRST FED SAVINGS</v>
          </cell>
          <cell r="C1816" t="str">
            <v>5001 DAVIS LANT DR</v>
          </cell>
        </row>
        <row r="1817">
          <cell r="A1817">
            <v>69802612</v>
          </cell>
          <cell r="B1817" t="str">
            <v>SIGECOM LLCWOW</v>
          </cell>
          <cell r="C1817" t="str">
            <v>6600 HANK AVE</v>
          </cell>
        </row>
        <row r="1818">
          <cell r="A1818">
            <v>69802613</v>
          </cell>
          <cell r="B1818" t="str">
            <v>COMMISSIONECONOMIC DEVELOPMENT</v>
          </cell>
          <cell r="C1818" t="str">
            <v>1801 WATERWORKS RD</v>
          </cell>
        </row>
        <row r="1819">
          <cell r="A1819">
            <v>69802616</v>
          </cell>
          <cell r="B1819" t="str">
            <v>WINK TILE COMPANY</v>
          </cell>
          <cell r="C1819" t="str">
            <v>4008 E EICHEL AVE</v>
          </cell>
        </row>
        <row r="1820">
          <cell r="A1820">
            <v>69802617</v>
          </cell>
          <cell r="B1820" t="str">
            <v>JOS A BANK CLOTHIERSTORE 587</v>
          </cell>
          <cell r="C1820" t="str">
            <v>6401 E LLOYD EXPY</v>
          </cell>
        </row>
        <row r="1821">
          <cell r="A1821">
            <v>69802619</v>
          </cell>
          <cell r="B1821" t="str">
            <v>ADVANTAGE IQ-MS 1223DUKE REALTY SERV</v>
          </cell>
          <cell r="C1821" t="str">
            <v>3700 WASHINGTON AVE</v>
          </cell>
        </row>
        <row r="1822">
          <cell r="A1822">
            <v>69802620</v>
          </cell>
          <cell r="B1822" t="str">
            <v>JACOBSVILLE APT LP</v>
          </cell>
          <cell r="C1822" t="str">
            <v>240A W FLORIDA ST</v>
          </cell>
        </row>
        <row r="1823">
          <cell r="A1823">
            <v>69802621</v>
          </cell>
          <cell r="B1823" t="str">
            <v>JACOBSVILLE APT LP</v>
          </cell>
          <cell r="C1823" t="str">
            <v>240B W FLORIDA ST</v>
          </cell>
        </row>
        <row r="1824">
          <cell r="A1824">
            <v>69802622</v>
          </cell>
          <cell r="B1824" t="str">
            <v>CINERGY</v>
          </cell>
          <cell r="C1824" t="str">
            <v>5500 DAVIS LANT DR</v>
          </cell>
        </row>
        <row r="1825">
          <cell r="A1825">
            <v>69802624</v>
          </cell>
          <cell r="B1825" t="str">
            <v>PIPE CO INCCRESLINE PLASTIC</v>
          </cell>
          <cell r="C1825" t="str">
            <v>600 CROSS POINTE BL</v>
          </cell>
        </row>
        <row r="1826">
          <cell r="A1826">
            <v>69802625</v>
          </cell>
          <cell r="B1826" t="str">
            <v>MEMORIAL HIGH SCHOOLC/O ATHLETIC DEPT</v>
          </cell>
          <cell r="C1826" t="str">
            <v>4401 ADAMS AVE</v>
          </cell>
        </row>
        <row r="1827">
          <cell r="A1827">
            <v>69802627</v>
          </cell>
          <cell r="B1827" t="str">
            <v>ELITE MANAGEMENT</v>
          </cell>
          <cell r="C1827" t="str">
            <v>1034 BEACON HILL DR</v>
          </cell>
        </row>
        <row r="1828">
          <cell r="A1828">
            <v>69802628</v>
          </cell>
          <cell r="B1828" t="str">
            <v>QTR INC</v>
          </cell>
          <cell r="C1828" t="str">
            <v>2293 ST JOE IND PARK</v>
          </cell>
        </row>
        <row r="1829">
          <cell r="A1829">
            <v>69802629</v>
          </cell>
          <cell r="B1829" t="str">
            <v>SOUTHERN BELLS INC</v>
          </cell>
          <cell r="C1829" t="str">
            <v>1001 N GREEN RIVER RD</v>
          </cell>
        </row>
        <row r="1830">
          <cell r="A1830">
            <v>69802636</v>
          </cell>
          <cell r="B1830" t="str">
            <v>FURNITURE ROW USA</v>
          </cell>
          <cell r="C1830" t="str">
            <v>445 CIRCLE FRONT DR</v>
          </cell>
        </row>
        <row r="1831">
          <cell r="A1831">
            <v>69802637</v>
          </cell>
          <cell r="B1831" t="str">
            <v>COLUMBIA SUSSEXCASINO AZTAR</v>
          </cell>
          <cell r="C1831" t="str">
            <v>713 NW RIVERSIDE DR</v>
          </cell>
        </row>
        <row r="1832">
          <cell r="A1832">
            <v>69802638</v>
          </cell>
          <cell r="B1832" t="str">
            <v>JILLIANS BILLARDS</v>
          </cell>
          <cell r="C1832" t="str">
            <v>705 NW RIVERSIDE DR</v>
          </cell>
        </row>
        <row r="1833">
          <cell r="A1833">
            <v>69802639</v>
          </cell>
          <cell r="B1833" t="str">
            <v>RI RA EVANSVILLE LLC</v>
          </cell>
          <cell r="C1833" t="str">
            <v>701 NW RIVERSIDE DR</v>
          </cell>
        </row>
        <row r="1834">
          <cell r="A1834">
            <v>69802640</v>
          </cell>
          <cell r="B1834" t="str">
            <v>COLUMBIA SUSSEX CORPCASINO AZTAR</v>
          </cell>
          <cell r="C1834" t="str">
            <v>709 NW RIVERSIDE DR</v>
          </cell>
        </row>
        <row r="1835">
          <cell r="A1835">
            <v>69802642</v>
          </cell>
          <cell r="B1835" t="str">
            <v>MAIN CONDOMINIUMTHE RENAISSANCE ON</v>
          </cell>
          <cell r="C1835" t="str">
            <v>508 MAIN ST</v>
          </cell>
        </row>
        <row r="1836">
          <cell r="A1836">
            <v>69802643</v>
          </cell>
          <cell r="B1836" t="str">
            <v>COLUMBIA SUSSEXCASINO AZTAR</v>
          </cell>
          <cell r="C1836" t="str">
            <v>615 NW RIVERSIDE DR</v>
          </cell>
        </row>
        <row r="1837">
          <cell r="A1837">
            <v>69802644</v>
          </cell>
          <cell r="B1837" t="str">
            <v>ST MARY'S MED CENTERATTN  JIM MCGILLEM</v>
          </cell>
          <cell r="C1837" t="str">
            <v>1146 WASHINGTON SQ</v>
          </cell>
        </row>
        <row r="1838">
          <cell r="A1838">
            <v>69802645</v>
          </cell>
          <cell r="B1838" t="str">
            <v>ST MARY'S MED CENTERATTN JIM MCGILLEM</v>
          </cell>
          <cell r="C1838" t="str">
            <v>1144 WASHINGTON SQ</v>
          </cell>
        </row>
        <row r="1839">
          <cell r="A1839">
            <v>69802646</v>
          </cell>
          <cell r="B1839" t="str">
            <v>RJC INC</v>
          </cell>
          <cell r="C1839" t="str">
            <v>4220 N FULTON AVE</v>
          </cell>
        </row>
        <row r="1840">
          <cell r="A1840">
            <v>69802647</v>
          </cell>
          <cell r="B1840" t="str">
            <v>UNITED COMPANIES</v>
          </cell>
          <cell r="C1840" t="str">
            <v>3700 E MORGAN AVE</v>
          </cell>
        </row>
        <row r="1841">
          <cell r="A1841">
            <v>69802649</v>
          </cell>
          <cell r="B1841" t="str">
            <v>BRAKE SUPPLY</v>
          </cell>
          <cell r="C1841" t="str">
            <v>5501 FOUNDATION DR</v>
          </cell>
        </row>
        <row r="1842">
          <cell r="A1842">
            <v>69802650</v>
          </cell>
          <cell r="B1842" t="str">
            <v>PARADISECHEESEBURGER IN</v>
          </cell>
          <cell r="C1842" t="str">
            <v>8301 EAGLE LAKE DR</v>
          </cell>
        </row>
        <row r="1843">
          <cell r="A1843">
            <v>69802651</v>
          </cell>
          <cell r="B1843" t="str">
            <v>AIR QUALITY SERVICES</v>
          </cell>
          <cell r="C1843" t="str">
            <v>423 MAIN ST</v>
          </cell>
        </row>
        <row r="1844">
          <cell r="A1844">
            <v>69802652</v>
          </cell>
          <cell r="B1844" t="str">
            <v>SHOE CARNIVAL INC</v>
          </cell>
          <cell r="C1844" t="str">
            <v>14701 HWY 57</v>
          </cell>
        </row>
        <row r="1845">
          <cell r="A1845">
            <v>69802653</v>
          </cell>
          <cell r="B1845" t="str">
            <v>MESKER PARK ZOO</v>
          </cell>
          <cell r="C1845" t="str">
            <v>1545 MESKER PARK DR</v>
          </cell>
        </row>
        <row r="1846">
          <cell r="A1846">
            <v>69802654</v>
          </cell>
          <cell r="B1846" t="str">
            <v>WENDY'S #399BR ASSOCIATES INC</v>
          </cell>
          <cell r="C1846" t="str">
            <v>400 N BURKHARDT RD</v>
          </cell>
        </row>
        <row r="1847">
          <cell r="A1847">
            <v>69802655</v>
          </cell>
          <cell r="B1847" t="str">
            <v>CRANDALL PROPERTIES</v>
          </cell>
          <cell r="C1847" t="str">
            <v>12100 HWY 41N</v>
          </cell>
        </row>
        <row r="1848">
          <cell r="A1848">
            <v>69802656</v>
          </cell>
          <cell r="B1848" t="str">
            <v>ARBYS RESTAURANT GRADVANTAGE IQ MS 2071</v>
          </cell>
          <cell r="C1848" t="str">
            <v>6100 E LLOYD EXPY</v>
          </cell>
        </row>
        <row r="1849">
          <cell r="A1849">
            <v>69802657</v>
          </cell>
          <cell r="B1849" t="str">
            <v>AC WAREHOUSE INC</v>
          </cell>
          <cell r="C1849" t="str">
            <v>6240V E VIRGINIA ST</v>
          </cell>
        </row>
        <row r="1850">
          <cell r="A1850">
            <v>69802659</v>
          </cell>
          <cell r="B1850" t="str">
            <v>AUTOCARE ENTERPRISE</v>
          </cell>
          <cell r="C1850" t="str">
            <v>1838 HIRSCHLAND DR</v>
          </cell>
        </row>
        <row r="1851">
          <cell r="A1851">
            <v>69802661</v>
          </cell>
          <cell r="B1851" t="str">
            <v>MONSANTO CO</v>
          </cell>
          <cell r="C1851" t="str">
            <v>738 RUSHER LN</v>
          </cell>
        </row>
        <row r="1852">
          <cell r="A1852">
            <v>69802662</v>
          </cell>
          <cell r="B1852" t="str">
            <v>FAMILY LAUNDRYC/O LONNIE D PACE</v>
          </cell>
          <cell r="C1852" t="str">
            <v>807 N GOVERNOR ST</v>
          </cell>
        </row>
        <row r="1853">
          <cell r="A1853">
            <v>69802663</v>
          </cell>
          <cell r="B1853" t="str">
            <v>ENTERPRISE RENTA CAR</v>
          </cell>
          <cell r="C1853" t="str">
            <v>7801 BUSSING DR</v>
          </cell>
        </row>
        <row r="1854">
          <cell r="A1854">
            <v>69802665</v>
          </cell>
          <cell r="B1854" t="str">
            <v>SHOE CARNIVAL INC</v>
          </cell>
          <cell r="C1854" t="str">
            <v>7500 E COLUMBIA ST</v>
          </cell>
        </row>
        <row r="1855">
          <cell r="A1855">
            <v>69802667</v>
          </cell>
          <cell r="B1855" t="str">
            <v>JACOBSVILLE PH2-LP</v>
          </cell>
          <cell r="C1855" t="str">
            <v>1212A BAKER AVE</v>
          </cell>
        </row>
        <row r="1856">
          <cell r="A1856">
            <v>69802668</v>
          </cell>
          <cell r="B1856" t="str">
            <v>JACOBSVILLE PH2-LP</v>
          </cell>
          <cell r="C1856" t="str">
            <v>1212B BAKER AVE</v>
          </cell>
        </row>
        <row r="1857">
          <cell r="A1857">
            <v>69802671</v>
          </cell>
          <cell r="B1857" t="str">
            <v>GREEN RIVER COMMONS</v>
          </cell>
          <cell r="C1857" t="str">
            <v>4827 DAVIS LANT DR</v>
          </cell>
        </row>
        <row r="1858">
          <cell r="A1858">
            <v>69802672</v>
          </cell>
          <cell r="B1858" t="str">
            <v>COVANCE</v>
          </cell>
          <cell r="C1858" t="str">
            <v>617 OAKLEY ST</v>
          </cell>
        </row>
        <row r="1859">
          <cell r="A1859">
            <v>69802673</v>
          </cell>
          <cell r="B1859" t="str">
            <v>MIKE MARTIN DEVELOP</v>
          </cell>
          <cell r="C1859" t="str">
            <v>323 MAIN ST</v>
          </cell>
        </row>
        <row r="1860">
          <cell r="A1860">
            <v>69802674</v>
          </cell>
          <cell r="B1860" t="str">
            <v>JOHN DALEIDEN</v>
          </cell>
          <cell r="C1860" t="str">
            <v>4658 SPRING VLY</v>
          </cell>
        </row>
        <row r="1861">
          <cell r="A1861">
            <v>69802676</v>
          </cell>
          <cell r="B1861" t="str">
            <v>CREATIVE PRESS INC</v>
          </cell>
          <cell r="C1861" t="str">
            <v>15220 FOUNDATION DR</v>
          </cell>
        </row>
        <row r="1862">
          <cell r="A1862">
            <v>69802677</v>
          </cell>
          <cell r="B1862" t="str">
            <v>KENNY KENT</v>
          </cell>
          <cell r="C1862" t="str">
            <v>5600 E DIVISION ST</v>
          </cell>
        </row>
        <row r="1863">
          <cell r="A1863">
            <v>69802678</v>
          </cell>
          <cell r="B1863" t="str">
            <v>TALLEY INVESTMENT</v>
          </cell>
          <cell r="C1863" t="str">
            <v>301 MAIN ST</v>
          </cell>
        </row>
        <row r="1864">
          <cell r="A1864">
            <v>69802679</v>
          </cell>
          <cell r="B1864" t="str">
            <v>TIME PROPERTIES</v>
          </cell>
          <cell r="C1864" t="str">
            <v>1615 N FULTON AVE</v>
          </cell>
        </row>
        <row r="1865">
          <cell r="A1865">
            <v>69802680</v>
          </cell>
          <cell r="B1865" t="str">
            <v>BANK OF EVANSVILLE</v>
          </cell>
          <cell r="C1865" t="str">
            <v>515 DIXIE LN</v>
          </cell>
        </row>
        <row r="1866">
          <cell r="A1866">
            <v>69802682</v>
          </cell>
          <cell r="B1866" t="str">
            <v>EVANSVILLE MEDICAL</v>
          </cell>
          <cell r="C1866" t="str">
            <v>6140 E COLUMBIA ST</v>
          </cell>
        </row>
        <row r="1867">
          <cell r="A1867">
            <v>69802683</v>
          </cell>
          <cell r="B1867" t="str">
            <v>BENT GRASS VILLASHOMEOWNERS ASSOC</v>
          </cell>
          <cell r="C1867" t="str">
            <v>703 BENT GRASS BLVD</v>
          </cell>
        </row>
        <row r="1868">
          <cell r="A1868">
            <v>69802684</v>
          </cell>
          <cell r="B1868" t="str">
            <v>MYSTIC CREEK LLC</v>
          </cell>
          <cell r="C1868" t="str">
            <v>3000 N GREEN RIVER RD</v>
          </cell>
        </row>
        <row r="1869">
          <cell r="A1869">
            <v>69802685</v>
          </cell>
          <cell r="B1869" t="str">
            <v>DELAWARE TRACE</v>
          </cell>
          <cell r="C1869" t="str">
            <v>4221/4201 MUNSEE TRL</v>
          </cell>
        </row>
        <row r="1870">
          <cell r="A1870">
            <v>69802686</v>
          </cell>
          <cell r="B1870" t="str">
            <v>DELAWARE TRACE</v>
          </cell>
          <cell r="C1870" t="str">
            <v>4939 LENAPE LN</v>
          </cell>
        </row>
        <row r="1871">
          <cell r="A1871">
            <v>69802687</v>
          </cell>
          <cell r="B1871" t="str">
            <v>DELAWARE TRACE</v>
          </cell>
          <cell r="C1871" t="str">
            <v>4901 LENAPE LN</v>
          </cell>
        </row>
        <row r="1872">
          <cell r="A1872">
            <v>69802688</v>
          </cell>
          <cell r="B1872" t="str">
            <v>BILL SPURLING</v>
          </cell>
          <cell r="C1872" t="str">
            <v>3330 DRAKE DR</v>
          </cell>
        </row>
        <row r="1873">
          <cell r="A1873">
            <v>69802689</v>
          </cell>
          <cell r="B1873" t="str">
            <v>THE MERIDIAN PLAZA</v>
          </cell>
          <cell r="C1873" t="str">
            <v>300 MAIN ST</v>
          </cell>
        </row>
        <row r="1874">
          <cell r="A1874">
            <v>69802690</v>
          </cell>
          <cell r="B1874" t="str">
            <v>DELAWARE TRACE</v>
          </cell>
          <cell r="C1874" t="str">
            <v>4940 LENAPE LN</v>
          </cell>
        </row>
        <row r="1875">
          <cell r="A1875">
            <v>69802691</v>
          </cell>
          <cell r="B1875" t="str">
            <v>DONUT BANK INC</v>
          </cell>
          <cell r="C1875" t="str">
            <v>1200 LINCOLN AVE</v>
          </cell>
        </row>
        <row r="1876">
          <cell r="A1876">
            <v>69802692</v>
          </cell>
          <cell r="B1876" t="str">
            <v>DELAWARE TRACE</v>
          </cell>
          <cell r="C1876" t="str">
            <v>5025 LENAPE LN</v>
          </cell>
        </row>
        <row r="1877">
          <cell r="A1877">
            <v>69802693</v>
          </cell>
          <cell r="B1877" t="str">
            <v>HILTON GARDEN INN</v>
          </cell>
          <cell r="C1877" t="str">
            <v>220 EAGLE CREST BLVD</v>
          </cell>
        </row>
        <row r="1878">
          <cell r="A1878">
            <v>69802695</v>
          </cell>
          <cell r="B1878" t="str">
            <v>DELAWARE TRACE</v>
          </cell>
          <cell r="C1878" t="str">
            <v>5121 LENAPE LN</v>
          </cell>
        </row>
        <row r="1879">
          <cell r="A1879">
            <v>69802696</v>
          </cell>
          <cell r="B1879" t="str">
            <v>ATLAS TERMINAL CO</v>
          </cell>
          <cell r="C1879" t="str">
            <v>5961 N FARES AVE</v>
          </cell>
        </row>
        <row r="1880">
          <cell r="A1880">
            <v>69802697</v>
          </cell>
          <cell r="B1880" t="str">
            <v>SUNSET MEMORIAL PKFUNERAL HOMES</v>
          </cell>
          <cell r="C1880" t="str">
            <v>1800 ST GEORGE RD</v>
          </cell>
        </row>
        <row r="1881">
          <cell r="A1881">
            <v>69802698</v>
          </cell>
          <cell r="B1881" t="str">
            <v>DELAWARE TRACEAPT HOMES</v>
          </cell>
          <cell r="C1881" t="str">
            <v>5100 LENAPE LN</v>
          </cell>
        </row>
        <row r="1882">
          <cell r="A1882">
            <v>69802699</v>
          </cell>
          <cell r="B1882" t="str">
            <v>DELAWARE TRACEAPT HOME</v>
          </cell>
          <cell r="C1882" t="str">
            <v>4232 LENAPE LN</v>
          </cell>
        </row>
        <row r="1883">
          <cell r="A1883">
            <v>69802700</v>
          </cell>
          <cell r="B1883" t="str">
            <v>HOME DEVELOPMENT LLCMANCHESTER TOWN</v>
          </cell>
          <cell r="C1883" t="str">
            <v>19212 S HAMPTON</v>
          </cell>
        </row>
        <row r="1884">
          <cell r="A1884">
            <v>69802701</v>
          </cell>
          <cell r="B1884" t="str">
            <v>JOCHE MEDCO LLC</v>
          </cell>
          <cell r="C1884" t="str">
            <v>7307 E COLUMBIA ST</v>
          </cell>
        </row>
        <row r="1885">
          <cell r="A1885">
            <v>69802704</v>
          </cell>
          <cell r="B1885" t="str">
            <v>MEMORIAL TOWNHOUSESII LP</v>
          </cell>
          <cell r="C1885" t="str">
            <v>401 E WALNUT ST</v>
          </cell>
        </row>
        <row r="1886">
          <cell r="A1886">
            <v>69802706</v>
          </cell>
          <cell r="B1886" t="str">
            <v>VALUE PLACE HOTEL</v>
          </cell>
          <cell r="C1886" t="str">
            <v>8221 STAHL RD</v>
          </cell>
        </row>
        <row r="1887">
          <cell r="A1887">
            <v>69802707</v>
          </cell>
          <cell r="B1887" t="str">
            <v>#8 HOSE HOUSE</v>
          </cell>
          <cell r="C1887" t="str">
            <v>2003 N KENTUCKY AVE</v>
          </cell>
        </row>
        <row r="1888">
          <cell r="A1888">
            <v>69802708</v>
          </cell>
          <cell r="B1888" t="str">
            <v>KENNY KENT TOYOTA</v>
          </cell>
          <cell r="C1888" t="str">
            <v>199 N ROYAL AVE</v>
          </cell>
        </row>
        <row r="1889">
          <cell r="A1889">
            <v>69802709</v>
          </cell>
          <cell r="B1889" t="str">
            <v>SPURLING DEVELOPMENT</v>
          </cell>
          <cell r="C1889" t="str">
            <v>4500 THEATER DR</v>
          </cell>
        </row>
        <row r="1890">
          <cell r="A1890">
            <v>69802710</v>
          </cell>
          <cell r="B1890" t="str">
            <v>OF EVANSVILLEMERCY AMBULANCE</v>
          </cell>
          <cell r="C1890" t="str">
            <v>950 E VIRGINIA ST</v>
          </cell>
        </row>
        <row r="1891">
          <cell r="A1891">
            <v>69802713</v>
          </cell>
          <cell r="B1891" t="str">
            <v>INVESTMENTS LLCDAUBY PROPERTIES</v>
          </cell>
          <cell r="C1891" t="str">
            <v>7342 MEGANBROOK LN</v>
          </cell>
        </row>
        <row r="1892">
          <cell r="A1892">
            <v>69802716</v>
          </cell>
          <cell r="B1892" t="str">
            <v>AMERICAN GENERAL</v>
          </cell>
          <cell r="C1892" t="str">
            <v>600 NW SECOND ST</v>
          </cell>
        </row>
        <row r="1893">
          <cell r="A1893">
            <v>69802717</v>
          </cell>
          <cell r="B1893" t="str">
            <v>AREM CORPORATION</v>
          </cell>
          <cell r="C1893" t="str">
            <v>800 N BOEHNE CP</v>
          </cell>
        </row>
        <row r="1894">
          <cell r="A1894">
            <v>69802718</v>
          </cell>
          <cell r="B1894" t="str">
            <v>SCOTTS LAWN SERVICE</v>
          </cell>
          <cell r="C1894" t="str">
            <v>1330 METRO AVE</v>
          </cell>
        </row>
        <row r="1895">
          <cell r="A1895">
            <v>69802719</v>
          </cell>
          <cell r="B1895" t="str">
            <v>ALDI FOODS INC</v>
          </cell>
          <cell r="C1895" t="str">
            <v>214 S ROSENBERGER</v>
          </cell>
        </row>
        <row r="1896">
          <cell r="A1896">
            <v>69802720</v>
          </cell>
          <cell r="B1896" t="str">
            <v>BRANDEIS MACHINERY</v>
          </cell>
          <cell r="C1896" t="str">
            <v>17000 HWY 41 N</v>
          </cell>
        </row>
        <row r="1897">
          <cell r="A1897">
            <v>69802721</v>
          </cell>
          <cell r="B1897" t="str">
            <v>MENARDS INC</v>
          </cell>
          <cell r="C1897" t="str">
            <v>2808 MENARDS DR</v>
          </cell>
        </row>
        <row r="1898">
          <cell r="A1898">
            <v>69802723</v>
          </cell>
          <cell r="B1898" t="str">
            <v>VIRGINIA &amp; CULLEN</v>
          </cell>
          <cell r="C1898" t="str">
            <v>5201 E VIRGINIA ST</v>
          </cell>
        </row>
        <row r="1899">
          <cell r="A1899">
            <v>69802725</v>
          </cell>
          <cell r="B1899" t="str">
            <v>BOYS &amp; GIRLS CLUB</v>
          </cell>
          <cell r="C1899" t="str">
            <v>700 BELLEMEADE AVE</v>
          </cell>
        </row>
        <row r="1900">
          <cell r="A1900">
            <v>69802728</v>
          </cell>
          <cell r="B1900" t="str">
            <v>DILIP PATEL</v>
          </cell>
          <cell r="C1900" t="str">
            <v>5151 MONROE AVE</v>
          </cell>
        </row>
        <row r="1901">
          <cell r="A1901">
            <v>69802730</v>
          </cell>
          <cell r="B1901" t="str">
            <v>ARC CONSTRUCTION</v>
          </cell>
          <cell r="C1901" t="str">
            <v>2100 N FULTON AVE</v>
          </cell>
        </row>
        <row r="1902">
          <cell r="A1902">
            <v>69802731</v>
          </cell>
          <cell r="B1902" t="str">
            <v>MBA CONSTRUCTION</v>
          </cell>
          <cell r="C1902" t="str">
            <v>7100 E VIRGINIA ST</v>
          </cell>
        </row>
        <row r="1903">
          <cell r="A1903">
            <v>69802733</v>
          </cell>
          <cell r="B1903" t="str">
            <v>CEDAR TRACE APTS</v>
          </cell>
          <cell r="C1903" t="str">
            <v>2100 N Seventh Ave</v>
          </cell>
        </row>
        <row r="1904">
          <cell r="A1904">
            <v>69802734</v>
          </cell>
          <cell r="B1904" t="str">
            <v>Phyllis Stilwell</v>
          </cell>
          <cell r="C1904" t="str">
            <v>7400 Wren Dr</v>
          </cell>
        </row>
        <row r="1905">
          <cell r="A1905">
            <v>69802735</v>
          </cell>
          <cell r="B1905" t="str">
            <v>Hillyard Lyons</v>
          </cell>
          <cell r="C1905" t="str">
            <v>110X Main St</v>
          </cell>
        </row>
        <row r="1906">
          <cell r="A1906">
            <v>69802736</v>
          </cell>
          <cell r="B1906" t="str">
            <v>Ramsey Dev</v>
          </cell>
          <cell r="C1906" t="str">
            <v>8530B Md Mt Vernon</v>
          </cell>
        </row>
        <row r="1907">
          <cell r="A1907">
            <v>69802737</v>
          </cell>
          <cell r="B1907" t="str">
            <v>Evansville Redev</v>
          </cell>
          <cell r="C1907" t="str">
            <v>1 SE MLK Jr Blvd</v>
          </cell>
        </row>
        <row r="1908">
          <cell r="A1908">
            <v>69802738</v>
          </cell>
          <cell r="B1908" t="str">
            <v>Ramsey Dev</v>
          </cell>
          <cell r="C1908" t="str">
            <v>8530A Md Mt Vernon Ave</v>
          </cell>
        </row>
        <row r="1909">
          <cell r="A1909">
            <v>69802739</v>
          </cell>
          <cell r="B1909" t="str">
            <v>Summit Smith Medical</v>
          </cell>
          <cell r="C1909" t="str">
            <v>6211X Waterford Blvd</v>
          </cell>
        </row>
        <row r="1910">
          <cell r="A1910">
            <v>69802740</v>
          </cell>
          <cell r="B1910" t="str">
            <v>Summit Smith Medical</v>
          </cell>
          <cell r="C1910" t="str">
            <v>6211 Waterford Blvd</v>
          </cell>
        </row>
        <row r="1911">
          <cell r="A1911">
            <v>69802741</v>
          </cell>
          <cell r="B1911" t="str">
            <v>EVSC</v>
          </cell>
          <cell r="C1911" t="str">
            <v>15325GX Hwy 41 N</v>
          </cell>
        </row>
        <row r="1912">
          <cell r="A1912">
            <v>69802742</v>
          </cell>
          <cell r="B1912" t="str">
            <v>EVSC</v>
          </cell>
          <cell r="C1912" t="str">
            <v>15325F Hwy 41 N</v>
          </cell>
        </row>
        <row r="1913">
          <cell r="A1913">
            <v>69802743</v>
          </cell>
          <cell r="B1913" t="str">
            <v>Mater Dei</v>
          </cell>
          <cell r="C1913" t="str">
            <v>3405X W Maryland St</v>
          </cell>
        </row>
        <row r="1914">
          <cell r="A1914">
            <v>69802744</v>
          </cell>
          <cell r="B1914" t="str">
            <v>Buffalo Wild Wings</v>
          </cell>
          <cell r="C1914" t="str">
            <v>715 N Gr River Rd</v>
          </cell>
        </row>
        <row r="1915">
          <cell r="A1915">
            <v>69802745</v>
          </cell>
          <cell r="B1915" t="str">
            <v>Rocca Bar North</v>
          </cell>
          <cell r="C1915" t="str">
            <v>12301 Hwy 41 N</v>
          </cell>
        </row>
        <row r="1916">
          <cell r="A1916">
            <v>69802747</v>
          </cell>
          <cell r="B1916" t="str">
            <v>Leeds Selling Tools</v>
          </cell>
          <cell r="C1916" t="str">
            <v xml:space="preserve">9700 Hwy 57 </v>
          </cell>
        </row>
        <row r="1917">
          <cell r="A1917">
            <v>69802748</v>
          </cell>
          <cell r="B1917" t="str">
            <v>Brenda S Floyd (lucas oil)</v>
          </cell>
          <cell r="C1917" t="str">
            <v>2650A N Gr River Rd</v>
          </cell>
        </row>
        <row r="1918">
          <cell r="A1918">
            <v>69802749</v>
          </cell>
          <cell r="B1918" t="str">
            <v>Brenda S Floyd (lucas oil)</v>
          </cell>
          <cell r="C1918" t="str">
            <v>2650B N Gr River Rd</v>
          </cell>
        </row>
        <row r="1919">
          <cell r="A1919">
            <v>69802750</v>
          </cell>
          <cell r="B1919" t="str">
            <v>EVSC (new North)</v>
          </cell>
          <cell r="C1919" t="str">
            <v>15325A Hwy 41 N</v>
          </cell>
        </row>
        <row r="1920">
          <cell r="A1920">
            <v>69802751</v>
          </cell>
          <cell r="B1920" t="str">
            <v>EVSC (new North)</v>
          </cell>
          <cell r="C1920" t="str">
            <v>15325BX Hwy 41 N</v>
          </cell>
        </row>
        <row r="1921">
          <cell r="A1921">
            <v>69802752</v>
          </cell>
          <cell r="B1921" t="str">
            <v>EVSC (new North)</v>
          </cell>
          <cell r="C1921" t="str">
            <v>15325EX Hwy 41 N</v>
          </cell>
        </row>
        <row r="1922">
          <cell r="A1922">
            <v>69802753</v>
          </cell>
          <cell r="B1922" t="str">
            <v>EVSC (new North)</v>
          </cell>
          <cell r="C1922" t="str">
            <v>15325D Hwy 41 N</v>
          </cell>
        </row>
        <row r="1923">
          <cell r="A1923">
            <v>69802754</v>
          </cell>
          <cell r="B1923" t="str">
            <v>EVSC (new North)</v>
          </cell>
          <cell r="C1923" t="str">
            <v>15325C Hwy 41 N</v>
          </cell>
        </row>
        <row r="1924">
          <cell r="A1924">
            <v>69802755</v>
          </cell>
          <cell r="B1924" t="str">
            <v>First Christian Church</v>
          </cell>
          <cell r="C1924" t="str">
            <v>2845 Beaumont Ave</v>
          </cell>
        </row>
        <row r="1925">
          <cell r="A1925">
            <v>69802756</v>
          </cell>
          <cell r="B1925" t="str">
            <v>Bootz Mfg</v>
          </cell>
          <cell r="C1925" t="str">
            <v>1600x N First Ave</v>
          </cell>
        </row>
        <row r="1926">
          <cell r="A1926">
            <v>69830380</v>
          </cell>
          <cell r="B1926" t="str">
            <v>HOLM INDUSTRIES</v>
          </cell>
          <cell r="C1926" t="str">
            <v>2506B LYNCH RD</v>
          </cell>
        </row>
        <row r="1927">
          <cell r="A1927">
            <v>61120480</v>
          </cell>
          <cell r="B1927"/>
        </row>
        <row r="1928">
          <cell r="A1928">
            <v>61120520</v>
          </cell>
          <cell r="B1928"/>
        </row>
        <row r="1929">
          <cell r="A1929">
            <v>61121790</v>
          </cell>
          <cell r="B1929"/>
        </row>
        <row r="1930">
          <cell r="A1930">
            <v>61121980</v>
          </cell>
          <cell r="B1930"/>
        </row>
        <row r="1931">
          <cell r="A1931">
            <v>61122537</v>
          </cell>
          <cell r="B1931"/>
        </row>
        <row r="1932">
          <cell r="A1932">
            <v>61220211</v>
          </cell>
          <cell r="B1932"/>
        </row>
        <row r="1933">
          <cell r="A1933">
            <v>69802757</v>
          </cell>
          <cell r="B1933" t="str">
            <v>Harrison Stadium</v>
          </cell>
          <cell r="C1933" t="str">
            <v>211 Fielding Rd</v>
          </cell>
        </row>
      </sheetData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 Dis 2002"/>
      <sheetName val="Det Rec 2002"/>
      <sheetName val="Info"/>
      <sheetName val="WTB 00"/>
      <sheetName val="WTB 01"/>
      <sheetName val="WTB 123102"/>
      <sheetName val="WTB 063003"/>
      <sheetName val="WTB 123103"/>
      <sheetName val="WTB 06304"/>
      <sheetName val="WTB 123104"/>
      <sheetName val="WTB 063005"/>
      <sheetName val="------."/>
      <sheetName val="MinBal"/>
      <sheetName val="Billing"/>
      <sheetName val="Bud Summary "/>
      <sheetName val="RecComp"/>
      <sheetName val="DisbComp"/>
      <sheetName val="1995 Refunded"/>
      <sheetName val="DS Comp"/>
      <sheetName val="CapComp"/>
      <sheetName val="SelFinInfo"/>
      <sheetName val="RecDis"/>
      <sheetName val="2003"/>
      <sheetName val="BAN"/>
      <sheetName val="Combined"/>
      <sheetName val="Asset Additions"/>
      <sheetName val="Rates"/>
      <sheetName val="------"/>
      <sheetName val="Lease"/>
      <sheetName val="AJEs"/>
      <sheetName val="NonfinInfo"/>
      <sheetName val="RevReq"/>
      <sheetName val="AddPlant"/>
      <sheetName val="Top Users"/>
      <sheetName val="Reimbursements"/>
      <sheetName val="Contractual-Engineering"/>
      <sheetName val="CIP-Capital-IMP"/>
      <sheetName val="Repairs - Maintenance"/>
      <sheetName val="Consolidatemeterdep"/>
      <sheetName val="DuefromWaterUtility"/>
      <sheetName val="CIB"/>
      <sheetName val="WATER04FINAL"/>
      <sheetName val="2001 Bond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>
        <row r="1">
          <cell r="A1" t="str">
            <v>SELLERSBURG (INDIANA) MUNICIPAL SEWAGE WORKS</v>
          </cell>
        </row>
        <row r="3">
          <cell r="A3" t="str">
            <v>PROJECTED ANNUAL REVENUE REQUIREMENTS</v>
          </cell>
        </row>
        <row r="4">
          <cell r="A4" t="str">
            <v>AND AVAILABLE REVENUES</v>
          </cell>
        </row>
        <row r="5">
          <cell r="A5" t="str">
            <v>See Explanation of Adjustments, page 10.</v>
          </cell>
        </row>
        <row r="8">
          <cell r="H8" t="str">
            <v>12 Months</v>
          </cell>
        </row>
        <row r="9">
          <cell r="H9" t="str">
            <v>Ended</v>
          </cell>
        </row>
        <row r="10">
          <cell r="H10">
            <v>38533</v>
          </cell>
          <cell r="J10" t="str">
            <v>Adjustments</v>
          </cell>
          <cell r="L10" t="str">
            <v>Ref.</v>
          </cell>
          <cell r="N10" t="str">
            <v>Projected</v>
          </cell>
        </row>
        <row r="11">
          <cell r="H11" t="str">
            <v>(Unaudited)</v>
          </cell>
        </row>
        <row r="12">
          <cell r="A12" t="str">
            <v>Annual Available Revenues:</v>
          </cell>
        </row>
        <row r="14">
          <cell r="B14" t="str">
            <v>Metered collections</v>
          </cell>
          <cell r="H14">
            <v>718270</v>
          </cell>
          <cell r="J14">
            <v>0</v>
          </cell>
          <cell r="L14">
            <v>-1</v>
          </cell>
          <cell r="N14">
            <v>718270</v>
          </cell>
        </row>
        <row r="16">
          <cell r="B16" t="str">
            <v>Miscellaneous</v>
          </cell>
          <cell r="H16">
            <v>12125</v>
          </cell>
          <cell r="J16">
            <v>0</v>
          </cell>
          <cell r="L16">
            <v>-1</v>
          </cell>
          <cell r="N16">
            <v>12125</v>
          </cell>
        </row>
        <row r="18">
          <cell r="B18" t="str">
            <v>Interest income</v>
          </cell>
          <cell r="H18">
            <v>20135</v>
          </cell>
          <cell r="J18">
            <v>0</v>
          </cell>
          <cell r="L18">
            <v>-1</v>
          </cell>
          <cell r="N18">
            <v>20135</v>
          </cell>
        </row>
        <row r="20">
          <cell r="B20" t="str">
            <v>EDIT</v>
          </cell>
          <cell r="J20">
            <v>116000</v>
          </cell>
          <cell r="L20" t="str">
            <v>(2)</v>
          </cell>
          <cell r="N20">
            <v>116000</v>
          </cell>
        </row>
        <row r="22">
          <cell r="D22" t="str">
            <v>Total Annual Operating Revenues</v>
          </cell>
          <cell r="H22">
            <v>750530</v>
          </cell>
          <cell r="J22">
            <v>116000</v>
          </cell>
          <cell r="N22">
            <v>866530</v>
          </cell>
        </row>
        <row r="25">
          <cell r="A25" t="str">
            <v>Annual Revenue Requirements:</v>
          </cell>
        </row>
        <row r="27">
          <cell r="B27" t="str">
            <v>Cash operating disbursements</v>
          </cell>
          <cell r="H27">
            <v>415735</v>
          </cell>
          <cell r="J27">
            <v>326986</v>
          </cell>
          <cell r="L27">
            <v>-3</v>
          </cell>
          <cell r="N27">
            <v>742721</v>
          </cell>
        </row>
        <row r="29">
          <cell r="B29" t="str">
            <v>Debt service:</v>
          </cell>
        </row>
        <row r="30">
          <cell r="C30" t="str">
            <v>BAN</v>
          </cell>
          <cell r="H30">
            <v>1542625</v>
          </cell>
          <cell r="J30">
            <v>-1542625</v>
          </cell>
          <cell r="L30" t="str">
            <v>(4)</v>
          </cell>
          <cell r="N30">
            <v>0</v>
          </cell>
        </row>
        <row r="31">
          <cell r="C31" t="str">
            <v>2003 Refunding Revenue Bonds</v>
          </cell>
          <cell r="H31">
            <v>-1346486</v>
          </cell>
          <cell r="J31">
            <v>1739583</v>
          </cell>
          <cell r="L31" t="str">
            <v>(5)</v>
          </cell>
          <cell r="N31">
            <v>393097</v>
          </cell>
        </row>
        <row r="32">
          <cell r="C32" t="str">
            <v>Proposed 2005 Revenue Bonds</v>
          </cell>
          <cell r="H32">
            <v>0</v>
          </cell>
          <cell r="J32" t="e">
            <v>#REF!</v>
          </cell>
          <cell r="L32" t="str">
            <v>(6)</v>
          </cell>
          <cell r="N32" t="e">
            <v>#REF!</v>
          </cell>
        </row>
        <row r="34">
          <cell r="B34" t="str">
            <v>PNC lease payment</v>
          </cell>
          <cell r="H34">
            <v>9150</v>
          </cell>
          <cell r="J34">
            <v>0</v>
          </cell>
          <cell r="L34">
            <v>-7</v>
          </cell>
          <cell r="N34">
            <v>9150</v>
          </cell>
        </row>
        <row r="36">
          <cell r="B36" t="str">
            <v>Vac-truck lease</v>
          </cell>
          <cell r="H36">
            <v>0</v>
          </cell>
          <cell r="J36">
            <v>36802</v>
          </cell>
          <cell r="L36" t="str">
            <v>(8)</v>
          </cell>
          <cell r="N36">
            <v>36802</v>
          </cell>
        </row>
        <row r="38">
          <cell r="B38" t="str">
            <v>Allowance for replacements and reserve</v>
          </cell>
          <cell r="H38">
            <v>142770</v>
          </cell>
          <cell r="J38">
            <v>-8335</v>
          </cell>
          <cell r="L38">
            <v>-9</v>
          </cell>
          <cell r="N38">
            <v>134435</v>
          </cell>
        </row>
        <row r="40">
          <cell r="D40" t="str">
            <v>Total Annual Revenue</v>
          </cell>
        </row>
        <row r="41">
          <cell r="E41" t="str">
            <v>Requirements</v>
          </cell>
          <cell r="H41">
            <v>763794</v>
          </cell>
          <cell r="J41" t="e">
            <v>#REF!</v>
          </cell>
          <cell r="N41" t="e">
            <v>#REF!</v>
          </cell>
        </row>
        <row r="43">
          <cell r="D43" t="str">
            <v>Additional Funds Available</v>
          </cell>
          <cell r="H43">
            <v>-13264</v>
          </cell>
          <cell r="J43" t="e">
            <v>#REF!</v>
          </cell>
          <cell r="N43" t="e">
            <v>#REF!</v>
          </cell>
        </row>
        <row r="56">
          <cell r="A56" t="str">
            <v>(Continued on next page)</v>
          </cell>
        </row>
        <row r="58">
          <cell r="A58">
            <v>0</v>
          </cell>
        </row>
        <row r="59">
          <cell r="A59" t="str">
            <v>(Subject to the comments in the accompanying report dated August 19, 2005)</v>
          </cell>
        </row>
        <row r="61">
          <cell r="A61">
            <v>9</v>
          </cell>
        </row>
        <row r="62">
          <cell r="A62" t="str">
            <v>SELLERSBURG (INDIANA) MUNICIPAL SEWAGE WORKS</v>
          </cell>
        </row>
        <row r="63">
          <cell r="N63" t="str">
            <v>(Cont'd)</v>
          </cell>
        </row>
        <row r="64">
          <cell r="A64" t="str">
            <v>PROJECTED ANNUAL REVENUE REQUIREMENTS</v>
          </cell>
        </row>
        <row r="65">
          <cell r="A65" t="str">
            <v>AND AVAILABLE REVENUES</v>
          </cell>
        </row>
        <row r="66">
          <cell r="A66" t="str">
            <v>Explanation of Adjustments</v>
          </cell>
        </row>
        <row r="69">
          <cell r="A69" t="str">
            <v>(1)</v>
          </cell>
          <cell r="B69" t="str">
            <v>Assumed at test year amounts.</v>
          </cell>
        </row>
        <row r="71">
          <cell r="A71" t="str">
            <v>(2)</v>
          </cell>
          <cell r="B71" t="str">
            <v>Per utility management, the sewage works will receive EDIT funds twice a year in the</v>
          </cell>
        </row>
        <row r="72">
          <cell r="B72" t="str">
            <v>amount of $58,000 for an annual total of $116,000.</v>
          </cell>
        </row>
        <row r="74">
          <cell r="A74" t="str">
            <v>(3)</v>
          </cell>
          <cell r="B74" t="str">
            <v>To adjust test year as follows:</v>
          </cell>
        </row>
        <row r="76">
          <cell r="C76" t="str">
            <v>Test year ended 12/31/04 cash operating disbursements</v>
          </cell>
          <cell r="N76">
            <v>415735</v>
          </cell>
        </row>
        <row r="78">
          <cell r="C78" t="str">
            <v>A.</v>
          </cell>
          <cell r="D78" t="str">
            <v>EMC Annual Fee:</v>
          </cell>
        </row>
        <row r="79">
          <cell r="D79" t="str">
            <v xml:space="preserve">  Projected EMC annual fee</v>
          </cell>
          <cell r="J79">
            <v>640740</v>
          </cell>
        </row>
        <row r="80">
          <cell r="D80" t="str">
            <v xml:space="preserve">  Less test year EMC annual fee</v>
          </cell>
          <cell r="J80">
            <v>-317976</v>
          </cell>
        </row>
        <row r="82">
          <cell r="E82" t="str">
            <v>Adjustment</v>
          </cell>
          <cell r="N82">
            <v>322764</v>
          </cell>
        </row>
        <row r="84">
          <cell r="C84" t="str">
            <v>B.</v>
          </cell>
          <cell r="D84" t="str">
            <v>Utilities Director:</v>
          </cell>
        </row>
        <row r="85">
          <cell r="D85" t="str">
            <v xml:space="preserve">  Annual salary</v>
          </cell>
          <cell r="J85">
            <v>35500</v>
          </cell>
        </row>
        <row r="86">
          <cell r="D86" t="str">
            <v xml:space="preserve">  Less test year amount</v>
          </cell>
          <cell r="J86">
            <v>-34248</v>
          </cell>
        </row>
        <row r="88">
          <cell r="E88" t="str">
            <v>Adjustment</v>
          </cell>
          <cell r="N88">
            <v>1252</v>
          </cell>
        </row>
        <row r="90">
          <cell r="C90" t="str">
            <v>C.</v>
          </cell>
          <cell r="D90" t="str">
            <v>Inflation:</v>
          </cell>
        </row>
        <row r="91">
          <cell r="D91" t="str">
            <v xml:space="preserve">  Projected operation and maintenance disbursements</v>
          </cell>
          <cell r="J91">
            <v>739751</v>
          </cell>
        </row>
        <row r="92">
          <cell r="D92" t="str">
            <v xml:space="preserve">  Less projected EMC annual fee</v>
          </cell>
          <cell r="J92">
            <v>-640740</v>
          </cell>
        </row>
        <row r="94">
          <cell r="E94" t="str">
            <v>Sub-total</v>
          </cell>
          <cell r="J94">
            <v>99011</v>
          </cell>
        </row>
        <row r="95">
          <cell r="E95" t="str">
            <v>Times a 3% inflationary allowance</v>
          </cell>
          <cell r="J95">
            <v>0.03</v>
          </cell>
        </row>
        <row r="97">
          <cell r="E97" t="str">
            <v>Adjustment</v>
          </cell>
          <cell r="N97">
            <v>2970</v>
          </cell>
        </row>
        <row r="99">
          <cell r="E99" t="str">
            <v>Total Projected Cash Operating Disbursements</v>
          </cell>
          <cell r="N99">
            <v>742721</v>
          </cell>
        </row>
        <row r="101">
          <cell r="A101" t="str">
            <v>(3)</v>
          </cell>
          <cell r="B101" t="str">
            <v>Calculated as average annual principal and interest due on the 2003 Refunding Revenue</v>
          </cell>
        </row>
        <row r="102">
          <cell r="B102" t="str">
            <v>Bonds (see page 12).</v>
          </cell>
        </row>
        <row r="104">
          <cell r="A104" t="str">
            <v>(4)</v>
          </cell>
          <cell r="B104" t="str">
            <v>To provide an annual allowance for lease payments on shared facilities.</v>
          </cell>
        </row>
        <row r="106">
          <cell r="D106" t="str">
            <v xml:space="preserve">  Annual lease payment</v>
          </cell>
          <cell r="J106">
            <v>18300</v>
          </cell>
        </row>
        <row r="107">
          <cell r="D107" t="str">
            <v xml:space="preserve">  Less test year payment</v>
          </cell>
          <cell r="J107">
            <v>-9150</v>
          </cell>
        </row>
        <row r="109">
          <cell r="E109" t="str">
            <v>Adjustment</v>
          </cell>
          <cell r="N109">
            <v>9150</v>
          </cell>
        </row>
        <row r="111">
          <cell r="A111" t="str">
            <v>(4)</v>
          </cell>
          <cell r="B111" t="str">
            <v>The BAN was paid off on November 29, 2004.</v>
          </cell>
        </row>
        <row r="113">
          <cell r="A113" t="str">
            <v>(5)</v>
          </cell>
          <cell r="B113" t="str">
            <v>Adjusted to equal the average annual debt service on the 2003 Bonds for the five</v>
          </cell>
        </row>
        <row r="114">
          <cell r="B114" t="str">
            <v>bond years ending January 1, 2011.</v>
          </cell>
        </row>
        <row r="116">
          <cell r="A116" t="str">
            <v>(6)</v>
          </cell>
          <cell r="B116" t="str">
            <v>Adjusted to equal the average annual debt service on the proposed 2005 Bonds for</v>
          </cell>
        </row>
        <row r="117">
          <cell r="B117" t="str">
            <v>the five bond years ending January 1, 2011.</v>
          </cell>
        </row>
        <row r="119">
          <cell r="A119" t="str">
            <v>(7)</v>
          </cell>
          <cell r="B119" t="str">
            <v>Per Ordinance No. 2003-015.</v>
          </cell>
        </row>
        <row r="121">
          <cell r="A121" t="str">
            <v>(8)</v>
          </cell>
          <cell r="B121" t="str">
            <v>Per the Sewer Vac-Truck lease schedule dated September 24, 2004.</v>
          </cell>
        </row>
        <row r="123">
          <cell r="A123" t="str">
            <v>(9)</v>
          </cell>
          <cell r="B123" t="str">
            <v>Calculated as the annual allowance for replacements and improvements as calculated</v>
          </cell>
        </row>
        <row r="124">
          <cell r="B124" t="str">
            <v>on page 15.</v>
          </cell>
        </row>
        <row r="125">
          <cell r="E125" t="str">
            <v>Annual Replacement Allowance</v>
          </cell>
          <cell r="N125">
            <v>134435</v>
          </cell>
        </row>
        <row r="127">
          <cell r="A127">
            <v>0</v>
          </cell>
        </row>
        <row r="128">
          <cell r="A128" t="str">
            <v>(Subject to the comments in the accompanying report dated August 19, 2005)</v>
          </cell>
        </row>
        <row r="130">
          <cell r="A130">
            <v>10</v>
          </cell>
        </row>
      </sheetData>
      <sheetData sheetId="32" refreshError="1">
        <row r="1">
          <cell r="A1" t="str">
            <v>SELLERSBURG (INDIANA) MUNICIPAL SEWAGE WORKS</v>
          </cell>
        </row>
        <row r="3">
          <cell r="A3" t="str">
            <v>SCHEDULE OF ADDITIONS TO UTILITY PLANT AND</v>
          </cell>
        </row>
        <row r="4">
          <cell r="A4" t="str">
            <v>ANNUAL DEPRECIATION EXPENSE</v>
          </cell>
        </row>
        <row r="5">
          <cell r="A5" t="str">
            <v>(Unaudited)</v>
          </cell>
        </row>
        <row r="7">
          <cell r="A7" t="str">
            <v>I.</v>
          </cell>
          <cell r="B7" t="str">
            <v>Calculation of historical average additions to plant funded through</v>
          </cell>
        </row>
        <row r="8">
          <cell r="B8" t="str">
            <v>operating receipts.</v>
          </cell>
        </row>
        <row r="10">
          <cell r="C10" t="str">
            <v>Utility plant in service at 12/31/98</v>
          </cell>
          <cell r="L10">
            <v>13158742</v>
          </cell>
        </row>
        <row r="12">
          <cell r="E12" t="str">
            <v>Calendar</v>
          </cell>
        </row>
        <row r="13">
          <cell r="E13" t="str">
            <v>Year</v>
          </cell>
          <cell r="H13" t="str">
            <v>Additions</v>
          </cell>
        </row>
        <row r="15">
          <cell r="F15" t="str">
            <v>1999</v>
          </cell>
          <cell r="H15">
            <v>89233</v>
          </cell>
        </row>
        <row r="16">
          <cell r="F16" t="str">
            <v>2000</v>
          </cell>
          <cell r="H16">
            <v>46791</v>
          </cell>
        </row>
        <row r="17">
          <cell r="F17" t="str">
            <v>2001</v>
          </cell>
          <cell r="H17">
            <v>45339</v>
          </cell>
        </row>
        <row r="18">
          <cell r="F18">
            <v>2002</v>
          </cell>
          <cell r="H18">
            <v>183967</v>
          </cell>
        </row>
        <row r="19">
          <cell r="F19">
            <v>2003</v>
          </cell>
          <cell r="H19">
            <v>736459</v>
          </cell>
        </row>
        <row r="20">
          <cell r="F20">
            <v>2004</v>
          </cell>
          <cell r="H20">
            <v>142770</v>
          </cell>
        </row>
        <row r="22">
          <cell r="C22" t="str">
            <v>Total additions to utility plant</v>
          </cell>
          <cell r="L22">
            <v>1244559</v>
          </cell>
        </row>
        <row r="24">
          <cell r="B24" t="str">
            <v>Estimated utility plant in service at 12/31/04</v>
          </cell>
          <cell r="L24">
            <v>14403301</v>
          </cell>
        </row>
        <row r="26">
          <cell r="C26" t="str">
            <v>Total additions to utility plant</v>
          </cell>
          <cell r="L26">
            <v>1244559</v>
          </cell>
        </row>
        <row r="27">
          <cell r="C27" t="str">
            <v>Divide by period covered (6 years)</v>
          </cell>
          <cell r="L27">
            <v>6</v>
          </cell>
        </row>
        <row r="29">
          <cell r="C29" t="str">
            <v>Average annual additions to plant (All Sources)</v>
          </cell>
          <cell r="L29">
            <v>207427</v>
          </cell>
        </row>
        <row r="32">
          <cell r="A32" t="str">
            <v>II.</v>
          </cell>
          <cell r="B32" t="str">
            <v>Calculation of replacement allowance:</v>
          </cell>
        </row>
        <row r="34">
          <cell r="C34" t="str">
            <v>Replacement allowance approved by U.S. EPA</v>
          </cell>
        </row>
        <row r="35">
          <cell r="C35" t="str">
            <v xml:space="preserve">  in January, 1990 for the Sellersburg Sewage Works</v>
          </cell>
          <cell r="L35">
            <v>90000</v>
          </cell>
        </row>
        <row r="37">
          <cell r="C37" t="str">
            <v>Consumer price index adjustment</v>
          </cell>
          <cell r="K37" t="str">
            <v>x</v>
          </cell>
          <cell r="L37">
            <v>1.4937199999999999</v>
          </cell>
        </row>
        <row r="39">
          <cell r="D39" t="str">
            <v>Estimated replacement costs</v>
          </cell>
          <cell r="L39">
            <v>134435</v>
          </cell>
        </row>
        <row r="42">
          <cell r="A42" t="str">
            <v>III.</v>
          </cell>
          <cell r="B42" t="str">
            <v>Calculation of annual depreciation expense:</v>
          </cell>
        </row>
        <row r="44">
          <cell r="C44" t="str">
            <v>Estimated utility plant in service at December 31, 2004</v>
          </cell>
          <cell r="L44">
            <v>14403301</v>
          </cell>
        </row>
        <row r="45">
          <cell r="C45" t="str">
            <v>Less land</v>
          </cell>
          <cell r="L45">
            <v>-191450</v>
          </cell>
        </row>
        <row r="47">
          <cell r="C47" t="str">
            <v>Depreciable plant</v>
          </cell>
          <cell r="L47">
            <v>14211851</v>
          </cell>
        </row>
        <row r="48">
          <cell r="C48" t="str">
            <v>Times composite depreciation rate</v>
          </cell>
          <cell r="K48" t="str">
            <v>x</v>
          </cell>
          <cell r="L48">
            <v>1.4999999999999999E-2</v>
          </cell>
        </row>
        <row r="50">
          <cell r="E50" t="str">
            <v>Annual depreciation expense</v>
          </cell>
          <cell r="L50">
            <v>213178</v>
          </cell>
        </row>
        <row r="53">
          <cell r="A53">
            <v>0</v>
          </cell>
        </row>
        <row r="54">
          <cell r="A54" t="str">
            <v>(Subject to the comments in the accompanying report dated August 19, 2005)</v>
          </cell>
        </row>
        <row r="56">
          <cell r="A56">
            <v>15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 Dis 2002"/>
      <sheetName val="Det Rec 2002"/>
      <sheetName val="Info"/>
      <sheetName val="WTB 00"/>
      <sheetName val="WTB 01"/>
      <sheetName val="WTB 123102"/>
      <sheetName val="WTB 063003"/>
      <sheetName val="WTB 123103"/>
      <sheetName val="WTB 06304"/>
      <sheetName val="WTB 123104"/>
      <sheetName val="WTB 063005"/>
      <sheetName val="------."/>
      <sheetName val="MinBal"/>
      <sheetName val="Billing"/>
      <sheetName val="Bud Summary "/>
      <sheetName val="RecComp"/>
      <sheetName val="DisbComp"/>
      <sheetName val="1995 Refunded"/>
      <sheetName val="DS Comp"/>
      <sheetName val="CapComp"/>
      <sheetName val="SelFinInfo"/>
      <sheetName val="RecDis"/>
      <sheetName val="2003"/>
      <sheetName val="BAN"/>
      <sheetName val="Combined"/>
      <sheetName val="Asset Additions"/>
      <sheetName val="Rates"/>
      <sheetName val="------"/>
      <sheetName val="Lease"/>
      <sheetName val="AJEs"/>
      <sheetName val="NonfinInfo"/>
      <sheetName val="RevReq"/>
      <sheetName val="AddPlant"/>
      <sheetName val="Top Users"/>
      <sheetName val="Reimbursements"/>
      <sheetName val="Contractual-Engineering"/>
      <sheetName val="CIP-Capital-IMP"/>
      <sheetName val="Repairs - Maintenance"/>
      <sheetName val="Consolidatemeterdep"/>
      <sheetName val="DuefromWaterUtil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>
        <row r="1">
          <cell r="A1" t="str">
            <v>SELLERSBURG (INDIANA) MUNICIPAL SEWAGE WORKS</v>
          </cell>
        </row>
        <row r="3">
          <cell r="A3" t="str">
            <v>SCHEDULE OF ADDITIONS TO UTILITY PLANT AND</v>
          </cell>
        </row>
        <row r="4">
          <cell r="A4" t="str">
            <v>ANNUAL DEPRECIATION EXPENSE</v>
          </cell>
        </row>
        <row r="5">
          <cell r="A5" t="str">
            <v>(Unaudited)</v>
          </cell>
        </row>
        <row r="7">
          <cell r="A7" t="str">
            <v>I.</v>
          </cell>
          <cell r="B7" t="str">
            <v>Calculation of historical average additions to plant funded through</v>
          </cell>
        </row>
        <row r="8">
          <cell r="B8" t="str">
            <v>operating receipts.</v>
          </cell>
        </row>
        <row r="10">
          <cell r="C10" t="str">
            <v>Utility plant in service at 12/31/98</v>
          </cell>
          <cell r="L10">
            <v>13158742</v>
          </cell>
        </row>
        <row r="12">
          <cell r="E12" t="str">
            <v>Calendar</v>
          </cell>
        </row>
        <row r="13">
          <cell r="E13" t="str">
            <v>Year</v>
          </cell>
          <cell r="H13" t="str">
            <v>Additions</v>
          </cell>
        </row>
        <row r="15">
          <cell r="F15" t="str">
            <v>1999</v>
          </cell>
          <cell r="H15">
            <v>89233</v>
          </cell>
        </row>
        <row r="16">
          <cell r="F16" t="str">
            <v>2000</v>
          </cell>
          <cell r="H16">
            <v>46791</v>
          </cell>
        </row>
        <row r="17">
          <cell r="F17" t="str">
            <v>2001</v>
          </cell>
          <cell r="H17">
            <v>45339</v>
          </cell>
        </row>
        <row r="18">
          <cell r="F18">
            <v>2002</v>
          </cell>
          <cell r="H18">
            <v>183967</v>
          </cell>
        </row>
        <row r="19">
          <cell r="F19">
            <v>2003</v>
          </cell>
          <cell r="H19">
            <v>736459</v>
          </cell>
        </row>
        <row r="20">
          <cell r="F20">
            <v>2004</v>
          </cell>
          <cell r="H20">
            <v>142770</v>
          </cell>
        </row>
        <row r="22">
          <cell r="C22" t="str">
            <v>Total additions to utility plant</v>
          </cell>
          <cell r="L22">
            <v>1244559</v>
          </cell>
        </row>
        <row r="24">
          <cell r="B24" t="str">
            <v>Estimated utility plant in service at 12/31/04</v>
          </cell>
          <cell r="L24">
            <v>14403301</v>
          </cell>
        </row>
        <row r="26">
          <cell r="C26" t="str">
            <v>Total additions to utility plant</v>
          </cell>
          <cell r="L26">
            <v>1244559</v>
          </cell>
        </row>
        <row r="27">
          <cell r="C27" t="str">
            <v>Divide by period covered (6 years)</v>
          </cell>
          <cell r="L27">
            <v>6</v>
          </cell>
        </row>
        <row r="29">
          <cell r="C29" t="str">
            <v>Average annual additions to plant (All Sources)</v>
          </cell>
          <cell r="L29">
            <v>207427</v>
          </cell>
        </row>
        <row r="32">
          <cell r="A32" t="str">
            <v>II.</v>
          </cell>
          <cell r="B32" t="str">
            <v>Calculation of replacement allowance:</v>
          </cell>
        </row>
        <row r="34">
          <cell r="C34" t="str">
            <v>Replacement allowance approved by U.S. EPA</v>
          </cell>
        </row>
        <row r="35">
          <cell r="C35" t="str">
            <v xml:space="preserve">  in January, 1990 for the Sellersburg Sewage Works</v>
          </cell>
          <cell r="L35">
            <v>90000</v>
          </cell>
        </row>
        <row r="37">
          <cell r="C37" t="str">
            <v>Consumer price index adjustment</v>
          </cell>
          <cell r="K37" t="str">
            <v>x</v>
          </cell>
          <cell r="L37">
            <v>1.4937199999999999</v>
          </cell>
        </row>
        <row r="39">
          <cell r="D39" t="str">
            <v>Estimated replacement costs</v>
          </cell>
          <cell r="L39">
            <v>134435</v>
          </cell>
        </row>
        <row r="42">
          <cell r="A42" t="str">
            <v>III.</v>
          </cell>
          <cell r="B42" t="str">
            <v>Calculation of annual depreciation expense:</v>
          </cell>
        </row>
        <row r="44">
          <cell r="C44" t="str">
            <v>Estimated utility plant in service at December 31, 2004</v>
          </cell>
          <cell r="L44">
            <v>14403301</v>
          </cell>
        </row>
        <row r="45">
          <cell r="C45" t="str">
            <v>Less land</v>
          </cell>
          <cell r="L45">
            <v>-191450</v>
          </cell>
        </row>
        <row r="47">
          <cell r="C47" t="str">
            <v>Depreciable plant</v>
          </cell>
          <cell r="L47">
            <v>14211851</v>
          </cell>
        </row>
        <row r="48">
          <cell r="C48" t="str">
            <v>Times composite depreciation rate</v>
          </cell>
          <cell r="K48" t="str">
            <v>x</v>
          </cell>
          <cell r="L48">
            <v>1.4999999999999999E-2</v>
          </cell>
        </row>
        <row r="50">
          <cell r="E50" t="str">
            <v>Annual depreciation expense</v>
          </cell>
          <cell r="L50">
            <v>213178</v>
          </cell>
        </row>
        <row r="53">
          <cell r="A53">
            <v>0</v>
          </cell>
        </row>
        <row r="54">
          <cell r="A54" t="str">
            <v>(Subject to the comments in the accompanying report dated August 19, 2005)</v>
          </cell>
        </row>
        <row r="56">
          <cell r="A56">
            <v>15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4 M.P. Update"/>
      <sheetName val="#6 M.P. Projects"/>
      <sheetName val="#8 Pilot Testing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heet1"/>
      <sheetName val="Sheet1 (2)"/>
      <sheetName val="Adj"/>
      <sheetName val="Cap"/>
      <sheetName val="Revenue Rqmt"/>
      <sheetName val="Allocation"/>
      <sheetName val="Allocation (2)"/>
      <sheetName val="Allocation (3)"/>
      <sheetName val="Allocation (4)"/>
      <sheetName val="UNITS"/>
      <sheetName val="customer"/>
      <sheetName val="customer (2)"/>
      <sheetName val="customer (3)"/>
      <sheetName val="customer (4)"/>
      <sheetName val="Rates"/>
      <sheetName val="Rates (2)"/>
      <sheetName val="Rates (3)"/>
      <sheetName val="Rates (4)"/>
      <sheetName val="comp"/>
      <sheetName val="Graph"/>
      <sheetName val="Surcharge"/>
      <sheetName val="wwtp"/>
      <sheetName val="income"/>
      <sheetName val="Min. Bal."/>
      <sheetName val="2000"/>
      <sheetName val="----workpapers-----"/>
      <sheetName val="revenue"/>
      <sheetName val="revenue (2)"/>
      <sheetName val="revenue (3)"/>
      <sheetName val="revenue (4)"/>
      <sheetName val="Balance"/>
      <sheetName val="cashflow"/>
      <sheetName val="UNITS (2)"/>
      <sheetName val="UNITS (3)"/>
      <sheetName val="UNITS (4)"/>
      <sheetName val="Surcharge (2)"/>
      <sheetName val="Surcharge (3)"/>
      <sheetName val="Surcharge (4)"/>
      <sheetName val="Revenue Rqmt (2)"/>
      <sheetName val="Revenue Rqmt (3)"/>
      <sheetName val="Revenue Rqmt (4)"/>
      <sheetName val="Projection"/>
      <sheetName val="component"/>
      <sheetName val="Comparison"/>
      <sheetName val="AddPlant"/>
      <sheetName val="RevReq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MUNCIE SANITARY DISTRICT</v>
          </cell>
        </row>
        <row r="3">
          <cell r="A3" t="str">
            <v>PROJECTED ANNUAL REVENUE REQUIREMENTS</v>
          </cell>
        </row>
        <row r="4">
          <cell r="A4" t="str">
            <v>AND AVAILABLE REVENUES</v>
          </cell>
        </row>
        <row r="5">
          <cell r="A5" t="str">
            <v>(Amounts rounded to the nearest $100)</v>
          </cell>
        </row>
        <row r="6">
          <cell r="A6" t="str">
            <v>See explanations on page  3.</v>
          </cell>
        </row>
        <row r="7">
          <cell r="H7" t="str">
            <v>12 Months</v>
          </cell>
        </row>
        <row r="8">
          <cell r="H8" t="str">
            <v>Ended</v>
          </cell>
          <cell r="O8" t="str">
            <v>Projected</v>
          </cell>
        </row>
        <row r="9">
          <cell r="H9">
            <v>37986</v>
          </cell>
          <cell r="J9" t="str">
            <v>Adjustments</v>
          </cell>
          <cell r="L9" t="str">
            <v>Ref.</v>
          </cell>
          <cell r="O9" t="str">
            <v>Alternative I</v>
          </cell>
          <cell r="Q9" t="str">
            <v>Alternative II</v>
          </cell>
        </row>
        <row r="10">
          <cell r="H10" t="str">
            <v>(Unaudited)</v>
          </cell>
        </row>
        <row r="11">
          <cell r="A11" t="str">
            <v>Revenue Requirements:</v>
          </cell>
        </row>
        <row r="13">
          <cell r="B13" t="str">
            <v>Operation and maintenance (1)</v>
          </cell>
          <cell r="H13">
            <v>6827889</v>
          </cell>
          <cell r="J13">
            <v>341394</v>
          </cell>
          <cell r="L13">
            <v>-1</v>
          </cell>
          <cell r="O13">
            <v>6827900</v>
          </cell>
          <cell r="Q13">
            <v>6827900</v>
          </cell>
        </row>
        <row r="14">
          <cell r="C14" t="str">
            <v>Additional allowance for inflation - 3%</v>
          </cell>
          <cell r="O14">
            <v>204800</v>
          </cell>
          <cell r="Q14">
            <v>204800</v>
          </cell>
        </row>
        <row r="16">
          <cell r="B16" t="str">
            <v>Replacements and improvements (2)</v>
          </cell>
          <cell r="H16">
            <v>755472</v>
          </cell>
          <cell r="J16">
            <v>192665</v>
          </cell>
          <cell r="L16">
            <v>-2</v>
          </cell>
          <cell r="O16">
            <v>520000</v>
          </cell>
          <cell r="Q16">
            <v>520000</v>
          </cell>
        </row>
        <row r="18">
          <cell r="B18" t="str">
            <v>Debt service: (3)</v>
          </cell>
        </row>
        <row r="19">
          <cell r="C19" t="str">
            <v>SRF loan - existing</v>
          </cell>
          <cell r="H19">
            <v>1009452</v>
          </cell>
          <cell r="J19">
            <v>-9573.4473684210097</v>
          </cell>
          <cell r="L19">
            <v>-3</v>
          </cell>
          <cell r="O19">
            <v>1026900</v>
          </cell>
          <cell r="Q19">
            <v>1026900</v>
          </cell>
        </row>
        <row r="20">
          <cell r="C20" t="str">
            <v>SRF loan - proposed</v>
          </cell>
          <cell r="Q20">
            <v>1087200</v>
          </cell>
        </row>
        <row r="22">
          <cell r="B22" t="str">
            <v>Proposed debt service reserve (7)</v>
          </cell>
          <cell r="Q22">
            <v>217400</v>
          </cell>
        </row>
        <row r="24">
          <cell r="D24" t="str">
            <v>Total Revenues Requirements</v>
          </cell>
          <cell r="H24">
            <v>8592813</v>
          </cell>
          <cell r="J24">
            <v>524485.55263157899</v>
          </cell>
          <cell r="O24">
            <v>8579600</v>
          </cell>
          <cell r="Q24">
            <v>9884200</v>
          </cell>
        </row>
        <row r="27">
          <cell r="A27" t="str">
            <v>Annual Revenues:</v>
          </cell>
        </row>
        <row r="29">
          <cell r="B29" t="str">
            <v>Metered sales (8)</v>
          </cell>
          <cell r="H29">
            <v>6667731</v>
          </cell>
          <cell r="L29">
            <v>-4</v>
          </cell>
          <cell r="O29">
            <v>6667700</v>
          </cell>
          <cell r="Q29">
            <v>6667700</v>
          </cell>
        </row>
        <row r="30">
          <cell r="B30" t="str">
            <v>Penalties (9)</v>
          </cell>
          <cell r="H30">
            <v>118294</v>
          </cell>
          <cell r="L30">
            <v>-4</v>
          </cell>
          <cell r="O30">
            <v>98300</v>
          </cell>
          <cell r="Q30">
            <v>98300</v>
          </cell>
        </row>
        <row r="31">
          <cell r="B31" t="str">
            <v>Other (8)</v>
          </cell>
          <cell r="H31">
            <v>143289</v>
          </cell>
          <cell r="L31">
            <v>-4</v>
          </cell>
          <cell r="O31">
            <v>143300</v>
          </cell>
          <cell r="Q31">
            <v>143300</v>
          </cell>
        </row>
        <row r="33">
          <cell r="D33" t="str">
            <v>Total Available Revenues</v>
          </cell>
          <cell r="H33">
            <v>6929314</v>
          </cell>
          <cell r="J33">
            <v>0</v>
          </cell>
          <cell r="O33">
            <v>6909300</v>
          </cell>
          <cell r="Q33">
            <v>6909300</v>
          </cell>
        </row>
        <row r="36">
          <cell r="A36" t="str">
            <v>Increase In Revenues Required</v>
          </cell>
          <cell r="H36">
            <v>-1663499</v>
          </cell>
          <cell r="J36">
            <v>-524485.55263157899</v>
          </cell>
          <cell r="O36">
            <v>1670300</v>
          </cell>
          <cell r="Q36">
            <v>2974900</v>
          </cell>
        </row>
        <row r="38">
          <cell r="A38" t="str">
            <v>Approximate across-the-board increase</v>
          </cell>
        </row>
        <row r="39">
          <cell r="A39" t="str">
            <v>in present rates and charges required</v>
          </cell>
          <cell r="I39" t="e">
            <v>#DIV/0!</v>
          </cell>
          <cell r="K39" t="e">
            <v>#DIV/0!</v>
          </cell>
          <cell r="Q39">
            <v>0.44600000000000001</v>
          </cell>
        </row>
        <row r="41">
          <cell r="A41" t="str">
            <v>Resulting Approximate Average Monthly Residential Bill</v>
          </cell>
        </row>
        <row r="42">
          <cell r="A42" t="str">
            <v xml:space="preserve">  (presently $27.12 for 5,000 gallons of usage)</v>
          </cell>
          <cell r="I42">
            <v>0</v>
          </cell>
          <cell r="K42">
            <v>0</v>
          </cell>
        </row>
        <row r="59">
          <cell r="A59" t="str">
            <v>(Continued on next page)</v>
          </cell>
        </row>
        <row r="61">
          <cell r="A61" t="str">
            <v>(Subject to the comments in the attached letter</v>
          </cell>
        </row>
        <row r="62">
          <cell r="A62" t="str">
            <v>dated June 14, 2004 of  Umbaugh.)</v>
          </cell>
        </row>
        <row r="64">
          <cell r="A64">
            <v>2</v>
          </cell>
        </row>
        <row r="65">
          <cell r="A65" t="str">
            <v>PROJECTED ANNUAL REVENUE REQUIREMENTS</v>
          </cell>
        </row>
        <row r="66">
          <cell r="A66" t="str">
            <v>AND AVAILABLE REVENUES</v>
          </cell>
        </row>
        <row r="67">
          <cell r="A67" t="str">
            <v>Explanations</v>
          </cell>
        </row>
        <row r="70">
          <cell r="A70">
            <v>-1</v>
          </cell>
          <cell r="B70" t="str">
            <v xml:space="preserve">Assumes estimated calendar year 2003 operation and maintenance expenses based on discussions </v>
          </cell>
        </row>
        <row r="71">
          <cell r="B71" t="str">
            <v>with the State Board of Accounts.</v>
          </cell>
        </row>
        <row r="73">
          <cell r="A73">
            <v>-2</v>
          </cell>
          <cell r="B73" t="str">
            <v xml:space="preserve">Assumes allowance for replacements and improvements based on estimated bond coverage </v>
          </cell>
        </row>
        <row r="74">
          <cell r="B74" t="str">
            <v>equal to 133%.</v>
          </cell>
        </row>
        <row r="76">
          <cell r="A76">
            <v>-3</v>
          </cell>
          <cell r="B76" t="str">
            <v xml:space="preserve">Assumes the average principal and interest payment on the outstanding 2000 Revenue </v>
          </cell>
        </row>
        <row r="77">
          <cell r="B77" t="str">
            <v xml:space="preserve">bonds.  See page 22.  </v>
          </cell>
        </row>
        <row r="79">
          <cell r="A79">
            <v>-4</v>
          </cell>
          <cell r="B79" t="str">
            <v>Assumes a proposed SRF loan at a principal amount of $15,000,000 over a 20 year term with</v>
          </cell>
        </row>
        <row r="80">
          <cell r="B80" t="str">
            <v>an interest rate of 3.83%.</v>
          </cell>
        </row>
        <row r="82">
          <cell r="A82">
            <v>-5</v>
          </cell>
          <cell r="B82" t="str">
            <v>Assumes a proposed SRF loan at a principal amount of $20,000,000 over a 20 year term with</v>
          </cell>
        </row>
        <row r="83">
          <cell r="B83" t="str">
            <v>an interest rate of 3.83%.</v>
          </cell>
        </row>
        <row r="85">
          <cell r="A85">
            <v>-6</v>
          </cell>
          <cell r="B85" t="str">
            <v>Assumes a proposed SRF loan at a principal amount of $25,000,000 over a 20 year term with</v>
          </cell>
        </row>
        <row r="86">
          <cell r="B86" t="str">
            <v>an interest rate of 3.83%.</v>
          </cell>
        </row>
        <row r="88">
          <cell r="A88">
            <v>-7</v>
          </cell>
          <cell r="B88" t="str">
            <v>Assumes the debt service reserve will be funded over a 5 year based upon the average</v>
          </cell>
        </row>
        <row r="89">
          <cell r="B89" t="str">
            <v xml:space="preserve">annual principal and interest payment on the proposed SRF loan. </v>
          </cell>
        </row>
        <row r="91">
          <cell r="A91">
            <v>-8</v>
          </cell>
          <cell r="B91" t="str">
            <v>Assumed at test year amounts.</v>
          </cell>
        </row>
        <row r="93">
          <cell r="A93">
            <v>-9</v>
          </cell>
          <cell r="B93" t="str">
            <v xml:space="preserve">Assumed at test year amount, less $20,000 as a result of a change in state statute </v>
          </cell>
        </row>
        <row r="94">
          <cell r="B94" t="str">
            <v>requiring the County collect all of the Sanitary District's delinquent liens fees in lieu</v>
          </cell>
        </row>
        <row r="95">
          <cell r="B95" t="str">
            <v>of the Sanitary District receipting the fees as has been done in previous years.</v>
          </cell>
        </row>
        <row r="120">
          <cell r="A120" t="str">
            <v>(Subject to the comments in the attached letter</v>
          </cell>
        </row>
        <row r="121">
          <cell r="A121" t="str">
            <v>dated June 14, 2004 of  Umbaugh.)</v>
          </cell>
        </row>
        <row r="123">
          <cell r="A123">
            <v>3</v>
          </cell>
        </row>
      </sheetData>
      <sheetData sheetId="6">
        <row r="1">
          <cell r="A1" t="str">
            <v>MUNCIE SANITARY DISTRICT</v>
          </cell>
        </row>
        <row r="3">
          <cell r="A3" t="str">
            <v>ALLOCATION OF PROJECTED ANNUAL REVENUE REQUIREMENTS TO COST FUNCTION - ALTERNATIVE I</v>
          </cell>
        </row>
        <row r="4">
          <cell r="A4" t="str">
            <v>(Allocation Per EPA Approved User Charge System)</v>
          </cell>
        </row>
        <row r="5">
          <cell r="A5" t="str">
            <v>(Amounts rounded to the nearest $100.)</v>
          </cell>
        </row>
        <row r="10">
          <cell r="I10" t="str">
            <v>Total</v>
          </cell>
          <cell r="K10" t="str">
            <v>Allocation to Function</v>
          </cell>
        </row>
        <row r="11">
          <cell r="I11" t="str">
            <v>Projected</v>
          </cell>
          <cell r="K11" t="str">
            <v>Treatment</v>
          </cell>
          <cell r="M11" t="str">
            <v>Sewer &amp;</v>
          </cell>
          <cell r="O11" t="str">
            <v>Water</v>
          </cell>
          <cell r="S11" t="str">
            <v>Adminis-</v>
          </cell>
          <cell r="U11" t="str">
            <v>Allocation</v>
          </cell>
        </row>
        <row r="12">
          <cell r="A12" t="str">
            <v>User Charge Requirements:</v>
          </cell>
          <cell r="I12" t="str">
            <v>Amount</v>
          </cell>
          <cell r="K12" t="str">
            <v>Plant</v>
          </cell>
          <cell r="M12" t="str">
            <v>Lift Stations</v>
          </cell>
          <cell r="O12" t="str">
            <v>Quality</v>
          </cell>
          <cell r="Q12" t="str">
            <v>Billing</v>
          </cell>
          <cell r="S12" t="str">
            <v>trative</v>
          </cell>
          <cell r="U12" t="str">
            <v>Factor</v>
          </cell>
        </row>
        <row r="13">
          <cell r="A13" t="str">
            <v>Cash operating expenses:</v>
          </cell>
        </row>
        <row r="14">
          <cell r="B14" t="str">
            <v>Plant Operation and Maintenance:</v>
          </cell>
        </row>
        <row r="15">
          <cell r="C15" t="str">
            <v>Labor</v>
          </cell>
          <cell r="I15">
            <v>1482300</v>
          </cell>
          <cell r="K15">
            <v>1482300</v>
          </cell>
          <cell r="U15">
            <v>-1</v>
          </cell>
        </row>
        <row r="16">
          <cell r="C16" t="str">
            <v>Materials &amp; supplies</v>
          </cell>
          <cell r="I16">
            <v>635400</v>
          </cell>
          <cell r="K16">
            <v>635400</v>
          </cell>
          <cell r="U16">
            <v>-1</v>
          </cell>
        </row>
        <row r="17">
          <cell r="C17" t="str">
            <v>Other</v>
          </cell>
          <cell r="I17">
            <v>1439200</v>
          </cell>
          <cell r="K17">
            <v>1439200</v>
          </cell>
          <cell r="U17">
            <v>-1</v>
          </cell>
        </row>
        <row r="18">
          <cell r="B18" t="str">
            <v>Sewer Maintenance:</v>
          </cell>
        </row>
        <row r="19">
          <cell r="C19" t="str">
            <v>Labor</v>
          </cell>
          <cell r="I19">
            <v>1156500</v>
          </cell>
          <cell r="M19">
            <v>1156500</v>
          </cell>
          <cell r="U19">
            <v>-1</v>
          </cell>
        </row>
        <row r="20">
          <cell r="C20" t="str">
            <v>Materials &amp; supplies</v>
          </cell>
          <cell r="I20">
            <v>254200</v>
          </cell>
          <cell r="M20">
            <v>254200</v>
          </cell>
          <cell r="U20">
            <v>-1</v>
          </cell>
        </row>
        <row r="21">
          <cell r="C21" t="str">
            <v>Other</v>
          </cell>
          <cell r="I21">
            <v>151500</v>
          </cell>
          <cell r="M21">
            <v>151500</v>
          </cell>
        </row>
        <row r="22">
          <cell r="B22" t="str">
            <v>Water Quality:</v>
          </cell>
        </row>
        <row r="23">
          <cell r="C23" t="str">
            <v>Labor</v>
          </cell>
          <cell r="I23">
            <v>565100</v>
          </cell>
          <cell r="O23">
            <v>565100</v>
          </cell>
          <cell r="U23">
            <v>-1</v>
          </cell>
        </row>
        <row r="24">
          <cell r="C24" t="str">
            <v>Materials &amp; supplies</v>
          </cell>
          <cell r="I24">
            <v>89700</v>
          </cell>
          <cell r="O24">
            <v>89700</v>
          </cell>
          <cell r="U24">
            <v>-1</v>
          </cell>
        </row>
        <row r="25">
          <cell r="C25" t="str">
            <v>Other</v>
          </cell>
          <cell r="I25">
            <v>142400</v>
          </cell>
          <cell r="O25">
            <v>142400</v>
          </cell>
          <cell r="U25">
            <v>-1</v>
          </cell>
        </row>
        <row r="26">
          <cell r="B26" t="str">
            <v>Collection Office:</v>
          </cell>
        </row>
        <row r="27">
          <cell r="C27" t="str">
            <v>Labor</v>
          </cell>
          <cell r="I27">
            <v>255400</v>
          </cell>
          <cell r="Q27">
            <v>255400</v>
          </cell>
          <cell r="U27">
            <v>-1</v>
          </cell>
        </row>
        <row r="28">
          <cell r="C28" t="str">
            <v>Materials &amp; supplies</v>
          </cell>
          <cell r="I28">
            <v>26700</v>
          </cell>
          <cell r="Q28">
            <v>26700</v>
          </cell>
          <cell r="U28">
            <v>-1</v>
          </cell>
        </row>
        <row r="29">
          <cell r="C29" t="str">
            <v>Other</v>
          </cell>
          <cell r="I29">
            <v>260800</v>
          </cell>
          <cell r="Q29">
            <v>260800</v>
          </cell>
          <cell r="U29">
            <v>-1</v>
          </cell>
        </row>
        <row r="30">
          <cell r="B30" t="str">
            <v>General &amp; Undistributed:</v>
          </cell>
        </row>
        <row r="31">
          <cell r="C31" t="str">
            <v>Misc.</v>
          </cell>
          <cell r="I31">
            <v>368700</v>
          </cell>
          <cell r="S31">
            <v>368700</v>
          </cell>
          <cell r="U31">
            <v>-1</v>
          </cell>
        </row>
        <row r="32">
          <cell r="I32" t="str">
            <v xml:space="preserve"> </v>
          </cell>
          <cell r="K32" t="str">
            <v xml:space="preserve"> </v>
          </cell>
          <cell r="M32" t="str">
            <v xml:space="preserve"> </v>
          </cell>
          <cell r="O32" t="str">
            <v xml:space="preserve"> </v>
          </cell>
          <cell r="Q32" t="str">
            <v xml:space="preserve"> </v>
          </cell>
          <cell r="S32" t="str">
            <v xml:space="preserve"> </v>
          </cell>
        </row>
        <row r="33">
          <cell r="D33" t="str">
            <v>Sub-totals</v>
          </cell>
          <cell r="I33">
            <v>6827900</v>
          </cell>
          <cell r="K33">
            <v>3556900</v>
          </cell>
          <cell r="M33">
            <v>1562200</v>
          </cell>
          <cell r="O33">
            <v>797200</v>
          </cell>
          <cell r="Q33">
            <v>542900</v>
          </cell>
          <cell r="S33">
            <v>368700</v>
          </cell>
        </row>
        <row r="35">
          <cell r="C35" t="str">
            <v>Reallocation administrative costs pro rata</v>
          </cell>
          <cell r="K35">
            <v>203000</v>
          </cell>
          <cell r="M35">
            <v>89200</v>
          </cell>
          <cell r="O35">
            <v>45500</v>
          </cell>
          <cell r="Q35">
            <v>31000</v>
          </cell>
          <cell r="S35">
            <v>-368700</v>
          </cell>
          <cell r="U35">
            <v>-2</v>
          </cell>
        </row>
        <row r="36">
          <cell r="I36" t="str">
            <v xml:space="preserve"> </v>
          </cell>
          <cell r="K36" t="str">
            <v xml:space="preserve"> </v>
          </cell>
          <cell r="M36" t="str">
            <v xml:space="preserve"> </v>
          </cell>
          <cell r="O36" t="str">
            <v xml:space="preserve"> </v>
          </cell>
          <cell r="Q36" t="str">
            <v xml:space="preserve"> </v>
          </cell>
          <cell r="S36" t="str">
            <v xml:space="preserve"> </v>
          </cell>
        </row>
        <row r="37">
          <cell r="I37">
            <v>6827900</v>
          </cell>
          <cell r="K37">
            <v>3759900</v>
          </cell>
          <cell r="L37" t="str">
            <v xml:space="preserve"> </v>
          </cell>
          <cell r="M37">
            <v>1651400</v>
          </cell>
          <cell r="N37" t="str">
            <v xml:space="preserve"> </v>
          </cell>
          <cell r="O37">
            <v>842700</v>
          </cell>
          <cell r="P37" t="str">
            <v xml:space="preserve"> </v>
          </cell>
          <cell r="Q37">
            <v>573900</v>
          </cell>
          <cell r="S37">
            <v>0</v>
          </cell>
        </row>
        <row r="39">
          <cell r="C39" t="str">
            <v>Adjust for inflation - 3%</v>
          </cell>
          <cell r="I39">
            <v>204800</v>
          </cell>
          <cell r="K39">
            <v>112800</v>
          </cell>
          <cell r="M39">
            <v>49500</v>
          </cell>
          <cell r="O39">
            <v>25300</v>
          </cell>
          <cell r="P39" t="str">
            <v xml:space="preserve"> </v>
          </cell>
          <cell r="Q39">
            <v>17200</v>
          </cell>
        </row>
        <row r="40">
          <cell r="I40" t="str">
            <v xml:space="preserve"> </v>
          </cell>
          <cell r="K40" t="str">
            <v xml:space="preserve"> </v>
          </cell>
          <cell r="M40" t="str">
            <v xml:space="preserve"> </v>
          </cell>
          <cell r="O40" t="str">
            <v xml:space="preserve"> </v>
          </cell>
          <cell r="Q40" t="str">
            <v xml:space="preserve"> </v>
          </cell>
        </row>
        <row r="41">
          <cell r="E41" t="str">
            <v>Total projected cash operating</v>
          </cell>
        </row>
        <row r="42">
          <cell r="E42" t="str">
            <v>expenses including inflation</v>
          </cell>
          <cell r="I42">
            <v>7032700</v>
          </cell>
          <cell r="K42">
            <v>3872700</v>
          </cell>
          <cell r="M42">
            <v>1700900</v>
          </cell>
          <cell r="O42">
            <v>868000</v>
          </cell>
          <cell r="Q42">
            <v>591100</v>
          </cell>
        </row>
        <row r="43">
          <cell r="I43" t="str">
            <v xml:space="preserve"> </v>
          </cell>
          <cell r="K43" t="str">
            <v xml:space="preserve"> </v>
          </cell>
          <cell r="M43" t="str">
            <v xml:space="preserve"> </v>
          </cell>
          <cell r="O43" t="str">
            <v xml:space="preserve"> </v>
          </cell>
          <cell r="Q43" t="str">
            <v xml:space="preserve"> </v>
          </cell>
        </row>
        <row r="44">
          <cell r="B44" t="str">
            <v>Replacement allowance</v>
          </cell>
          <cell r="I44">
            <v>520000</v>
          </cell>
          <cell r="K44">
            <v>520000</v>
          </cell>
          <cell r="M44">
            <v>0</v>
          </cell>
          <cell r="O44">
            <v>0</v>
          </cell>
          <cell r="Q44">
            <v>0</v>
          </cell>
          <cell r="U44">
            <v>-1</v>
          </cell>
        </row>
        <row r="46">
          <cell r="B46" t="str">
            <v>Less miscellaneous revenue:</v>
          </cell>
        </row>
        <row r="47">
          <cell r="C47" t="str">
            <v>Penalty revenue</v>
          </cell>
          <cell r="I47">
            <v>-98300</v>
          </cell>
          <cell r="Q47">
            <v>-98300</v>
          </cell>
          <cell r="U47">
            <v>-1</v>
          </cell>
        </row>
        <row r="48">
          <cell r="C48" t="str">
            <v>Other revenue</v>
          </cell>
          <cell r="I48">
            <v>-143300</v>
          </cell>
          <cell r="K48">
            <v>-143300</v>
          </cell>
          <cell r="U48">
            <v>-1</v>
          </cell>
        </row>
        <row r="50">
          <cell r="D50" t="str">
            <v>Sub-totals</v>
          </cell>
          <cell r="I50">
            <v>-241600</v>
          </cell>
          <cell r="K50">
            <v>-143300</v>
          </cell>
          <cell r="M50">
            <v>0</v>
          </cell>
          <cell r="O50">
            <v>0</v>
          </cell>
          <cell r="Q50">
            <v>-98300</v>
          </cell>
        </row>
        <row r="52">
          <cell r="E52" t="str">
            <v>Total projected user</v>
          </cell>
        </row>
        <row r="53">
          <cell r="E53" t="str">
            <v>charge requirements</v>
          </cell>
          <cell r="I53">
            <v>7311100</v>
          </cell>
          <cell r="K53">
            <v>4249400</v>
          </cell>
          <cell r="M53">
            <v>1700900</v>
          </cell>
          <cell r="O53">
            <v>868000</v>
          </cell>
          <cell r="Q53">
            <v>492800</v>
          </cell>
        </row>
        <row r="55">
          <cell r="A55" t="str">
            <v>Debt Service Requirements</v>
          </cell>
          <cell r="U55">
            <v>-1</v>
          </cell>
        </row>
        <row r="57">
          <cell r="B57" t="str">
            <v>Outstanding debt service</v>
          </cell>
          <cell r="I57">
            <v>1026900</v>
          </cell>
          <cell r="K57">
            <v>1026900</v>
          </cell>
        </row>
        <row r="59">
          <cell r="A59" t="str">
            <v>Total projected net requirements</v>
          </cell>
          <cell r="I59">
            <v>8338000</v>
          </cell>
          <cell r="K59">
            <v>5276300</v>
          </cell>
          <cell r="M59">
            <v>1700900</v>
          </cell>
          <cell r="O59">
            <v>868000</v>
          </cell>
          <cell r="Q59">
            <v>492800</v>
          </cell>
        </row>
        <row r="63">
          <cell r="A63">
            <v>-1</v>
          </cell>
          <cell r="B63" t="str">
            <v>Direct allocation</v>
          </cell>
        </row>
        <row r="64">
          <cell r="A64">
            <v>-2</v>
          </cell>
          <cell r="B64" t="str">
            <v>General expenses allocated to the four primary functions in ratio to all other expenses.</v>
          </cell>
        </row>
        <row r="70">
          <cell r="A70" t="str">
            <v>(Subject to the comments in the attached letter</v>
          </cell>
        </row>
        <row r="71">
          <cell r="A71" t="str">
            <v>dated June 14, 2004 of  Umbaugh.)</v>
          </cell>
        </row>
        <row r="73">
          <cell r="A73">
            <v>4</v>
          </cell>
        </row>
      </sheetData>
      <sheetData sheetId="7"/>
      <sheetData sheetId="8"/>
      <sheetData sheetId="9"/>
      <sheetData sheetId="10">
        <row r="1">
          <cell r="A1" t="str">
            <v>MUNCIE SANITARY DISTRICT</v>
          </cell>
        </row>
        <row r="3">
          <cell r="A3" t="str">
            <v>PROJECTED UNITS OF SERVICE</v>
          </cell>
        </row>
        <row r="4">
          <cell r="A4" t="str">
            <v>(In Cubic Feet)</v>
          </cell>
        </row>
        <row r="7">
          <cell r="A7" t="str">
            <v>TOTAL FLOW ALLOCATIONS</v>
          </cell>
        </row>
        <row r="8">
          <cell r="F8" t="str">
            <v>Equivalent</v>
          </cell>
          <cell r="J8" t="str">
            <v>Allocated</v>
          </cell>
        </row>
        <row r="9">
          <cell r="F9" t="str">
            <v>Billed</v>
          </cell>
          <cell r="J9" t="str">
            <v>Infiltration</v>
          </cell>
        </row>
        <row r="10">
          <cell r="F10" t="str">
            <v>Flow*</v>
          </cell>
          <cell r="H10" t="str">
            <v>%</v>
          </cell>
          <cell r="J10" t="str">
            <v>Inflow (I/I) **</v>
          </cell>
          <cell r="L10" t="str">
            <v>%</v>
          </cell>
          <cell r="N10" t="str">
            <v xml:space="preserve">Total Flow  </v>
          </cell>
          <cell r="P10" t="str">
            <v>%</v>
          </cell>
        </row>
        <row r="12">
          <cell r="A12" t="str">
            <v>Residential and commercial</v>
          </cell>
          <cell r="F12">
            <v>276217600</v>
          </cell>
          <cell r="H12">
            <v>0.70199999999999996</v>
          </cell>
          <cell r="J12">
            <v>388973687</v>
          </cell>
          <cell r="L12">
            <v>0.77100000000000002</v>
          </cell>
          <cell r="N12">
            <v>665191287</v>
          </cell>
          <cell r="P12">
            <v>0.74099999999999999</v>
          </cell>
        </row>
        <row r="13">
          <cell r="A13" t="str">
            <v>Industrial</v>
          </cell>
          <cell r="F13">
            <v>23431500</v>
          </cell>
          <cell r="H13">
            <v>0.06</v>
          </cell>
          <cell r="J13">
            <v>23073641</v>
          </cell>
          <cell r="L13">
            <v>4.5999999999999999E-2</v>
          </cell>
          <cell r="N13">
            <v>46505141</v>
          </cell>
          <cell r="P13">
            <v>5.1999999999999998E-2</v>
          </cell>
        </row>
        <row r="14">
          <cell r="A14" t="str">
            <v>Government/Institutional</v>
          </cell>
          <cell r="F14">
            <v>93774300</v>
          </cell>
          <cell r="H14">
            <v>0.23799999999999999</v>
          </cell>
          <cell r="J14">
            <v>92294567</v>
          </cell>
          <cell r="L14">
            <v>0.183</v>
          </cell>
          <cell r="N14">
            <v>186068867</v>
          </cell>
          <cell r="P14">
            <v>0.20699999999999999</v>
          </cell>
        </row>
        <row r="16">
          <cell r="C16" t="str">
            <v>Totals</v>
          </cell>
          <cell r="F16">
            <v>393423400</v>
          </cell>
          <cell r="H16">
            <v>1</v>
          </cell>
          <cell r="J16">
            <v>504341895</v>
          </cell>
          <cell r="L16">
            <v>1</v>
          </cell>
          <cell r="N16">
            <v>897765295</v>
          </cell>
          <cell r="P16">
            <v>1</v>
          </cell>
        </row>
        <row r="18">
          <cell r="A18" t="str">
            <v>* Includes estimated unmetered flow and estimated minimum usage billed.</v>
          </cell>
        </row>
        <row r="19">
          <cell r="N19" t="str">
            <v xml:space="preserve"> </v>
          </cell>
        </row>
        <row r="20">
          <cell r="A20" t="str">
            <v>**Infiltration/Inflow allocations.</v>
          </cell>
        </row>
        <row r="21">
          <cell r="F21" t="str">
            <v>I/I Allocated On Connection Basis, 25%</v>
          </cell>
          <cell r="N21" t="str">
            <v>I/I Allocated On Billed Flow Basis, 75%</v>
          </cell>
          <cell r="T21" t="str">
            <v>Total</v>
          </cell>
        </row>
        <row r="22">
          <cell r="F22" t="str">
            <v>Number of</v>
          </cell>
          <cell r="J22" t="str">
            <v>Allocated</v>
          </cell>
          <cell r="N22" t="str">
            <v>Billed</v>
          </cell>
          <cell r="R22" t="str">
            <v>Allocated</v>
          </cell>
          <cell r="T22" t="str">
            <v>Allocated</v>
          </cell>
        </row>
        <row r="23">
          <cell r="F23" t="str">
            <v>Connections</v>
          </cell>
          <cell r="H23" t="str">
            <v>%</v>
          </cell>
          <cell r="J23" t="str">
            <v>I/I</v>
          </cell>
          <cell r="N23" t="str">
            <v>Flow</v>
          </cell>
          <cell r="P23" t="str">
            <v>%</v>
          </cell>
          <cell r="R23" t="str">
            <v>I/I</v>
          </cell>
          <cell r="T23" t="str">
            <v>I/I</v>
          </cell>
        </row>
        <row r="25">
          <cell r="A25" t="str">
            <v>Residential and commercial</v>
          </cell>
          <cell r="F25">
            <v>25831</v>
          </cell>
          <cell r="H25">
            <v>0.97899999999999998</v>
          </cell>
          <cell r="J25">
            <v>123437679</v>
          </cell>
          <cell r="N25">
            <v>276217600</v>
          </cell>
          <cell r="P25">
            <v>0.70199999999999996</v>
          </cell>
          <cell r="R25">
            <v>265536008</v>
          </cell>
          <cell r="T25">
            <v>388973687</v>
          </cell>
        </row>
        <row r="26">
          <cell r="A26" t="str">
            <v>Industrial</v>
          </cell>
          <cell r="F26">
            <v>76</v>
          </cell>
          <cell r="H26">
            <v>3.0000000000000001E-3</v>
          </cell>
          <cell r="J26">
            <v>378256</v>
          </cell>
          <cell r="N26">
            <v>23431500</v>
          </cell>
          <cell r="P26">
            <v>0.06</v>
          </cell>
          <cell r="R26">
            <v>22695385</v>
          </cell>
          <cell r="T26">
            <v>23073641</v>
          </cell>
        </row>
        <row r="27">
          <cell r="A27" t="str">
            <v>Government/Institutional</v>
          </cell>
          <cell r="F27">
            <v>463</v>
          </cell>
          <cell r="H27">
            <v>1.7999999999999999E-2</v>
          </cell>
          <cell r="J27">
            <v>2269539</v>
          </cell>
          <cell r="N27">
            <v>93774300</v>
          </cell>
          <cell r="P27">
            <v>0.23799999999999999</v>
          </cell>
          <cell r="R27">
            <v>90025028</v>
          </cell>
          <cell r="T27">
            <v>92294567</v>
          </cell>
        </row>
        <row r="29">
          <cell r="C29" t="str">
            <v>Totals</v>
          </cell>
          <cell r="F29">
            <v>26370</v>
          </cell>
          <cell r="H29">
            <v>1</v>
          </cell>
          <cell r="J29">
            <v>126085474</v>
          </cell>
          <cell r="N29">
            <v>393423400</v>
          </cell>
          <cell r="P29">
            <v>1</v>
          </cell>
          <cell r="R29">
            <v>378256421</v>
          </cell>
          <cell r="T29">
            <v>504341895</v>
          </cell>
        </row>
        <row r="35">
          <cell r="A35" t="str">
            <v>(Subject to the comments in the attached letter</v>
          </cell>
        </row>
        <row r="36">
          <cell r="A36" t="str">
            <v>dated June 14, 2004 of  Umbaugh.)</v>
          </cell>
        </row>
        <row r="38">
          <cell r="A38">
            <v>8</v>
          </cell>
        </row>
      </sheetData>
      <sheetData sheetId="11">
        <row r="1">
          <cell r="A1" t="str">
            <v>MUNCIE SANITARY DISTRICT</v>
          </cell>
        </row>
        <row r="3">
          <cell r="A3" t="str">
            <v>ALLOCATION OF PROJECTED ANNUAL REVENUE REQUIREMENTS TO CUSTOMER</v>
          </cell>
        </row>
        <row r="4">
          <cell r="A4" t="str">
            <v>AND CALCULATION OF PROPOSED RATES AND CHARGES - ALTERNATIVE I</v>
          </cell>
        </row>
        <row r="10">
          <cell r="F10" t="str">
            <v>Total</v>
          </cell>
          <cell r="H10" t="str">
            <v>Allocation to customer class</v>
          </cell>
        </row>
        <row r="11">
          <cell r="F11" t="str">
            <v>Projected</v>
          </cell>
          <cell r="H11" t="str">
            <v>Residential/</v>
          </cell>
          <cell r="L11" t="str">
            <v>Government/</v>
          </cell>
          <cell r="N11" t="str">
            <v>Allocation</v>
          </cell>
        </row>
        <row r="12">
          <cell r="A12" t="str">
            <v>Allocated Functional Costs</v>
          </cell>
          <cell r="F12" t="str">
            <v>Amount</v>
          </cell>
          <cell r="H12" t="str">
            <v>Commercial</v>
          </cell>
          <cell r="J12" t="str">
            <v>Industrial</v>
          </cell>
          <cell r="L12" t="str">
            <v>Institutional</v>
          </cell>
          <cell r="N12" t="str">
            <v>Factor</v>
          </cell>
        </row>
        <row r="14">
          <cell r="B14" t="str">
            <v>Treatment plant - user charge</v>
          </cell>
          <cell r="F14">
            <v>4249400</v>
          </cell>
          <cell r="H14">
            <v>3148805</v>
          </cell>
          <cell r="J14">
            <v>220969</v>
          </cell>
          <cell r="L14">
            <v>879626</v>
          </cell>
          <cell r="N14">
            <v>-1</v>
          </cell>
        </row>
        <row r="16">
          <cell r="B16" t="str">
            <v>Treatment plant - debt service</v>
          </cell>
          <cell r="F16">
            <v>1026900</v>
          </cell>
          <cell r="H16">
            <v>760933</v>
          </cell>
          <cell r="J16">
            <v>53399</v>
          </cell>
          <cell r="L16">
            <v>212568</v>
          </cell>
          <cell r="N16">
            <v>-1</v>
          </cell>
        </row>
        <row r="18">
          <cell r="B18" t="str">
            <v>Sewers</v>
          </cell>
          <cell r="F18">
            <v>1700900</v>
          </cell>
          <cell r="H18">
            <v>1260367</v>
          </cell>
          <cell r="J18">
            <v>88447</v>
          </cell>
          <cell r="L18">
            <v>352086</v>
          </cell>
          <cell r="N18">
            <v>-1</v>
          </cell>
        </row>
        <row r="20">
          <cell r="B20" t="str">
            <v>Water quality</v>
          </cell>
          <cell r="F20">
            <v>868000</v>
          </cell>
          <cell r="H20">
            <v>609336</v>
          </cell>
          <cell r="J20">
            <v>52080</v>
          </cell>
          <cell r="L20">
            <v>206584</v>
          </cell>
          <cell r="N20">
            <v>-2</v>
          </cell>
        </row>
        <row r="22">
          <cell r="B22" t="str">
            <v>Billing</v>
          </cell>
          <cell r="F22">
            <v>492800</v>
          </cell>
          <cell r="H22">
            <v>482451</v>
          </cell>
          <cell r="J22">
            <v>1478</v>
          </cell>
          <cell r="L22">
            <v>8871</v>
          </cell>
          <cell r="N22">
            <v>-3</v>
          </cell>
        </row>
        <row r="23">
          <cell r="F23" t="str">
            <v xml:space="preserve"> </v>
          </cell>
          <cell r="H23" t="str">
            <v xml:space="preserve"> </v>
          </cell>
          <cell r="J23" t="str">
            <v xml:space="preserve"> </v>
          </cell>
          <cell r="L23" t="str">
            <v xml:space="preserve"> </v>
          </cell>
        </row>
        <row r="24">
          <cell r="C24" t="str">
            <v>Total revenue requirements</v>
          </cell>
          <cell r="F24">
            <v>8338000</v>
          </cell>
          <cell r="H24">
            <v>6261892</v>
          </cell>
          <cell r="J24">
            <v>416373</v>
          </cell>
          <cell r="L24">
            <v>1659735</v>
          </cell>
        </row>
        <row r="26">
          <cell r="A26" t="str">
            <v>Rate Calculation</v>
          </cell>
        </row>
        <row r="27">
          <cell r="B27" t="str">
            <v>Divide by billed flow (100 cubic feet)</v>
          </cell>
          <cell r="F27">
            <v>3934234</v>
          </cell>
          <cell r="H27">
            <v>2762176</v>
          </cell>
          <cell r="J27">
            <v>234315</v>
          </cell>
          <cell r="L27">
            <v>937743</v>
          </cell>
        </row>
        <row r="29">
          <cell r="B29" t="str">
            <v>Proposed rate or cost per unit (100 cubic feet)</v>
          </cell>
          <cell r="H29">
            <v>2.27</v>
          </cell>
          <cell r="J29">
            <v>1.78</v>
          </cell>
          <cell r="L29">
            <v>1.78</v>
          </cell>
        </row>
        <row r="31">
          <cell r="A31" t="str">
            <v>Present Rates</v>
          </cell>
          <cell r="H31">
            <v>1.82</v>
          </cell>
          <cell r="J31">
            <v>1.3</v>
          </cell>
          <cell r="L31">
            <v>1.3</v>
          </cell>
        </row>
        <row r="34">
          <cell r="A34" t="str">
            <v>Projected Revenue At Proposed Rates</v>
          </cell>
          <cell r="F34">
            <v>8356404</v>
          </cell>
          <cell r="H34">
            <v>6270140</v>
          </cell>
          <cell r="J34">
            <v>417081</v>
          </cell>
          <cell r="L34">
            <v>1669183</v>
          </cell>
        </row>
        <row r="37">
          <cell r="A37" t="str">
            <v>Percentage Rate Increase</v>
          </cell>
          <cell r="H37">
            <v>0.247</v>
          </cell>
          <cell r="J37">
            <v>0.36899999999999999</v>
          </cell>
          <cell r="L37">
            <v>0.36899999999999999</v>
          </cell>
        </row>
        <row r="41">
          <cell r="A41">
            <v>-1</v>
          </cell>
          <cell r="B41" t="str">
            <v>Allocation based on Total Flow.</v>
          </cell>
        </row>
        <row r="43">
          <cell r="A43">
            <v>-2</v>
          </cell>
          <cell r="B43" t="str">
            <v>Allocation based on Billed Flow.</v>
          </cell>
        </row>
        <row r="45">
          <cell r="A45">
            <v>-3</v>
          </cell>
          <cell r="B45" t="str">
            <v>Allocation based on Connections.</v>
          </cell>
        </row>
        <row r="55">
          <cell r="A55" t="str">
            <v>(Subject to the comments in the attached letter</v>
          </cell>
        </row>
        <row r="56">
          <cell r="A56" t="str">
            <v>dated June 14, 2004 of  Umbaugh.)</v>
          </cell>
        </row>
        <row r="58">
          <cell r="A58">
            <v>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">
          <cell r="A1" t="str">
            <v>MUNCIE SANITARY DISTRICT</v>
          </cell>
        </row>
        <row r="3">
          <cell r="A3" t="str">
            <v>CALCULATION OF PROJECTED EXCESSIVE STRENGTH SURCHARGES</v>
          </cell>
        </row>
        <row r="4">
          <cell r="C4" t="str">
            <v xml:space="preserve"> </v>
          </cell>
        </row>
        <row r="5">
          <cell r="C5" t="str">
            <v xml:space="preserve"> </v>
          </cell>
        </row>
        <row r="6">
          <cell r="E6" t="str">
            <v>Allocated to (1):</v>
          </cell>
        </row>
        <row r="7">
          <cell r="E7" t="str">
            <v>Total</v>
          </cell>
          <cell r="G7" t="str">
            <v>Flow</v>
          </cell>
          <cell r="I7" t="str">
            <v>BOD</v>
          </cell>
          <cell r="K7" t="str">
            <v>SS</v>
          </cell>
        </row>
        <row r="9">
          <cell r="A9" t="str">
            <v>Projected annual flow &amp;</v>
          </cell>
        </row>
        <row r="10">
          <cell r="A10" t="str">
            <v xml:space="preserve">  treatment related user</v>
          </cell>
        </row>
        <row r="11">
          <cell r="A11" t="str">
            <v xml:space="preserve">  charge costs (page 4)</v>
          </cell>
        </row>
        <row r="12">
          <cell r="A12" t="str">
            <v xml:space="preserve">    Operation &amp; maintenance expense</v>
          </cell>
        </row>
        <row r="13">
          <cell r="A13" t="str">
            <v xml:space="preserve">      Treatment plant</v>
          </cell>
          <cell r="E13">
            <v>3872700</v>
          </cell>
          <cell r="G13">
            <v>1549080</v>
          </cell>
          <cell r="I13">
            <v>1161810</v>
          </cell>
          <cell r="K13">
            <v>1161810</v>
          </cell>
        </row>
        <row r="14">
          <cell r="A14" t="str">
            <v xml:space="preserve">      Water quality</v>
          </cell>
          <cell r="E14">
            <v>868000</v>
          </cell>
          <cell r="G14">
            <v>347200</v>
          </cell>
          <cell r="I14">
            <v>260400</v>
          </cell>
          <cell r="K14">
            <v>260400</v>
          </cell>
        </row>
        <row r="15">
          <cell r="A15" t="str">
            <v xml:space="preserve">    Replacement costs on equipment</v>
          </cell>
          <cell r="E15">
            <v>520000</v>
          </cell>
          <cell r="G15">
            <v>208000</v>
          </cell>
          <cell r="I15">
            <v>156000</v>
          </cell>
          <cell r="K15">
            <v>156000</v>
          </cell>
        </row>
        <row r="17">
          <cell r="B17" t="str">
            <v>Total direct treatment costs</v>
          </cell>
          <cell r="E17">
            <v>5260700</v>
          </cell>
          <cell r="G17">
            <v>2104280</v>
          </cell>
          <cell r="I17">
            <v>1578210</v>
          </cell>
          <cell r="K17">
            <v>1578210</v>
          </cell>
        </row>
        <row r="19">
          <cell r="A19" t="str">
            <v>Less estimated fixed costs</v>
          </cell>
        </row>
        <row r="20">
          <cell r="A20" t="str">
            <v xml:space="preserve">    Assumed at 25%</v>
          </cell>
          <cell r="E20">
            <v>-1315175</v>
          </cell>
          <cell r="G20">
            <v>-526069</v>
          </cell>
          <cell r="I20">
            <v>-394553</v>
          </cell>
          <cell r="K20">
            <v>-394553</v>
          </cell>
        </row>
        <row r="21">
          <cell r="B21" t="str">
            <v xml:space="preserve"> </v>
          </cell>
        </row>
        <row r="22">
          <cell r="A22" t="str">
            <v>Estimated variable costs</v>
          </cell>
          <cell r="E22">
            <v>3945525</v>
          </cell>
          <cell r="G22">
            <v>1578211</v>
          </cell>
          <cell r="I22">
            <v>1183657</v>
          </cell>
          <cell r="K22">
            <v>1183657</v>
          </cell>
        </row>
        <row r="25">
          <cell r="A25" t="str">
            <v>Calculation of excessive strength surcharge:</v>
          </cell>
        </row>
        <row r="26">
          <cell r="E26" t="str">
            <v>Normal</v>
          </cell>
        </row>
        <row r="27">
          <cell r="D27" t="str">
            <v>Variable</v>
          </cell>
          <cell r="E27" t="str">
            <v>Domestic</v>
          </cell>
          <cell r="G27" t="str">
            <v>Proposed</v>
          </cell>
          <cell r="L27" t="str">
            <v>Current</v>
          </cell>
        </row>
        <row r="28">
          <cell r="D28" t="str">
            <v>Costs</v>
          </cell>
          <cell r="E28" t="str">
            <v>Loadings (2)</v>
          </cell>
          <cell r="G28" t="str">
            <v>Surcharge</v>
          </cell>
          <cell r="L28" t="str">
            <v>Surcharge</v>
          </cell>
        </row>
        <row r="30">
          <cell r="D30" t="str">
            <v>(above)</v>
          </cell>
          <cell r="E30" t="str">
            <v>(lbs.)</v>
          </cell>
          <cell r="G30" t="str">
            <v>($/lb.)</v>
          </cell>
          <cell r="L30" t="str">
            <v>($/lb.)</v>
          </cell>
        </row>
        <row r="32">
          <cell r="B32" t="str">
            <v>BOD</v>
          </cell>
          <cell r="D32">
            <v>1183657</v>
          </cell>
          <cell r="E32">
            <v>6152835</v>
          </cell>
          <cell r="G32">
            <v>0.2</v>
          </cell>
          <cell r="I32" t="str">
            <v>in excess of 250 mg/l</v>
          </cell>
          <cell r="L32">
            <v>0.1</v>
          </cell>
        </row>
        <row r="34">
          <cell r="B34" t="str">
            <v>SS</v>
          </cell>
          <cell r="D34">
            <v>1183657</v>
          </cell>
          <cell r="E34">
            <v>6152835</v>
          </cell>
          <cell r="G34">
            <v>0.2</v>
          </cell>
          <cell r="I34" t="str">
            <v>in excess of 250 mg/l</v>
          </cell>
          <cell r="L34">
            <v>0.1</v>
          </cell>
        </row>
        <row r="37">
          <cell r="A37" t="str">
            <v xml:space="preserve"> (1) Allocated 40%/30%/30% according to EPA guidelines.</v>
          </cell>
        </row>
        <row r="38">
          <cell r="A38" t="str">
            <v xml:space="preserve"> (2) Assumes following;</v>
          </cell>
        </row>
        <row r="39">
          <cell r="B39" t="str">
            <v>Test year billed flow in 1,000,000 gallons</v>
          </cell>
          <cell r="G39">
            <v>2951</v>
          </cell>
          <cell r="I39" t="str">
            <v>MGY</v>
          </cell>
        </row>
        <row r="40">
          <cell r="B40" t="str">
            <v>Times Normal Domestic Strength limit</v>
          </cell>
          <cell r="G40">
            <v>250</v>
          </cell>
          <cell r="I40" t="str">
            <v>mg/l</v>
          </cell>
        </row>
        <row r="41">
          <cell r="B41" t="str">
            <v>Times Lbs. conversion factor</v>
          </cell>
          <cell r="G41">
            <v>8.34</v>
          </cell>
        </row>
        <row r="43">
          <cell r="G43">
            <v>6152835</v>
          </cell>
        </row>
        <row r="48">
          <cell r="A48" t="str">
            <v>(Subject to the comments in the attached letter</v>
          </cell>
        </row>
        <row r="49">
          <cell r="A49" t="str">
            <v>dated June 14, 2004 of  Umbaugh.)</v>
          </cell>
        </row>
        <row r="51">
          <cell r="A51">
            <v>17</v>
          </cell>
        </row>
      </sheetData>
      <sheetData sheetId="22">
        <row r="1">
          <cell r="A1" t="str">
            <v>MUNCIE SANITARY DISTRICT</v>
          </cell>
        </row>
        <row r="3">
          <cell r="A3" t="str">
            <v>TEST YEAR TREATMENT PLANT FLOWS AND LOADINGS</v>
          </cell>
        </row>
        <row r="4">
          <cell r="A4" t="str">
            <v>(Unaudited)</v>
          </cell>
        </row>
        <row r="7">
          <cell r="C7" t="str">
            <v>Days per</v>
          </cell>
          <cell r="E7" t="str">
            <v xml:space="preserve">         Flow</v>
          </cell>
          <cell r="I7" t="str">
            <v>BOD</v>
          </cell>
          <cell r="M7" t="str">
            <v>SS</v>
          </cell>
        </row>
        <row r="8">
          <cell r="A8" t="str">
            <v>Month</v>
          </cell>
          <cell r="C8" t="str">
            <v>Month</v>
          </cell>
          <cell r="E8" t="str">
            <v>Average</v>
          </cell>
          <cell r="G8" t="str">
            <v>Total</v>
          </cell>
          <cell r="I8" t="str">
            <v>Average</v>
          </cell>
          <cell r="K8" t="str">
            <v>Total</v>
          </cell>
          <cell r="M8" t="str">
            <v>Average</v>
          </cell>
          <cell r="O8" t="str">
            <v>Total</v>
          </cell>
        </row>
        <row r="9">
          <cell r="E9" t="str">
            <v>(MGD)</v>
          </cell>
          <cell r="G9" t="str">
            <v>(MG)</v>
          </cell>
          <cell r="I9" t="str">
            <v>(mg/l)</v>
          </cell>
          <cell r="K9" t="str">
            <v>(lbs.)</v>
          </cell>
          <cell r="M9" t="str">
            <v>(mg/l)</v>
          </cell>
          <cell r="O9" t="str">
            <v>(lbs.)</v>
          </cell>
        </row>
        <row r="11">
          <cell r="A11" t="str">
            <v>January, 2003</v>
          </cell>
          <cell r="C11">
            <v>31</v>
          </cell>
          <cell r="E11">
            <v>15</v>
          </cell>
          <cell r="G11">
            <v>465</v>
          </cell>
          <cell r="I11">
            <v>117.2</v>
          </cell>
          <cell r="K11">
            <v>454284</v>
          </cell>
          <cell r="M11">
            <v>151.4</v>
          </cell>
          <cell r="O11">
            <v>586849</v>
          </cell>
        </row>
        <row r="12">
          <cell r="O12" t="str">
            <v xml:space="preserve"> </v>
          </cell>
        </row>
        <row r="13">
          <cell r="A13" t="str">
            <v>February</v>
          </cell>
          <cell r="C13">
            <v>28</v>
          </cell>
          <cell r="E13">
            <v>14.2</v>
          </cell>
          <cell r="G13">
            <v>397.59999999999997</v>
          </cell>
          <cell r="I13">
            <v>145.6</v>
          </cell>
          <cell r="K13">
            <v>482564</v>
          </cell>
          <cell r="M13">
            <v>178.3</v>
          </cell>
          <cell r="O13">
            <v>590942</v>
          </cell>
        </row>
        <row r="14">
          <cell r="K14" t="str">
            <v xml:space="preserve"> </v>
          </cell>
          <cell r="O14" t="str">
            <v xml:space="preserve"> </v>
          </cell>
        </row>
        <row r="15">
          <cell r="A15" t="str">
            <v>March</v>
          </cell>
          <cell r="C15">
            <v>31</v>
          </cell>
          <cell r="E15">
            <v>22</v>
          </cell>
          <cell r="G15">
            <v>682</v>
          </cell>
          <cell r="I15">
            <v>82.1</v>
          </cell>
          <cell r="K15">
            <v>466740</v>
          </cell>
          <cell r="M15">
            <v>145.30000000000001</v>
          </cell>
          <cell r="O15">
            <v>826033</v>
          </cell>
        </row>
        <row r="16">
          <cell r="K16" t="str">
            <v xml:space="preserve"> </v>
          </cell>
          <cell r="O16" t="str">
            <v xml:space="preserve"> </v>
          </cell>
        </row>
        <row r="17">
          <cell r="A17" t="str">
            <v>April</v>
          </cell>
          <cell r="C17">
            <v>30</v>
          </cell>
          <cell r="E17">
            <v>15.4</v>
          </cell>
          <cell r="G17">
            <v>462</v>
          </cell>
          <cell r="I17">
            <v>110</v>
          </cell>
          <cell r="K17">
            <v>423625</v>
          </cell>
          <cell r="M17">
            <v>206.5</v>
          </cell>
          <cell r="O17">
            <v>795260</v>
          </cell>
        </row>
        <row r="18">
          <cell r="K18" t="str">
            <v xml:space="preserve"> </v>
          </cell>
          <cell r="O18" t="str">
            <v xml:space="preserve"> </v>
          </cell>
        </row>
        <row r="19">
          <cell r="A19" t="str">
            <v>May</v>
          </cell>
          <cell r="C19">
            <v>31</v>
          </cell>
          <cell r="E19">
            <v>20.399999999999999</v>
          </cell>
          <cell r="G19">
            <v>632.4</v>
          </cell>
          <cell r="I19">
            <v>86.8</v>
          </cell>
          <cell r="K19">
            <v>457571</v>
          </cell>
          <cell r="M19">
            <v>188</v>
          </cell>
          <cell r="O19">
            <v>991053</v>
          </cell>
        </row>
        <row r="20">
          <cell r="G20" t="str">
            <v xml:space="preserve"> </v>
          </cell>
          <cell r="K20" t="str">
            <v xml:space="preserve"> </v>
          </cell>
          <cell r="O20" t="str">
            <v xml:space="preserve"> </v>
          </cell>
        </row>
        <row r="21">
          <cell r="A21" t="str">
            <v>June</v>
          </cell>
          <cell r="C21">
            <v>30</v>
          </cell>
          <cell r="E21">
            <v>15.1</v>
          </cell>
          <cell r="G21">
            <v>453</v>
          </cell>
          <cell r="I21">
            <v>117.1</v>
          </cell>
          <cell r="K21">
            <v>442183</v>
          </cell>
          <cell r="M21">
            <v>197.8</v>
          </cell>
          <cell r="O21">
            <v>746916</v>
          </cell>
        </row>
        <row r="22">
          <cell r="G22" t="str">
            <v xml:space="preserve"> </v>
          </cell>
          <cell r="K22" t="str">
            <v xml:space="preserve"> </v>
          </cell>
          <cell r="O22" t="str">
            <v xml:space="preserve"> </v>
          </cell>
        </row>
        <row r="23">
          <cell r="A23" t="str">
            <v>July</v>
          </cell>
          <cell r="C23">
            <v>31</v>
          </cell>
          <cell r="E23">
            <v>21.3</v>
          </cell>
          <cell r="G23">
            <v>660.30000000000007</v>
          </cell>
          <cell r="I23">
            <v>82.4</v>
          </cell>
          <cell r="K23">
            <v>453540</v>
          </cell>
          <cell r="M23">
            <v>146.4</v>
          </cell>
          <cell r="O23">
            <v>805804</v>
          </cell>
        </row>
        <row r="24">
          <cell r="G24" t="str">
            <v xml:space="preserve"> </v>
          </cell>
          <cell r="K24" t="str">
            <v xml:space="preserve"> </v>
          </cell>
          <cell r="O24" t="str">
            <v xml:space="preserve"> </v>
          </cell>
        </row>
        <row r="25">
          <cell r="A25" t="str">
            <v>August</v>
          </cell>
          <cell r="C25">
            <v>31</v>
          </cell>
          <cell r="E25">
            <v>17.2</v>
          </cell>
          <cell r="G25">
            <v>533.19999999999993</v>
          </cell>
          <cell r="I25">
            <v>102.6</v>
          </cell>
          <cell r="K25">
            <v>456021</v>
          </cell>
          <cell r="M25">
            <v>158</v>
          </cell>
          <cell r="O25">
            <v>702254</v>
          </cell>
        </row>
        <row r="26">
          <cell r="G26" t="str">
            <v xml:space="preserve"> </v>
          </cell>
          <cell r="K26" t="str">
            <v xml:space="preserve"> </v>
          </cell>
          <cell r="O26" t="str">
            <v xml:space="preserve"> </v>
          </cell>
        </row>
        <row r="27">
          <cell r="A27" t="str">
            <v>September</v>
          </cell>
          <cell r="C27">
            <v>30</v>
          </cell>
          <cell r="E27">
            <v>20</v>
          </cell>
          <cell r="G27">
            <v>600</v>
          </cell>
          <cell r="I27">
            <v>95.3</v>
          </cell>
          <cell r="K27">
            <v>476641</v>
          </cell>
          <cell r="M27">
            <v>162.19999999999999</v>
          </cell>
          <cell r="O27">
            <v>811240</v>
          </cell>
        </row>
        <row r="28">
          <cell r="G28" t="str">
            <v xml:space="preserve"> </v>
          </cell>
          <cell r="K28" t="str">
            <v xml:space="preserve"> </v>
          </cell>
          <cell r="O28" t="str">
            <v xml:space="preserve"> </v>
          </cell>
        </row>
        <row r="29">
          <cell r="A29" t="str">
            <v>October</v>
          </cell>
          <cell r="C29">
            <v>31</v>
          </cell>
          <cell r="E29">
            <v>16</v>
          </cell>
          <cell r="G29">
            <v>496</v>
          </cell>
          <cell r="I29">
            <v>104.4</v>
          </cell>
          <cell r="K29">
            <v>431648</v>
          </cell>
          <cell r="M29">
            <v>162.19999999999999</v>
          </cell>
          <cell r="O29">
            <v>670625</v>
          </cell>
        </row>
        <row r="30">
          <cell r="G30" t="str">
            <v xml:space="preserve"> </v>
          </cell>
          <cell r="K30" t="str">
            <v xml:space="preserve"> </v>
          </cell>
          <cell r="O30" t="str">
            <v xml:space="preserve"> </v>
          </cell>
        </row>
        <row r="31">
          <cell r="A31" t="str">
            <v>November</v>
          </cell>
          <cell r="C31">
            <v>30</v>
          </cell>
          <cell r="E31">
            <v>18.5</v>
          </cell>
          <cell r="G31">
            <v>555</v>
          </cell>
          <cell r="I31">
            <v>97.5</v>
          </cell>
          <cell r="K31">
            <v>451071</v>
          </cell>
          <cell r="M31">
            <v>158.19999999999999</v>
          </cell>
          <cell r="O31">
            <v>731892</v>
          </cell>
        </row>
        <row r="32">
          <cell r="G32" t="str">
            <v xml:space="preserve"> </v>
          </cell>
          <cell r="K32" t="str">
            <v xml:space="preserve"> </v>
          </cell>
          <cell r="O32" t="str">
            <v xml:space="preserve"> </v>
          </cell>
        </row>
        <row r="33">
          <cell r="A33" t="str">
            <v>December</v>
          </cell>
          <cell r="C33">
            <v>31</v>
          </cell>
          <cell r="E33">
            <v>21.2</v>
          </cell>
          <cell r="G33">
            <v>657.19999999999993</v>
          </cell>
          <cell r="I33">
            <v>81.599999999999994</v>
          </cell>
          <cell r="K33">
            <v>447028</v>
          </cell>
          <cell r="M33">
            <v>115.9</v>
          </cell>
          <cell r="O33">
            <v>634934</v>
          </cell>
        </row>
        <row r="35">
          <cell r="C35">
            <v>365</v>
          </cell>
          <cell r="E35" t="str">
            <v xml:space="preserve"> </v>
          </cell>
          <cell r="G35">
            <v>6593.7</v>
          </cell>
          <cell r="K35">
            <v>5442916</v>
          </cell>
          <cell r="O35">
            <v>8893802</v>
          </cell>
        </row>
        <row r="37">
          <cell r="G37">
            <v>18.064931506849316</v>
          </cell>
          <cell r="I37" t="str">
            <v>MGD</v>
          </cell>
          <cell r="K37">
            <v>99</v>
          </cell>
          <cell r="M37" t="str">
            <v>mg/l</v>
          </cell>
          <cell r="O37">
            <v>162</v>
          </cell>
          <cell r="Q37" t="str">
            <v>mg/l</v>
          </cell>
        </row>
        <row r="39">
          <cell r="G39" t="str">
            <v xml:space="preserve"> </v>
          </cell>
          <cell r="I39" t="str">
            <v xml:space="preserve"> </v>
          </cell>
        </row>
        <row r="46">
          <cell r="A46" t="str">
            <v>(Subject to the comments in the attached letter</v>
          </cell>
        </row>
        <row r="47">
          <cell r="A47" t="str">
            <v>dated June 14, 2004 of  Umbaugh.)</v>
          </cell>
        </row>
        <row r="49">
          <cell r="A49">
            <v>18</v>
          </cell>
        </row>
      </sheetData>
      <sheetData sheetId="23"/>
      <sheetData sheetId="24"/>
      <sheetData sheetId="25"/>
      <sheetData sheetId="26"/>
      <sheetData sheetId="27">
        <row r="1">
          <cell r="A1" t="str">
            <v>MUNCIE SANITARY DISTRICT</v>
          </cell>
        </row>
        <row r="3">
          <cell r="A3" t="str">
            <v>SCHEDULE OF PROJECTED REVENUES - ALTERNATIVE I</v>
          </cell>
        </row>
        <row r="9">
          <cell r="F9" t="str">
            <v>Billed</v>
          </cell>
          <cell r="H9" t="str">
            <v>Final</v>
          </cell>
          <cell r="J9" t="str">
            <v>Final</v>
          </cell>
        </row>
        <row r="10">
          <cell r="F10" t="str">
            <v xml:space="preserve">Flow </v>
          </cell>
          <cell r="H10" t="str">
            <v>Rates</v>
          </cell>
          <cell r="J10" t="str">
            <v>Revenue</v>
          </cell>
        </row>
        <row r="11">
          <cell r="A11" t="str">
            <v>Customer Classes:</v>
          </cell>
          <cell r="F11" t="str">
            <v>(Cubic Feet)</v>
          </cell>
        </row>
        <row r="13">
          <cell r="B13" t="str">
            <v>Residential and commercial</v>
          </cell>
          <cell r="F13">
            <v>276217600</v>
          </cell>
          <cell r="H13">
            <v>2.27</v>
          </cell>
          <cell r="J13">
            <v>6270140</v>
          </cell>
        </row>
        <row r="15">
          <cell r="B15" t="str">
            <v>Industrial</v>
          </cell>
          <cell r="F15">
            <v>23431500</v>
          </cell>
          <cell r="H15">
            <v>1.78</v>
          </cell>
          <cell r="J15">
            <v>417081</v>
          </cell>
        </row>
        <row r="17">
          <cell r="B17" t="str">
            <v>Government/Institutional</v>
          </cell>
          <cell r="F17">
            <v>93774300</v>
          </cell>
          <cell r="H17">
            <v>1.78</v>
          </cell>
          <cell r="J17">
            <v>1669183</v>
          </cell>
        </row>
        <row r="19">
          <cell r="D19" t="str">
            <v>Totals</v>
          </cell>
          <cell r="F19">
            <v>393423400</v>
          </cell>
          <cell r="J19">
            <v>8356404</v>
          </cell>
        </row>
      </sheetData>
      <sheetData sheetId="28"/>
      <sheetData sheetId="29"/>
      <sheetData sheetId="30"/>
      <sheetData sheetId="31"/>
      <sheetData sheetId="32">
        <row r="1">
          <cell r="A1" t="str">
            <v>MUNCIE SANITARY DISTRICT</v>
          </cell>
        </row>
        <row r="3">
          <cell r="A3" t="str">
            <v>COMPARATIVE STATEMENT OF CASH FLOWS</v>
          </cell>
        </row>
        <row r="4">
          <cell r="A4" t="str">
            <v>(Unaudited)</v>
          </cell>
        </row>
        <row r="7">
          <cell r="D7" t="str">
            <v>Calendar Year Ended</v>
          </cell>
          <cell r="F7" t="str">
            <v>Calendar Year Ended</v>
          </cell>
        </row>
        <row r="8">
          <cell r="D8">
            <v>2001</v>
          </cell>
          <cell r="F8">
            <v>2002</v>
          </cell>
          <cell r="H8">
            <v>2003</v>
          </cell>
        </row>
        <row r="9">
          <cell r="A9" t="str">
            <v>Cash flows from operating activities:</v>
          </cell>
          <cell r="H9" t="str">
            <v xml:space="preserve"> </v>
          </cell>
        </row>
        <row r="10">
          <cell r="A10" t="str">
            <v xml:space="preserve">    Cash received from customers</v>
          </cell>
          <cell r="D10" t="e">
            <v>#REF!</v>
          </cell>
          <cell r="F10" t="e">
            <v>#REF!</v>
          </cell>
          <cell r="H10">
            <v>6790422</v>
          </cell>
        </row>
        <row r="11">
          <cell r="A11" t="str">
            <v xml:space="preserve">    Cash paid to suppliers, </v>
          </cell>
        </row>
        <row r="12">
          <cell r="A12" t="str">
            <v xml:space="preserve">     employees and others</v>
          </cell>
          <cell r="D12" t="e">
            <v>#REF!</v>
          </cell>
          <cell r="E12" t="str">
            <v xml:space="preserve"> </v>
          </cell>
          <cell r="F12" t="e">
            <v>#REF!</v>
          </cell>
          <cell r="G12" t="str">
            <v xml:space="preserve"> </v>
          </cell>
          <cell r="H12">
            <v>-6827889</v>
          </cell>
        </row>
        <row r="15">
          <cell r="A15" t="str">
            <v xml:space="preserve">   Net cash from operating activities</v>
          </cell>
          <cell r="D15" t="e">
            <v>#REF!</v>
          </cell>
          <cell r="F15" t="e">
            <v>#REF!</v>
          </cell>
          <cell r="H15">
            <v>-37467</v>
          </cell>
        </row>
        <row r="17">
          <cell r="A17" t="str">
            <v>Cash flows from capital and related financing activities:</v>
          </cell>
          <cell r="D17" t="str">
            <v xml:space="preserve"> </v>
          </cell>
          <cell r="F17" t="str">
            <v xml:space="preserve"> </v>
          </cell>
        </row>
        <row r="18">
          <cell r="A18" t="str">
            <v xml:space="preserve">    Additions to utility plant</v>
          </cell>
          <cell r="D18">
            <v>-105404</v>
          </cell>
          <cell r="F18">
            <v>-2039800</v>
          </cell>
          <cell r="H18">
            <v>106185</v>
          </cell>
        </row>
        <row r="19">
          <cell r="A19" t="str">
            <v xml:space="preserve">    Disbursements from contributions</v>
          </cell>
          <cell r="D19">
            <v>0</v>
          </cell>
          <cell r="F19">
            <v>-984294</v>
          </cell>
          <cell r="H19">
            <v>4523</v>
          </cell>
        </row>
        <row r="20">
          <cell r="A20" t="str">
            <v xml:space="preserve">    Net proceeds from SRF Loans</v>
          </cell>
          <cell r="F20">
            <v>2296747</v>
          </cell>
          <cell r="H20">
            <v>-1011141</v>
          </cell>
        </row>
        <row r="23">
          <cell r="A23" t="str">
            <v xml:space="preserve">  Net cash from capital financing activities</v>
          </cell>
          <cell r="D23">
            <v>-105404</v>
          </cell>
          <cell r="F23">
            <v>-727347</v>
          </cell>
          <cell r="H23">
            <v>110708</v>
          </cell>
        </row>
        <row r="25">
          <cell r="A25" t="str">
            <v>Cash flows from investing activities:</v>
          </cell>
        </row>
        <row r="26">
          <cell r="A26" t="str">
            <v xml:space="preserve">  Interest income</v>
          </cell>
          <cell r="D26">
            <v>181622</v>
          </cell>
          <cell r="F26" t="e">
            <v>#REF!</v>
          </cell>
          <cell r="H26">
            <v>36281</v>
          </cell>
        </row>
        <row r="27">
          <cell r="A27" t="str">
            <v xml:space="preserve">    Increase </v>
          </cell>
          <cell r="D27" t="e">
            <v>#REF!</v>
          </cell>
          <cell r="F27" t="e">
            <v>#REF!</v>
          </cell>
          <cell r="H27">
            <v>109522</v>
          </cell>
        </row>
        <row r="28">
          <cell r="A28" t="str">
            <v xml:space="preserve">    Beginning Balance</v>
          </cell>
          <cell r="D28">
            <v>2748648</v>
          </cell>
          <cell r="F28">
            <v>5225615</v>
          </cell>
          <cell r="H28" t="e">
            <v>#REF!</v>
          </cell>
        </row>
        <row r="30">
          <cell r="A30" t="str">
            <v xml:space="preserve">    Ending Balance</v>
          </cell>
          <cell r="D30" t="e">
            <v>#REF!</v>
          </cell>
          <cell r="F30" t="e">
            <v>#REF!</v>
          </cell>
          <cell r="H30" t="e">
            <v>#REF!</v>
          </cell>
        </row>
        <row r="32">
          <cell r="D32" t="str">
            <v xml:space="preserve"> </v>
          </cell>
          <cell r="F32" t="str">
            <v xml:space="preserve"> </v>
          </cell>
          <cell r="H32" t="str">
            <v xml:space="preserve"> </v>
          </cell>
        </row>
        <row r="39">
          <cell r="A39" t="str">
            <v>(Continued on next page)</v>
          </cell>
        </row>
        <row r="41">
          <cell r="A41" t="str">
            <v>(Subject to the comments in the attached letter</v>
          </cell>
        </row>
        <row r="42">
          <cell r="A42" t="str">
            <v>dated June 14, 2004 of  Umbaugh.)</v>
          </cell>
        </row>
        <row r="44">
          <cell r="A44">
            <v>20</v>
          </cell>
        </row>
        <row r="45">
          <cell r="A45" t="str">
            <v>MUNCIE SANITARY DISTRICT</v>
          </cell>
        </row>
        <row r="46">
          <cell r="H46" t="str">
            <v>(Cont'd)</v>
          </cell>
        </row>
        <row r="47">
          <cell r="A47" t="str">
            <v>COMPARATIVE STATEMENT OF CASH FLOWS</v>
          </cell>
        </row>
        <row r="48">
          <cell r="A48" t="str">
            <v>(Unaudited)</v>
          </cell>
        </row>
        <row r="51">
          <cell r="D51" t="str">
            <v>Calendar Year Ended</v>
          </cell>
          <cell r="F51" t="str">
            <v>Calendar Year Ended</v>
          </cell>
        </row>
        <row r="52">
          <cell r="D52">
            <v>2001</v>
          </cell>
          <cell r="F52">
            <v>2002</v>
          </cell>
          <cell r="H52">
            <v>2003</v>
          </cell>
        </row>
        <row r="53">
          <cell r="A53" t="str">
            <v xml:space="preserve">Reconciliation of net income to </v>
          </cell>
        </row>
        <row r="54">
          <cell r="A54" t="str">
            <v xml:space="preserve">  cash provided from operations:</v>
          </cell>
        </row>
        <row r="56">
          <cell r="A56" t="str">
            <v xml:space="preserve">    Net Operating Revenues</v>
          </cell>
          <cell r="D56" t="e">
            <v>#REF!</v>
          </cell>
          <cell r="F56" t="e">
            <v>#REF!</v>
          </cell>
          <cell r="H56">
            <v>-1598068</v>
          </cell>
        </row>
        <row r="58">
          <cell r="A58" t="str">
            <v xml:space="preserve">Adjustments to reconcile net income </v>
          </cell>
        </row>
        <row r="59">
          <cell r="A59" t="str">
            <v xml:space="preserve">  to net cash provided from</v>
          </cell>
        </row>
        <row r="60">
          <cell r="A60" t="str">
            <v xml:space="preserve">  operating activities:</v>
          </cell>
        </row>
        <row r="62">
          <cell r="A62" t="str">
            <v xml:space="preserve">  Depreciation expense</v>
          </cell>
          <cell r="D62" t="e">
            <v>#REF!</v>
          </cell>
          <cell r="F62" t="e">
            <v>#REF!</v>
          </cell>
          <cell r="H62">
            <v>1699493</v>
          </cell>
        </row>
        <row r="64">
          <cell r="A64" t="str">
            <v>Change in assets and liabilities:</v>
          </cell>
        </row>
        <row r="65">
          <cell r="A65" t="str">
            <v xml:space="preserve">  Decrease (Increase) in</v>
          </cell>
        </row>
        <row r="66">
          <cell r="A66" t="str">
            <v xml:space="preserve">    accounts receivable</v>
          </cell>
          <cell r="D66">
            <v>222979</v>
          </cell>
          <cell r="F66">
            <v>-45227</v>
          </cell>
          <cell r="H66">
            <v>-138892</v>
          </cell>
        </row>
        <row r="67">
          <cell r="A67" t="str">
            <v xml:space="preserve">    prepaid expenses</v>
          </cell>
          <cell r="D67">
            <v>-201</v>
          </cell>
          <cell r="F67">
            <v>4167</v>
          </cell>
          <cell r="H67">
            <v>0</v>
          </cell>
        </row>
        <row r="69">
          <cell r="A69" t="str">
            <v xml:space="preserve">  Increase (Decrease) in</v>
          </cell>
        </row>
        <row r="70">
          <cell r="A70" t="str">
            <v xml:space="preserve">    accounts payable</v>
          </cell>
          <cell r="D70">
            <v>-23583</v>
          </cell>
          <cell r="F70">
            <v>-75880</v>
          </cell>
          <cell r="H70">
            <v>0</v>
          </cell>
        </row>
        <row r="71">
          <cell r="A71" t="str">
            <v xml:space="preserve">    accrued wages payable</v>
          </cell>
          <cell r="D71">
            <v>16299</v>
          </cell>
          <cell r="F71">
            <v>870</v>
          </cell>
          <cell r="H71">
            <v>0</v>
          </cell>
        </row>
        <row r="72">
          <cell r="A72" t="str">
            <v xml:space="preserve">    contracts payable</v>
          </cell>
          <cell r="F72">
            <v>-325582</v>
          </cell>
          <cell r="H72">
            <v>0</v>
          </cell>
        </row>
        <row r="73">
          <cell r="A73" t="str">
            <v xml:space="preserve">    compensated absences</v>
          </cell>
          <cell r="F73">
            <v>87433</v>
          </cell>
          <cell r="H73">
            <v>0</v>
          </cell>
        </row>
        <row r="74">
          <cell r="A74" t="str">
            <v xml:space="preserve">    Adjustment</v>
          </cell>
        </row>
        <row r="76">
          <cell r="A76" t="str">
            <v xml:space="preserve">    Net Cash Provided from </v>
          </cell>
        </row>
        <row r="77">
          <cell r="A77" t="str">
            <v xml:space="preserve">     Operations</v>
          </cell>
          <cell r="D77" t="e">
            <v>#REF!</v>
          </cell>
          <cell r="F77" t="e">
            <v>#REF!</v>
          </cell>
          <cell r="H77">
            <v>-37467</v>
          </cell>
        </row>
        <row r="89">
          <cell r="A89" t="str">
            <v>(Subject to the comments in the attached letter</v>
          </cell>
        </row>
        <row r="90">
          <cell r="A90" t="str">
            <v>dated June 14, 2004 of  Umbaugh.)</v>
          </cell>
        </row>
        <row r="92">
          <cell r="A92">
            <v>20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">
          <cell r="A1" t="str">
            <v>MUNCIE SANITARY DISTRICT</v>
          </cell>
        </row>
        <row r="3">
          <cell r="A3" t="str">
            <v>PROJECTED OPERATING REVENUES, OPERATION AND MAINTENANCE</v>
          </cell>
        </row>
        <row r="4">
          <cell r="A4" t="str">
            <v>EXPENSES, NON-OPERATING REVENUES AND DEBT SERVICE COVERAGE</v>
          </cell>
        </row>
        <row r="5">
          <cell r="A5" t="str">
            <v>Rounded to the nearest $100</v>
          </cell>
        </row>
        <row r="8">
          <cell r="E8" t="str">
            <v>Calendar Years</v>
          </cell>
        </row>
        <row r="9">
          <cell r="E9" t="str">
            <v>2000 *</v>
          </cell>
          <cell r="G9" t="str">
            <v>2001</v>
          </cell>
          <cell r="I9" t="str">
            <v>2002 **</v>
          </cell>
          <cell r="K9" t="str">
            <v>2003</v>
          </cell>
        </row>
        <row r="10">
          <cell r="A10" t="str">
            <v>Operating Revenues:</v>
          </cell>
        </row>
        <row r="11">
          <cell r="B11" t="str">
            <v>Collections-residential and commercial</v>
          </cell>
          <cell r="E11" t="e">
            <v>#REF!</v>
          </cell>
          <cell r="G11" t="e">
            <v>#REF!</v>
          </cell>
          <cell r="I11" t="e">
            <v>#REF!</v>
          </cell>
          <cell r="K11">
            <v>6270139.5199999996</v>
          </cell>
        </row>
        <row r="12">
          <cell r="B12" t="str">
            <v>Collections-industrial</v>
          </cell>
          <cell r="E12" t="e">
            <v>#REF!</v>
          </cell>
          <cell r="G12" t="e">
            <v>#REF!</v>
          </cell>
          <cell r="I12" t="e">
            <v>#REF!</v>
          </cell>
          <cell r="K12">
            <v>417080.7</v>
          </cell>
        </row>
        <row r="13">
          <cell r="B13" t="str">
            <v>Collections-government and institutional</v>
          </cell>
          <cell r="E13" t="e">
            <v>#REF!</v>
          </cell>
          <cell r="G13" t="e">
            <v>#REF!</v>
          </cell>
          <cell r="I13" t="e">
            <v>#REF!</v>
          </cell>
          <cell r="K13">
            <v>1669182.54</v>
          </cell>
        </row>
        <row r="14">
          <cell r="B14" t="str">
            <v>Penalties</v>
          </cell>
          <cell r="E14" t="e">
            <v>#REF!</v>
          </cell>
          <cell r="G14" t="e">
            <v>#REF!</v>
          </cell>
          <cell r="I14" t="e">
            <v>#REF!</v>
          </cell>
          <cell r="K14" t="e">
            <v>#REF!</v>
          </cell>
        </row>
        <row r="15">
          <cell r="B15" t="str">
            <v>Other</v>
          </cell>
          <cell r="E15" t="e">
            <v>#REF!</v>
          </cell>
          <cell r="G15" t="e">
            <v>#REF!</v>
          </cell>
          <cell r="I15" t="e">
            <v>#REF!</v>
          </cell>
          <cell r="K15" t="e">
            <v>#REF!</v>
          </cell>
        </row>
        <row r="17">
          <cell r="C17" t="str">
            <v>Total Operating Revenue</v>
          </cell>
          <cell r="E17" t="e">
            <v>#REF!</v>
          </cell>
          <cell r="G17" t="e">
            <v>#REF!</v>
          </cell>
          <cell r="I17" t="e">
            <v>#REF!</v>
          </cell>
          <cell r="K17" t="e">
            <v>#REF!</v>
          </cell>
        </row>
        <row r="19">
          <cell r="A19" t="str">
            <v>Operating Expenses:</v>
          </cell>
        </row>
        <row r="20">
          <cell r="B20" t="str">
            <v>Operating and maintenance expenses</v>
          </cell>
          <cell r="E20" t="e">
            <v>#REF!</v>
          </cell>
          <cell r="G20" t="e">
            <v>#REF!</v>
          </cell>
          <cell r="I20" t="e">
            <v>#REF!</v>
          </cell>
          <cell r="K20" t="e">
            <v>#REF!</v>
          </cell>
        </row>
        <row r="22">
          <cell r="A22" t="str">
            <v>Net revenues</v>
          </cell>
          <cell r="E22" t="e">
            <v>#REF!</v>
          </cell>
          <cell r="G22" t="e">
            <v>#REF!</v>
          </cell>
          <cell r="I22" t="e">
            <v>#REF!</v>
          </cell>
          <cell r="K22" t="e">
            <v>#REF!</v>
          </cell>
        </row>
        <row r="23">
          <cell r="A23" t="str">
            <v>Interest income</v>
          </cell>
          <cell r="E23" t="e">
            <v>#REF!</v>
          </cell>
          <cell r="G23" t="e">
            <v>#REF!</v>
          </cell>
          <cell r="I23" t="e">
            <v>#REF!</v>
          </cell>
          <cell r="K23" t="e">
            <v>#REF!</v>
          </cell>
        </row>
        <row r="25">
          <cell r="A25" t="str">
            <v>Net Revenues Available for</v>
          </cell>
        </row>
        <row r="26">
          <cell r="A26" t="str">
            <v xml:space="preserve">  Debt Service</v>
          </cell>
          <cell r="E26" t="e">
            <v>#REF!</v>
          </cell>
          <cell r="G26" t="e">
            <v>#REF!</v>
          </cell>
          <cell r="I26" t="e">
            <v>#REF!</v>
          </cell>
          <cell r="K26" t="e">
            <v>#REF!</v>
          </cell>
        </row>
        <row r="29">
          <cell r="A29" t="str">
            <v>Debt Service Payments</v>
          </cell>
          <cell r="E29">
            <v>0</v>
          </cell>
          <cell r="G29">
            <v>0</v>
          </cell>
          <cell r="I29">
            <v>514750</v>
          </cell>
          <cell r="K29">
            <v>1021885</v>
          </cell>
        </row>
        <row r="31">
          <cell r="A31" t="str">
            <v>Debt Service Coverage</v>
          </cell>
          <cell r="I31" t="e">
            <v>#REF!</v>
          </cell>
          <cell r="K31" t="e">
            <v>#REF!</v>
          </cell>
        </row>
        <row r="35">
          <cell r="A35" t="str">
            <v>Debt service coverage for the year 2003 based on the maximum year debt service of $1,030,525</v>
          </cell>
        </row>
        <row r="36">
          <cell r="A36" t="str">
            <v xml:space="preserve">  is estimated at 142%.</v>
          </cell>
        </row>
        <row r="38">
          <cell r="A38" t="str">
            <v>*</v>
          </cell>
          <cell r="B38" t="str">
            <v xml:space="preserve">Assumes proposed interim rate increase becomes effective July 1, 2000. Assumes additional sales </v>
          </cell>
        </row>
        <row r="39">
          <cell r="B39" t="str">
            <v>from Delaware County RWD Royerton Area not received until 2001.</v>
          </cell>
        </row>
        <row r="40">
          <cell r="A40" t="str">
            <v>**</v>
          </cell>
          <cell r="B40" t="str">
            <v>Assumes proposed final rate increase becomes effective July 1, 2002.</v>
          </cell>
        </row>
        <row r="44">
          <cell r="A44" t="str">
            <v>(The Accountant's Compilation Report and the summary</v>
          </cell>
        </row>
        <row r="45">
          <cell r="A45" t="str">
            <v>of significant accounting policies and assumptions</v>
          </cell>
        </row>
        <row r="46">
          <cell r="A46" t="str">
            <v>are an integral part of this statement.)</v>
          </cell>
        </row>
        <row r="48">
          <cell r="A48" t="str">
            <v>-2-</v>
          </cell>
        </row>
      </sheetData>
      <sheetData sheetId="43">
        <row r="1">
          <cell r="A1" t="str">
            <v>MUNCIE SANITARY DISTRICT</v>
          </cell>
        </row>
        <row r="4">
          <cell r="A4" t="str">
            <v>RATE COMPONENTS</v>
          </cell>
        </row>
        <row r="8">
          <cell r="A8" t="str">
            <v>INTERIM RATES</v>
          </cell>
        </row>
        <row r="10">
          <cell r="B10" t="str">
            <v>Treatment Plant</v>
          </cell>
        </row>
        <row r="11">
          <cell r="B11" t="str">
            <v>Sewer &amp; Water</v>
          </cell>
        </row>
        <row r="12">
          <cell r="B12" t="str">
            <v>Quality</v>
          </cell>
          <cell r="D12" t="str">
            <v>Billing</v>
          </cell>
          <cell r="F12" t="str">
            <v>Debt Service</v>
          </cell>
        </row>
        <row r="13">
          <cell r="A13" t="str">
            <v>CustomerClass</v>
          </cell>
          <cell r="B13" t="str">
            <v>Charge</v>
          </cell>
          <cell r="D13" t="str">
            <v>Charge</v>
          </cell>
          <cell r="F13" t="str">
            <v>Charge</v>
          </cell>
          <cell r="H13" t="str">
            <v>Total</v>
          </cell>
        </row>
        <row r="16">
          <cell r="B16" t="str">
            <v>Rate Per 100 Cubic Feet</v>
          </cell>
        </row>
        <row r="19">
          <cell r="A19" t="str">
            <v>Residential &amp;</v>
          </cell>
        </row>
        <row r="20">
          <cell r="A20" t="str">
            <v>Commercial</v>
          </cell>
          <cell r="B20">
            <v>1.82</v>
          </cell>
          <cell r="D20">
            <v>0.17</v>
          </cell>
          <cell r="F20">
            <v>0.28000000000000003</v>
          </cell>
          <cell r="H20">
            <v>2.27</v>
          </cell>
        </row>
        <row r="22">
          <cell r="A22" t="str">
            <v>Institutional,</v>
          </cell>
        </row>
        <row r="23">
          <cell r="A23" t="str">
            <v>Governmental &amp;</v>
          </cell>
        </row>
        <row r="24">
          <cell r="A24" t="str">
            <v>Industrial</v>
          </cell>
          <cell r="B24">
            <v>1.54</v>
          </cell>
          <cell r="D24">
            <v>0.01</v>
          </cell>
          <cell r="F24">
            <v>0.23</v>
          </cell>
          <cell r="H24">
            <v>1.78</v>
          </cell>
        </row>
        <row r="29">
          <cell r="A29" t="str">
            <v>FINAL RATES</v>
          </cell>
        </row>
        <row r="31">
          <cell r="B31" t="str">
            <v>Rate Per 100 Cubic Feet</v>
          </cell>
        </row>
        <row r="34">
          <cell r="B34" t="str">
            <v>Treatment Plant</v>
          </cell>
        </row>
        <row r="35">
          <cell r="B35" t="str">
            <v>Sewer &amp; Water</v>
          </cell>
        </row>
        <row r="36">
          <cell r="B36" t="str">
            <v>Quality</v>
          </cell>
          <cell r="D36" t="str">
            <v>Billing</v>
          </cell>
          <cell r="F36" t="str">
            <v>Debt Service</v>
          </cell>
        </row>
        <row r="37">
          <cell r="A37" t="str">
            <v>CustomerClass</v>
          </cell>
          <cell r="B37" t="str">
            <v>Charge</v>
          </cell>
          <cell r="D37" t="str">
            <v>Charge</v>
          </cell>
          <cell r="F37" t="str">
            <v>Charge</v>
          </cell>
          <cell r="H37" t="str">
            <v>Total</v>
          </cell>
        </row>
        <row r="43">
          <cell r="A43" t="str">
            <v>Residential &amp;</v>
          </cell>
        </row>
        <row r="44">
          <cell r="A44" t="str">
            <v>Commercial</v>
          </cell>
          <cell r="B44">
            <v>1.82</v>
          </cell>
          <cell r="D44">
            <v>0.17</v>
          </cell>
          <cell r="F44">
            <v>0.15</v>
          </cell>
          <cell r="H44">
            <v>2.14</v>
          </cell>
        </row>
        <row r="46">
          <cell r="A46" t="str">
            <v>Institutional,</v>
          </cell>
        </row>
        <row r="47">
          <cell r="A47" t="str">
            <v>Governmental &amp;</v>
          </cell>
        </row>
        <row r="48">
          <cell r="A48" t="str">
            <v>Industrial</v>
          </cell>
          <cell r="B48">
            <v>1.54</v>
          </cell>
          <cell r="D48">
            <v>0.01</v>
          </cell>
          <cell r="F48">
            <v>0.03</v>
          </cell>
          <cell r="H48">
            <v>1.58</v>
          </cell>
        </row>
      </sheetData>
      <sheetData sheetId="44"/>
      <sheetData sheetId="45" refreshError="1"/>
      <sheetData sheetId="4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A"/>
      <sheetName val="Sheet1"/>
      <sheetName val="Sheet2"/>
      <sheetName val="Sheet3"/>
      <sheetName val="Allocation"/>
      <sheetName val="cashflow"/>
      <sheetName val="component"/>
      <sheetName val="customer"/>
      <sheetName val="Projection"/>
      <sheetName val="revenue"/>
      <sheetName val="Revenue Rqmt"/>
      <sheetName val="Surcharge"/>
      <sheetName val="UNITS"/>
      <sheetName val="wwt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 Dis 2002"/>
      <sheetName val="Det Rec 2002"/>
      <sheetName val="WTB 063002"/>
      <sheetName val="WTB 063001"/>
      <sheetName val="WTB 01"/>
      <sheetName val="WTB 00"/>
      <sheetName val="6302003WTB"/>
      <sheetName val="Info"/>
      <sheetName val="CIB WP"/>
      <sheetName val="3312003WTB"/>
      <sheetName val="9302003WTB"/>
      <sheetName val="12 31 03 WTB"/>
      <sheetName val="12312003WTB OLD"/>
      <sheetName val="SelFinInfo"/>
      <sheetName val="RecDis"/>
      <sheetName val="Det Op Disb"/>
      <sheetName val="Rev Budget"/>
      <sheetName val="Disb Budget"/>
      <sheetName val="DS Budget"/>
      <sheetName val="CIB"/>
      <sheetName val="MinBal"/>
      <sheetName val="Rates"/>
      <sheetName val="Transfers"/>
      <sheetName val="RevReq"/>
      <sheetName val="Bill Analysis"/>
      <sheetName val="1997"/>
      <sheetName val="2000A"/>
      <sheetName val="2000B"/>
      <sheetName val="2001"/>
      <sheetName val="Combin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STAT"/>
      <sheetName val="SREVS"/>
      <sheetName val="DOME"/>
      <sheetName val="SCF"/>
      <sheetName val="UPIS"/>
      <sheetName val="AMORT"/>
      <sheetName val="MIN RESERVE"/>
      <sheetName val="GALLONS"/>
      <sheetName val="BDCOVER"/>
      <sheetName val="RATES"/>
      <sheetName val="WW TRE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LINTON MUNICIPAL WATER UTILITY</v>
          </cell>
        </row>
        <row r="3">
          <cell r="A3" t="str">
            <v>COMPARISON OF ACCOUNT BALANCES WITH MINIMUM RESERVE REQUIREMENTS</v>
          </cell>
        </row>
        <row r="4">
          <cell r="A4" t="str">
            <v>AT DECEMBER 31, 2003</v>
          </cell>
        </row>
        <row r="8">
          <cell r="B8" t="str">
            <v>BALANCE</v>
          </cell>
          <cell r="D8" t="str">
            <v>MINIMUM</v>
          </cell>
          <cell r="H8" t="str">
            <v>AVAILABLE</v>
          </cell>
        </row>
        <row r="9">
          <cell r="B9" t="str">
            <v>AT</v>
          </cell>
          <cell r="D9" t="str">
            <v>RESERVE</v>
          </cell>
          <cell r="H9" t="str">
            <v>FOR</v>
          </cell>
        </row>
        <row r="10">
          <cell r="B10">
            <v>37986</v>
          </cell>
          <cell r="D10" t="str">
            <v>REQUIRED (1)</v>
          </cell>
          <cell r="H10" t="str">
            <v>TRANSFER</v>
          </cell>
        </row>
        <row r="13">
          <cell r="A13" t="str">
            <v>OPERATION AND MAINTENANCE FUND</v>
          </cell>
          <cell r="B13">
            <v>37025</v>
          </cell>
          <cell r="D13">
            <v>85367</v>
          </cell>
          <cell r="F13">
            <v>-2</v>
          </cell>
          <cell r="H13">
            <v>-48342</v>
          </cell>
        </row>
        <row r="15">
          <cell r="A15" t="str">
            <v>DEPRECIATION CASH AND CASH EQUIVALENTS</v>
          </cell>
          <cell r="B15">
            <v>20651</v>
          </cell>
          <cell r="F15">
            <v>-3</v>
          </cell>
          <cell r="H15">
            <v>20651</v>
          </cell>
        </row>
        <row r="17">
          <cell r="A17" t="str">
            <v>BOND AND INTEREST CASH AND EQUIVALENTS</v>
          </cell>
          <cell r="B17">
            <v>257960</v>
          </cell>
          <cell r="D17">
            <v>153346</v>
          </cell>
          <cell r="F17">
            <v>-4</v>
          </cell>
          <cell r="H17">
            <v>104614</v>
          </cell>
        </row>
        <row r="19">
          <cell r="A19" t="str">
            <v>RESERVE FUND CASH AND CASH EQUIVALENTS</v>
          </cell>
          <cell r="B19">
            <v>223926</v>
          </cell>
          <cell r="D19">
            <v>177548</v>
          </cell>
          <cell r="F19">
            <v>-5</v>
          </cell>
          <cell r="H19">
            <v>46378</v>
          </cell>
        </row>
        <row r="21">
          <cell r="A21" t="str">
            <v>CUSTOMER DEPOSITS CASH AND CASH EQUIVALENTS</v>
          </cell>
          <cell r="B21">
            <v>21683</v>
          </cell>
          <cell r="D21">
            <v>0</v>
          </cell>
          <cell r="F21">
            <v>-6</v>
          </cell>
          <cell r="H21">
            <v>21683</v>
          </cell>
        </row>
        <row r="24">
          <cell r="A24" t="str">
            <v>TOTALS</v>
          </cell>
          <cell r="B24">
            <v>561245</v>
          </cell>
          <cell r="D24">
            <v>416261</v>
          </cell>
          <cell r="H24">
            <v>144984</v>
          </cell>
        </row>
        <row r="31">
          <cell r="A31" t="str">
            <v>(1)  MINIMUM RESERVE REQUIRED BEFORE NON-REQUIRED TRANSFERS CAN BE MADE</v>
          </cell>
        </row>
        <row r="32">
          <cell r="A32" t="str">
            <v xml:space="preserve">      PURSUANT TO REVENUE BOND ORDINANCE NO. 99-11, DATED DECEMBER 13, 1999.</v>
          </cell>
        </row>
        <row r="34">
          <cell r="A34" t="str">
            <v>(2)  AN AMOUNT EQUAL TO TWO MONTHS CASH OPERATING EXPENSES.</v>
          </cell>
        </row>
        <row r="36">
          <cell r="A36" t="str">
            <v>(3)  ANY EXCESS REVENUES TO BE USED FOR IMPROVEMENTS, REPLACEMENTS, ADDITIONS</v>
          </cell>
        </row>
        <row r="37">
          <cell r="A37" t="str">
            <v xml:space="preserve">       AND EXTENSIONS OF THE SEWAGE WORKS.  NO RESTRICTIONS ON TRANSFERS WHEN</v>
          </cell>
        </row>
        <row r="38">
          <cell r="A38" t="str">
            <v xml:space="preserve">       NECESSARY.</v>
          </cell>
        </row>
        <row r="40">
          <cell r="A40" t="str">
            <v>(4)  AMOUNT EQUAL TO THE NEXT TWELVE MONTHS PRINCIPAL AND NEXT SIX MONTHS</v>
          </cell>
        </row>
        <row r="41">
          <cell r="A41" t="str">
            <v xml:space="preserve">       INTEREST.</v>
          </cell>
        </row>
        <row r="43">
          <cell r="A43" t="str">
            <v>(5)  AN AMOUNT THAT EQUALS, BUT DOES NOT EXCEED THE LESSOR OF :</v>
          </cell>
        </row>
        <row r="44">
          <cell r="A44" t="str">
            <v xml:space="preserve">       </v>
          </cell>
        </row>
        <row r="45">
          <cell r="A45" t="str">
            <v xml:space="preserve">             A.  THE MAXIMUM ANNUAL DEBT SERVICE ON THE REFUNDING BONDS.</v>
          </cell>
        </row>
        <row r="46">
          <cell r="A46" t="str">
            <v xml:space="preserve">             B.  125% OF THE AVERAGE ANNUAL DEBT SERVICE.</v>
          </cell>
        </row>
        <row r="47">
          <cell r="A47" t="str">
            <v xml:space="preserve">             C.  10% OF THE PROCEEDS OF THE REFUNDING BONDS.</v>
          </cell>
        </row>
        <row r="49">
          <cell r="A49" t="str">
            <v xml:space="preserve">             SUCH AMOUNTS WILL BE SUFFICIENT TO FULLY FUND THE DEBT SERVICE RESERVE ACCOUNT WITHIN </v>
          </cell>
        </row>
        <row r="50">
          <cell r="A50" t="str">
            <v xml:space="preserve">             FIVE YEARS OF THE DATE OF DELIVERY OF THE BONDS.</v>
          </cell>
        </row>
        <row r="52">
          <cell r="A52" t="str">
            <v>(6)  NO PROVISION FOR TRANSFERS.</v>
          </cell>
        </row>
        <row r="55">
          <cell r="A55" t="str">
            <v>SEE ACCOUNTANT'S COMPILATION REPORT AND NOTES TO FINANCIAL STATEMENTS.</v>
          </cell>
        </row>
        <row r="56">
          <cell r="A56" t="str">
            <v>-14-</v>
          </cell>
        </row>
      </sheetData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Balance2008"/>
      <sheetName val="Investments2004-2008"/>
      <sheetName val="IncompleteProjects08"/>
      <sheetName val="Sheet4"/>
      <sheetName val="CashBalance2007"/>
      <sheetName val="IncompleteProjects07"/>
      <sheetName val="2007 Costs"/>
      <sheetName val="Completed Projects06"/>
      <sheetName val="02-06 Costs (2)"/>
      <sheetName val="CashBalance07"/>
      <sheetName val="02-06 Costs"/>
      <sheetName val="Sheet1"/>
      <sheetName val="Sheet2"/>
      <sheetName val="Sheet3"/>
      <sheetName val="TOTAL COSTS02-06"/>
      <sheetName val="2006Costs"/>
      <sheetName val="CashBalance06"/>
      <sheetName val="BONDISSUE"/>
      <sheetName val="BOND receipts04"/>
      <sheetName val="CashBalance05"/>
      <sheetName val="TOTAL COSTS02-05"/>
      <sheetName val="2005COSTS"/>
      <sheetName val="TOTAL COSTS02-04"/>
      <sheetName val="2004COSTS"/>
      <sheetName val="02-04COSTS "/>
      <sheetName val="EA2"/>
      <sheetName val="HNTB"/>
      <sheetName val="KAHN"/>
      <sheetName val="bowen"/>
      <sheetName val="DEIG"/>
      <sheetName val="PUMP1"/>
      <sheetName val="PUMP2"/>
      <sheetName val="EA21"/>
      <sheetName val="MATTHEWS"/>
      <sheetName val="Pilot Study"/>
      <sheetName val="Water Line Projects"/>
      <sheetName val="Investments"/>
      <sheetName val="I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s"/>
      <sheetName val="Sewer Pivot"/>
      <sheetName val="Sewer Budget"/>
      <sheetName val="Water Pivot"/>
      <sheetName val="Water Budget"/>
    </sheetNames>
    <sheetDataSet>
      <sheetData sheetId="0" refreshError="1">
        <row r="3">
          <cell r="A3" t="str">
            <v>Level 1</v>
          </cell>
          <cell r="B3" t="str">
            <v>Theme</v>
          </cell>
          <cell r="C3" t="str">
            <v>Category</v>
          </cell>
          <cell r="E3" t="str">
            <v>GL Type</v>
          </cell>
          <cell r="F3" t="str">
            <v>Level 2 Descrip</v>
          </cell>
          <cell r="G3" t="str">
            <v>Include</v>
          </cell>
          <cell r="H3" t="str">
            <v>GL Description</v>
          </cell>
          <cell r="J3" t="str">
            <v>GL Type</v>
          </cell>
          <cell r="K3" t="str">
            <v>Level 2 Descrip</v>
          </cell>
          <cell r="L3" t="str">
            <v>Include</v>
          </cell>
          <cell r="M3" t="str">
            <v>GL Description</v>
          </cell>
        </row>
        <row r="4">
          <cell r="A4">
            <v>33</v>
          </cell>
          <cell r="B4" t="str">
            <v>Revenue</v>
          </cell>
          <cell r="C4" t="str">
            <v>Revenue</v>
          </cell>
          <cell r="E4">
            <v>338010</v>
          </cell>
          <cell r="F4" t="str">
            <v>Revenue - Water Sales</v>
          </cell>
          <cell r="G4" t="str">
            <v>Y</v>
          </cell>
          <cell r="H4" t="str">
            <v xml:space="preserve">WATER SALES                                    </v>
          </cell>
          <cell r="J4">
            <v>344010</v>
          </cell>
          <cell r="K4" t="str">
            <v xml:space="preserve">Revenue - Residential </v>
          </cell>
          <cell r="L4" t="str">
            <v>Y</v>
          </cell>
          <cell r="M4" t="str">
            <v>SEWAGE FEES RESIDENTIAL</v>
          </cell>
        </row>
        <row r="5">
          <cell r="A5">
            <v>34</v>
          </cell>
          <cell r="B5" t="str">
            <v>Revenue</v>
          </cell>
          <cell r="C5" t="str">
            <v>Revenue</v>
          </cell>
          <cell r="E5">
            <v>338024</v>
          </cell>
          <cell r="F5" t="str">
            <v>Revenue - GIS</v>
          </cell>
          <cell r="G5" t="str">
            <v>Y</v>
          </cell>
          <cell r="H5" t="str">
            <v xml:space="preserve">COUNTY SHARE OF GIS                                       </v>
          </cell>
          <cell r="J5">
            <v>344011</v>
          </cell>
          <cell r="K5" t="str">
            <v>Revenue - Industrial</v>
          </cell>
          <cell r="L5" t="str">
            <v>Y</v>
          </cell>
          <cell r="M5" t="str">
            <v>SEWAGE FEES INDUSTRIAL</v>
          </cell>
        </row>
        <row r="6">
          <cell r="A6">
            <v>35</v>
          </cell>
          <cell r="B6" t="str">
            <v>Revenue</v>
          </cell>
          <cell r="C6" t="str">
            <v>Revenue</v>
          </cell>
          <cell r="E6">
            <v>346011</v>
          </cell>
          <cell r="F6" t="str">
            <v>Revenue - Residential</v>
          </cell>
          <cell r="G6" t="str">
            <v>Y</v>
          </cell>
          <cell r="H6" t="str">
            <v xml:space="preserve">RESIDENTIAL WATER SALES                                   </v>
          </cell>
          <cell r="J6">
            <v>344012</v>
          </cell>
          <cell r="K6" t="str">
            <v>Revenue - Delinquent</v>
          </cell>
          <cell r="L6" t="str">
            <v>Y</v>
          </cell>
          <cell r="M6" t="str">
            <v>SEWER DELINQUENT CHARGE</v>
          </cell>
        </row>
        <row r="7">
          <cell r="A7">
            <v>36</v>
          </cell>
          <cell r="B7" t="str">
            <v>Revenue</v>
          </cell>
          <cell r="C7" t="str">
            <v>Revenue</v>
          </cell>
          <cell r="E7">
            <v>346012</v>
          </cell>
          <cell r="F7" t="str">
            <v>Revenue - Water Deposits</v>
          </cell>
          <cell r="G7" t="str">
            <v>Y</v>
          </cell>
          <cell r="H7" t="str">
            <v xml:space="preserve">WATER DEPOSIT REVENUE         </v>
          </cell>
          <cell r="J7">
            <v>344013</v>
          </cell>
          <cell r="K7" t="str">
            <v>Revenue - Public Authority</v>
          </cell>
          <cell r="L7" t="str">
            <v>Y</v>
          </cell>
          <cell r="M7" t="str">
            <v xml:space="preserve">SEWAGE FEES PUBLIC AUTHORITY  </v>
          </cell>
        </row>
        <row r="8">
          <cell r="A8">
            <v>39</v>
          </cell>
          <cell r="B8" t="str">
            <v>Revenue</v>
          </cell>
          <cell r="C8" t="str">
            <v>Revenue</v>
          </cell>
          <cell r="E8">
            <v>346013</v>
          </cell>
          <cell r="F8" t="str">
            <v>Revenue - Commercial</v>
          </cell>
          <cell r="G8" t="str">
            <v>Y</v>
          </cell>
          <cell r="H8" t="str">
            <v xml:space="preserve">WATER FEES COMMERCIAL         </v>
          </cell>
          <cell r="J8">
            <v>344014</v>
          </cell>
          <cell r="K8" t="str">
            <v>Revenue - Commercial</v>
          </cell>
          <cell r="L8" t="str">
            <v>Y</v>
          </cell>
          <cell r="M8" t="str">
            <v xml:space="preserve">SEWER FEES COMMERCIAL         </v>
          </cell>
        </row>
        <row r="9">
          <cell r="A9">
            <v>41</v>
          </cell>
          <cell r="B9" t="str">
            <v>People</v>
          </cell>
          <cell r="C9" t="str">
            <v>Expense</v>
          </cell>
          <cell r="E9">
            <v>346014</v>
          </cell>
          <cell r="F9" t="str">
            <v>Revenue - Public Authority</v>
          </cell>
          <cell r="G9" t="str">
            <v>Y</v>
          </cell>
          <cell r="H9" t="str">
            <v xml:space="preserve">WATER FEES PUBLIC AUTHORITY   </v>
          </cell>
          <cell r="J9">
            <v>344020</v>
          </cell>
          <cell r="K9" t="str">
            <v>Revenue - Refuse</v>
          </cell>
          <cell r="L9" t="str">
            <v>Y</v>
          </cell>
          <cell r="M9" t="str">
            <v xml:space="preserve">REFUSE FEES                                               </v>
          </cell>
        </row>
        <row r="10">
          <cell r="A10">
            <v>42</v>
          </cell>
          <cell r="B10" t="str">
            <v>Supplies</v>
          </cell>
          <cell r="C10" t="str">
            <v>Expense</v>
          </cell>
          <cell r="E10">
            <v>346050</v>
          </cell>
          <cell r="F10" t="str">
            <v>Revenue - Sewer Joint</v>
          </cell>
          <cell r="G10" t="str">
            <v>Y</v>
          </cell>
          <cell r="H10" t="str">
            <v xml:space="preserve">SEWER JOINT COSTS                                         </v>
          </cell>
          <cell r="J10">
            <v>344021</v>
          </cell>
          <cell r="K10" t="str">
            <v>Revenue - Delinquent</v>
          </cell>
          <cell r="L10" t="str">
            <v>Y</v>
          </cell>
          <cell r="M10" t="str">
            <v>REFUSE DELINQUENT CHARGES</v>
          </cell>
        </row>
        <row r="11">
          <cell r="A11">
            <v>43</v>
          </cell>
          <cell r="B11" t="str">
            <v>Contractual</v>
          </cell>
          <cell r="C11" t="str">
            <v>Expense</v>
          </cell>
          <cell r="E11">
            <v>346060</v>
          </cell>
          <cell r="F11" t="str">
            <v>Revenue - Other</v>
          </cell>
          <cell r="G11" t="str">
            <v>Y</v>
          </cell>
          <cell r="H11" t="str">
            <v>IN AID CONST-MAINS</v>
          </cell>
          <cell r="J11">
            <v>344030</v>
          </cell>
          <cell r="K11" t="str">
            <v>Revenue - Other</v>
          </cell>
          <cell r="L11" t="str">
            <v>Y</v>
          </cell>
          <cell r="M11" t="str">
            <v xml:space="preserve">CONNECTION FEES                                           </v>
          </cell>
        </row>
        <row r="12">
          <cell r="A12">
            <v>44</v>
          </cell>
          <cell r="B12" t="str">
            <v>Capital</v>
          </cell>
          <cell r="C12" t="str">
            <v>Expense</v>
          </cell>
          <cell r="E12">
            <v>346090</v>
          </cell>
          <cell r="F12" t="str">
            <v>Revenue - Other</v>
          </cell>
          <cell r="G12" t="str">
            <v>Y</v>
          </cell>
          <cell r="H12" t="str">
            <v>CONT FOR EXTENSION</v>
          </cell>
          <cell r="J12">
            <v>344040</v>
          </cell>
          <cell r="K12" t="str">
            <v>Revenue - Darmstadt</v>
          </cell>
          <cell r="L12" t="str">
            <v>Y</v>
          </cell>
          <cell r="M12" t="str">
            <v xml:space="preserve">DARMSTADT SEWER FEES                                      </v>
          </cell>
        </row>
        <row r="13">
          <cell r="A13">
            <v>45</v>
          </cell>
          <cell r="B13" t="str">
            <v>Tax Liability</v>
          </cell>
          <cell r="C13" t="str">
            <v>Expense</v>
          </cell>
          <cell r="E13">
            <v>346100</v>
          </cell>
          <cell r="F13" t="str">
            <v>Revenue - Rental</v>
          </cell>
          <cell r="G13" t="str">
            <v>Y</v>
          </cell>
          <cell r="H13" t="str">
            <v xml:space="preserve">RENTAL INCOME                                             </v>
          </cell>
          <cell r="J13">
            <v>344050</v>
          </cell>
          <cell r="K13" t="str">
            <v>Revenue - Permits Fees</v>
          </cell>
          <cell r="L13" t="str">
            <v>Y</v>
          </cell>
          <cell r="M13" t="str">
            <v xml:space="preserve">DISCHARGE PERMITS                                         </v>
          </cell>
        </row>
        <row r="14">
          <cell r="E14">
            <v>346110</v>
          </cell>
          <cell r="F14" t="str">
            <v>Revenue - Recovery</v>
          </cell>
          <cell r="G14" t="str">
            <v>Y</v>
          </cell>
          <cell r="H14" t="str">
            <v xml:space="preserve">RECOVERY OF BAD DEBT                                      </v>
          </cell>
          <cell r="J14">
            <v>344060</v>
          </cell>
          <cell r="K14" t="str">
            <v>Revenue - Permits Fees</v>
          </cell>
          <cell r="L14" t="str">
            <v>Y</v>
          </cell>
          <cell r="M14" t="str">
            <v xml:space="preserve">LIEN FEES                                                 </v>
          </cell>
        </row>
        <row r="15">
          <cell r="E15">
            <v>346120</v>
          </cell>
          <cell r="F15" t="str">
            <v>Revenue - Other</v>
          </cell>
          <cell r="G15" t="str">
            <v>Y</v>
          </cell>
          <cell r="H15" t="str">
            <v xml:space="preserve">RECONNECTION FEES                                         </v>
          </cell>
          <cell r="J15">
            <v>344070</v>
          </cell>
          <cell r="K15" t="str">
            <v>Revenue - Permits Fees</v>
          </cell>
          <cell r="L15" t="str">
            <v>Y</v>
          </cell>
          <cell r="M15" t="str">
            <v xml:space="preserve">COUNTY TAP SURCHARGES                                     </v>
          </cell>
        </row>
        <row r="16">
          <cell r="E16">
            <v>346130</v>
          </cell>
          <cell r="F16" t="str">
            <v>Revenue - Other</v>
          </cell>
          <cell r="G16" t="str">
            <v>Y</v>
          </cell>
          <cell r="H16" t="str">
            <v xml:space="preserve">SPLIT SERVICE &amp; FIREPLUGS                                 </v>
          </cell>
          <cell r="J16">
            <v>344080</v>
          </cell>
          <cell r="K16" t="str">
            <v>Revenue - Street Sweeping</v>
          </cell>
          <cell r="L16" t="str">
            <v>Y</v>
          </cell>
          <cell r="M16" t="str">
            <v xml:space="preserve">STREET SWEEPING REIMBURSEMENT                             </v>
          </cell>
        </row>
        <row r="17">
          <cell r="A17" t="str">
            <v>Dept</v>
          </cell>
          <cell r="B17" t="str">
            <v>Name</v>
          </cell>
          <cell r="E17">
            <v>346131</v>
          </cell>
          <cell r="F17" t="str">
            <v>Revenue - Industrial</v>
          </cell>
          <cell r="G17" t="str">
            <v>Y</v>
          </cell>
          <cell r="H17" t="str">
            <v xml:space="preserve">INDUSTRIAL SALES                                          </v>
          </cell>
          <cell r="J17">
            <v>344090</v>
          </cell>
          <cell r="K17" t="str">
            <v>Revenue - Industrial Surcharge</v>
          </cell>
          <cell r="L17" t="str">
            <v>Y</v>
          </cell>
          <cell r="M17" t="str">
            <v xml:space="preserve">INDUSTRIAL SURCHARGES                                     </v>
          </cell>
        </row>
        <row r="18">
          <cell r="A18">
            <v>6019001</v>
          </cell>
          <cell r="B18" t="str">
            <v>WATER ADMINISTRATION</v>
          </cell>
          <cell r="E18">
            <v>346140</v>
          </cell>
          <cell r="F18" t="str">
            <v>Revenue - Other</v>
          </cell>
          <cell r="G18" t="str">
            <v>Y</v>
          </cell>
          <cell r="H18" t="str">
            <v xml:space="preserve">NON OPERATING INCOME                                      </v>
          </cell>
          <cell r="J18">
            <v>344110</v>
          </cell>
          <cell r="K18" t="str">
            <v>Revenue - Recovery</v>
          </cell>
          <cell r="L18" t="str">
            <v>Y</v>
          </cell>
          <cell r="M18" t="str">
            <v xml:space="preserve">RECOVERY OF BAD DEBTS                                     </v>
          </cell>
        </row>
        <row r="19">
          <cell r="A19">
            <v>6019002</v>
          </cell>
          <cell r="B19" t="str">
            <v>WATER FILTER PLANT</v>
          </cell>
          <cell r="E19">
            <v>346150</v>
          </cell>
          <cell r="F19" t="str">
            <v>Revenue - Lab</v>
          </cell>
          <cell r="G19" t="str">
            <v>Y</v>
          </cell>
          <cell r="H19" t="str">
            <v xml:space="preserve">LABORATORY TESTING                                        </v>
          </cell>
          <cell r="J19">
            <v>344120</v>
          </cell>
          <cell r="K19" t="str">
            <v>Revenue - Other</v>
          </cell>
          <cell r="L19" t="str">
            <v>Y</v>
          </cell>
          <cell r="M19" t="str">
            <v xml:space="preserve">SLUDGE DUMPING                                            </v>
          </cell>
        </row>
        <row r="20">
          <cell r="A20">
            <v>6019003</v>
          </cell>
          <cell r="B20" t="str">
            <v>WATER DISTRIBUTION</v>
          </cell>
          <cell r="E20">
            <v>346160</v>
          </cell>
          <cell r="F20" t="str">
            <v xml:space="preserve">REVENUE -SEWAGE FEES                   </v>
          </cell>
          <cell r="G20" t="str">
            <v>N</v>
          </cell>
          <cell r="H20" t="str">
            <v xml:space="preserve">SEWAGE FEES                   </v>
          </cell>
          <cell r="J20">
            <v>344130</v>
          </cell>
          <cell r="K20" t="str">
            <v>Revenue - Pre-Treatment</v>
          </cell>
          <cell r="L20" t="str">
            <v>Y</v>
          </cell>
          <cell r="M20" t="str">
            <v xml:space="preserve">WASTE PRE-TREATMENT                                       </v>
          </cell>
        </row>
        <row r="21">
          <cell r="A21">
            <v>6019004</v>
          </cell>
          <cell r="B21" t="str">
            <v>WATER METER</v>
          </cell>
          <cell r="E21">
            <v>346180</v>
          </cell>
          <cell r="F21" t="str">
            <v>Revenue - Other</v>
          </cell>
          <cell r="G21" t="str">
            <v>Y</v>
          </cell>
          <cell r="H21" t="str">
            <v xml:space="preserve">LINE EXTENSION FEES                                       </v>
          </cell>
          <cell r="J21">
            <v>344140</v>
          </cell>
          <cell r="K21" t="str">
            <v>Revenue - Other</v>
          </cell>
          <cell r="L21" t="str">
            <v>Y</v>
          </cell>
          <cell r="M21" t="str">
            <v xml:space="preserve">OLD STATE RESIDENTIAL SALES                               </v>
          </cell>
        </row>
        <row r="22">
          <cell r="A22">
            <v>6019005</v>
          </cell>
          <cell r="B22" t="str">
            <v>WATER PLANNING</v>
          </cell>
          <cell r="E22">
            <v>346210</v>
          </cell>
          <cell r="F22" t="str">
            <v>Revenue - Fire Protect</v>
          </cell>
          <cell r="G22" t="str">
            <v>Y</v>
          </cell>
          <cell r="H22" t="str">
            <v xml:space="preserve">FIRE PROTECTION CITY                                      </v>
          </cell>
          <cell r="J22">
            <v>344150</v>
          </cell>
          <cell r="K22" t="str">
            <v>Reimbursements</v>
          </cell>
          <cell r="L22" t="str">
            <v>Y</v>
          </cell>
          <cell r="M22" t="str">
            <v xml:space="preserve">STREET SWEEPING REIMBURSEMENT </v>
          </cell>
        </row>
        <row r="23">
          <cell r="A23">
            <v>6029001</v>
          </cell>
          <cell r="B23" t="str">
            <v>BOND AND INTEREST</v>
          </cell>
          <cell r="E23">
            <v>346211</v>
          </cell>
          <cell r="F23" t="str">
            <v>Revenue - Fire Protect</v>
          </cell>
          <cell r="G23" t="str">
            <v>Y</v>
          </cell>
          <cell r="H23" t="str">
            <v xml:space="preserve">FIRE PROTECTION OUTSIDE CITY                              </v>
          </cell>
          <cell r="J23">
            <v>346140</v>
          </cell>
          <cell r="K23" t="str">
            <v>Non Operating Income</v>
          </cell>
          <cell r="L23" t="str">
            <v>N</v>
          </cell>
          <cell r="M23" t="str">
            <v xml:space="preserve">NON OPERATING INCOME          </v>
          </cell>
        </row>
        <row r="24">
          <cell r="A24">
            <v>6039001</v>
          </cell>
          <cell r="B24" t="str">
            <v>WATER CAPITAL</v>
          </cell>
          <cell r="E24">
            <v>346213</v>
          </cell>
          <cell r="F24" t="str">
            <v>Revenue - Fire Protect Discount</v>
          </cell>
          <cell r="G24" t="str">
            <v>Y</v>
          </cell>
          <cell r="H24" t="str">
            <v xml:space="preserve">FIRE PROTECTION DISCOUNT FORF </v>
          </cell>
          <cell r="J24">
            <v>346700</v>
          </cell>
          <cell r="K24" t="str">
            <v>Revenue - Other</v>
          </cell>
          <cell r="L24" t="str">
            <v>Y</v>
          </cell>
          <cell r="M24" t="str">
            <v xml:space="preserve">INSPECTION FEES               </v>
          </cell>
        </row>
        <row r="25">
          <cell r="A25">
            <v>6049001</v>
          </cell>
          <cell r="B25" t="str">
            <v>METER DEPOSIT</v>
          </cell>
          <cell r="E25">
            <v>346500</v>
          </cell>
          <cell r="F25" t="str">
            <v>Revenue - Sprinklers</v>
          </cell>
          <cell r="G25" t="str">
            <v>Y</v>
          </cell>
          <cell r="H25" t="str">
            <v xml:space="preserve">FLAT RATE WATER SPRINKLERS                                </v>
          </cell>
          <cell r="J25">
            <v>351201</v>
          </cell>
          <cell r="K25" t="str">
            <v>Revenue - Other</v>
          </cell>
          <cell r="L25" t="str">
            <v>Y</v>
          </cell>
          <cell r="M25" t="str">
            <v xml:space="preserve">SEWER ORDINANCE VIOLATION     </v>
          </cell>
        </row>
        <row r="26">
          <cell r="A26">
            <v>6059001</v>
          </cell>
          <cell r="B26" t="str">
            <v>WATER DSR</v>
          </cell>
          <cell r="E26">
            <v>346700</v>
          </cell>
          <cell r="F26" t="str">
            <v>Revenue - Other</v>
          </cell>
          <cell r="G26" t="str">
            <v>Y</v>
          </cell>
          <cell r="H26" t="str">
            <v xml:space="preserve">LINE CHLORINATION/INSPECTION                              </v>
          </cell>
          <cell r="J26">
            <v>360000</v>
          </cell>
          <cell r="K26" t="str">
            <v>Revenue - Other</v>
          </cell>
          <cell r="L26" t="str">
            <v>Y</v>
          </cell>
          <cell r="M26" t="str">
            <v xml:space="preserve">MISCELLANEOUS REVENUE                                     </v>
          </cell>
        </row>
        <row r="27">
          <cell r="A27">
            <v>6309001</v>
          </cell>
          <cell r="B27" t="str">
            <v>WATER REPAIRS</v>
          </cell>
          <cell r="E27">
            <v>346710</v>
          </cell>
          <cell r="F27" t="str">
            <v>Revenue - Other</v>
          </cell>
          <cell r="G27" t="str">
            <v>Y</v>
          </cell>
          <cell r="H27" t="str">
            <v xml:space="preserve">WATER DISCOUNTS FORFEITED                                 </v>
          </cell>
          <cell r="J27">
            <v>361000</v>
          </cell>
          <cell r="K27" t="str">
            <v>Revenue - Interest</v>
          </cell>
          <cell r="L27" t="str">
            <v>Y</v>
          </cell>
          <cell r="M27" t="str">
            <v xml:space="preserve">INTEREST INCOME                                           </v>
          </cell>
        </row>
        <row r="28">
          <cell r="A28">
            <v>6429001</v>
          </cell>
          <cell r="B28" t="str">
            <v>WATER DSR</v>
          </cell>
          <cell r="E28">
            <v>360000</v>
          </cell>
          <cell r="F28" t="str">
            <v>Revenue - Other</v>
          </cell>
          <cell r="G28" t="str">
            <v>Y</v>
          </cell>
          <cell r="H28" t="str">
            <v xml:space="preserve">MISCELLANEOUS REVENUE                                     </v>
          </cell>
          <cell r="J28">
            <v>361002</v>
          </cell>
          <cell r="K28" t="str">
            <v>Revenue - Interest</v>
          </cell>
          <cell r="L28" t="str">
            <v>Y</v>
          </cell>
          <cell r="M28" t="str">
            <v>INTEREST REVENUE RE</v>
          </cell>
        </row>
        <row r="29">
          <cell r="A29">
            <v>6060101</v>
          </cell>
          <cell r="B29" t="str">
            <v>SEWAGE ADMIN/WASTEWATER</v>
          </cell>
          <cell r="E29">
            <v>361000</v>
          </cell>
          <cell r="F29" t="str">
            <v>Revenue - Interest</v>
          </cell>
          <cell r="G29" t="str">
            <v>Y</v>
          </cell>
          <cell r="H29" t="str">
            <v xml:space="preserve">INTEREST INCOME                                           </v>
          </cell>
          <cell r="J29">
            <v>361003</v>
          </cell>
          <cell r="K29" t="str">
            <v>Revenue - Interest</v>
          </cell>
          <cell r="L29" t="str">
            <v>Y</v>
          </cell>
          <cell r="M29" t="str">
            <v>INTEREST REVENUE B1</v>
          </cell>
        </row>
        <row r="30">
          <cell r="A30">
            <v>6060201</v>
          </cell>
          <cell r="B30" t="str">
            <v>SEWAGE TREATMENT</v>
          </cell>
          <cell r="E30">
            <v>361002</v>
          </cell>
          <cell r="F30" t="str">
            <v>Revenue - Interest</v>
          </cell>
          <cell r="G30" t="str">
            <v>Y</v>
          </cell>
          <cell r="H30" t="str">
            <v>INTEREST REVENUE RE</v>
          </cell>
          <cell r="J30">
            <v>361004</v>
          </cell>
          <cell r="K30" t="str">
            <v>Revenue - Interest</v>
          </cell>
          <cell r="L30" t="str">
            <v>Y</v>
          </cell>
          <cell r="M30" t="str">
            <v>INTEREST SRF DEBT RESERVE</v>
          </cell>
        </row>
        <row r="31">
          <cell r="A31">
            <v>6060301</v>
          </cell>
          <cell r="B31" t="str">
            <v>SEWAGE MAINTENANCE</v>
          </cell>
          <cell r="E31">
            <v>361010</v>
          </cell>
          <cell r="F31" t="str">
            <v>Revenue - Other</v>
          </cell>
          <cell r="G31" t="str">
            <v>Y</v>
          </cell>
          <cell r="H31" t="str">
            <v>GENERAL OBLIGATION</v>
          </cell>
          <cell r="J31">
            <v>361010</v>
          </cell>
          <cell r="K31" t="str">
            <v>Revenue - Interest</v>
          </cell>
          <cell r="L31" t="str">
            <v>Y</v>
          </cell>
          <cell r="M31" t="str">
            <v>DIVIDEND INCOME</v>
          </cell>
        </row>
        <row r="32">
          <cell r="A32">
            <v>6060401</v>
          </cell>
          <cell r="B32" t="str">
            <v>SEWAGE PRETREATMENT</v>
          </cell>
          <cell r="E32">
            <v>391000</v>
          </cell>
          <cell r="F32" t="str">
            <v>Transfers</v>
          </cell>
          <cell r="G32" t="str">
            <v>N</v>
          </cell>
          <cell r="H32" t="str">
            <v xml:space="preserve">INTERFUND TRANSFERS           </v>
          </cell>
          <cell r="J32">
            <v>391000</v>
          </cell>
          <cell r="K32" t="str">
            <v>Transfers</v>
          </cell>
          <cell r="L32" t="str">
            <v>N</v>
          </cell>
          <cell r="M32" t="str">
            <v xml:space="preserve">INTERFUND TRANSFERS           </v>
          </cell>
        </row>
        <row r="33">
          <cell r="A33">
            <v>6070101</v>
          </cell>
          <cell r="B33" t="str">
            <v>BOND AND INTEREST</v>
          </cell>
          <cell r="E33">
            <v>391001</v>
          </cell>
          <cell r="F33" t="str">
            <v>Transfers</v>
          </cell>
          <cell r="G33" t="str">
            <v>N</v>
          </cell>
          <cell r="H33" t="str">
            <v xml:space="preserve">INTERFUND TRANSFER-RESTRICTED </v>
          </cell>
          <cell r="J33">
            <v>393010</v>
          </cell>
          <cell r="K33" t="str">
            <v>Revenue-Other</v>
          </cell>
          <cell r="L33" t="str">
            <v>N</v>
          </cell>
          <cell r="M33" t="str">
            <v>GENERAL OBLIGATION BOND PROCEE</v>
          </cell>
        </row>
        <row r="34">
          <cell r="A34">
            <v>6080101</v>
          </cell>
          <cell r="B34" t="str">
            <v>SEWER CAPITAL</v>
          </cell>
          <cell r="E34">
            <v>393010</v>
          </cell>
          <cell r="F34" t="str">
            <v>Revenue - Bond</v>
          </cell>
          <cell r="G34" t="str">
            <v>Y</v>
          </cell>
          <cell r="H34" t="str">
            <v>GENERAL OBLIGATION BOND PROCEE</v>
          </cell>
          <cell r="J34">
            <v>399002</v>
          </cell>
          <cell r="K34" t="str">
            <v>Revenue-Other</v>
          </cell>
          <cell r="L34" t="str">
            <v>N</v>
          </cell>
          <cell r="M34" t="str">
            <v xml:space="preserve">REIMBURSEMENTS                </v>
          </cell>
        </row>
        <row r="35">
          <cell r="A35">
            <v>6090101</v>
          </cell>
          <cell r="B35" t="str">
            <v>SEWER BONDS</v>
          </cell>
          <cell r="E35">
            <v>393030</v>
          </cell>
          <cell r="F35" t="str">
            <v>Revenue - Other</v>
          </cell>
          <cell r="G35" t="str">
            <v>N</v>
          </cell>
          <cell r="H35" t="str">
            <v>REPAY FOR BAD DEBT</v>
          </cell>
          <cell r="J35">
            <v>411011</v>
          </cell>
          <cell r="K35" t="str">
            <v>Salaries</v>
          </cell>
          <cell r="L35" t="str">
            <v>Y</v>
          </cell>
          <cell r="M35" t="str">
            <v xml:space="preserve">DEPARTMENT HEAD                                           </v>
          </cell>
        </row>
        <row r="36">
          <cell r="A36">
            <v>6430101</v>
          </cell>
          <cell r="B36" t="str">
            <v>SEWER DSR</v>
          </cell>
          <cell r="E36">
            <v>399002</v>
          </cell>
          <cell r="F36" t="str">
            <v>Reimbursements</v>
          </cell>
          <cell r="G36" t="str">
            <v>N</v>
          </cell>
          <cell r="H36" t="str">
            <v xml:space="preserve">REIMBURSEMENTS                </v>
          </cell>
          <cell r="J36">
            <v>411012</v>
          </cell>
          <cell r="K36" t="str">
            <v>Salaries</v>
          </cell>
          <cell r="L36" t="str">
            <v>Y</v>
          </cell>
          <cell r="M36" t="str">
            <v xml:space="preserve">DEPARTMENT HEAD ASSISTANT                                 </v>
          </cell>
        </row>
        <row r="37">
          <cell r="E37">
            <v>399014</v>
          </cell>
          <cell r="F37" t="str">
            <v>Revenue - Sales Tax</v>
          </cell>
          <cell r="G37" t="str">
            <v>Y</v>
          </cell>
          <cell r="H37" t="str">
            <v xml:space="preserve">WATER SALES TAX                                           </v>
          </cell>
          <cell r="J37">
            <v>411013</v>
          </cell>
          <cell r="K37" t="str">
            <v>Salaries</v>
          </cell>
          <cell r="L37" t="str">
            <v>Y</v>
          </cell>
          <cell r="M37" t="str">
            <v xml:space="preserve">FULL TIME SALARIES                                        </v>
          </cell>
        </row>
        <row r="38">
          <cell r="E38">
            <v>411011</v>
          </cell>
          <cell r="F38" t="str">
            <v>Salaries</v>
          </cell>
          <cell r="G38" t="str">
            <v>Y</v>
          </cell>
          <cell r="H38" t="str">
            <v>DEPARTMENT HEAD</v>
          </cell>
          <cell r="J38">
            <v>411015</v>
          </cell>
          <cell r="K38" t="str">
            <v>Salaries</v>
          </cell>
          <cell r="L38" t="str">
            <v>Y</v>
          </cell>
          <cell r="M38" t="str">
            <v xml:space="preserve">BOARD MEMBER                                              </v>
          </cell>
        </row>
        <row r="39">
          <cell r="E39">
            <v>411012</v>
          </cell>
          <cell r="F39" t="str">
            <v>Salaries</v>
          </cell>
          <cell r="G39" t="str">
            <v>Y</v>
          </cell>
          <cell r="H39" t="str">
            <v>DEPARTMENT HEAD ASSISTANT</v>
          </cell>
          <cell r="J39">
            <v>411400</v>
          </cell>
          <cell r="K39" t="str">
            <v>Salaries</v>
          </cell>
          <cell r="L39" t="str">
            <v>Y</v>
          </cell>
          <cell r="M39" t="str">
            <v>TEMPORARY SALARIES</v>
          </cell>
        </row>
        <row r="40">
          <cell r="E40">
            <v>411013</v>
          </cell>
          <cell r="F40" t="str">
            <v>Salaries</v>
          </cell>
          <cell r="G40" t="str">
            <v>Y</v>
          </cell>
          <cell r="H40" t="str">
            <v>FULL TIME SALARIES</v>
          </cell>
          <cell r="J40">
            <v>411500</v>
          </cell>
          <cell r="K40" t="str">
            <v>Other</v>
          </cell>
          <cell r="L40" t="str">
            <v>Y</v>
          </cell>
          <cell r="M40" t="str">
            <v xml:space="preserve">OTHER                                                     </v>
          </cell>
        </row>
        <row r="41">
          <cell r="E41">
            <v>411015</v>
          </cell>
          <cell r="F41" t="str">
            <v>Salaries</v>
          </cell>
          <cell r="G41" t="str">
            <v>Y</v>
          </cell>
          <cell r="H41" t="str">
            <v>BOARD MEMBER</v>
          </cell>
          <cell r="J41">
            <v>411600</v>
          </cell>
          <cell r="K41" t="str">
            <v>Overtime</v>
          </cell>
          <cell r="L41" t="str">
            <v>Y</v>
          </cell>
          <cell r="M41" t="str">
            <v xml:space="preserve">OVERTIME EXC COMPENSATION                                 </v>
          </cell>
        </row>
        <row r="42">
          <cell r="E42">
            <v>411400</v>
          </cell>
          <cell r="F42" t="str">
            <v>Salaries</v>
          </cell>
          <cell r="G42" t="str">
            <v>Y</v>
          </cell>
          <cell r="H42" t="str">
            <v>TEMPORARY SALARIES</v>
          </cell>
          <cell r="J42">
            <v>413010</v>
          </cell>
          <cell r="K42" t="str">
            <v>Benefits</v>
          </cell>
          <cell r="L42" t="str">
            <v>Y</v>
          </cell>
          <cell r="M42" t="str">
            <v xml:space="preserve">SOCIAL SECURITY                                           </v>
          </cell>
        </row>
        <row r="43">
          <cell r="E43">
            <v>411500</v>
          </cell>
          <cell r="F43" t="str">
            <v>Other</v>
          </cell>
          <cell r="G43" t="str">
            <v>Y</v>
          </cell>
          <cell r="H43" t="str">
            <v>OTHER</v>
          </cell>
          <cell r="J43">
            <v>413030</v>
          </cell>
          <cell r="K43" t="str">
            <v>Benefits</v>
          </cell>
          <cell r="L43" t="str">
            <v>Y</v>
          </cell>
          <cell r="M43" t="str">
            <v xml:space="preserve">PUBLIC EMP RETIREMENT                                     </v>
          </cell>
        </row>
        <row r="44">
          <cell r="E44">
            <v>411600</v>
          </cell>
          <cell r="F44" t="str">
            <v>Overtime</v>
          </cell>
          <cell r="G44" t="str">
            <v>Y</v>
          </cell>
          <cell r="H44" t="str">
            <v>OVERTIME EXC COMPENSATION</v>
          </cell>
          <cell r="J44">
            <v>413040</v>
          </cell>
          <cell r="K44" t="str">
            <v>Benefits</v>
          </cell>
          <cell r="L44" t="str">
            <v>Y</v>
          </cell>
          <cell r="M44" t="str">
            <v xml:space="preserve">UNEMPLOYMENT                                              </v>
          </cell>
        </row>
        <row r="45">
          <cell r="E45">
            <v>413010</v>
          </cell>
          <cell r="F45" t="str">
            <v>Benefits</v>
          </cell>
          <cell r="G45" t="str">
            <v>Y</v>
          </cell>
          <cell r="H45" t="str">
            <v>SOCIAL SECURITY</v>
          </cell>
          <cell r="J45">
            <v>413050</v>
          </cell>
          <cell r="K45" t="str">
            <v>Benefits</v>
          </cell>
          <cell r="L45" t="str">
            <v>Y</v>
          </cell>
          <cell r="M45" t="str">
            <v xml:space="preserve">HEALTH INSURANCE                                          </v>
          </cell>
        </row>
        <row r="46">
          <cell r="E46">
            <v>413030</v>
          </cell>
          <cell r="F46" t="str">
            <v>Benefits</v>
          </cell>
          <cell r="G46" t="str">
            <v>Y</v>
          </cell>
          <cell r="H46" t="str">
            <v>PUBLIC EMP RETIREMENT</v>
          </cell>
          <cell r="J46">
            <v>413060</v>
          </cell>
          <cell r="K46" t="str">
            <v>Benefits</v>
          </cell>
          <cell r="L46" t="str">
            <v>Y</v>
          </cell>
          <cell r="M46" t="str">
            <v xml:space="preserve">LIFE INSURANCE                                            </v>
          </cell>
        </row>
        <row r="47">
          <cell r="E47">
            <v>413040</v>
          </cell>
          <cell r="F47" t="str">
            <v>Benefits</v>
          </cell>
          <cell r="G47" t="str">
            <v>Y</v>
          </cell>
          <cell r="H47" t="str">
            <v>UNEMPLOYMENT</v>
          </cell>
          <cell r="J47">
            <v>413070</v>
          </cell>
          <cell r="K47" t="str">
            <v>Benefits</v>
          </cell>
          <cell r="L47" t="str">
            <v>Y</v>
          </cell>
          <cell r="M47" t="str">
            <v>CLOTHING ALLOWANCE</v>
          </cell>
        </row>
        <row r="48">
          <cell r="E48">
            <v>413050</v>
          </cell>
          <cell r="F48" t="str">
            <v>Benefits</v>
          </cell>
          <cell r="G48" t="str">
            <v>Y</v>
          </cell>
          <cell r="H48" t="str">
            <v>HEALTH INSURANCE</v>
          </cell>
          <cell r="J48">
            <v>413080</v>
          </cell>
          <cell r="K48" t="str">
            <v>Benefits</v>
          </cell>
          <cell r="L48" t="str">
            <v>Y</v>
          </cell>
          <cell r="M48" t="str">
            <v xml:space="preserve">TEAMSTER SCHOLARSHIP                                      </v>
          </cell>
        </row>
        <row r="49">
          <cell r="E49">
            <v>413060</v>
          </cell>
          <cell r="F49" t="str">
            <v>Benefits</v>
          </cell>
          <cell r="G49" t="str">
            <v>Y</v>
          </cell>
          <cell r="H49" t="str">
            <v>LIFE INSURANCE</v>
          </cell>
          <cell r="J49">
            <v>421050</v>
          </cell>
          <cell r="K49" t="str">
            <v>Office</v>
          </cell>
          <cell r="L49" t="str">
            <v>Y</v>
          </cell>
          <cell r="M49" t="str">
            <v xml:space="preserve">OFFICE SUPPLIES                                           </v>
          </cell>
        </row>
        <row r="50">
          <cell r="E50">
            <v>413070</v>
          </cell>
          <cell r="F50" t="str">
            <v>Benefits</v>
          </cell>
          <cell r="G50" t="str">
            <v>Y</v>
          </cell>
          <cell r="H50" t="str">
            <v>CLOTHING ALLOWANCE</v>
          </cell>
          <cell r="J50">
            <v>422012</v>
          </cell>
          <cell r="K50" t="str">
            <v>Vehicles</v>
          </cell>
          <cell r="L50" t="str">
            <v>Y</v>
          </cell>
          <cell r="M50" t="str">
            <v xml:space="preserve">FUEL AND OIL                                              </v>
          </cell>
        </row>
        <row r="51">
          <cell r="E51">
            <v>413080</v>
          </cell>
          <cell r="F51" t="str">
            <v>Benefits</v>
          </cell>
          <cell r="G51" t="str">
            <v>Y</v>
          </cell>
          <cell r="H51" t="str">
            <v>TEAMSTER SCHOLARSHIP</v>
          </cell>
          <cell r="J51">
            <v>422020</v>
          </cell>
          <cell r="K51" t="str">
            <v>Vehicles</v>
          </cell>
          <cell r="L51" t="str">
            <v>Y</v>
          </cell>
          <cell r="M51" t="str">
            <v xml:space="preserve">GARAGE AND MOTOR                                          </v>
          </cell>
        </row>
        <row r="52">
          <cell r="E52">
            <v>421050</v>
          </cell>
          <cell r="F52" t="str">
            <v>Office</v>
          </cell>
          <cell r="G52" t="str">
            <v>Y</v>
          </cell>
          <cell r="H52" t="str">
            <v>OFFICE SUPPLIES</v>
          </cell>
          <cell r="J52">
            <v>422025</v>
          </cell>
          <cell r="K52" t="str">
            <v>Maintenance &amp; Repair</v>
          </cell>
          <cell r="L52" t="str">
            <v>Y</v>
          </cell>
          <cell r="M52" t="str">
            <v>OTHER GARAGE AND MOTOR</v>
          </cell>
        </row>
        <row r="53">
          <cell r="E53">
            <v>422012</v>
          </cell>
          <cell r="F53" t="str">
            <v>Vehicles</v>
          </cell>
          <cell r="G53" t="str">
            <v>Y</v>
          </cell>
          <cell r="H53" t="str">
            <v>FUEL AND OIL</v>
          </cell>
          <cell r="J53">
            <v>422026</v>
          </cell>
          <cell r="K53" t="str">
            <v>Maintenance &amp; Repair</v>
          </cell>
          <cell r="L53" t="str">
            <v>Y</v>
          </cell>
          <cell r="M53" t="str">
            <v xml:space="preserve">VEHICLE M &amp; R                                             </v>
          </cell>
        </row>
        <row r="54">
          <cell r="E54">
            <v>422020</v>
          </cell>
          <cell r="F54" t="str">
            <v>Vehicles</v>
          </cell>
          <cell r="G54" t="str">
            <v>Y</v>
          </cell>
          <cell r="H54" t="str">
            <v>GARAGE &amp; MOTOR</v>
          </cell>
          <cell r="J54">
            <v>422035</v>
          </cell>
          <cell r="K54" t="str">
            <v>Chemical</v>
          </cell>
          <cell r="L54" t="str">
            <v>Y</v>
          </cell>
          <cell r="M54" t="str">
            <v xml:space="preserve">CHEMICALS                                                 </v>
          </cell>
        </row>
        <row r="55">
          <cell r="E55">
            <v>422025</v>
          </cell>
          <cell r="F55" t="str">
            <v>Maintenance &amp; Repair</v>
          </cell>
          <cell r="G55" t="str">
            <v>Y</v>
          </cell>
          <cell r="H55" t="str">
            <v>OTHER GARAGE &amp; MOTOR</v>
          </cell>
          <cell r="J55">
            <v>422036</v>
          </cell>
          <cell r="K55" t="str">
            <v>Chemical</v>
          </cell>
          <cell r="L55" t="str">
            <v>Y</v>
          </cell>
          <cell r="M55" t="str">
            <v>TREATMENT CHEMICALS</v>
          </cell>
        </row>
        <row r="56">
          <cell r="E56">
            <v>422026</v>
          </cell>
          <cell r="F56" t="str">
            <v>Maintenance &amp; Repair</v>
          </cell>
          <cell r="G56" t="str">
            <v>Y</v>
          </cell>
          <cell r="H56" t="str">
            <v>VEHICLE M &amp; R</v>
          </cell>
          <cell r="J56">
            <v>422037</v>
          </cell>
          <cell r="K56" t="str">
            <v>Chemical</v>
          </cell>
          <cell r="L56" t="str">
            <v>Y</v>
          </cell>
          <cell r="M56" t="str">
            <v>OTHER CHEMICALS</v>
          </cell>
        </row>
        <row r="57">
          <cell r="E57">
            <v>422027</v>
          </cell>
          <cell r="F57" t="str">
            <v>Maintenance &amp; Repair</v>
          </cell>
          <cell r="G57" t="str">
            <v>Y</v>
          </cell>
          <cell r="H57" t="str">
            <v>HEAVY EQUIPMENT M &amp; R</v>
          </cell>
          <cell r="J57">
            <v>423012</v>
          </cell>
          <cell r="K57" t="str">
            <v>Chemical</v>
          </cell>
          <cell r="L57" t="str">
            <v>Y</v>
          </cell>
          <cell r="M57" t="str">
            <v xml:space="preserve">STREET &amp; ALLEY MATERIALS                                  </v>
          </cell>
        </row>
        <row r="58">
          <cell r="E58">
            <v>422035</v>
          </cell>
          <cell r="F58" t="str">
            <v>Chemical</v>
          </cell>
          <cell r="G58" t="str">
            <v>Y</v>
          </cell>
          <cell r="H58" t="str">
            <v>CHEMICALS</v>
          </cell>
          <cell r="J58">
            <v>423013</v>
          </cell>
          <cell r="K58" t="str">
            <v>Collection Repair</v>
          </cell>
          <cell r="L58" t="str">
            <v>Y</v>
          </cell>
          <cell r="M58" t="str">
            <v>MISC RESTORATION</v>
          </cell>
        </row>
        <row r="59">
          <cell r="E59">
            <v>423013</v>
          </cell>
          <cell r="F59" t="str">
            <v>Distribution Repair</v>
          </cell>
          <cell r="G59" t="str">
            <v>Y</v>
          </cell>
          <cell r="H59" t="str">
            <v>MISC RESTORATION</v>
          </cell>
          <cell r="J59">
            <v>423015</v>
          </cell>
          <cell r="K59" t="str">
            <v>Collection Repair</v>
          </cell>
          <cell r="L59" t="str">
            <v>Y</v>
          </cell>
          <cell r="M59" t="str">
            <v>STONE</v>
          </cell>
        </row>
        <row r="60">
          <cell r="E60">
            <v>423014</v>
          </cell>
          <cell r="F60" t="str">
            <v>Facility Repair</v>
          </cell>
          <cell r="G60" t="str">
            <v>Y</v>
          </cell>
          <cell r="H60" t="str">
            <v>RESTORATION</v>
          </cell>
          <cell r="J60">
            <v>423016</v>
          </cell>
          <cell r="K60" t="str">
            <v>Collection Repair</v>
          </cell>
          <cell r="L60" t="str">
            <v>Y</v>
          </cell>
          <cell r="M60" t="str">
            <v>FLOWABEL FILL</v>
          </cell>
        </row>
        <row r="61">
          <cell r="E61">
            <v>423015</v>
          </cell>
          <cell r="F61" t="str">
            <v>Distribution Repair</v>
          </cell>
          <cell r="G61" t="str">
            <v>Y</v>
          </cell>
          <cell r="H61" t="str">
            <v>STONE</v>
          </cell>
          <cell r="J61">
            <v>423017</v>
          </cell>
          <cell r="K61" t="str">
            <v>Collection Repair</v>
          </cell>
          <cell r="L61" t="str">
            <v>Y</v>
          </cell>
          <cell r="M61" t="str">
            <v>PAVEMENT</v>
          </cell>
        </row>
        <row r="62">
          <cell r="E62">
            <v>423016</v>
          </cell>
          <cell r="F62" t="str">
            <v>Distribution Repair</v>
          </cell>
          <cell r="G62" t="str">
            <v>Y</v>
          </cell>
          <cell r="H62" t="str">
            <v>FLOWABLE FILL</v>
          </cell>
          <cell r="J62">
            <v>423018</v>
          </cell>
          <cell r="K62" t="str">
            <v>Collection Repair</v>
          </cell>
          <cell r="L62" t="str">
            <v>Y</v>
          </cell>
          <cell r="M62" t="str">
            <v>CONCRETE</v>
          </cell>
        </row>
        <row r="63">
          <cell r="E63">
            <v>423017</v>
          </cell>
          <cell r="F63" t="str">
            <v>Distribution Repair</v>
          </cell>
          <cell r="G63" t="str">
            <v>Y</v>
          </cell>
          <cell r="H63" t="str">
            <v>PAVEMENT</v>
          </cell>
          <cell r="J63">
            <v>423019</v>
          </cell>
          <cell r="K63" t="str">
            <v>Collection Repair</v>
          </cell>
          <cell r="L63" t="str">
            <v>Y</v>
          </cell>
          <cell r="M63" t="str">
            <v>DIRT/SEED/STRAW</v>
          </cell>
        </row>
        <row r="64">
          <cell r="E64">
            <v>423018</v>
          </cell>
          <cell r="F64" t="str">
            <v>Distribution Repair</v>
          </cell>
          <cell r="G64" t="str">
            <v>Y</v>
          </cell>
          <cell r="H64" t="str">
            <v>CONCRETE</v>
          </cell>
          <cell r="J64">
            <v>423020</v>
          </cell>
          <cell r="K64" t="str">
            <v>Facility Repair</v>
          </cell>
          <cell r="L64" t="str">
            <v>Y</v>
          </cell>
          <cell r="M64" t="str">
            <v>REPAIR PARTS</v>
          </cell>
        </row>
        <row r="65">
          <cell r="E65">
            <v>423019</v>
          </cell>
          <cell r="F65" t="str">
            <v>Distribution Repair</v>
          </cell>
          <cell r="G65" t="str">
            <v>Y</v>
          </cell>
          <cell r="H65" t="str">
            <v>DIRT/SEED/STRAW</v>
          </cell>
          <cell r="J65">
            <v>423021</v>
          </cell>
          <cell r="K65" t="str">
            <v>Lab</v>
          </cell>
          <cell r="L65" t="str">
            <v>Y</v>
          </cell>
          <cell r="M65" t="str">
            <v xml:space="preserve">LAB SUPPLIES                                              </v>
          </cell>
        </row>
        <row r="66">
          <cell r="E66">
            <v>423020</v>
          </cell>
          <cell r="F66" t="str">
            <v>Facility Repair</v>
          </cell>
          <cell r="G66" t="str">
            <v>Y</v>
          </cell>
          <cell r="H66" t="str">
            <v>REPAIR PARTS</v>
          </cell>
          <cell r="J66">
            <v>423024</v>
          </cell>
          <cell r="K66" t="str">
            <v>Lab</v>
          </cell>
          <cell r="L66" t="str">
            <v>Y</v>
          </cell>
          <cell r="M66" t="str">
            <v>LAB MAINTENANCE</v>
          </cell>
        </row>
        <row r="67">
          <cell r="E67">
            <v>423021</v>
          </cell>
          <cell r="F67" t="str">
            <v>Lab</v>
          </cell>
          <cell r="G67" t="str">
            <v>Y</v>
          </cell>
          <cell r="H67" t="str">
            <v>LAB SUPPLIES</v>
          </cell>
          <cell r="J67">
            <v>423025</v>
          </cell>
          <cell r="K67" t="str">
            <v>Lab</v>
          </cell>
          <cell r="L67" t="str">
            <v>Y</v>
          </cell>
          <cell r="M67" t="str">
            <v>LAB CYLINDER RENTAL</v>
          </cell>
        </row>
        <row r="68">
          <cell r="E68">
            <v>423024</v>
          </cell>
          <cell r="F68" t="str">
            <v>Lab</v>
          </cell>
          <cell r="G68" t="str">
            <v>Y</v>
          </cell>
          <cell r="H68" t="str">
            <v>LAB MAINTENANCE</v>
          </cell>
          <cell r="J68">
            <v>423026</v>
          </cell>
          <cell r="K68" t="str">
            <v>Lab</v>
          </cell>
          <cell r="L68" t="str">
            <v>Y</v>
          </cell>
          <cell r="M68" t="str">
            <v>LAB SAFETY</v>
          </cell>
        </row>
        <row r="69">
          <cell r="E69">
            <v>423025</v>
          </cell>
          <cell r="F69" t="str">
            <v>Lab</v>
          </cell>
          <cell r="G69" t="str">
            <v>Y</v>
          </cell>
          <cell r="H69" t="str">
            <v>LAB CYLINDER RENTAL</v>
          </cell>
          <cell r="J69">
            <v>423027</v>
          </cell>
          <cell r="K69" t="str">
            <v>Lab</v>
          </cell>
          <cell r="L69" t="str">
            <v>Y</v>
          </cell>
          <cell r="M69" t="str">
            <v xml:space="preserve">THIRD PARTY LAB                                           </v>
          </cell>
        </row>
        <row r="70">
          <cell r="E70">
            <v>423026</v>
          </cell>
          <cell r="F70" t="str">
            <v>Lab</v>
          </cell>
          <cell r="G70" t="str">
            <v>Y</v>
          </cell>
          <cell r="H70" t="str">
            <v>LAB SAFETY</v>
          </cell>
          <cell r="J70">
            <v>423028</v>
          </cell>
          <cell r="K70" t="str">
            <v>Lab</v>
          </cell>
          <cell r="L70" t="str">
            <v>Y</v>
          </cell>
          <cell r="M70" t="str">
            <v xml:space="preserve">LAB EXPENSES                                              </v>
          </cell>
        </row>
        <row r="71">
          <cell r="E71">
            <v>423027</v>
          </cell>
          <cell r="F71" t="str">
            <v>Lab</v>
          </cell>
          <cell r="G71" t="str">
            <v>Y</v>
          </cell>
          <cell r="H71" t="str">
            <v>THIRD PARTY LAB</v>
          </cell>
          <cell r="J71">
            <v>423029</v>
          </cell>
          <cell r="K71" t="str">
            <v>Facility Repair</v>
          </cell>
          <cell r="L71" t="str">
            <v>Y</v>
          </cell>
          <cell r="M71" t="str">
            <v xml:space="preserve">PLANT EQUIPMENT &amp; SUPPLIES EXP                            </v>
          </cell>
        </row>
        <row r="72">
          <cell r="E72">
            <v>423028</v>
          </cell>
          <cell r="F72" t="str">
            <v>Lab</v>
          </cell>
          <cell r="G72" t="str">
            <v>Y</v>
          </cell>
          <cell r="H72" t="str">
            <v>LAB EXPENSES</v>
          </cell>
          <cell r="J72">
            <v>423030</v>
          </cell>
          <cell r="K72" t="str">
            <v>Facility Repair</v>
          </cell>
          <cell r="L72" t="str">
            <v>Y</v>
          </cell>
          <cell r="M72" t="str">
            <v>SMALL TOOLS &amp; EQUIPMENT</v>
          </cell>
        </row>
        <row r="73">
          <cell r="E73">
            <v>423029</v>
          </cell>
          <cell r="F73" t="str">
            <v>Facility Repair</v>
          </cell>
          <cell r="G73" t="str">
            <v>Y</v>
          </cell>
          <cell r="H73" t="str">
            <v>PLANT EQUIPMENT</v>
          </cell>
          <cell r="J73">
            <v>423031</v>
          </cell>
          <cell r="K73" t="str">
            <v>Collection Repair</v>
          </cell>
          <cell r="L73" t="str">
            <v>Y</v>
          </cell>
          <cell r="M73" t="str">
            <v>OTHER MISC EQUIPMENT</v>
          </cell>
        </row>
        <row r="74">
          <cell r="E74">
            <v>423030</v>
          </cell>
          <cell r="F74" t="str">
            <v>Facility Repair</v>
          </cell>
          <cell r="G74" t="str">
            <v>Y</v>
          </cell>
          <cell r="H74" t="str">
            <v>SMALL TOOLS &amp; EQUIPMENT</v>
          </cell>
          <cell r="J74">
            <v>423032</v>
          </cell>
          <cell r="K74" t="str">
            <v>Collection Repair</v>
          </cell>
          <cell r="L74" t="str">
            <v>Y</v>
          </cell>
          <cell r="M74" t="str">
            <v>INVENTORY SUPPLIES</v>
          </cell>
        </row>
        <row r="75">
          <cell r="E75">
            <v>423031</v>
          </cell>
          <cell r="F75" t="str">
            <v>Distribution Repair</v>
          </cell>
          <cell r="G75" t="str">
            <v>Y</v>
          </cell>
          <cell r="H75" t="str">
            <v>OTHER MISC EQUIPMENT</v>
          </cell>
          <cell r="J75">
            <v>423125</v>
          </cell>
          <cell r="K75" t="str">
            <v>Collection Repair</v>
          </cell>
          <cell r="L75" t="str">
            <v>Y</v>
          </cell>
          <cell r="M75" t="str">
            <v xml:space="preserve">OTHER MATERIALS                                           </v>
          </cell>
        </row>
        <row r="76">
          <cell r="E76">
            <v>423032</v>
          </cell>
          <cell r="F76" t="str">
            <v>Distribution Repair</v>
          </cell>
          <cell r="G76" t="str">
            <v>Y</v>
          </cell>
          <cell r="H76" t="str">
            <v>INVENYORY SUPPLIES</v>
          </cell>
          <cell r="J76">
            <v>423127</v>
          </cell>
          <cell r="K76" t="str">
            <v>Collection Repair</v>
          </cell>
          <cell r="L76" t="str">
            <v>Y</v>
          </cell>
          <cell r="M76" t="str">
            <v>MAIN PIPING</v>
          </cell>
        </row>
        <row r="77">
          <cell r="E77">
            <v>423125</v>
          </cell>
          <cell r="F77" t="str">
            <v>Distribution Repair</v>
          </cell>
          <cell r="G77" t="str">
            <v>Y</v>
          </cell>
          <cell r="H77" t="str">
            <v>OTHER MATERIALS</v>
          </cell>
          <cell r="J77">
            <v>423135</v>
          </cell>
          <cell r="K77" t="str">
            <v>Collection Repair</v>
          </cell>
          <cell r="L77" t="str">
            <v>Y</v>
          </cell>
          <cell r="M77" t="str">
            <v xml:space="preserve">OTHER MATERIALS                                           </v>
          </cell>
        </row>
        <row r="78">
          <cell r="E78">
            <v>423126</v>
          </cell>
          <cell r="F78" t="str">
            <v>Facility Repair</v>
          </cell>
          <cell r="G78" t="str">
            <v>Y</v>
          </cell>
          <cell r="H78" t="str">
            <v>SERVICE PIPING</v>
          </cell>
          <cell r="J78">
            <v>429000</v>
          </cell>
          <cell r="K78" t="str">
            <v>Other</v>
          </cell>
          <cell r="L78" t="str">
            <v>Y</v>
          </cell>
          <cell r="M78" t="str">
            <v xml:space="preserve">OTHER SUPPLIES                                            </v>
          </cell>
        </row>
        <row r="79">
          <cell r="E79">
            <v>423127</v>
          </cell>
          <cell r="F79" t="str">
            <v>Distribution Repair</v>
          </cell>
          <cell r="G79" t="str">
            <v>Y</v>
          </cell>
          <cell r="H79" t="str">
            <v>MAIN PIPING</v>
          </cell>
          <cell r="J79">
            <v>429001</v>
          </cell>
          <cell r="K79" t="str">
            <v>Other</v>
          </cell>
          <cell r="L79" t="str">
            <v>Y</v>
          </cell>
          <cell r="M79" t="str">
            <v>UNIFORMS &amp; ACCESSORIES</v>
          </cell>
        </row>
        <row r="80">
          <cell r="E80">
            <v>423135</v>
          </cell>
          <cell r="F80" t="str">
            <v>Distribution Repair</v>
          </cell>
          <cell r="G80" t="str">
            <v>Y</v>
          </cell>
          <cell r="H80" t="str">
            <v>OTHER MATERIALS</v>
          </cell>
          <cell r="J80">
            <v>429008</v>
          </cell>
          <cell r="K80" t="str">
            <v>Other</v>
          </cell>
          <cell r="L80" t="str">
            <v>Y</v>
          </cell>
          <cell r="M80" t="str">
            <v xml:space="preserve">SAFETY SUPPLIES                                           </v>
          </cell>
        </row>
        <row r="81">
          <cell r="E81">
            <v>429000</v>
          </cell>
          <cell r="F81" t="str">
            <v>Other</v>
          </cell>
          <cell r="G81" t="str">
            <v>Y</v>
          </cell>
          <cell r="H81" t="str">
            <v>OTHER SUPPLIES</v>
          </cell>
          <cell r="J81">
            <v>431010</v>
          </cell>
          <cell r="K81" t="str">
            <v>Services</v>
          </cell>
          <cell r="L81" t="str">
            <v>Y</v>
          </cell>
          <cell r="M81" t="str">
            <v xml:space="preserve">LEGAL                                                     </v>
          </cell>
        </row>
        <row r="82">
          <cell r="E82">
            <v>429001</v>
          </cell>
          <cell r="F82" t="str">
            <v>Other</v>
          </cell>
          <cell r="G82" t="str">
            <v>Y</v>
          </cell>
          <cell r="H82" t="str">
            <v>UNIFORMS &amp; ACCESSORIES</v>
          </cell>
          <cell r="J82">
            <v>431020</v>
          </cell>
          <cell r="K82" t="str">
            <v>Services</v>
          </cell>
          <cell r="L82" t="str">
            <v>Y</v>
          </cell>
          <cell r="M82" t="str">
            <v xml:space="preserve">ENGINEERING                                               </v>
          </cell>
        </row>
        <row r="83">
          <cell r="E83">
            <v>429008</v>
          </cell>
          <cell r="F83" t="str">
            <v>Other</v>
          </cell>
          <cell r="G83" t="str">
            <v>Y</v>
          </cell>
          <cell r="H83" t="str">
            <v>SAFETY SUPPLIES</v>
          </cell>
          <cell r="J83">
            <v>431050</v>
          </cell>
          <cell r="K83" t="str">
            <v>Services</v>
          </cell>
          <cell r="L83" t="str">
            <v>Y</v>
          </cell>
          <cell r="M83" t="str">
            <v xml:space="preserve">CONTRACTUAL SERVICES                                      </v>
          </cell>
        </row>
        <row r="84">
          <cell r="E84">
            <v>431010</v>
          </cell>
          <cell r="F84" t="str">
            <v>Services</v>
          </cell>
          <cell r="G84" t="str">
            <v>Y</v>
          </cell>
          <cell r="H84" t="str">
            <v>LEGAL</v>
          </cell>
          <cell r="J84">
            <v>431051</v>
          </cell>
          <cell r="K84" t="str">
            <v>Services</v>
          </cell>
          <cell r="L84" t="str">
            <v>Y</v>
          </cell>
          <cell r="M84" t="str">
            <v xml:space="preserve">CONSULTANTS                                               </v>
          </cell>
        </row>
        <row r="85">
          <cell r="E85">
            <v>431050</v>
          </cell>
          <cell r="F85" t="str">
            <v>Services</v>
          </cell>
          <cell r="G85" t="str">
            <v>Y</v>
          </cell>
          <cell r="H85" t="str">
            <v>CONTRACTUAL SERVICES</v>
          </cell>
          <cell r="J85">
            <v>431052</v>
          </cell>
          <cell r="K85" t="str">
            <v>Services</v>
          </cell>
          <cell r="L85" t="str">
            <v>Y</v>
          </cell>
          <cell r="M85" t="str">
            <v>OPERATION MANAGEMENT</v>
          </cell>
        </row>
        <row r="86">
          <cell r="E86">
            <v>431051</v>
          </cell>
          <cell r="F86" t="str">
            <v>Services</v>
          </cell>
          <cell r="G86" t="str">
            <v>Y</v>
          </cell>
          <cell r="H86" t="str">
            <v>CONSULTANTS</v>
          </cell>
          <cell r="J86">
            <v>431057</v>
          </cell>
          <cell r="K86" t="str">
            <v>Services</v>
          </cell>
          <cell r="L86" t="str">
            <v>Y</v>
          </cell>
          <cell r="M86" t="str">
            <v>STREET SWEEPING</v>
          </cell>
        </row>
        <row r="87">
          <cell r="E87">
            <v>431055</v>
          </cell>
          <cell r="F87" t="str">
            <v>Distribution System</v>
          </cell>
          <cell r="G87" t="str">
            <v>Y</v>
          </cell>
          <cell r="H87" t="str">
            <v>HYDRANT</v>
          </cell>
          <cell r="J87">
            <v>431058</v>
          </cell>
          <cell r="K87" t="str">
            <v>Services</v>
          </cell>
          <cell r="L87" t="str">
            <v>Y</v>
          </cell>
          <cell r="M87" t="str">
            <v xml:space="preserve">UNIFORM CLEANING SERVICES                                 </v>
          </cell>
        </row>
        <row r="88">
          <cell r="E88">
            <v>431056</v>
          </cell>
          <cell r="F88" t="str">
            <v>Plant</v>
          </cell>
          <cell r="G88" t="str">
            <v>Y</v>
          </cell>
          <cell r="H88" t="str">
            <v>MAINTENANCE OF EQUIP</v>
          </cell>
          <cell r="J88">
            <v>431061</v>
          </cell>
          <cell r="K88" t="str">
            <v>Services</v>
          </cell>
          <cell r="L88" t="str">
            <v>Y</v>
          </cell>
          <cell r="M88" t="str">
            <v>COMPUTER SERVICES</v>
          </cell>
        </row>
        <row r="89">
          <cell r="E89">
            <v>431058</v>
          </cell>
          <cell r="F89" t="str">
            <v>Uniforms</v>
          </cell>
          <cell r="G89" t="str">
            <v>Y</v>
          </cell>
          <cell r="H89" t="str">
            <v>UNIFORM CLEANING SERVICE</v>
          </cell>
          <cell r="J89">
            <v>431062</v>
          </cell>
          <cell r="K89" t="str">
            <v>Services</v>
          </cell>
          <cell r="L89" t="str">
            <v>Y</v>
          </cell>
          <cell r="M89" t="str">
            <v xml:space="preserve">ACCOUNTING                                                </v>
          </cell>
        </row>
        <row r="90">
          <cell r="E90">
            <v>431061</v>
          </cell>
          <cell r="F90" t="str">
            <v>Services</v>
          </cell>
          <cell r="G90" t="str">
            <v>Y</v>
          </cell>
          <cell r="H90" t="str">
            <v>COMPUTER SERVICES</v>
          </cell>
          <cell r="J90">
            <v>431063</v>
          </cell>
          <cell r="K90" t="str">
            <v>Services</v>
          </cell>
          <cell r="L90" t="str">
            <v>Y</v>
          </cell>
          <cell r="M90" t="str">
            <v xml:space="preserve">ENGINEERING                                               </v>
          </cell>
        </row>
        <row r="91">
          <cell r="E91">
            <v>431062</v>
          </cell>
          <cell r="F91" t="str">
            <v>Services</v>
          </cell>
          <cell r="G91" t="str">
            <v>Y</v>
          </cell>
          <cell r="H91" t="str">
            <v>ACCOUNTING</v>
          </cell>
          <cell r="J91">
            <v>431064</v>
          </cell>
          <cell r="K91" t="str">
            <v>Services</v>
          </cell>
          <cell r="L91" t="str">
            <v>Y</v>
          </cell>
          <cell r="M91" t="str">
            <v xml:space="preserve">OTHER CONTRACTUAL SERVICES                                </v>
          </cell>
        </row>
        <row r="92">
          <cell r="E92">
            <v>431063</v>
          </cell>
          <cell r="F92" t="str">
            <v>Services</v>
          </cell>
          <cell r="G92" t="str">
            <v>Y</v>
          </cell>
          <cell r="H92" t="str">
            <v>ENGINEERING</v>
          </cell>
          <cell r="J92">
            <v>431065</v>
          </cell>
          <cell r="K92" t="str">
            <v>Services</v>
          </cell>
          <cell r="L92" t="str">
            <v>Y</v>
          </cell>
          <cell r="M92" t="str">
            <v>SECURITY</v>
          </cell>
        </row>
        <row r="93">
          <cell r="E93">
            <v>431064</v>
          </cell>
          <cell r="F93" t="str">
            <v>Services</v>
          </cell>
          <cell r="G93" t="str">
            <v>Y</v>
          </cell>
          <cell r="H93" t="str">
            <v>OTHER CONTRACTUAL SERVICE</v>
          </cell>
          <cell r="J93">
            <v>431066</v>
          </cell>
          <cell r="K93" t="str">
            <v>Services</v>
          </cell>
          <cell r="L93" t="str">
            <v>Y</v>
          </cell>
          <cell r="M93" t="str">
            <v xml:space="preserve">TRASH REMOVAL                                             </v>
          </cell>
        </row>
        <row r="94">
          <cell r="E94">
            <v>431065</v>
          </cell>
          <cell r="F94" t="str">
            <v>Services</v>
          </cell>
          <cell r="G94" t="str">
            <v>Y</v>
          </cell>
          <cell r="H94" t="str">
            <v>SECURITY</v>
          </cell>
          <cell r="J94">
            <v>431070</v>
          </cell>
          <cell r="K94" t="str">
            <v>Services</v>
          </cell>
          <cell r="L94" t="str">
            <v>Y</v>
          </cell>
          <cell r="M94" t="str">
            <v>IUPPS</v>
          </cell>
        </row>
        <row r="95">
          <cell r="E95">
            <v>431066</v>
          </cell>
          <cell r="F95" t="str">
            <v>Trash</v>
          </cell>
          <cell r="G95" t="str">
            <v>Y</v>
          </cell>
          <cell r="H95" t="str">
            <v>TRASH REMOVAL</v>
          </cell>
          <cell r="J95">
            <v>431072</v>
          </cell>
          <cell r="K95" t="str">
            <v>Services</v>
          </cell>
          <cell r="L95" t="str">
            <v>Y</v>
          </cell>
          <cell r="M95" t="str">
            <v>INVESTMENT SERVICES</v>
          </cell>
        </row>
        <row r="96">
          <cell r="E96">
            <v>431067</v>
          </cell>
          <cell r="F96" t="str">
            <v>Meters</v>
          </cell>
          <cell r="G96" t="str">
            <v>Y</v>
          </cell>
          <cell r="H96" t="str">
            <v>RESIDENTIAL METER</v>
          </cell>
          <cell r="J96">
            <v>431074</v>
          </cell>
          <cell r="K96" t="str">
            <v>Services</v>
          </cell>
          <cell r="L96" t="str">
            <v>Y</v>
          </cell>
          <cell r="M96" t="str">
            <v>LAB OTHER CONTRACTUAL</v>
          </cell>
        </row>
        <row r="97">
          <cell r="E97">
            <v>431068</v>
          </cell>
          <cell r="F97" t="str">
            <v>meters</v>
          </cell>
          <cell r="G97" t="str">
            <v>Y</v>
          </cell>
          <cell r="H97" t="str">
            <v>INDUSTRIAL METER</v>
          </cell>
          <cell r="J97">
            <v>431075</v>
          </cell>
          <cell r="K97" t="str">
            <v>Services</v>
          </cell>
          <cell r="L97" t="str">
            <v>Y</v>
          </cell>
          <cell r="M97" t="str">
            <v xml:space="preserve">SLUDGE REMOVAL EXPENSE                                    </v>
          </cell>
        </row>
        <row r="98">
          <cell r="E98">
            <v>431069</v>
          </cell>
          <cell r="F98" t="str">
            <v>Services</v>
          </cell>
          <cell r="G98" t="str">
            <v>Y</v>
          </cell>
          <cell r="H98" t="str">
            <v>GROUNDS</v>
          </cell>
          <cell r="J98">
            <v>431076</v>
          </cell>
          <cell r="K98" t="str">
            <v>Services</v>
          </cell>
          <cell r="L98" t="str">
            <v>Y</v>
          </cell>
          <cell r="M98" t="str">
            <v>SLUDGE REMOVAL OPERATING</v>
          </cell>
        </row>
        <row r="99">
          <cell r="E99">
            <v>431070</v>
          </cell>
          <cell r="F99" t="str">
            <v>Distribution System</v>
          </cell>
          <cell r="G99" t="str">
            <v>Y</v>
          </cell>
          <cell r="H99" t="str">
            <v>IUPPS</v>
          </cell>
          <cell r="J99">
            <v>431077</v>
          </cell>
          <cell r="K99" t="str">
            <v>Services</v>
          </cell>
          <cell r="L99" t="str">
            <v>Y</v>
          </cell>
          <cell r="M99" t="str">
            <v xml:space="preserve">SLUDGE REMOVAL M&amp;R                                        </v>
          </cell>
        </row>
        <row r="100">
          <cell r="E100">
            <v>431071</v>
          </cell>
          <cell r="F100" t="str">
            <v>Meters</v>
          </cell>
          <cell r="G100" t="str">
            <v>Y</v>
          </cell>
          <cell r="H100" t="str">
            <v>METER TESTING</v>
          </cell>
          <cell r="J100">
            <v>431078</v>
          </cell>
          <cell r="K100" t="str">
            <v>Services</v>
          </cell>
          <cell r="L100" t="str">
            <v>Y</v>
          </cell>
          <cell r="M100" t="str">
            <v>SLUDGE POLYMER</v>
          </cell>
        </row>
        <row r="101">
          <cell r="E101">
            <v>431075</v>
          </cell>
          <cell r="F101" t="str">
            <v>Services</v>
          </cell>
          <cell r="G101" t="str">
            <v>Y</v>
          </cell>
          <cell r="H101" t="str">
            <v>SLUDGE REMOVAL EXPENSE</v>
          </cell>
          <cell r="J101">
            <v>432020</v>
          </cell>
          <cell r="K101" t="str">
            <v>Services</v>
          </cell>
          <cell r="L101" t="str">
            <v>Y</v>
          </cell>
          <cell r="M101" t="str">
            <v xml:space="preserve">POSTAGE                                                   </v>
          </cell>
        </row>
        <row r="102">
          <cell r="E102">
            <v>431077</v>
          </cell>
          <cell r="F102" t="str">
            <v>Services</v>
          </cell>
          <cell r="G102" t="str">
            <v>Y</v>
          </cell>
          <cell r="H102" t="str">
            <v>SLUDGE REMOVAL M&amp;R</v>
          </cell>
          <cell r="J102">
            <v>432021</v>
          </cell>
          <cell r="K102" t="str">
            <v>Services</v>
          </cell>
          <cell r="L102" t="str">
            <v>Y</v>
          </cell>
          <cell r="M102" t="str">
            <v>LAB</v>
          </cell>
        </row>
        <row r="103">
          <cell r="E103">
            <v>432020</v>
          </cell>
          <cell r="F103" t="str">
            <v>Communications</v>
          </cell>
          <cell r="G103" t="str">
            <v>Y</v>
          </cell>
          <cell r="H103" t="str">
            <v>POSTAGE</v>
          </cell>
          <cell r="J103">
            <v>432022</v>
          </cell>
          <cell r="K103" t="str">
            <v>Services</v>
          </cell>
          <cell r="L103" t="str">
            <v>Y</v>
          </cell>
          <cell r="M103" t="str">
            <v>TREATMENT</v>
          </cell>
        </row>
        <row r="104">
          <cell r="E104">
            <v>432021</v>
          </cell>
          <cell r="F104" t="str">
            <v>Lab</v>
          </cell>
          <cell r="G104" t="str">
            <v>Y</v>
          </cell>
          <cell r="H104" t="str">
            <v>LAB</v>
          </cell>
          <cell r="J104">
            <v>432030</v>
          </cell>
          <cell r="K104" t="str">
            <v>Services</v>
          </cell>
          <cell r="L104" t="str">
            <v>Y</v>
          </cell>
          <cell r="M104" t="str">
            <v xml:space="preserve">TRAVEL                                                    </v>
          </cell>
        </row>
        <row r="105">
          <cell r="E105">
            <v>432022</v>
          </cell>
          <cell r="F105" t="str">
            <v>Treatment</v>
          </cell>
          <cell r="G105" t="str">
            <v>Y</v>
          </cell>
          <cell r="H105" t="str">
            <v>TREATMENT</v>
          </cell>
          <cell r="J105">
            <v>432040</v>
          </cell>
          <cell r="K105" t="str">
            <v>Services</v>
          </cell>
          <cell r="L105" t="str">
            <v>Y</v>
          </cell>
          <cell r="M105" t="str">
            <v xml:space="preserve">TELEPHONE                                                 </v>
          </cell>
        </row>
        <row r="106">
          <cell r="E106">
            <v>432030</v>
          </cell>
          <cell r="F106" t="str">
            <v>Travel</v>
          </cell>
          <cell r="G106" t="str">
            <v>Y</v>
          </cell>
          <cell r="H106" t="str">
            <v>TRAVEL</v>
          </cell>
          <cell r="J106">
            <v>433010</v>
          </cell>
          <cell r="K106" t="str">
            <v>Services</v>
          </cell>
          <cell r="L106" t="str">
            <v>Y</v>
          </cell>
          <cell r="M106" t="str">
            <v xml:space="preserve">PRINTING &amp; ADVERTISING                                    </v>
          </cell>
        </row>
        <row r="107">
          <cell r="E107">
            <v>432040</v>
          </cell>
          <cell r="F107" t="str">
            <v>Communications</v>
          </cell>
          <cell r="G107" t="str">
            <v>Y</v>
          </cell>
          <cell r="H107" t="str">
            <v>TELEPHONE</v>
          </cell>
          <cell r="J107">
            <v>434010</v>
          </cell>
          <cell r="K107" t="str">
            <v>Services</v>
          </cell>
          <cell r="L107" t="str">
            <v>Y</v>
          </cell>
          <cell r="M107" t="str">
            <v xml:space="preserve">WORKMEN'S COMPENSATION                                    </v>
          </cell>
        </row>
        <row r="108">
          <cell r="E108">
            <v>433010</v>
          </cell>
          <cell r="F108" t="str">
            <v>Communications</v>
          </cell>
          <cell r="G108" t="str">
            <v>Y</v>
          </cell>
          <cell r="H108" t="str">
            <v>PRINTING &amp; ADVERTISING</v>
          </cell>
          <cell r="J108">
            <v>434020</v>
          </cell>
          <cell r="K108" t="str">
            <v>Services</v>
          </cell>
          <cell r="L108" t="str">
            <v>Y</v>
          </cell>
          <cell r="M108" t="str">
            <v xml:space="preserve">LIABILITY INSURANCE                                       </v>
          </cell>
        </row>
        <row r="109">
          <cell r="E109">
            <v>434010</v>
          </cell>
          <cell r="F109" t="str">
            <v>Insurance</v>
          </cell>
          <cell r="G109" t="str">
            <v>Y</v>
          </cell>
          <cell r="H109" t="str">
            <v>WORKMEN'S COMPENSATION</v>
          </cell>
          <cell r="J109">
            <v>435000</v>
          </cell>
          <cell r="K109" t="str">
            <v>Power/Gas/Utility</v>
          </cell>
          <cell r="L109" t="str">
            <v>Y</v>
          </cell>
          <cell r="M109" t="str">
            <v>UTILITY SERVICS</v>
          </cell>
        </row>
        <row r="110">
          <cell r="E110">
            <v>434020</v>
          </cell>
          <cell r="F110" t="str">
            <v>Insurance</v>
          </cell>
          <cell r="G110" t="str">
            <v>Y</v>
          </cell>
          <cell r="H110" t="str">
            <v>LIABILITY INSURANCE</v>
          </cell>
          <cell r="J110">
            <v>435001</v>
          </cell>
          <cell r="K110" t="str">
            <v>Power/Gas/Utility</v>
          </cell>
          <cell r="L110" t="str">
            <v>Y</v>
          </cell>
          <cell r="M110" t="str">
            <v>PLANT ELECTRICITY</v>
          </cell>
        </row>
        <row r="111">
          <cell r="E111">
            <v>435000</v>
          </cell>
          <cell r="F111" t="str">
            <v>Power/Gas/Utility</v>
          </cell>
          <cell r="G111" t="str">
            <v>Y</v>
          </cell>
          <cell r="H111" t="str">
            <v>UTILITY SERVICES</v>
          </cell>
          <cell r="J111">
            <v>435002</v>
          </cell>
          <cell r="K111" t="str">
            <v>Power/Gas/Utility</v>
          </cell>
          <cell r="L111" t="str">
            <v>Y</v>
          </cell>
          <cell r="M111" t="str">
            <v>PLANT NATURAL GAS</v>
          </cell>
        </row>
        <row r="112">
          <cell r="E112">
            <v>435001</v>
          </cell>
          <cell r="F112" t="str">
            <v>Power/Gas/Utility</v>
          </cell>
          <cell r="G112" t="str">
            <v>Y</v>
          </cell>
          <cell r="H112" t="str">
            <v>PLANT ELECTRICITY</v>
          </cell>
          <cell r="J112">
            <v>435003</v>
          </cell>
          <cell r="K112" t="str">
            <v>Power/Gas/Utility</v>
          </cell>
          <cell r="L112" t="str">
            <v>Y</v>
          </cell>
          <cell r="M112" t="str">
            <v>GENERATOR FUEL</v>
          </cell>
        </row>
        <row r="113">
          <cell r="E113">
            <v>435002</v>
          </cell>
          <cell r="F113" t="str">
            <v>Power/Gas/Utility</v>
          </cell>
          <cell r="G113" t="str">
            <v>Y</v>
          </cell>
          <cell r="H113" t="str">
            <v>PLANT NATURAL GAS</v>
          </cell>
          <cell r="J113">
            <v>435010</v>
          </cell>
          <cell r="K113" t="str">
            <v>Power/Gas/Utility</v>
          </cell>
          <cell r="L113" t="str">
            <v>Y</v>
          </cell>
          <cell r="M113" t="str">
            <v>STATIONS ELECTRICITY</v>
          </cell>
        </row>
        <row r="114">
          <cell r="E114">
            <v>435003</v>
          </cell>
          <cell r="F114" t="str">
            <v>Power/Gas/Utility</v>
          </cell>
          <cell r="G114" t="str">
            <v>Y</v>
          </cell>
          <cell r="H114" t="str">
            <v>GENERATOR FUEL</v>
          </cell>
          <cell r="J114">
            <v>435011</v>
          </cell>
          <cell r="K114" t="str">
            <v>Power/Gas/Utility</v>
          </cell>
          <cell r="L114" t="str">
            <v>Y</v>
          </cell>
          <cell r="M114" t="str">
            <v xml:space="preserve">ELECTRIC SERVICES-TREATMNT                                </v>
          </cell>
        </row>
        <row r="115">
          <cell r="E115">
            <v>435010</v>
          </cell>
          <cell r="F115" t="str">
            <v>Power/Gas/Utility</v>
          </cell>
          <cell r="G115" t="str">
            <v>Y</v>
          </cell>
          <cell r="H115" t="str">
            <v>STATIONS ELECTRICITY</v>
          </cell>
          <cell r="J115">
            <v>435012</v>
          </cell>
          <cell r="K115" t="str">
            <v>Power/Gas/Utility</v>
          </cell>
          <cell r="L115" t="str">
            <v>Y</v>
          </cell>
          <cell r="M115" t="str">
            <v xml:space="preserve">ELECTRIC SVCS WEST TREATMENT                              </v>
          </cell>
        </row>
        <row r="116">
          <cell r="E116">
            <v>435011</v>
          </cell>
          <cell r="F116" t="str">
            <v>Power/Gas/Utility</v>
          </cell>
          <cell r="G116" t="str">
            <v>Y</v>
          </cell>
          <cell r="H116" t="str">
            <v>ELECTRIC SERVICES-TREATMNT</v>
          </cell>
          <cell r="J116">
            <v>435013</v>
          </cell>
          <cell r="K116" t="str">
            <v>Power/Gas/Utility</v>
          </cell>
          <cell r="L116" t="str">
            <v>Y</v>
          </cell>
          <cell r="M116" t="str">
            <v xml:space="preserve">ELECTRIC SVCS PRETREATMENT                                </v>
          </cell>
        </row>
        <row r="117">
          <cell r="E117">
            <v>435012</v>
          </cell>
          <cell r="F117" t="str">
            <v>Power/Gas/Utility</v>
          </cell>
          <cell r="G117" t="str">
            <v>Y</v>
          </cell>
          <cell r="H117" t="str">
            <v>ELECTRIC SVCS WEST TREATMENT</v>
          </cell>
          <cell r="J117">
            <v>435014</v>
          </cell>
          <cell r="K117" t="str">
            <v>Power/Gas/Utility</v>
          </cell>
          <cell r="L117" t="str">
            <v>Y</v>
          </cell>
          <cell r="M117" t="str">
            <v>ELECTRIC SERVICES BUILDING A</v>
          </cell>
        </row>
        <row r="118">
          <cell r="E118">
            <v>435013</v>
          </cell>
          <cell r="F118" t="str">
            <v>Power/Gas/Utility</v>
          </cell>
          <cell r="G118" t="str">
            <v>Y</v>
          </cell>
          <cell r="H118" t="str">
            <v>ELECTRIC SVCS PRETREATMENT</v>
          </cell>
          <cell r="J118">
            <v>435020</v>
          </cell>
          <cell r="K118" t="str">
            <v>Power/Gas/Utility</v>
          </cell>
          <cell r="L118" t="str">
            <v>Y</v>
          </cell>
          <cell r="M118" t="str">
            <v xml:space="preserve">GAS SERVICES                                              </v>
          </cell>
        </row>
        <row r="119">
          <cell r="E119">
            <v>435020</v>
          </cell>
          <cell r="F119" t="str">
            <v>Power/Gas/Utility</v>
          </cell>
          <cell r="G119" t="str">
            <v>Y</v>
          </cell>
          <cell r="H119" t="str">
            <v>GAS SERVICES</v>
          </cell>
          <cell r="J119">
            <v>435021</v>
          </cell>
          <cell r="K119" t="str">
            <v>Power/Gas/Utility</v>
          </cell>
          <cell r="L119" t="str">
            <v>Y</v>
          </cell>
          <cell r="M119" t="str">
            <v xml:space="preserve">GAS SVCS WEST TREATMENT                                   </v>
          </cell>
        </row>
        <row r="120">
          <cell r="E120">
            <v>435021</v>
          </cell>
          <cell r="F120" t="str">
            <v>Power/Gas/Utility</v>
          </cell>
          <cell r="G120" t="str">
            <v>Y</v>
          </cell>
          <cell r="H120" t="str">
            <v>GAS SVCS WEST TREATMENT</v>
          </cell>
          <cell r="J120">
            <v>435022</v>
          </cell>
          <cell r="K120" t="str">
            <v>Power/Gas/Utility</v>
          </cell>
          <cell r="L120" t="str">
            <v>Y</v>
          </cell>
          <cell r="M120" t="str">
            <v xml:space="preserve">GAS SERVICES PRETREATMENT                                 </v>
          </cell>
        </row>
        <row r="121">
          <cell r="E121">
            <v>435022</v>
          </cell>
          <cell r="F121" t="str">
            <v>Power/Gas/Utility</v>
          </cell>
          <cell r="G121" t="str">
            <v>Y</v>
          </cell>
          <cell r="H121" t="str">
            <v>GAS SERVICES PRETREATMENT</v>
          </cell>
          <cell r="J121">
            <v>435023</v>
          </cell>
          <cell r="K121" t="str">
            <v>Power/Gas/Utility</v>
          </cell>
          <cell r="L121" t="str">
            <v>Y</v>
          </cell>
          <cell r="M121" t="str">
            <v xml:space="preserve">GAS SERVICES PRETREATMENT                                 </v>
          </cell>
        </row>
        <row r="122">
          <cell r="E122">
            <v>435040</v>
          </cell>
          <cell r="F122" t="str">
            <v>Power/Gas/Utility</v>
          </cell>
          <cell r="G122" t="str">
            <v>Y</v>
          </cell>
          <cell r="H122" t="str">
            <v>WATER SERVICES</v>
          </cell>
          <cell r="J122">
            <v>435040</v>
          </cell>
          <cell r="K122" t="str">
            <v>Power/Gas/Utility</v>
          </cell>
          <cell r="L122" t="str">
            <v>Y</v>
          </cell>
          <cell r="M122" t="str">
            <v xml:space="preserve">WATER SERVICES                                            </v>
          </cell>
        </row>
        <row r="123">
          <cell r="E123">
            <v>435041</v>
          </cell>
          <cell r="F123" t="str">
            <v>Power/Gas/Utility</v>
          </cell>
          <cell r="G123" t="str">
            <v>Y</v>
          </cell>
          <cell r="H123" t="str">
            <v>WATER SERVICES LIFT STATION</v>
          </cell>
          <cell r="J123">
            <v>435041</v>
          </cell>
          <cell r="K123" t="str">
            <v>Power/Gas/Utility</v>
          </cell>
          <cell r="L123" t="str">
            <v>Y</v>
          </cell>
          <cell r="M123" t="str">
            <v xml:space="preserve">WATER SERVICES LIFT STATION                               </v>
          </cell>
        </row>
        <row r="124">
          <cell r="E124">
            <v>436010</v>
          </cell>
          <cell r="F124" t="str">
            <v>Maintenance &amp; Repair</v>
          </cell>
          <cell r="G124" t="str">
            <v>Y</v>
          </cell>
          <cell r="H124" t="str">
            <v xml:space="preserve">REPAIRS &amp; MAINTENANCE         </v>
          </cell>
          <cell r="J124">
            <v>436020</v>
          </cell>
          <cell r="K124" t="str">
            <v>Maintenance &amp; Repair</v>
          </cell>
          <cell r="L124" t="str">
            <v>Y</v>
          </cell>
          <cell r="M124" t="str">
            <v xml:space="preserve">EQUIPMENT REPAIR/MAINT                                    </v>
          </cell>
        </row>
        <row r="125">
          <cell r="E125">
            <v>436011</v>
          </cell>
          <cell r="F125" t="str">
            <v>Maintenance &amp; Repair</v>
          </cell>
          <cell r="G125" t="str">
            <v>Y</v>
          </cell>
          <cell r="H125" t="str">
            <v>FACILITY MAINTENANCE</v>
          </cell>
          <cell r="J125">
            <v>436021</v>
          </cell>
          <cell r="K125" t="str">
            <v>Maintenance &amp; Repair</v>
          </cell>
          <cell r="L125" t="str">
            <v>Y</v>
          </cell>
          <cell r="M125" t="str">
            <v xml:space="preserve">EQUIPMENT M&amp;R STATIONS                                    </v>
          </cell>
        </row>
        <row r="126">
          <cell r="E126">
            <v>436014</v>
          </cell>
          <cell r="F126" t="str">
            <v>Maintenance &amp; Repair</v>
          </cell>
          <cell r="G126" t="str">
            <v>Y</v>
          </cell>
          <cell r="H126" t="str">
            <v xml:space="preserve">SOURCE FACILITY M&amp;R           </v>
          </cell>
          <cell r="J126">
            <v>436022</v>
          </cell>
          <cell r="K126" t="str">
            <v>Maintenance &amp; Repair</v>
          </cell>
          <cell r="L126" t="str">
            <v>Y</v>
          </cell>
          <cell r="M126" t="str">
            <v>TREATMENT EQUIPMENT</v>
          </cell>
        </row>
        <row r="127">
          <cell r="E127">
            <v>436015</v>
          </cell>
          <cell r="F127" t="str">
            <v>Capital</v>
          </cell>
          <cell r="G127" t="str">
            <v>N</v>
          </cell>
          <cell r="H127" t="str">
            <v xml:space="preserve">SOURCE FAC M&amp;R CONTRACTOR     </v>
          </cell>
          <cell r="J127">
            <v>436023</v>
          </cell>
          <cell r="K127" t="str">
            <v>Maintenance &amp; Repair</v>
          </cell>
          <cell r="L127" t="str">
            <v>Y</v>
          </cell>
          <cell r="M127" t="str">
            <v>SOURCE EQUIPMENT</v>
          </cell>
        </row>
        <row r="128">
          <cell r="E128">
            <v>436020</v>
          </cell>
          <cell r="F128" t="str">
            <v>Maintenance &amp; Repair</v>
          </cell>
          <cell r="G128" t="str">
            <v>Y</v>
          </cell>
          <cell r="H128" t="str">
            <v>EQUIPMENT REPAIR/MAINT</v>
          </cell>
          <cell r="J128">
            <v>436025</v>
          </cell>
          <cell r="K128" t="str">
            <v>Maintenance &amp; Repair</v>
          </cell>
          <cell r="L128" t="str">
            <v>Y</v>
          </cell>
          <cell r="M128" t="str">
            <v>STATIONS EQUIPMENT</v>
          </cell>
        </row>
        <row r="129">
          <cell r="E129">
            <v>436021</v>
          </cell>
          <cell r="F129" t="str">
            <v>Maintenance &amp; Repair</v>
          </cell>
          <cell r="G129" t="str">
            <v>Y</v>
          </cell>
          <cell r="H129" t="str">
            <v>EQUIPMENT M&amp;R STATIONS</v>
          </cell>
          <cell r="J129">
            <v>436028</v>
          </cell>
          <cell r="K129" t="str">
            <v>Maintenance &amp; Repair</v>
          </cell>
          <cell r="L129" t="str">
            <v>Y</v>
          </cell>
          <cell r="M129" t="str">
            <v xml:space="preserve">GREEN INFRASTRUCTURE MAINT.   </v>
          </cell>
        </row>
        <row r="130">
          <cell r="E130">
            <v>436022</v>
          </cell>
          <cell r="F130" t="str">
            <v>Maintenance &amp; Repair</v>
          </cell>
          <cell r="G130" t="str">
            <v>Y</v>
          </cell>
          <cell r="H130" t="str">
            <v>TREATMENT EQUIPMENT</v>
          </cell>
          <cell r="J130">
            <v>436050</v>
          </cell>
          <cell r="K130" t="str">
            <v>Maintenance &amp; Repair</v>
          </cell>
          <cell r="L130" t="str">
            <v>Y</v>
          </cell>
          <cell r="M130" t="str">
            <v xml:space="preserve">OTHER REPAIRS/MAINT                                       </v>
          </cell>
        </row>
        <row r="131">
          <cell r="E131">
            <v>436023</v>
          </cell>
          <cell r="F131" t="str">
            <v>Maintenance &amp; Repair</v>
          </cell>
          <cell r="G131" t="str">
            <v>Y</v>
          </cell>
          <cell r="H131" t="str">
            <v>SOURCE EQUIPMENT</v>
          </cell>
          <cell r="J131">
            <v>436051</v>
          </cell>
          <cell r="K131" t="str">
            <v>Maintenance &amp; Repair</v>
          </cell>
          <cell r="L131" t="str">
            <v>Y</v>
          </cell>
          <cell r="M131" t="str">
            <v xml:space="preserve">EMERG SEWER REPAIRS/MAINT                                 </v>
          </cell>
        </row>
        <row r="132">
          <cell r="E132">
            <v>436024</v>
          </cell>
          <cell r="F132" t="str">
            <v>Maintenance &amp; Repair</v>
          </cell>
          <cell r="G132" t="str">
            <v>Y</v>
          </cell>
          <cell r="H132" t="str">
            <v>SOURCE EQUIPMENT M &amp; R</v>
          </cell>
          <cell r="J132">
            <v>436055</v>
          </cell>
          <cell r="K132" t="str">
            <v>Maintenance &amp; Repair</v>
          </cell>
          <cell r="L132" t="str">
            <v>Y</v>
          </cell>
          <cell r="M132" t="str">
            <v>SYSTEM MAINTENANCE</v>
          </cell>
        </row>
        <row r="133">
          <cell r="E133">
            <v>436025</v>
          </cell>
          <cell r="F133" t="str">
            <v>Maintenance &amp; Repair</v>
          </cell>
          <cell r="G133" t="str">
            <v>Y</v>
          </cell>
          <cell r="H133" t="str">
            <v>STATIONS EQUIPMENT</v>
          </cell>
          <cell r="J133">
            <v>436062</v>
          </cell>
          <cell r="K133" t="str">
            <v>Maintenance &amp; Repair</v>
          </cell>
          <cell r="L133" t="str">
            <v>Y</v>
          </cell>
          <cell r="M133" t="str">
            <v xml:space="preserve">EQUIP M&amp;R EAST PLANT                                      </v>
          </cell>
        </row>
        <row r="134">
          <cell r="E134">
            <v>436026</v>
          </cell>
          <cell r="F134" t="str">
            <v>Maintenance &amp; Repair</v>
          </cell>
          <cell r="G134" t="str">
            <v>Y</v>
          </cell>
          <cell r="H134" t="str">
            <v>STATIONS EQUIPMENT</v>
          </cell>
          <cell r="J134">
            <v>436063</v>
          </cell>
          <cell r="K134" t="str">
            <v>Maintenance &amp; Repair</v>
          </cell>
          <cell r="L134" t="str">
            <v>Y</v>
          </cell>
          <cell r="M134" t="str">
            <v xml:space="preserve">EQUIP M&amp;R EAST PLANT CONT                                 </v>
          </cell>
        </row>
        <row r="135">
          <cell r="E135">
            <v>436050</v>
          </cell>
          <cell r="F135" t="str">
            <v>Maintenance &amp; Repair</v>
          </cell>
          <cell r="G135" t="str">
            <v>Y</v>
          </cell>
          <cell r="H135" t="str">
            <v>OTHER REPAIRS/MAINT</v>
          </cell>
          <cell r="J135">
            <v>436064</v>
          </cell>
          <cell r="K135" t="str">
            <v>Maintenance &amp; Repair</v>
          </cell>
          <cell r="L135" t="str">
            <v>Y</v>
          </cell>
          <cell r="M135" t="str">
            <v xml:space="preserve">EQUIP M&amp;R WEST PLANT                                      </v>
          </cell>
        </row>
        <row r="136">
          <cell r="E136">
            <v>436052</v>
          </cell>
          <cell r="F136" t="str">
            <v>Maintenance &amp; Repair</v>
          </cell>
          <cell r="G136" t="str">
            <v>Y</v>
          </cell>
          <cell r="H136" t="str">
            <v>EQUIPMENT M&amp;R CONTRACTUAL</v>
          </cell>
          <cell r="J136">
            <v>436065</v>
          </cell>
          <cell r="K136" t="str">
            <v>Maintenance &amp; Repair</v>
          </cell>
          <cell r="L136" t="str">
            <v>Y</v>
          </cell>
          <cell r="M136" t="str">
            <v xml:space="preserve">EQUIP M&amp;R WEST PLANT CONT                                 </v>
          </cell>
        </row>
        <row r="137">
          <cell r="E137">
            <v>436053</v>
          </cell>
          <cell r="F137" t="str">
            <v>Maintenance &amp; Repair</v>
          </cell>
          <cell r="G137" t="str">
            <v>Y</v>
          </cell>
          <cell r="H137" t="str">
            <v>BUILDING M&amp;R</v>
          </cell>
          <cell r="J137">
            <v>436066</v>
          </cell>
          <cell r="K137" t="str">
            <v>Maintenance &amp; Repair</v>
          </cell>
          <cell r="L137" t="str">
            <v>Y</v>
          </cell>
          <cell r="M137" t="str">
            <v xml:space="preserve">EQUIP M&amp;R STATIONS CONT                                   </v>
          </cell>
        </row>
        <row r="138">
          <cell r="E138">
            <v>436054</v>
          </cell>
          <cell r="F138" t="str">
            <v>Maintenance &amp; Repair</v>
          </cell>
          <cell r="G138" t="str">
            <v>Y</v>
          </cell>
          <cell r="H138" t="str">
            <v>BUILDING M&amp;R CONT</v>
          </cell>
          <cell r="J138">
            <v>436067</v>
          </cell>
          <cell r="K138" t="str">
            <v>Maintenance &amp; Repair</v>
          </cell>
          <cell r="L138" t="str">
            <v>Y</v>
          </cell>
          <cell r="M138" t="str">
            <v xml:space="preserve">FACILITY MAINTENANCE                                      </v>
          </cell>
        </row>
        <row r="139">
          <cell r="E139">
            <v>436055</v>
          </cell>
          <cell r="F139" t="str">
            <v>Maintenance &amp; Repair</v>
          </cell>
          <cell r="G139" t="str">
            <v>Y</v>
          </cell>
          <cell r="H139" t="str">
            <v>SYSTEM MAINTENANCE</v>
          </cell>
          <cell r="J139">
            <v>436068</v>
          </cell>
          <cell r="K139" t="str">
            <v>Maintenance &amp; Repair</v>
          </cell>
          <cell r="L139" t="str">
            <v>Y</v>
          </cell>
          <cell r="M139" t="str">
            <v xml:space="preserve">EAST PLANT M&amp;R FACILITY         </v>
          </cell>
        </row>
        <row r="140">
          <cell r="E140">
            <v>436056</v>
          </cell>
          <cell r="F140" t="str">
            <v>Maintenance &amp; Repair</v>
          </cell>
          <cell r="G140" t="str">
            <v>Y</v>
          </cell>
          <cell r="H140" t="str">
            <v>WATER MAIN M&amp;R</v>
          </cell>
          <cell r="J140">
            <v>436069</v>
          </cell>
          <cell r="K140" t="str">
            <v>Maintenance &amp; Repair</v>
          </cell>
          <cell r="L140" t="str">
            <v>Y</v>
          </cell>
          <cell r="M140" t="str">
            <v xml:space="preserve">EAST PLANT M&amp;R FACILITY CONT                              </v>
          </cell>
        </row>
        <row r="141">
          <cell r="E141">
            <v>436057</v>
          </cell>
          <cell r="F141" t="str">
            <v>Maintenance &amp; Repair</v>
          </cell>
          <cell r="G141" t="str">
            <v>Y</v>
          </cell>
          <cell r="H141" t="str">
            <v>WATER MAIN M&amp;R CONT</v>
          </cell>
          <cell r="J141">
            <v>436070</v>
          </cell>
          <cell r="K141" t="str">
            <v>Maintenance &amp; Repair</v>
          </cell>
          <cell r="L141" t="str">
            <v>Y</v>
          </cell>
          <cell r="M141" t="str">
            <v>WEST PLANT M&amp;R FACILITY</v>
          </cell>
        </row>
        <row r="142">
          <cell r="E142">
            <v>436058</v>
          </cell>
          <cell r="F142" t="str">
            <v>Maintenance &amp; Repair</v>
          </cell>
          <cell r="G142" t="str">
            <v>Y</v>
          </cell>
          <cell r="H142" t="str">
            <v>HYDRANT M&amp;R</v>
          </cell>
          <cell r="J142">
            <v>436071</v>
          </cell>
          <cell r="K142" t="str">
            <v>Maintenance &amp; Repair</v>
          </cell>
          <cell r="L142" t="str">
            <v>Y</v>
          </cell>
          <cell r="M142" t="str">
            <v>WEST PLANT M&amp;R FACILITY CONT</v>
          </cell>
        </row>
        <row r="143">
          <cell r="E143">
            <v>436059</v>
          </cell>
          <cell r="F143" t="str">
            <v>Maintenance &amp; Repair</v>
          </cell>
          <cell r="G143" t="str">
            <v>Y</v>
          </cell>
          <cell r="H143" t="str">
            <v>BLOW OFF M&amp;R</v>
          </cell>
          <cell r="J143">
            <v>436072</v>
          </cell>
          <cell r="K143" t="str">
            <v>Maintenance &amp; Repair</v>
          </cell>
          <cell r="L143" t="str">
            <v>Y</v>
          </cell>
          <cell r="M143" t="str">
            <v>STATIONS FACILITY MAINTENANCE</v>
          </cell>
        </row>
        <row r="144">
          <cell r="E144">
            <v>436060</v>
          </cell>
          <cell r="F144" t="str">
            <v>Maintenance &amp; Repair</v>
          </cell>
          <cell r="G144" t="str">
            <v>Y</v>
          </cell>
          <cell r="H144" t="str">
            <v>SERVICES M&amp;R</v>
          </cell>
          <cell r="J144">
            <v>436073</v>
          </cell>
          <cell r="K144" t="str">
            <v>Maintenance &amp; Repair</v>
          </cell>
          <cell r="L144" t="str">
            <v>Y</v>
          </cell>
          <cell r="M144" t="str">
            <v>STATIONS FACILITY MAINTENANCE CONT</v>
          </cell>
        </row>
        <row r="145">
          <cell r="E145">
            <v>436061</v>
          </cell>
          <cell r="F145" t="str">
            <v>Maintenance &amp; Repair</v>
          </cell>
          <cell r="G145" t="str">
            <v>Y</v>
          </cell>
          <cell r="H145" t="str">
            <v>SERVICES M&amp;R CONT</v>
          </cell>
          <cell r="J145">
            <v>436074</v>
          </cell>
          <cell r="K145" t="str">
            <v>Maintenance &amp; Repair</v>
          </cell>
          <cell r="L145" t="str">
            <v>Y</v>
          </cell>
          <cell r="M145" t="str">
            <v>CSO EQUIPMNT M &amp; R CONTRACTUAL</v>
          </cell>
        </row>
        <row r="146">
          <cell r="E146">
            <v>436062</v>
          </cell>
          <cell r="F146" t="str">
            <v>Maintenance &amp; Repair</v>
          </cell>
          <cell r="G146" t="str">
            <v>Y</v>
          </cell>
          <cell r="H146" t="str">
            <v>EQUIP M&amp;R EAST PLANT</v>
          </cell>
          <cell r="J146">
            <v>436075</v>
          </cell>
          <cell r="K146" t="str">
            <v>Maintenance &amp; Repair</v>
          </cell>
          <cell r="L146" t="str">
            <v>Y</v>
          </cell>
          <cell r="M146" t="str">
            <v>CSO FACILITY M &amp; R CONTRACTUAL</v>
          </cell>
        </row>
        <row r="147">
          <cell r="E147">
            <v>436063</v>
          </cell>
          <cell r="F147" t="str">
            <v>Maintenance &amp; Repair</v>
          </cell>
          <cell r="G147" t="str">
            <v>Y</v>
          </cell>
          <cell r="H147" t="str">
            <v>EQUIP M&amp;R EAST PLANT CONT</v>
          </cell>
          <cell r="J147">
            <v>437020</v>
          </cell>
          <cell r="K147" t="str">
            <v>Rent</v>
          </cell>
          <cell r="L147" t="str">
            <v>Y</v>
          </cell>
          <cell r="M147" t="str">
            <v>EQUIPMNENT RENTAL</v>
          </cell>
        </row>
        <row r="148">
          <cell r="E148">
            <v>436064</v>
          </cell>
          <cell r="F148" t="str">
            <v>Maintenance &amp; Repair</v>
          </cell>
          <cell r="G148" t="str">
            <v>Y</v>
          </cell>
          <cell r="H148" t="str">
            <v>EQUIP M&amp;R WEST PLANT</v>
          </cell>
          <cell r="J148">
            <v>437030</v>
          </cell>
          <cell r="K148" t="str">
            <v>Rent</v>
          </cell>
          <cell r="L148" t="str">
            <v>Y</v>
          </cell>
          <cell r="M148" t="str">
            <v xml:space="preserve">OFFICE SPACE RENTAL                                       </v>
          </cell>
        </row>
        <row r="149">
          <cell r="E149">
            <v>436065</v>
          </cell>
          <cell r="F149" t="str">
            <v>Maintenance &amp; Repair</v>
          </cell>
          <cell r="G149" t="str">
            <v>Y</v>
          </cell>
          <cell r="H149" t="str">
            <v>EQUIP M&amp;R WEST PLANT CONT</v>
          </cell>
          <cell r="J149">
            <v>438010</v>
          </cell>
          <cell r="K149" t="str">
            <v>Bond</v>
          </cell>
          <cell r="L149" t="str">
            <v>Y</v>
          </cell>
          <cell r="M149" t="str">
            <v>PRINCIPAL</v>
          </cell>
        </row>
        <row r="150">
          <cell r="E150">
            <v>436066</v>
          </cell>
          <cell r="F150" t="str">
            <v>Maintenance &amp; Repair</v>
          </cell>
          <cell r="G150" t="str">
            <v>Y</v>
          </cell>
          <cell r="H150" t="str">
            <v>EQUIP M&amp;R STATIONS CONT</v>
          </cell>
          <cell r="J150">
            <v>438020</v>
          </cell>
          <cell r="K150" t="str">
            <v>Bond</v>
          </cell>
          <cell r="L150" t="str">
            <v>Y</v>
          </cell>
          <cell r="M150" t="str">
            <v xml:space="preserve">INTEREST EXPENSE                                          </v>
          </cell>
        </row>
        <row r="151">
          <cell r="E151">
            <v>436067</v>
          </cell>
          <cell r="F151" t="str">
            <v>Maintenance &amp; Repair</v>
          </cell>
          <cell r="G151" t="str">
            <v>Y</v>
          </cell>
          <cell r="H151" t="str">
            <v>FACILITY MAINTENANCE</v>
          </cell>
          <cell r="J151">
            <v>438030</v>
          </cell>
          <cell r="K151" t="str">
            <v>Bond</v>
          </cell>
          <cell r="L151" t="str">
            <v>Y</v>
          </cell>
          <cell r="M151" t="str">
            <v>PAYING AGENT FEES</v>
          </cell>
        </row>
        <row r="152">
          <cell r="E152">
            <v>436069</v>
          </cell>
          <cell r="F152" t="str">
            <v>Maintenance &amp; Repair</v>
          </cell>
          <cell r="G152" t="str">
            <v>Y</v>
          </cell>
          <cell r="H152" t="str">
            <v>EAST PLANT M&amp;R FACILITY CONT</v>
          </cell>
          <cell r="J152">
            <v>438040</v>
          </cell>
          <cell r="K152" t="str">
            <v>Issuance Cost</v>
          </cell>
          <cell r="L152" t="str">
            <v>N</v>
          </cell>
          <cell r="M152" t="str">
            <v xml:space="preserve">ISSUANCE COST                 </v>
          </cell>
        </row>
        <row r="153">
          <cell r="E153">
            <v>437020</v>
          </cell>
          <cell r="F153" t="str">
            <v>Rent</v>
          </cell>
          <cell r="G153" t="str">
            <v>Y</v>
          </cell>
          <cell r="H153" t="str">
            <v xml:space="preserve">EQUIPMENT RENTAL              </v>
          </cell>
          <cell r="J153">
            <v>439010</v>
          </cell>
          <cell r="K153" t="str">
            <v>Services</v>
          </cell>
          <cell r="L153" t="str">
            <v>Y</v>
          </cell>
          <cell r="M153" t="str">
            <v>REFUNDS AWARDS &amp; INDEMITY</v>
          </cell>
        </row>
        <row r="154">
          <cell r="E154">
            <v>437030</v>
          </cell>
          <cell r="F154" t="str">
            <v>Rent</v>
          </cell>
          <cell r="G154" t="str">
            <v>Y</v>
          </cell>
          <cell r="H154" t="str">
            <v>OFFICE SPACE RENTAL</v>
          </cell>
          <cell r="J154">
            <v>439031</v>
          </cell>
          <cell r="K154" t="str">
            <v>Services</v>
          </cell>
          <cell r="L154" t="str">
            <v>Y</v>
          </cell>
          <cell r="M154" t="str">
            <v xml:space="preserve">SUBSCRIPTIONS                                             </v>
          </cell>
        </row>
        <row r="155">
          <cell r="E155">
            <v>438010</v>
          </cell>
          <cell r="F155" t="str">
            <v>Bond</v>
          </cell>
          <cell r="G155" t="str">
            <v>Y</v>
          </cell>
          <cell r="H155" t="str">
            <v xml:space="preserve">PRINCIPAL                     </v>
          </cell>
          <cell r="J155">
            <v>439032</v>
          </cell>
          <cell r="K155" t="str">
            <v>Services</v>
          </cell>
          <cell r="L155" t="str">
            <v>Y</v>
          </cell>
          <cell r="M155" t="str">
            <v xml:space="preserve">SOFTWARE SUPPORT                                          </v>
          </cell>
        </row>
        <row r="156">
          <cell r="E156">
            <v>438020</v>
          </cell>
          <cell r="F156" t="str">
            <v>Bond</v>
          </cell>
          <cell r="G156" t="str">
            <v>Y</v>
          </cell>
          <cell r="H156" t="str">
            <v xml:space="preserve">INTEREST                      </v>
          </cell>
          <cell r="J156">
            <v>439060</v>
          </cell>
          <cell r="K156" t="str">
            <v>Services</v>
          </cell>
          <cell r="L156" t="str">
            <v>Y</v>
          </cell>
          <cell r="M156" t="str">
            <v>GARBAGE TRASH COLLECTION</v>
          </cell>
        </row>
        <row r="157">
          <cell r="E157">
            <v>438040</v>
          </cell>
          <cell r="F157" t="str">
            <v>Issuance Cost</v>
          </cell>
          <cell r="G157" t="str">
            <v>N</v>
          </cell>
          <cell r="H157" t="str">
            <v xml:space="preserve">ISSUANCE COST                 </v>
          </cell>
          <cell r="J157">
            <v>439090</v>
          </cell>
          <cell r="K157" t="str">
            <v>Services</v>
          </cell>
          <cell r="L157" t="str">
            <v>Y</v>
          </cell>
          <cell r="M157" t="str">
            <v xml:space="preserve">OTHER SERVICES                </v>
          </cell>
        </row>
        <row r="158">
          <cell r="E158">
            <v>439010</v>
          </cell>
          <cell r="F158" t="str">
            <v>Adminstration</v>
          </cell>
          <cell r="G158" t="str">
            <v>Y</v>
          </cell>
          <cell r="H158" t="str">
            <v xml:space="preserve">REFUNDS AWARDS INDEMNITIES    </v>
          </cell>
          <cell r="J158">
            <v>439091</v>
          </cell>
          <cell r="K158" t="str">
            <v>Services</v>
          </cell>
          <cell r="L158" t="str">
            <v>Y</v>
          </cell>
          <cell r="M158" t="str">
            <v xml:space="preserve">EDUCATION TRAINING                                        </v>
          </cell>
        </row>
        <row r="159">
          <cell r="E159">
            <v>439010</v>
          </cell>
          <cell r="F159" t="str">
            <v>Adminstration</v>
          </cell>
          <cell r="G159" t="str">
            <v>Y</v>
          </cell>
          <cell r="H159" t="str">
            <v xml:space="preserve">REFUNDS AWARDS INDEMNITIES    </v>
          </cell>
          <cell r="J159">
            <v>439094</v>
          </cell>
          <cell r="K159" t="str">
            <v>Services</v>
          </cell>
          <cell r="L159" t="str">
            <v>Y</v>
          </cell>
          <cell r="M159" t="str">
            <v xml:space="preserve">LICENSES                                                  </v>
          </cell>
        </row>
        <row r="160">
          <cell r="E160">
            <v>439010</v>
          </cell>
          <cell r="F160" t="str">
            <v>Adminstration</v>
          </cell>
          <cell r="G160" t="str">
            <v>Y</v>
          </cell>
          <cell r="H160" t="str">
            <v xml:space="preserve">REFUNDS AWARDS INDEMNITIES    </v>
          </cell>
          <cell r="J160">
            <v>439095</v>
          </cell>
          <cell r="K160" t="str">
            <v>Services</v>
          </cell>
          <cell r="L160" t="str">
            <v>Y</v>
          </cell>
          <cell r="M160" t="str">
            <v>BAD CHECK ADVANCE</v>
          </cell>
        </row>
        <row r="161">
          <cell r="E161">
            <v>439031</v>
          </cell>
          <cell r="F161" t="str">
            <v>Adminstration</v>
          </cell>
          <cell r="G161" t="str">
            <v>Y</v>
          </cell>
          <cell r="H161" t="str">
            <v>SUBSCRIPTIONS</v>
          </cell>
          <cell r="J161">
            <v>439096</v>
          </cell>
          <cell r="K161" t="str">
            <v>Services</v>
          </cell>
          <cell r="L161" t="str">
            <v>Y</v>
          </cell>
          <cell r="M161" t="str">
            <v xml:space="preserve">GEN FUND ADMIN SERVICE                                    </v>
          </cell>
        </row>
        <row r="162">
          <cell r="E162">
            <v>439032</v>
          </cell>
          <cell r="F162" t="str">
            <v>Adminstration</v>
          </cell>
          <cell r="G162" t="str">
            <v>Y</v>
          </cell>
          <cell r="H162" t="str">
            <v>SOFTWARE SUPPORT</v>
          </cell>
          <cell r="J162">
            <v>441000</v>
          </cell>
          <cell r="K162" t="str">
            <v>Facilities</v>
          </cell>
          <cell r="L162" t="str">
            <v>Y</v>
          </cell>
          <cell r="M162" t="str">
            <v xml:space="preserve">LAND                          </v>
          </cell>
        </row>
        <row r="163">
          <cell r="E163">
            <v>439033</v>
          </cell>
          <cell r="F163" t="str">
            <v>Adminstration</v>
          </cell>
          <cell r="G163" t="str">
            <v>Y</v>
          </cell>
          <cell r="H163" t="str">
            <v>GIS EXPENSE</v>
          </cell>
          <cell r="J163">
            <v>442005</v>
          </cell>
          <cell r="K163" t="str">
            <v>Facilities</v>
          </cell>
          <cell r="L163" t="str">
            <v>Y</v>
          </cell>
          <cell r="M163" t="str">
            <v>UTILITIES INFRASTRUCE</v>
          </cell>
        </row>
        <row r="164">
          <cell r="E164">
            <v>439091</v>
          </cell>
          <cell r="F164" t="str">
            <v>Adminstration</v>
          </cell>
          <cell r="G164" t="str">
            <v>Y</v>
          </cell>
          <cell r="H164" t="str">
            <v>EDUCATION TRAINING</v>
          </cell>
          <cell r="J164">
            <v>443000</v>
          </cell>
          <cell r="K164" t="str">
            <v>Facilities</v>
          </cell>
          <cell r="L164" t="str">
            <v>Y</v>
          </cell>
          <cell r="M164" t="str">
            <v xml:space="preserve">BUILDINGS                                                 </v>
          </cell>
        </row>
        <row r="165">
          <cell r="E165">
            <v>439094</v>
          </cell>
          <cell r="F165" t="str">
            <v>Adminstration</v>
          </cell>
          <cell r="G165" t="str">
            <v>Y</v>
          </cell>
          <cell r="H165" t="str">
            <v>LICENSES</v>
          </cell>
          <cell r="J165">
            <v>443001</v>
          </cell>
          <cell r="K165" t="str">
            <v>Facilities</v>
          </cell>
          <cell r="L165" t="str">
            <v>Y</v>
          </cell>
          <cell r="M165" t="str">
            <v xml:space="preserve">UTILITIES PLANT IMPROVEMENTS                              </v>
          </cell>
        </row>
        <row r="166">
          <cell r="E166">
            <v>439095</v>
          </cell>
          <cell r="F166" t="str">
            <v>Adminstration</v>
          </cell>
          <cell r="G166" t="str">
            <v>Y</v>
          </cell>
          <cell r="H166" t="str">
            <v>BAD CHECK ADVANCE</v>
          </cell>
          <cell r="J166">
            <v>445053</v>
          </cell>
          <cell r="K166" t="str">
            <v>Facilities</v>
          </cell>
          <cell r="L166" t="str">
            <v>Y</v>
          </cell>
          <cell r="M166" t="str">
            <v>STATIONS BUILDING</v>
          </cell>
        </row>
        <row r="167">
          <cell r="E167">
            <v>439096</v>
          </cell>
          <cell r="F167" t="str">
            <v>Adminstration</v>
          </cell>
          <cell r="G167" t="str">
            <v>Y</v>
          </cell>
          <cell r="H167" t="str">
            <v>GEN FUND ADMIN SERVICE</v>
          </cell>
          <cell r="J167">
            <v>443003</v>
          </cell>
          <cell r="K167" t="str">
            <v>Facilities</v>
          </cell>
          <cell r="L167" t="str">
            <v>Y</v>
          </cell>
          <cell r="M167" t="str">
            <v>REHAB PLANT EQUIPMENT</v>
          </cell>
        </row>
        <row r="168">
          <cell r="E168">
            <v>439097</v>
          </cell>
          <cell r="F168" t="str">
            <v>Adminstration</v>
          </cell>
          <cell r="G168" t="str">
            <v>Y</v>
          </cell>
          <cell r="H168" t="str">
            <v>NPDES PERMIT FEES</v>
          </cell>
          <cell r="J168">
            <v>443004</v>
          </cell>
          <cell r="K168" t="str">
            <v>Facilities</v>
          </cell>
          <cell r="L168" t="str">
            <v>Y</v>
          </cell>
          <cell r="M168" t="str">
            <v>PLANT BUILDING EAST -TUCK POINTING/COATING</v>
          </cell>
        </row>
        <row r="169">
          <cell r="E169">
            <v>443001</v>
          </cell>
          <cell r="F169" t="str">
            <v>Facilities</v>
          </cell>
          <cell r="G169" t="str">
            <v>Y</v>
          </cell>
          <cell r="H169" t="str">
            <v>UTILITIES PLANT IMPROVEMENTS</v>
          </cell>
          <cell r="J169">
            <v>443005</v>
          </cell>
          <cell r="K169" t="str">
            <v>Facilities</v>
          </cell>
          <cell r="L169" t="str">
            <v>Y</v>
          </cell>
          <cell r="M169" t="str">
            <v xml:space="preserve">EAST PLANT EQUIPMENT          </v>
          </cell>
        </row>
        <row r="170">
          <cell r="E170">
            <v>443002</v>
          </cell>
          <cell r="F170" t="str">
            <v>Capital</v>
          </cell>
          <cell r="G170" t="str">
            <v>N</v>
          </cell>
          <cell r="H170" t="str">
            <v xml:space="preserve">NEW PLANT EQUIPMENT           </v>
          </cell>
          <cell r="J170">
            <v>443006</v>
          </cell>
          <cell r="K170" t="str">
            <v>Facilities</v>
          </cell>
          <cell r="L170" t="str">
            <v>Y</v>
          </cell>
          <cell r="M170" t="str">
            <v>PLANT BUILDING-WEST PLANT COATING</v>
          </cell>
        </row>
        <row r="171">
          <cell r="E171">
            <v>443003</v>
          </cell>
          <cell r="F171" t="str">
            <v>Facilities</v>
          </cell>
          <cell r="G171" t="str">
            <v>Y</v>
          </cell>
          <cell r="H171" t="str">
            <v>REHAB PLANT EQUIPMENT</v>
          </cell>
          <cell r="J171">
            <v>443007</v>
          </cell>
          <cell r="K171" t="str">
            <v>Facilities</v>
          </cell>
          <cell r="L171" t="str">
            <v>Y</v>
          </cell>
          <cell r="M171" t="str">
            <v xml:space="preserve">WEST PLANT EQUIPMENT          </v>
          </cell>
        </row>
        <row r="172">
          <cell r="E172">
            <v>443004</v>
          </cell>
          <cell r="F172" t="str">
            <v>Facilities</v>
          </cell>
          <cell r="G172" t="str">
            <v>Y</v>
          </cell>
          <cell r="H172" t="str">
            <v>PLANT BUILDING</v>
          </cell>
          <cell r="J172">
            <v>443007</v>
          </cell>
          <cell r="K172" t="str">
            <v>Facilities</v>
          </cell>
          <cell r="L172" t="str">
            <v>Y</v>
          </cell>
          <cell r="M172" t="str">
            <v xml:space="preserve">WEST PLANT EQUIPMENT          </v>
          </cell>
        </row>
        <row r="173">
          <cell r="E173">
            <v>443052</v>
          </cell>
          <cell r="F173" t="str">
            <v>Distribution System</v>
          </cell>
          <cell r="G173" t="str">
            <v>Y</v>
          </cell>
          <cell r="H173" t="str">
            <v>TANK REHABILIATION</v>
          </cell>
          <cell r="J173">
            <v>443052</v>
          </cell>
          <cell r="K173" t="str">
            <v>Collection System</v>
          </cell>
          <cell r="L173" t="str">
            <v>Y</v>
          </cell>
          <cell r="M173" t="str">
            <v>TANK REHABILIATION</v>
          </cell>
        </row>
        <row r="174">
          <cell r="E174">
            <v>444001</v>
          </cell>
          <cell r="F174" t="str">
            <v>Distribution System</v>
          </cell>
          <cell r="G174" t="str">
            <v>Y</v>
          </cell>
          <cell r="H174" t="str">
            <v>DISTRIBUTION SYS IMPROVEMENTS</v>
          </cell>
          <cell r="J174">
            <v>444001</v>
          </cell>
          <cell r="K174" t="str">
            <v>Collection System</v>
          </cell>
          <cell r="L174" t="str">
            <v>Y</v>
          </cell>
          <cell r="M174" t="str">
            <v xml:space="preserve">DISTRIBUTION SYS IMPROVEMENTS                             </v>
          </cell>
        </row>
        <row r="175">
          <cell r="E175">
            <v>444051</v>
          </cell>
          <cell r="F175" t="str">
            <v>Distribution System</v>
          </cell>
          <cell r="G175" t="str">
            <v>Y</v>
          </cell>
          <cell r="H175" t="str">
            <v>NEW SERVICE CONNECTION</v>
          </cell>
          <cell r="J175">
            <v>444002</v>
          </cell>
          <cell r="K175" t="str">
            <v>Collection System</v>
          </cell>
          <cell r="L175" t="str">
            <v>Y</v>
          </cell>
          <cell r="M175" t="str">
            <v xml:space="preserve">COLLECTION SYSTEM IMPROVEMENT </v>
          </cell>
        </row>
        <row r="176">
          <cell r="E176">
            <v>444052</v>
          </cell>
          <cell r="F176" t="str">
            <v>Distribution System</v>
          </cell>
          <cell r="G176" t="str">
            <v>Y</v>
          </cell>
          <cell r="H176" t="str">
            <v>MANHOLE BLOWOFFS</v>
          </cell>
          <cell r="J176">
            <v>444051</v>
          </cell>
          <cell r="K176" t="str">
            <v>Collection System</v>
          </cell>
          <cell r="L176" t="str">
            <v>Y</v>
          </cell>
          <cell r="M176" t="str">
            <v xml:space="preserve">NEW SERVICE CONNECTION                                    </v>
          </cell>
        </row>
        <row r="177">
          <cell r="E177">
            <v>444053</v>
          </cell>
          <cell r="F177" t="str">
            <v>Meters</v>
          </cell>
          <cell r="G177" t="str">
            <v>Y</v>
          </cell>
          <cell r="H177" t="str">
            <v>METERS</v>
          </cell>
          <cell r="J177">
            <v>444052</v>
          </cell>
          <cell r="K177" t="str">
            <v>Collection System</v>
          </cell>
          <cell r="L177" t="str">
            <v>Y</v>
          </cell>
          <cell r="M177" t="str">
            <v>MANHOLE BLOWOFFS</v>
          </cell>
        </row>
        <row r="178">
          <cell r="E178">
            <v>444054</v>
          </cell>
          <cell r="F178" t="str">
            <v>Distribution System</v>
          </cell>
          <cell r="G178" t="str">
            <v>Y</v>
          </cell>
          <cell r="H178" t="str">
            <v>BACKFILL &amp; PAVING</v>
          </cell>
          <cell r="J178">
            <v>444053</v>
          </cell>
          <cell r="K178" t="str">
            <v>Collection System</v>
          </cell>
          <cell r="L178" t="str">
            <v>Y</v>
          </cell>
          <cell r="M178" t="str">
            <v>METERS</v>
          </cell>
        </row>
        <row r="179">
          <cell r="E179">
            <v>444055</v>
          </cell>
          <cell r="F179" t="str">
            <v>Facilities</v>
          </cell>
          <cell r="G179" t="str">
            <v>Y</v>
          </cell>
          <cell r="H179" t="str">
            <v>FILTER IMPROVEMENTS</v>
          </cell>
          <cell r="J179">
            <v>444054</v>
          </cell>
          <cell r="K179" t="str">
            <v>Collection System</v>
          </cell>
          <cell r="L179" t="str">
            <v>Y</v>
          </cell>
          <cell r="M179" t="str">
            <v>BACKFILL &amp; PAVING</v>
          </cell>
        </row>
        <row r="180">
          <cell r="E180">
            <v>444056</v>
          </cell>
          <cell r="F180" t="str">
            <v>Lab</v>
          </cell>
          <cell r="G180" t="str">
            <v>Y</v>
          </cell>
          <cell r="H180" t="str">
            <v>LAB EQUIPMENT</v>
          </cell>
          <cell r="J180">
            <v>444055</v>
          </cell>
          <cell r="K180" t="str">
            <v>Facilities</v>
          </cell>
          <cell r="L180" t="str">
            <v>Y</v>
          </cell>
          <cell r="M180" t="str">
            <v>FILTER IMPROVEMENTS</v>
          </cell>
        </row>
        <row r="181">
          <cell r="E181">
            <v>444057</v>
          </cell>
          <cell r="F181" t="str">
            <v>Distribution System</v>
          </cell>
          <cell r="G181" t="str">
            <v>Y</v>
          </cell>
          <cell r="H181" t="str">
            <v>NEW HYDRANTS</v>
          </cell>
          <cell r="J181">
            <v>444056</v>
          </cell>
          <cell r="K181" t="str">
            <v>Lab</v>
          </cell>
          <cell r="L181" t="str">
            <v>Y</v>
          </cell>
          <cell r="M181" t="str">
            <v>LAB EQUIPMENT</v>
          </cell>
        </row>
        <row r="182">
          <cell r="E182">
            <v>444058</v>
          </cell>
          <cell r="F182" t="str">
            <v>Distribution System</v>
          </cell>
          <cell r="G182" t="str">
            <v>Y</v>
          </cell>
          <cell r="H182" t="str">
            <v>NEW MAINS</v>
          </cell>
          <cell r="J182">
            <v>444064</v>
          </cell>
          <cell r="K182" t="str">
            <v>Collection System</v>
          </cell>
          <cell r="L182" t="str">
            <v>Y</v>
          </cell>
          <cell r="M182" t="str">
            <v>SEWER LINES</v>
          </cell>
        </row>
        <row r="183">
          <cell r="E183">
            <v>444059</v>
          </cell>
          <cell r="F183" t="str">
            <v>Meters</v>
          </cell>
          <cell r="G183" t="str">
            <v>Y</v>
          </cell>
          <cell r="H183" t="str">
            <v>RESIDENTIAL METERS</v>
          </cell>
          <cell r="J183">
            <v>445001</v>
          </cell>
          <cell r="K183" t="str">
            <v>Power/Gas/Utility</v>
          </cell>
          <cell r="L183" t="str">
            <v>Y</v>
          </cell>
          <cell r="M183" t="str">
            <v>UTILITES POWER OPERATIONS</v>
          </cell>
        </row>
        <row r="184">
          <cell r="E184">
            <v>444060</v>
          </cell>
          <cell r="F184" t="str">
            <v>Distribution System</v>
          </cell>
          <cell r="G184" t="str">
            <v>Y</v>
          </cell>
          <cell r="H184" t="str">
            <v>INDUSTRIAL METERS</v>
          </cell>
          <cell r="J184">
            <v>445002</v>
          </cell>
          <cell r="K184" t="str">
            <v>Facilities</v>
          </cell>
          <cell r="L184" t="str">
            <v>Y</v>
          </cell>
          <cell r="M184" t="str">
            <v xml:space="preserve">UTILITIES MACH/EQUIPMENT                                  </v>
          </cell>
        </row>
        <row r="185">
          <cell r="E185">
            <v>444061</v>
          </cell>
          <cell r="F185" t="str">
            <v>Meters</v>
          </cell>
          <cell r="G185" t="str">
            <v>Y</v>
          </cell>
          <cell r="H185" t="str">
            <v>RESETTERS</v>
          </cell>
          <cell r="J185">
            <v>445003</v>
          </cell>
          <cell r="K185" t="str">
            <v>Facilities</v>
          </cell>
          <cell r="L185" t="str">
            <v>Y</v>
          </cell>
          <cell r="M185" t="str">
            <v xml:space="preserve">HEAVY EQUIPMENT                                           </v>
          </cell>
        </row>
        <row r="186">
          <cell r="E186">
            <v>444062</v>
          </cell>
          <cell r="F186" t="str">
            <v>Meters</v>
          </cell>
          <cell r="G186" t="str">
            <v>Y</v>
          </cell>
          <cell r="H186" t="str">
            <v>METER READING EQUIP</v>
          </cell>
          <cell r="J186">
            <v>445004</v>
          </cell>
          <cell r="K186" t="str">
            <v>Facilities</v>
          </cell>
          <cell r="L186" t="str">
            <v>Y</v>
          </cell>
          <cell r="M186" t="str">
            <v xml:space="preserve">AUXILIARY EQUIPMENT                                       </v>
          </cell>
        </row>
        <row r="187">
          <cell r="E187">
            <v>444063</v>
          </cell>
          <cell r="F187" t="str">
            <v>Meters</v>
          </cell>
          <cell r="G187" t="str">
            <v>Y</v>
          </cell>
          <cell r="H187" t="str">
            <v>METER TESTING EQUIP</v>
          </cell>
          <cell r="J187">
            <v>445011</v>
          </cell>
          <cell r="K187" t="str">
            <v>Facilities</v>
          </cell>
          <cell r="L187" t="str">
            <v>Y</v>
          </cell>
          <cell r="M187" t="str">
            <v>UTILITES FURNITURE</v>
          </cell>
        </row>
        <row r="188">
          <cell r="E188">
            <v>445002</v>
          </cell>
          <cell r="F188" t="str">
            <v>Facilities</v>
          </cell>
          <cell r="G188" t="str">
            <v>Y</v>
          </cell>
          <cell r="H188" t="str">
            <v>UTILITIES MACH/EQUIPMENT</v>
          </cell>
          <cell r="J188">
            <v>445021</v>
          </cell>
          <cell r="K188" t="str">
            <v>Collection System</v>
          </cell>
          <cell r="L188" t="str">
            <v>Y</v>
          </cell>
          <cell r="M188" t="str">
            <v>UTILITIES MOTOR EQUIPMENT</v>
          </cell>
        </row>
        <row r="189">
          <cell r="E189">
            <v>445003</v>
          </cell>
          <cell r="F189" t="str">
            <v>Distribution System</v>
          </cell>
          <cell r="G189" t="str">
            <v>Y</v>
          </cell>
          <cell r="H189" t="str">
            <v>HEAVY EQUIPMENT</v>
          </cell>
          <cell r="J189">
            <v>445023</v>
          </cell>
          <cell r="K189" t="str">
            <v>Collection System</v>
          </cell>
          <cell r="L189" t="str">
            <v>Y</v>
          </cell>
          <cell r="M189" t="str">
            <v xml:space="preserve">VEHICLES                      </v>
          </cell>
        </row>
        <row r="190">
          <cell r="E190">
            <v>445004</v>
          </cell>
          <cell r="F190" t="str">
            <v>Distribution System</v>
          </cell>
          <cell r="G190" t="str">
            <v>Y</v>
          </cell>
          <cell r="H190" t="str">
            <v>AUXILIARY EQUIPMENT</v>
          </cell>
          <cell r="J190">
            <v>445024</v>
          </cell>
          <cell r="K190" t="str">
            <v>Collection System</v>
          </cell>
          <cell r="L190" t="str">
            <v>Y</v>
          </cell>
          <cell r="M190" t="str">
            <v xml:space="preserve">DUMP TRUCKS                                               </v>
          </cell>
        </row>
        <row r="191">
          <cell r="E191">
            <v>445021</v>
          </cell>
          <cell r="F191" t="str">
            <v>Distribution System</v>
          </cell>
          <cell r="G191" t="str">
            <v>Y</v>
          </cell>
          <cell r="H191" t="str">
            <v>UTILITIES MOTOR WQUIPMENT</v>
          </cell>
          <cell r="J191">
            <v>445031</v>
          </cell>
          <cell r="K191" t="str">
            <v>Office</v>
          </cell>
          <cell r="L191" t="str">
            <v>Y</v>
          </cell>
          <cell r="M191" t="str">
            <v>UTILITIES OFFICE EQUIP</v>
          </cell>
        </row>
        <row r="192">
          <cell r="E192">
            <v>445023</v>
          </cell>
          <cell r="F192" t="str">
            <v>Distribution System</v>
          </cell>
          <cell r="G192" t="str">
            <v>Y</v>
          </cell>
          <cell r="H192" t="str">
            <v xml:space="preserve">VEHICLES                      </v>
          </cell>
          <cell r="J192">
            <v>445051</v>
          </cell>
          <cell r="K192" t="str">
            <v>Lift Station</v>
          </cell>
          <cell r="L192" t="str">
            <v>Y</v>
          </cell>
          <cell r="M192" t="str">
            <v xml:space="preserve">STATION IMPROVEMENTS          </v>
          </cell>
        </row>
        <row r="193">
          <cell r="E193">
            <v>445024</v>
          </cell>
          <cell r="F193" t="str">
            <v>Distribution System</v>
          </cell>
          <cell r="G193" t="str">
            <v>Y</v>
          </cell>
          <cell r="H193" t="str">
            <v>DUMP TRUCKS</v>
          </cell>
          <cell r="J193">
            <v>445052</v>
          </cell>
          <cell r="K193" t="str">
            <v>Lift Station</v>
          </cell>
          <cell r="L193" t="str">
            <v>Y</v>
          </cell>
          <cell r="M193" t="str">
            <v xml:space="preserve">STATION EQUIPMENT             </v>
          </cell>
        </row>
        <row r="194">
          <cell r="E194">
            <v>445031</v>
          </cell>
          <cell r="F194" t="str">
            <v>Office</v>
          </cell>
          <cell r="G194" t="str">
            <v>Y</v>
          </cell>
          <cell r="H194" t="str">
            <v>UTILITIES OFFICE EQUIP</v>
          </cell>
          <cell r="J194">
            <v>445060</v>
          </cell>
          <cell r="K194" t="str">
            <v>Information Technology</v>
          </cell>
          <cell r="L194" t="str">
            <v>Y</v>
          </cell>
          <cell r="M194" t="str">
            <v xml:space="preserve">INFO TECH                     </v>
          </cell>
        </row>
        <row r="195">
          <cell r="E195">
            <v>446010</v>
          </cell>
          <cell r="F195" t="str">
            <v>Capital</v>
          </cell>
          <cell r="G195" t="str">
            <v>N</v>
          </cell>
          <cell r="H195" t="str">
            <v xml:space="preserve">2013C WATER BOND              </v>
          </cell>
          <cell r="J195">
            <v>446001</v>
          </cell>
          <cell r="K195" t="str">
            <v>Bond</v>
          </cell>
          <cell r="L195" t="str">
            <v>N</v>
          </cell>
          <cell r="M195" t="str">
            <v xml:space="preserve">2010 B1 CONSTRUCTION EXPENSE  </v>
          </cell>
        </row>
        <row r="196">
          <cell r="E196">
            <v>446200</v>
          </cell>
          <cell r="F196" t="str">
            <v>Bond</v>
          </cell>
          <cell r="G196" t="str">
            <v>Y</v>
          </cell>
          <cell r="H196" t="str">
            <v>2008 WATER BOND EXPENSE</v>
          </cell>
          <cell r="J196">
            <v>446003</v>
          </cell>
          <cell r="K196" t="str">
            <v>Bond</v>
          </cell>
          <cell r="L196" t="str">
            <v>N</v>
          </cell>
          <cell r="M196" t="str">
            <v xml:space="preserve">2009 SRF EXPENSE              </v>
          </cell>
        </row>
        <row r="197">
          <cell r="E197">
            <v>446201</v>
          </cell>
          <cell r="F197" t="str">
            <v>Bond</v>
          </cell>
          <cell r="G197" t="str">
            <v>Y</v>
          </cell>
          <cell r="H197" t="str">
            <v>WATER BAN</v>
          </cell>
          <cell r="J197">
            <v>446004</v>
          </cell>
          <cell r="K197" t="str">
            <v>Bond</v>
          </cell>
          <cell r="L197" t="str">
            <v>N</v>
          </cell>
          <cell r="M197" t="str">
            <v xml:space="preserve">2010A SRF EXPENSE             </v>
          </cell>
        </row>
        <row r="198">
          <cell r="E198">
            <v>446202</v>
          </cell>
          <cell r="F198" t="str">
            <v>Capital</v>
          </cell>
          <cell r="G198" t="str">
            <v>N</v>
          </cell>
          <cell r="H198" t="str">
            <v xml:space="preserve">2013A WATER BOND              </v>
          </cell>
          <cell r="J198">
            <v>446005</v>
          </cell>
          <cell r="K198" t="str">
            <v>Bond</v>
          </cell>
          <cell r="L198" t="str">
            <v>N</v>
          </cell>
          <cell r="M198" t="str">
            <v xml:space="preserve">2008 SRF EXPENSE              </v>
          </cell>
        </row>
        <row r="199">
          <cell r="E199">
            <v>446203</v>
          </cell>
          <cell r="F199" t="str">
            <v>Capital</v>
          </cell>
          <cell r="G199" t="str">
            <v>N</v>
          </cell>
          <cell r="H199" t="str">
            <v xml:space="preserve">2013C COST OF ISSUANCE        </v>
          </cell>
          <cell r="J199">
            <v>446006</v>
          </cell>
          <cell r="K199" t="str">
            <v>Bond</v>
          </cell>
          <cell r="L199" t="str">
            <v>N</v>
          </cell>
          <cell r="M199" t="str">
            <v xml:space="preserve">2011 D SRF CONSTRUCTION EXP   </v>
          </cell>
        </row>
        <row r="200">
          <cell r="E200">
            <v>446204</v>
          </cell>
          <cell r="F200" t="str">
            <v>Capital</v>
          </cell>
          <cell r="G200" t="str">
            <v>N</v>
          </cell>
          <cell r="H200" t="str">
            <v xml:space="preserve">2013C CONTINGENCY EXPENSE     </v>
          </cell>
          <cell r="J200">
            <v>446008</v>
          </cell>
          <cell r="K200" t="str">
            <v>Bond</v>
          </cell>
          <cell r="L200" t="str">
            <v>N</v>
          </cell>
          <cell r="M200" t="str">
            <v xml:space="preserve">2011 SRF EXPENSE              </v>
          </cell>
        </row>
        <row r="201">
          <cell r="E201">
            <v>446205</v>
          </cell>
          <cell r="F201" t="str">
            <v>Capital</v>
          </cell>
          <cell r="G201" t="str">
            <v>N</v>
          </cell>
          <cell r="H201" t="str">
            <v xml:space="preserve">2016 TAXABLE WATERWORKS BAN   </v>
          </cell>
          <cell r="J201">
            <v>446009</v>
          </cell>
          <cell r="K201" t="str">
            <v>Bond</v>
          </cell>
          <cell r="L201" t="str">
            <v>N</v>
          </cell>
          <cell r="M201" t="str">
            <v xml:space="preserve">2012 SRF EXPENSE              </v>
          </cell>
        </row>
        <row r="202">
          <cell r="E202">
            <v>446206</v>
          </cell>
          <cell r="F202" t="str">
            <v>Capital</v>
          </cell>
          <cell r="G202" t="str">
            <v>N</v>
          </cell>
          <cell r="H202" t="str">
            <v xml:space="preserve">2016A WATER BOND              </v>
          </cell>
          <cell r="J202">
            <v>446010</v>
          </cell>
          <cell r="K202" t="str">
            <v>Bond</v>
          </cell>
          <cell r="L202" t="str">
            <v>N</v>
          </cell>
          <cell r="M202" t="str">
            <v xml:space="preserve">2013C WATER BOND EXPENSE      </v>
          </cell>
        </row>
        <row r="203">
          <cell r="E203">
            <v>451010</v>
          </cell>
          <cell r="F203" t="str">
            <v>Taxes</v>
          </cell>
          <cell r="G203" t="str">
            <v>Y</v>
          </cell>
          <cell r="H203" t="str">
            <v>AUDIT</v>
          </cell>
          <cell r="J203">
            <v>446011</v>
          </cell>
          <cell r="K203" t="str">
            <v>Bond</v>
          </cell>
          <cell r="L203" t="str">
            <v>N</v>
          </cell>
          <cell r="M203" t="str">
            <v xml:space="preserve">2013B BOND EXPENSE            </v>
          </cell>
        </row>
        <row r="204">
          <cell r="E204">
            <v>452000</v>
          </cell>
          <cell r="F204" t="str">
            <v>Transfers</v>
          </cell>
          <cell r="G204" t="str">
            <v>N</v>
          </cell>
          <cell r="H204" t="str">
            <v xml:space="preserve">INTERFUND TRANSFERS           </v>
          </cell>
          <cell r="J204">
            <v>446012</v>
          </cell>
          <cell r="K204" t="str">
            <v>Bond</v>
          </cell>
          <cell r="L204" t="str">
            <v>N</v>
          </cell>
          <cell r="M204" t="str">
            <v xml:space="preserve">2013B COST OF ISSUANCE        </v>
          </cell>
        </row>
        <row r="205">
          <cell r="E205">
            <v>452001</v>
          </cell>
          <cell r="F205" t="str">
            <v>Bond</v>
          </cell>
          <cell r="G205" t="str">
            <v>Y</v>
          </cell>
          <cell r="H205" t="str">
            <v>TRANSFER BOND PAYMENT</v>
          </cell>
          <cell r="J205">
            <v>446013</v>
          </cell>
          <cell r="K205" t="str">
            <v>Bond</v>
          </cell>
          <cell r="L205" t="str">
            <v>N</v>
          </cell>
          <cell r="M205" t="str">
            <v xml:space="preserve">2013B CONTINGENCY EXPENSE     </v>
          </cell>
        </row>
        <row r="206">
          <cell r="E206">
            <v>452002</v>
          </cell>
          <cell r="F206" t="str">
            <v>Bond</v>
          </cell>
          <cell r="G206" t="str">
            <v>Y</v>
          </cell>
          <cell r="H206" t="str">
            <v>TRANSFER BOND INTEREST</v>
          </cell>
          <cell r="J206">
            <v>446015</v>
          </cell>
          <cell r="K206" t="str">
            <v>Bond</v>
          </cell>
          <cell r="L206" t="str">
            <v>N</v>
          </cell>
          <cell r="M206" t="str">
            <v xml:space="preserve">2014 SEWER BAN EXPENSE        </v>
          </cell>
        </row>
        <row r="207">
          <cell r="E207">
            <v>459000</v>
          </cell>
          <cell r="F207" t="str">
            <v>Taxes</v>
          </cell>
          <cell r="G207" t="str">
            <v>Y</v>
          </cell>
          <cell r="H207" t="str">
            <v>SALES TAX/GROSS INCOME TAX</v>
          </cell>
          <cell r="J207">
            <v>446017</v>
          </cell>
          <cell r="K207" t="str">
            <v>Bond</v>
          </cell>
          <cell r="L207" t="str">
            <v>N</v>
          </cell>
          <cell r="M207" t="str">
            <v xml:space="preserve">2014B2 CONSTRUCTION B EXPENSE </v>
          </cell>
        </row>
        <row r="208">
          <cell r="E208">
            <v>459001</v>
          </cell>
          <cell r="F208" t="str">
            <v>Taxes</v>
          </cell>
          <cell r="G208" t="str">
            <v>Y</v>
          </cell>
          <cell r="H208" t="str">
            <v xml:space="preserve">UTILITY GROSS RECEIPTS TAX    </v>
          </cell>
          <cell r="J208">
            <v>446018</v>
          </cell>
          <cell r="K208" t="str">
            <v>Bond</v>
          </cell>
          <cell r="L208" t="str">
            <v>N</v>
          </cell>
          <cell r="M208" t="str">
            <v xml:space="preserve">2014C BOND EXPENSE            </v>
          </cell>
        </row>
        <row r="209">
          <cell r="E209">
            <v>459030</v>
          </cell>
          <cell r="F209" t="str">
            <v>Other</v>
          </cell>
          <cell r="G209" t="str">
            <v>Y</v>
          </cell>
          <cell r="H209" t="str">
            <v xml:space="preserve">MISCELLANEOUS EXPENSE         </v>
          </cell>
          <cell r="J209">
            <v>446020</v>
          </cell>
          <cell r="K209" t="str">
            <v>Bond</v>
          </cell>
          <cell r="L209" t="str">
            <v>N</v>
          </cell>
          <cell r="M209" t="str">
            <v xml:space="preserve">2016A SEWER BOND              </v>
          </cell>
        </row>
        <row r="210">
          <cell r="E210">
            <v>459033</v>
          </cell>
          <cell r="F210" t="str">
            <v>Depreciation/Amortization</v>
          </cell>
          <cell r="G210" t="str">
            <v>Y</v>
          </cell>
          <cell r="H210" t="str">
            <v>DEPRECIATION EXPENSE</v>
          </cell>
          <cell r="J210">
            <v>446023</v>
          </cell>
          <cell r="K210" t="str">
            <v>Bond</v>
          </cell>
          <cell r="L210" t="str">
            <v>N</v>
          </cell>
          <cell r="M210" t="str">
            <v xml:space="preserve">2017A SEWER BOND              </v>
          </cell>
        </row>
        <row r="211">
          <cell r="E211">
            <v>459034</v>
          </cell>
          <cell r="F211" t="str">
            <v>Depreciation/Amortization</v>
          </cell>
          <cell r="G211" t="str">
            <v>Y</v>
          </cell>
          <cell r="H211" t="str">
            <v>AMORTIZATION EXPENSE</v>
          </cell>
          <cell r="J211">
            <v>446200</v>
          </cell>
          <cell r="K211" t="str">
            <v>Bond</v>
          </cell>
          <cell r="L211" t="str">
            <v>N</v>
          </cell>
          <cell r="M211" t="str">
            <v xml:space="preserve">2008 WATER BOND EXPENSE                                   </v>
          </cell>
        </row>
        <row r="212">
          <cell r="E212">
            <v>459035</v>
          </cell>
          <cell r="F212" t="str">
            <v>Bond</v>
          </cell>
          <cell r="G212" t="str">
            <v>Y</v>
          </cell>
          <cell r="H212" t="str">
            <v>INTEREST EXPENSE</v>
          </cell>
          <cell r="J212">
            <v>446201</v>
          </cell>
          <cell r="K212" t="str">
            <v>Bond</v>
          </cell>
          <cell r="L212" t="str">
            <v>N</v>
          </cell>
          <cell r="M212" t="str">
            <v xml:space="preserve">WATER BAN                                                 </v>
          </cell>
        </row>
        <row r="213">
          <cell r="E213">
            <v>459037</v>
          </cell>
          <cell r="F213" t="str">
            <v>PILOT</v>
          </cell>
          <cell r="G213" t="str">
            <v>Y</v>
          </cell>
          <cell r="H213" t="str">
            <v>PILOT</v>
          </cell>
          <cell r="J213">
            <v>451010</v>
          </cell>
          <cell r="K213" t="str">
            <v>Services</v>
          </cell>
          <cell r="L213" t="str">
            <v>Y</v>
          </cell>
          <cell r="M213" t="str">
            <v xml:space="preserve">AUDIT                                                     </v>
          </cell>
        </row>
        <row r="214">
          <cell r="E214">
            <v>459041</v>
          </cell>
          <cell r="F214" t="str">
            <v>Retainage</v>
          </cell>
          <cell r="G214" t="str">
            <v>N</v>
          </cell>
          <cell r="H214" t="str">
            <v xml:space="preserve">CASH W/FISCAL AGENT INTEREST  </v>
          </cell>
          <cell r="J214">
            <v>452000</v>
          </cell>
          <cell r="K214" t="str">
            <v>Adminstration</v>
          </cell>
          <cell r="L214" t="str">
            <v>N</v>
          </cell>
          <cell r="M214" t="str">
            <v>INTERFUND TRANSFERS</v>
          </cell>
        </row>
        <row r="215">
          <cell r="J215">
            <v>452001</v>
          </cell>
          <cell r="K215" t="str">
            <v>Bond</v>
          </cell>
          <cell r="L215" t="str">
            <v>Y</v>
          </cell>
          <cell r="M215" t="str">
            <v xml:space="preserve">TRANSFER BOND PAYMENT                                     </v>
          </cell>
        </row>
        <row r="216">
          <cell r="J216">
            <v>452002</v>
          </cell>
          <cell r="K216" t="str">
            <v>Bond</v>
          </cell>
          <cell r="L216" t="str">
            <v>Y</v>
          </cell>
          <cell r="M216" t="str">
            <v>TRANSFER BOND INTEREST</v>
          </cell>
        </row>
        <row r="217">
          <cell r="J217">
            <v>459000</v>
          </cell>
          <cell r="K217" t="str">
            <v>Taxes</v>
          </cell>
          <cell r="L217" t="str">
            <v>Y</v>
          </cell>
          <cell r="M217" t="str">
            <v xml:space="preserve">SALES TAX/GROSS INCOME TAX                                </v>
          </cell>
        </row>
        <row r="218">
          <cell r="J218">
            <v>459010</v>
          </cell>
          <cell r="K218" t="str">
            <v>Adminstration</v>
          </cell>
          <cell r="L218" t="str">
            <v>Y</v>
          </cell>
          <cell r="M218" t="str">
            <v>JOINT ADMINISTRATION</v>
          </cell>
        </row>
        <row r="219">
          <cell r="J219">
            <v>459030</v>
          </cell>
          <cell r="K219" t="str">
            <v>Adminstration</v>
          </cell>
          <cell r="L219" t="str">
            <v>Y</v>
          </cell>
          <cell r="M219" t="str">
            <v>MISCELANEOUS EXPENSE</v>
          </cell>
        </row>
        <row r="220">
          <cell r="J220">
            <v>459033</v>
          </cell>
          <cell r="K220" t="str">
            <v>Depreciation/Amortization</v>
          </cell>
          <cell r="L220" t="str">
            <v>Y</v>
          </cell>
          <cell r="M220" t="str">
            <v xml:space="preserve">DEPRECIATION EXPENSE                                      </v>
          </cell>
        </row>
        <row r="221">
          <cell r="J221">
            <v>459034</v>
          </cell>
          <cell r="K221" t="str">
            <v>Depreciation/Amortization</v>
          </cell>
          <cell r="L221" t="str">
            <v>Y</v>
          </cell>
          <cell r="M221" t="str">
            <v xml:space="preserve">AMORTIZATION EXPENSE                                      </v>
          </cell>
        </row>
        <row r="222">
          <cell r="J222">
            <v>459035</v>
          </cell>
          <cell r="K222" t="str">
            <v>Bond</v>
          </cell>
          <cell r="L222" t="str">
            <v>Y</v>
          </cell>
          <cell r="M222" t="str">
            <v xml:space="preserve">INTEREST EXPENSE                                          </v>
          </cell>
        </row>
        <row r="223">
          <cell r="J223">
            <v>459037</v>
          </cell>
          <cell r="K223" t="str">
            <v>PILOT</v>
          </cell>
          <cell r="L223" t="str">
            <v>Y</v>
          </cell>
          <cell r="M223" t="str">
            <v xml:space="preserve">IN LIEU OF TAXES              </v>
          </cell>
        </row>
        <row r="224">
          <cell r="J224">
            <v>459041</v>
          </cell>
          <cell r="K224" t="str">
            <v>Retainage</v>
          </cell>
          <cell r="L224" t="str">
            <v>N</v>
          </cell>
          <cell r="M224" t="str">
            <v xml:space="preserve">CASH W/FISCAL AGENT INTEREST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Customize Your Purchase Order"/>
      <sheetName val="Purchase Order"/>
      <sheetName val="Macros"/>
      <sheetName val="ATW"/>
      <sheetName val="Lock"/>
      <sheetName val="Intl Data Table"/>
      <sheetName val="TemplateInformation"/>
      <sheetName val="Costs"/>
      <sheetName val="Real"/>
      <sheetName val="CB 2"/>
      <sheetName val="Support- Not In Report"/>
      <sheetName val="TIF Rev"/>
      <sheetName val="Total Comp"/>
      <sheetName val="CB 3 Downtown Harrison"/>
      <sheetName val="CB4 Downtown Expansion"/>
      <sheetName val="INPUTS"/>
      <sheetName val="Assumptions-Expansion"/>
      <sheetName val="Assumptions-New"/>
      <sheetName val="RP PT"/>
      <sheetName val="PP PT"/>
      <sheetName val="RP TIF AV"/>
      <sheetName val="PP TIF AV"/>
      <sheetName val="RP TIF"/>
      <sheetName val="PP TIF"/>
      <sheetName val="Comb Abate"/>
      <sheetName val="Comb TIF"/>
      <sheetName val="Sources TP"/>
      <sheetName val="Amort TP"/>
      <sheetName val="Comp TP"/>
      <sheetName val="Sources CP"/>
      <sheetName val="Amort CP"/>
      <sheetName val="Comp CP"/>
      <sheetName val="Summary"/>
      <sheetName val="RP TIF-Existing"/>
      <sheetName val="RP Existing CB-Working"/>
      <sheetName val="PP TIF-Existing"/>
      <sheetName val="Mixed Use"/>
      <sheetName val="Support"/>
      <sheetName val="RP Exp-Working"/>
      <sheetName val="RP New-Working"/>
      <sheetName val="PP Exp-Working"/>
      <sheetName val="PP New-Working"/>
      <sheetName val="PP Exp Abate-Working"/>
      <sheetName val="PP New Abate-Working"/>
      <sheetName val="PP Existing-Working"/>
      <sheetName val="PP Existing Abate-Working"/>
      <sheetName val="Mixed Use CB-Working"/>
      <sheetName val="Footnotes"/>
    </sheetNames>
    <sheetDataSet>
      <sheetData sheetId="0" refreshError="1"/>
      <sheetData sheetId="1">
        <row r="21">
          <cell r="E21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"/>
      <sheetName val="Yield"/>
      <sheetName val="Bond Bank"/>
      <sheetName val="Water Bond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STAT"/>
      <sheetName val="SREVS"/>
      <sheetName val="SCF"/>
      <sheetName val="DOME"/>
      <sheetName val="UPIS"/>
      <sheetName val="RATES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l"/>
      <sheetName val="Captured AV"/>
      <sheetName val="Revenue"/>
      <sheetName val="TIF  levy vs DS"/>
      <sheetName val="TIF vs DS"/>
      <sheetName val="Chart1"/>
      <sheetName val="Chart 1 info"/>
      <sheetName val="Chart2"/>
      <sheetName val="Chart 2 info"/>
      <sheetName val="Chart3"/>
      <sheetName val="Chart 3"/>
      <sheetName val="Real Abat (2)"/>
      <sheetName val="TMMI personal"/>
      <sheetName val="TMMI abat"/>
      <sheetName val="Vuteq personal"/>
      <sheetName val="2000 Bonds"/>
      <sheetName val="1998 Bonds"/>
      <sheetName val="Sheet1"/>
      <sheetName val="1996 Bonds"/>
      <sheetName val="1997 Bonds"/>
      <sheetName val="Tax Incre"/>
      <sheetName val="Support"/>
      <sheetName val="Costs"/>
      <sheetName val="Support- Not In Report"/>
      <sheetName val="Tax Inc-Rev"/>
      <sheetName val="Customize Your Purchase Order"/>
      <sheetName val="TIF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VER SHEET"/>
      <sheetName val="LETTER"/>
      <sheetName val="LARGE USERS"/>
    </sheetNames>
    <sheetDataSet>
      <sheetData sheetId="0" refreshError="1"/>
      <sheetData sheetId="1" refreshError="1">
        <row r="1">
          <cell r="A1" t="str">
            <v>MUNICIPAL SECONDARY MARKET</v>
          </cell>
        </row>
        <row r="2">
          <cell r="A2" t="str">
            <v>DISCLOSURE INFORMATION COVER SHEET</v>
          </cell>
        </row>
        <row r="4">
          <cell r="A4" t="str">
            <v>This cover sheet should be sent with all submissions made to the Municipal Securities Rulemaking Board,</v>
          </cell>
        </row>
        <row r="5">
          <cell r="A5" t="str">
            <v>National Recognized Municipal Securities Information Repositories, and any applicable State Information</v>
          </cell>
        </row>
        <row r="6">
          <cell r="A6" t="str">
            <v>Depository pursuant to Securities and Exchange Commission Rule 15c2-12 or any analogous state statute.</v>
          </cell>
        </row>
        <row r="8">
          <cell r="A8" t="str">
            <v>***</v>
          </cell>
        </row>
        <row r="10">
          <cell r="A10" t="str">
            <v>Obligor's and/or Other Obligated Person's Name:</v>
          </cell>
          <cell r="N10" t="str">
            <v>City of Greenwood, Indiana</v>
          </cell>
        </row>
        <row r="12">
          <cell r="A12" t="str">
            <v>CUSIP Numbers</v>
          </cell>
          <cell r="F12" t="str">
            <v>(attach additional sheet if necessary)</v>
          </cell>
        </row>
        <row r="14">
          <cell r="D14" t="str">
            <v>Nine-digit number(s) to which the information relates:</v>
          </cell>
        </row>
        <row r="17">
          <cell r="B17" t="str">
            <v>X</v>
          </cell>
          <cell r="D17" t="str">
            <v>Information relates to all securities issued by the Obligor having the following six-digit number(s):</v>
          </cell>
        </row>
        <row r="18">
          <cell r="E18" t="str">
            <v>395568</v>
          </cell>
        </row>
        <row r="19">
          <cell r="A19" t="str">
            <v>***</v>
          </cell>
        </row>
        <row r="21">
          <cell r="A21" t="str">
            <v>Number of pages of attached information:</v>
          </cell>
          <cell r="L21">
            <v>5</v>
          </cell>
        </row>
        <row r="23">
          <cell r="A23" t="str">
            <v>Description of Material Event Notice / Financial Information (Check One):</v>
          </cell>
        </row>
        <row r="25">
          <cell r="A25" t="str">
            <v>1.</v>
          </cell>
          <cell r="D25" t="str">
            <v>Principal and interest payment delinquencies</v>
          </cell>
        </row>
        <row r="26">
          <cell r="A26" t="str">
            <v>2.</v>
          </cell>
          <cell r="D26" t="str">
            <v>Non-payment related defaults</v>
          </cell>
        </row>
        <row r="27">
          <cell r="A27" t="str">
            <v>3.</v>
          </cell>
          <cell r="D27" t="str">
            <v>Unscheduled draws on debt service reserves reflecting financial difficulties</v>
          </cell>
        </row>
        <row r="28">
          <cell r="A28" t="str">
            <v>4.</v>
          </cell>
          <cell r="D28" t="str">
            <v>Unscheduled draws on credit enhancements reflecting financial difficulties</v>
          </cell>
        </row>
        <row r="29">
          <cell r="A29" t="str">
            <v>5.</v>
          </cell>
          <cell r="D29" t="str">
            <v>Substitution of credit or liquidity providers, or their failure to perform</v>
          </cell>
        </row>
        <row r="30">
          <cell r="A30" t="str">
            <v>6.</v>
          </cell>
          <cell r="D30" t="str">
            <v>Adverse tax opinions or events affecting the tax-exempt status of the security</v>
          </cell>
        </row>
        <row r="31">
          <cell r="A31" t="str">
            <v>7.</v>
          </cell>
          <cell r="D31" t="str">
            <v>Modifications to the rights of security holders</v>
          </cell>
        </row>
        <row r="32">
          <cell r="A32" t="str">
            <v>8.</v>
          </cell>
          <cell r="D32" t="str">
            <v>Bond calls</v>
          </cell>
        </row>
        <row r="33">
          <cell r="A33" t="str">
            <v>9.</v>
          </cell>
          <cell r="D33" t="str">
            <v>Defeasances</v>
          </cell>
        </row>
        <row r="34">
          <cell r="A34" t="str">
            <v>10.</v>
          </cell>
          <cell r="D34" t="str">
            <v>Release, substitution or sale of property securing repayment of the securities</v>
          </cell>
        </row>
        <row r="35">
          <cell r="A35" t="str">
            <v>11.</v>
          </cell>
          <cell r="D35" t="str">
            <v>Rating changes</v>
          </cell>
        </row>
        <row r="36">
          <cell r="A36" t="str">
            <v>12.</v>
          </cell>
          <cell r="D36" t="str">
            <v>Failure to provide annual financial information as required</v>
          </cell>
        </row>
        <row r="37">
          <cell r="A37" t="str">
            <v>13.</v>
          </cell>
          <cell r="D37" t="str">
            <v>Other material event notice (specify)</v>
          </cell>
        </row>
        <row r="38">
          <cell r="A38" t="str">
            <v>*14.</v>
          </cell>
          <cell r="B38" t="str">
            <v>X</v>
          </cell>
          <cell r="D38" t="str">
            <v>Financial information:  Please check all appropriate boxes:</v>
          </cell>
        </row>
        <row r="41">
          <cell r="D41" t="str">
            <v>CAFR:  (a)</v>
          </cell>
          <cell r="H41" t="str">
            <v xml:space="preserve">  includes</v>
          </cell>
          <cell r="L41" t="str">
            <v xml:space="preserve">   does not include Annual Financial Information</v>
          </cell>
        </row>
        <row r="44">
          <cell r="D44" t="str">
            <v>(b)  Audited?</v>
          </cell>
          <cell r="G44" t="str">
            <v xml:space="preserve">  Yes</v>
          </cell>
          <cell r="J44" t="str">
            <v xml:space="preserve">    No</v>
          </cell>
        </row>
        <row r="47">
          <cell r="B47" t="str">
            <v>X</v>
          </cell>
          <cell r="D47" t="str">
            <v>Annual Financial Information: Audited? Yes</v>
          </cell>
          <cell r="Q47" t="str">
            <v>No</v>
          </cell>
          <cell r="R47" t="str">
            <v>X</v>
          </cell>
        </row>
        <row r="48">
          <cell r="E48" t="str">
            <v>Attached financial information includes the Indiana State Board of Accounts Audit Report and</v>
          </cell>
        </row>
        <row r="49">
          <cell r="E49" t="str">
            <v>additional unaudited information.</v>
          </cell>
        </row>
        <row r="52">
          <cell r="B52" t="str">
            <v>X</v>
          </cell>
          <cell r="D52" t="str">
            <v>Operating Data</v>
          </cell>
        </row>
        <row r="54">
          <cell r="A54" t="str">
            <v>Fiscal Period Covered:</v>
          </cell>
          <cell r="G54" t="str">
            <v>Calendar Year Ended 2005</v>
          </cell>
        </row>
        <row r="56">
          <cell r="A56" t="str">
            <v>*Financial information should not be filed with the MSRB.</v>
          </cell>
        </row>
        <row r="57">
          <cell r="A57" t="str">
            <v>***</v>
          </cell>
        </row>
        <row r="59">
          <cell r="A59" t="str">
            <v>I hereby represent that I am authorized by the Obligor or its agent to distribute this information publicly:</v>
          </cell>
        </row>
        <row r="61">
          <cell r="A61" t="str">
            <v>Signature:</v>
          </cell>
        </row>
        <row r="62">
          <cell r="A62" t="str">
            <v>Name:</v>
          </cell>
          <cell r="D62" t="str">
            <v>Colette J. Irwin-Knott</v>
          </cell>
          <cell r="Q62" t="str">
            <v>Title</v>
          </cell>
          <cell r="R62" t="str">
            <v xml:space="preserve">  Partner</v>
          </cell>
        </row>
        <row r="63">
          <cell r="A63" t="str">
            <v>Employer:</v>
          </cell>
          <cell r="D63" t="str">
            <v>Umbaugh</v>
          </cell>
        </row>
        <row r="64">
          <cell r="A64" t="str">
            <v>Address:</v>
          </cell>
          <cell r="D64" t="str">
            <v>20 East 91st Street, P.O. Box 40458</v>
          </cell>
        </row>
        <row r="65">
          <cell r="A65" t="str">
            <v>City, State, Zip Code:</v>
          </cell>
          <cell r="G65" t="str">
            <v>Indianapolis, Indiana  46240-0458</v>
          </cell>
        </row>
        <row r="66">
          <cell r="A66" t="str">
            <v>Voice Telephone Number:</v>
          </cell>
          <cell r="H66" t="str">
            <v>(317) 844-7288</v>
          </cell>
        </row>
      </sheetData>
      <sheetData sheetId="2" refreshError="1"/>
      <sheetData sheetId="3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 Value"/>
      <sheetName val="Revenue by Phase"/>
      <sheetName val="Overall Savings"/>
      <sheetName val="Assumptions"/>
      <sheetName val="Central Soya Savings"/>
      <sheetName val="Revenue"/>
      <sheetName val="Real Property"/>
      <sheetName val="Personal Prop TTV"/>
      <sheetName val="Personal Prop Abate"/>
      <sheetName val="Amortization"/>
      <sheetName val="Pers Abate Workpaper"/>
      <sheetName val="Surplus"/>
      <sheetName val="Support- Not In Report"/>
      <sheetName val="Abate Worksheet - Not In Report"/>
      <sheetName val="TMMI abat"/>
      <sheetName val="Costs"/>
      <sheetName val="CB P11 Downtown Harrison"/>
      <sheetName val="CB4 P11 Downtown Expansion"/>
      <sheetName val="TIF Rev"/>
      <sheetName val="Support"/>
      <sheetName val="Client Summary"/>
      <sheetName val="Henryville"/>
      <sheetName val="Memphis"/>
      <sheetName val="Perry Crossing"/>
      <sheetName val="Salem Road"/>
      <sheetName val="Supporting Info-&gt;"/>
      <sheetName val="Wk Program"/>
      <sheetName val="Fly Sheets"/>
      <sheetName val="Input"/>
      <sheetName val="Weighted Avg Tax Rate"/>
      <sheetName val="Growth"/>
      <sheetName val="Database Comparison"/>
      <sheetName val="Abatement Roll Off"/>
      <sheetName val="Post Neutral 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4">
          <cell r="AB44">
            <v>0</v>
          </cell>
        </row>
      </sheetData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New Real Growth"/>
      <sheetName val="Real Prop. Abate."/>
      <sheetName val="AK PP"/>
      <sheetName val="AK PP Abat"/>
      <sheetName val="Rock PP"/>
      <sheetName val="Rock PP Abat"/>
      <sheetName val="UNited PP"/>
      <sheetName val="United PP Abat "/>
      <sheetName val="MGI PP "/>
      <sheetName val="MGI PP Abat  (2)"/>
      <sheetName val="Real Prop TIF Levy"/>
      <sheetName val="PP TIF Levy"/>
      <sheetName val="Total TIF Area TIF Levy"/>
      <sheetName val="Combining Schedule"/>
      <sheetName val="Outstanding Debt"/>
      <sheetName val="Gen. Reassess. Data"/>
      <sheetName val="State Base Adjust. Form"/>
      <sheetName val="TIF Data Base"/>
      <sheetName val="Support"/>
      <sheetName val="Support- Not In Report"/>
      <sheetName val="Tax Inc-Rev"/>
      <sheetName val="Proposed"/>
      <sheetName val="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ease Turn on Macros"/>
      <sheetName val="Detail"/>
      <sheetName val="Register"/>
      <sheetName val="Exp Summary"/>
      <sheetName val="Exp Charts"/>
      <sheetName val="YTD Summary"/>
      <sheetName val="Comparison"/>
      <sheetName val="Tax Balances"/>
      <sheetName val="Scratch"/>
      <sheetName val="Welcome"/>
      <sheetName val="Supporting Settings"/>
      <sheetName val="Data"/>
      <sheetName val="DataPriorYear"/>
      <sheetName val="DataComparison"/>
      <sheetName val="EE_Data"/>
      <sheetName val="TempData"/>
      <sheetName val="FINSTA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 Dis 2002"/>
      <sheetName val="Det Rec 2002"/>
      <sheetName val="Info"/>
      <sheetName val="WTB 00"/>
      <sheetName val="WTB 01"/>
      <sheetName val="WTB 123102"/>
      <sheetName val="WTB 063003"/>
      <sheetName val="WTB 123103"/>
      <sheetName val="WTB 06304"/>
      <sheetName val="WTB 123104"/>
      <sheetName val="WTB 123105"/>
      <sheetName val="WTB 063005"/>
      <sheetName val="WTB 063006"/>
      <sheetName val="------."/>
      <sheetName val="2003"/>
      <sheetName val="2007"/>
      <sheetName val="Combined"/>
      <sheetName val="RevReq"/>
      <sheetName val="Rates"/>
      <sheetName val="Prop. Rates"/>
      <sheetName val="Prop. Rates (2)"/>
      <sheetName val="MinBal"/>
      <sheetName val="Billing"/>
      <sheetName val="2005 Budget to Act"/>
      <sheetName val="2006 Bud to Act"/>
      <sheetName val="2006 Bud to 2005 Bud"/>
      <sheetName val="1995 Refunded"/>
      <sheetName val="2006 Bud"/>
      <sheetName val="Est. Funds"/>
      <sheetName val="SelFinInfo"/>
      <sheetName val="RecDis"/>
      <sheetName val="Asset Additions"/>
      <sheetName val="------"/>
      <sheetName val="Transfers"/>
      <sheetName val="BAN"/>
      <sheetName val="Lease-Vac"/>
      <sheetName val="Lease -Belt"/>
      <sheetName val="AJEs"/>
      <sheetName val="NonfinInfo"/>
      <sheetName val="AddPlant"/>
      <sheetName val="Top Users"/>
      <sheetName val="Reimbursements"/>
      <sheetName val="Contractual-Engineering"/>
      <sheetName val="CIP-Capital-IMP"/>
      <sheetName val="Repairs - Maintenance"/>
      <sheetName val="Consolidatemeterdep"/>
      <sheetName val="DuefromWaterUtil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WTB"/>
      <sheetName val="-----."/>
      <sheetName val="Act Bal"/>
      <sheetName val="Bud Summary "/>
      <sheetName val="RevComp"/>
      <sheetName val="ExpComp"/>
      <sheetName val="CapComp"/>
      <sheetName val="SNA"/>
      <sheetName val="CNA"/>
      <sheetName val="Scf"/>
      <sheetName val="Top Users"/>
      <sheetName val="Rates"/>
      <sheetName val="SelNonFin"/>
      <sheetName val="------"/>
      <sheetName val="Adjustments"/>
      <sheetName val="OpExpDetail"/>
      <sheetName val="RevReq"/>
      <sheetName val="Rev Req2"/>
      <sheetName val="Rev. Req. 3"/>
      <sheetName val="Rev. Req. 4"/>
      <sheetName val="DisbComp"/>
      <sheetName val="Add Plant"/>
      <sheetName val="Lease wp"/>
      <sheetName val="Lease wp2"/>
      <sheetName val="RevEst Comm"/>
      <sheetName val="RevEst Res"/>
      <sheetName val="RevEst Jone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>
        <row r="1">
          <cell r="A1" t="str">
            <v>GAS CITY (INDIANA) MUNICIPAL SEWAGE WORKS</v>
          </cell>
        </row>
        <row r="3">
          <cell r="A3" t="str">
            <v>ANALYSIS OF PROJECTED REVENUE AND REVENUE REQUIREMENTS</v>
          </cell>
        </row>
        <row r="4">
          <cell r="A4" t="str">
            <v>(Amounts rounded to the nearest $100)</v>
          </cell>
        </row>
        <row r="7">
          <cell r="F7" t="str">
            <v>Calendar</v>
          </cell>
          <cell r="J7" t="str">
            <v>Projected (1)</v>
          </cell>
          <cell r="M7" t="str">
            <v>Projected (1)</v>
          </cell>
          <cell r="Q7" t="str">
            <v>Projected</v>
          </cell>
        </row>
        <row r="8">
          <cell r="F8" t="str">
            <v>Year 2000</v>
          </cell>
          <cell r="H8" t="str">
            <v>Adjustments</v>
          </cell>
          <cell r="J8">
            <v>2001</v>
          </cell>
          <cell r="M8">
            <v>2003</v>
          </cell>
          <cell r="O8">
            <v>2004</v>
          </cell>
          <cell r="Q8">
            <v>2005</v>
          </cell>
        </row>
        <row r="9">
          <cell r="A9" t="str">
            <v>Available Revenue:</v>
          </cell>
        </row>
        <row r="11">
          <cell r="B11" t="str">
            <v>Residential revenue (1)</v>
          </cell>
          <cell r="F11">
            <v>493267</v>
          </cell>
          <cell r="H11">
            <v>51033</v>
          </cell>
          <cell r="J11">
            <v>544300</v>
          </cell>
          <cell r="M11">
            <v>567900</v>
          </cell>
          <cell r="O11">
            <v>432500</v>
          </cell>
          <cell r="Q11">
            <v>647500</v>
          </cell>
        </row>
        <row r="12">
          <cell r="B12" t="str">
            <v>Commercial revenue (1)</v>
          </cell>
          <cell r="M12">
            <v>470100</v>
          </cell>
          <cell r="O12">
            <v>312500</v>
          </cell>
          <cell r="Q12">
            <v>282500</v>
          </cell>
        </row>
        <row r="13">
          <cell r="B13" t="str">
            <v>Jonesboro (1)</v>
          </cell>
          <cell r="Q13">
            <v>147100</v>
          </cell>
        </row>
        <row r="14">
          <cell r="B14" t="str">
            <v>Penalties (2)</v>
          </cell>
          <cell r="F14">
            <v>4487</v>
          </cell>
          <cell r="H14">
            <v>-387</v>
          </cell>
          <cell r="J14">
            <v>4100</v>
          </cell>
          <cell r="M14">
            <v>18000</v>
          </cell>
          <cell r="O14">
            <v>13000</v>
          </cell>
          <cell r="Q14">
            <v>14400</v>
          </cell>
        </row>
        <row r="15">
          <cell r="B15" t="str">
            <v>Other (2)</v>
          </cell>
          <cell r="F15">
            <v>8948</v>
          </cell>
          <cell r="H15">
            <v>-548</v>
          </cell>
          <cell r="J15">
            <v>8400</v>
          </cell>
          <cell r="M15">
            <v>6000</v>
          </cell>
          <cell r="O15">
            <v>11000</v>
          </cell>
          <cell r="Q15">
            <v>2700</v>
          </cell>
        </row>
        <row r="17">
          <cell r="D17" t="str">
            <v>Sub-Totals</v>
          </cell>
          <cell r="F17">
            <v>525890</v>
          </cell>
          <cell r="H17">
            <v>101510</v>
          </cell>
          <cell r="J17">
            <v>556800</v>
          </cell>
          <cell r="M17">
            <v>1062000</v>
          </cell>
          <cell r="O17">
            <v>769000</v>
          </cell>
          <cell r="Q17">
            <v>1094200</v>
          </cell>
        </row>
        <row r="18">
          <cell r="B18" t="str">
            <v>Interest income (2)</v>
          </cell>
          <cell r="F18">
            <v>3965</v>
          </cell>
          <cell r="H18">
            <v>5135</v>
          </cell>
          <cell r="J18">
            <v>9100</v>
          </cell>
          <cell r="M18">
            <v>4600</v>
          </cell>
          <cell r="O18">
            <v>6600</v>
          </cell>
          <cell r="Q18">
            <v>5400</v>
          </cell>
        </row>
        <row r="20">
          <cell r="D20" t="str">
            <v>Total Available Revenue</v>
          </cell>
          <cell r="F20">
            <v>529855</v>
          </cell>
          <cell r="H20">
            <v>106645</v>
          </cell>
          <cell r="J20">
            <v>565900</v>
          </cell>
          <cell r="M20">
            <v>1066600</v>
          </cell>
          <cell r="O20">
            <v>775600</v>
          </cell>
          <cell r="Q20">
            <v>1099600</v>
          </cell>
        </row>
        <row r="23">
          <cell r="A23" t="str">
            <v>Revenue Requirements:</v>
          </cell>
        </row>
        <row r="25">
          <cell r="B25" t="str">
            <v>Operation and maintenance expense (3)</v>
          </cell>
          <cell r="F25">
            <v>443906</v>
          </cell>
          <cell r="H25">
            <v>22994</v>
          </cell>
          <cell r="J25">
            <v>466900</v>
          </cell>
          <cell r="M25">
            <v>726800</v>
          </cell>
          <cell r="O25">
            <v>729600</v>
          </cell>
          <cell r="Q25">
            <v>751000</v>
          </cell>
        </row>
        <row r="26">
          <cell r="B26" t="str">
            <v>Vacuum truck lease</v>
          </cell>
          <cell r="M26">
            <v>28300</v>
          </cell>
          <cell r="O26">
            <v>28300</v>
          </cell>
          <cell r="Q26">
            <v>28300</v>
          </cell>
        </row>
        <row r="27">
          <cell r="B27" t="str">
            <v>Proposed debt service (4)</v>
          </cell>
          <cell r="O27">
            <v>150800</v>
          </cell>
          <cell r="Q27">
            <v>0</v>
          </cell>
        </row>
        <row r="28">
          <cell r="B28" t="str">
            <v>Debt service reserve (5)</v>
          </cell>
          <cell r="O28">
            <v>0</v>
          </cell>
          <cell r="Q28">
            <v>0</v>
          </cell>
        </row>
        <row r="30">
          <cell r="D30" t="str">
            <v>Total Revenue Requirements</v>
          </cell>
          <cell r="F30">
            <v>469784</v>
          </cell>
          <cell r="H30">
            <v>48872</v>
          </cell>
          <cell r="J30">
            <v>0</v>
          </cell>
          <cell r="M30">
            <v>755100</v>
          </cell>
          <cell r="O30">
            <v>908700</v>
          </cell>
          <cell r="Q30">
            <v>779300</v>
          </cell>
        </row>
        <row r="32">
          <cell r="B32" t="str">
            <v>Remaining amount available for</v>
          </cell>
        </row>
        <row r="33">
          <cell r="C33" t="str">
            <v>replacements and improvements</v>
          </cell>
          <cell r="F33">
            <v>60071</v>
          </cell>
          <cell r="H33">
            <v>57773</v>
          </cell>
          <cell r="J33">
            <v>95617</v>
          </cell>
          <cell r="M33">
            <v>311499</v>
          </cell>
          <cell r="O33">
            <v>-133100</v>
          </cell>
          <cell r="Q33">
            <v>320300</v>
          </cell>
        </row>
        <row r="36">
          <cell r="A36" t="str">
            <v>Debt Service Coverage</v>
          </cell>
          <cell r="O36">
            <v>0.25683975432719153</v>
          </cell>
          <cell r="Q36">
            <v>12.318021201413428</v>
          </cell>
        </row>
        <row r="40">
          <cell r="A40">
            <v>-1</v>
          </cell>
          <cell r="B40" t="str">
            <v>Based on calendar year 2004 revenues normalized for the 2004 rate increase and adjusted for the applicable</v>
          </cell>
        </row>
        <row r="41">
          <cell r="B41" t="str">
            <v>adopted rate increases scheduled to go into effect July 1, 2005 and July 1, 2006.</v>
          </cell>
        </row>
        <row r="42">
          <cell r="A42" t="str">
            <v>(2)</v>
          </cell>
          <cell r="B42" t="str">
            <v xml:space="preserve">Based on calendar year 2004 revenues. </v>
          </cell>
        </row>
        <row r="43">
          <cell r="A43">
            <v>-3</v>
          </cell>
          <cell r="B43" t="str">
            <v>Based on calendar year 2004 operating expenses adjusted for an annual inflation allowance of 3%.</v>
          </cell>
        </row>
        <row r="44">
          <cell r="A44" t="str">
            <v>(4)</v>
          </cell>
          <cell r="B44" t="str">
            <v>Assumes a $4,000,000 SRF loan payable over 20 years at 3.77% interest.  Assumes interest only in 2006.</v>
          </cell>
        </row>
        <row r="45">
          <cell r="A45" t="str">
            <v>(5)</v>
          </cell>
          <cell r="B45" t="str">
            <v>The debt service reserve is assumed to equal the maximum annual debt service accumulated over 5 years.</v>
          </cell>
        </row>
        <row r="57">
          <cell r="A57" t="str">
            <v>(See Accountants' Compilation Report)</v>
          </cell>
        </row>
        <row r="60">
          <cell r="A60" t="str">
            <v>11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WATER05"/>
      <sheetName val="CAPITAL 2005"/>
      <sheetName val="Approp Transfers 05"/>
      <sheetName val="ckchange"/>
      <sheetName val="Rev. % 05"/>
      <sheetName val="BUDGETDETAIL"/>
      <sheetName val="Carryover05"/>
      <sheetName val="Sheet4"/>
      <sheetName val="Sheet3"/>
      <sheetName val="Sheet2"/>
      <sheetName val="WATER04FINAL"/>
      <sheetName val="CAPITAL 2004"/>
      <sheetName val="Approp Transfers"/>
      <sheetName val="Sheet1"/>
      <sheetName val="WATER04 UNADJ"/>
      <sheetName val="wtrsalesbudget"/>
      <sheetName val="Rev. %"/>
      <sheetName val="Carryover 2005"/>
      <sheetName val="Carryover 200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WTB"/>
      <sheetName val="wp AJE"/>
      <sheetName val="Bal"/>
      <sheetName val="Inc"/>
      <sheetName val="Scf"/>
      <sheetName val="AP"/>
      <sheetName val="MinBal"/>
      <sheetName val="Comp Revs"/>
      <sheetName val="Comp OM"/>
      <sheetName val="Comp DS"/>
      <sheetName val="plantadd"/>
      <sheetName val="COMP CIP "/>
      <sheetName val="Comp CIMP"/>
      <sheetName val="COMB"/>
      <sheetName val="COMB COMP"/>
      <sheetName val="rate"/>
      <sheetName val="1999"/>
      <sheetName val="Non Fin Info"/>
      <sheetName val="Chart3"/>
      <sheetName val="wp 2001 depr"/>
      <sheetName val="W Rev Req"/>
      <sheetName val="ratecomp"/>
      <sheetName val="Bud O&amp;M"/>
      <sheetName val="Bud Rev"/>
      <sheetName val="Cap Lease"/>
      <sheetName val="Bud Rep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- PC"/>
      <sheetName val="Eng"/>
      <sheetName val="Graph - PC 22"/>
      <sheetName val="TIF"/>
      <sheetName val="2003-22"/>
      <sheetName val="RR Phase"/>
      <sheetName val="Pay"/>
      <sheetName val="Comb-22"/>
      <sheetName val="Graph Phase"/>
      <sheetName val="INFO"/>
      <sheetName val="WTB"/>
      <sheetName val="WTB 2005"/>
      <sheetName val="Bal"/>
      <sheetName val="Inc"/>
      <sheetName val="SCF"/>
      <sheetName val="Det exp"/>
      <sheetName val="MinBal"/>
      <sheetName val="Proj OM"/>
      <sheetName val="O&amp;M Adj"/>
      <sheetName val="OM Adj"/>
      <sheetName val="Payroll Wrkst"/>
      <sheetName val="99A Bonds"/>
      <sheetName val="2003 A"/>
      <sheetName val="2003 B"/>
      <sheetName val="Combined"/>
      <sheetName val="S Rev Req"/>
      <sheetName val="Add UPIS"/>
      <sheetName val="Rates"/>
      <sheetName val="----Workpapers----"/>
      <sheetName val="Det rev"/>
      <sheetName val="Revs"/>
      <sheetName val="For Bal"/>
      <sheetName val="For Inc"/>
      <sheetName val="For SCF"/>
      <sheetName val="Proj Costs"/>
      <sheetName val="cover"/>
      <sheetName val="Jrnl Entries"/>
      <sheetName val="CIP "/>
      <sheetName val="Proj Exp"/>
      <sheetName val="Pro OM 1"/>
      <sheetName val="Sheet1"/>
      <sheetName val="AJE"/>
      <sheetName val="premamort"/>
      <sheetName val="Amort"/>
      <sheetName val="Int rev"/>
      <sheetName val="Pro OM 4-30"/>
      <sheetName val="OM Adj 4-30"/>
      <sheetName val="For Proj"/>
      <sheetName val="So. and uses"/>
      <sheetName val="For Bonds"/>
      <sheetName val="For Cash Bal"/>
      <sheetName val="Int Pay Exp"/>
      <sheetName val="Misc"/>
      <sheetName val="Tax Inc-Re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PLAINFIELD (INDIANA) MUNICIPAL WASTEWATER UTILITY</v>
          </cell>
        </row>
        <row r="3">
          <cell r="A3" t="str">
            <v>COMPARISON OF ACCOUNT BALANCES WITH MINIMUM BALANCES REQUIRED</v>
          </cell>
        </row>
        <row r="5">
          <cell r="F5" t="str">
            <v>Balance</v>
          </cell>
          <cell r="H5" t="str">
            <v>Minimum</v>
          </cell>
        </row>
        <row r="6">
          <cell r="F6" t="str">
            <v>As of</v>
          </cell>
          <cell r="H6" t="str">
            <v>Balance</v>
          </cell>
        </row>
        <row r="7">
          <cell r="F7">
            <v>38352</v>
          </cell>
          <cell r="H7" t="str">
            <v>Required *</v>
          </cell>
          <cell r="J7" t="str">
            <v>(Ref)</v>
          </cell>
          <cell r="L7" t="str">
            <v>Available</v>
          </cell>
        </row>
        <row r="8">
          <cell r="A8" t="str">
            <v>Accounts:</v>
          </cell>
          <cell r="F8" t="str">
            <v>(Unaudited)</v>
          </cell>
          <cell r="H8" t="str">
            <v xml:space="preserve"> </v>
          </cell>
          <cell r="L8" t="str">
            <v xml:space="preserve"> </v>
          </cell>
        </row>
        <row r="9">
          <cell r="A9" t="str">
            <v xml:space="preserve"> </v>
          </cell>
          <cell r="F9" t="str">
            <v xml:space="preserve"> </v>
          </cell>
        </row>
        <row r="10">
          <cell r="B10" t="str">
            <v>Operation and maintenance</v>
          </cell>
          <cell r="F10">
            <v>1281268</v>
          </cell>
          <cell r="H10">
            <v>481546</v>
          </cell>
          <cell r="J10">
            <v>-1</v>
          </cell>
          <cell r="L10">
            <v>799722</v>
          </cell>
        </row>
        <row r="11">
          <cell r="B11" t="str">
            <v xml:space="preserve"> - Deer Path cash</v>
          </cell>
          <cell r="F11">
            <v>194805</v>
          </cell>
          <cell r="H11">
            <v>194805</v>
          </cell>
          <cell r="J11" t="str">
            <v>(2)</v>
          </cell>
          <cell r="L11">
            <v>0</v>
          </cell>
        </row>
        <row r="13">
          <cell r="B13" t="str">
            <v>Bond and interest cash</v>
          </cell>
          <cell r="F13">
            <v>170796</v>
          </cell>
          <cell r="H13">
            <v>0</v>
          </cell>
          <cell r="J13">
            <v>-3</v>
          </cell>
          <cell r="L13">
            <v>170796</v>
          </cell>
        </row>
        <row r="15">
          <cell r="B15" t="str">
            <v>Sewer treatment cash</v>
          </cell>
          <cell r="F15">
            <v>1951177</v>
          </cell>
          <cell r="H15">
            <v>0</v>
          </cell>
          <cell r="J15">
            <v>-4</v>
          </cell>
          <cell r="L15">
            <v>1951177</v>
          </cell>
        </row>
        <row r="17">
          <cell r="B17" t="str">
            <v>Sewer line inspection cash</v>
          </cell>
          <cell r="F17">
            <v>418173</v>
          </cell>
          <cell r="H17">
            <v>0</v>
          </cell>
          <cell r="J17">
            <v>-4</v>
          </cell>
          <cell r="L17">
            <v>418173</v>
          </cell>
        </row>
        <row r="19">
          <cell r="B19" t="str">
            <v>Construction fund cash</v>
          </cell>
          <cell r="F19">
            <v>4121597</v>
          </cell>
          <cell r="H19">
            <v>4121597</v>
          </cell>
          <cell r="J19">
            <v>-5</v>
          </cell>
          <cell r="L19">
            <v>0</v>
          </cell>
        </row>
        <row r="20">
          <cell r="F20" t="str">
            <v xml:space="preserve"> </v>
          </cell>
          <cell r="H20" t="str">
            <v xml:space="preserve"> </v>
          </cell>
          <cell r="L20" t="str">
            <v xml:space="preserve"> </v>
          </cell>
        </row>
        <row r="21">
          <cell r="C21" t="str">
            <v>Sub-totals</v>
          </cell>
          <cell r="F21">
            <v>8137816</v>
          </cell>
          <cell r="H21">
            <v>4797948</v>
          </cell>
          <cell r="J21" t="str">
            <v xml:space="preserve"> </v>
          </cell>
          <cell r="L21">
            <v>3339868</v>
          </cell>
        </row>
        <row r="22">
          <cell r="H22" t="str">
            <v xml:space="preserve"> </v>
          </cell>
          <cell r="L22" t="str">
            <v xml:space="preserve"> </v>
          </cell>
        </row>
        <row r="23">
          <cell r="A23" t="str">
            <v>*</v>
          </cell>
          <cell r="B23" t="str">
            <v xml:space="preserve">Minimum balances required before funds may be transferred to another account </v>
          </cell>
        </row>
        <row r="24">
          <cell r="B24" t="str">
            <v>per Bond Ordinance Nos. 5-94, 6-99 and 18-2003.</v>
          </cell>
        </row>
        <row r="26">
          <cell r="A26" t="str">
            <v>(1)</v>
          </cell>
          <cell r="B26" t="str">
            <v>No minimum balance required.  However, as a general rule an amount equal to two</v>
          </cell>
        </row>
        <row r="27">
          <cell r="B27" t="str">
            <v xml:space="preserve">month's operating and maintenance expense is typically maintained in this account </v>
          </cell>
        </row>
        <row r="28">
          <cell r="B28" t="str">
            <v>to provide a funding source for operations.</v>
          </cell>
        </row>
        <row r="30">
          <cell r="B30" t="str">
            <v>Projected 2005 annual cash operating expenses (see page 11)</v>
          </cell>
          <cell r="L30">
            <v>2888700</v>
          </cell>
        </row>
        <row r="31">
          <cell r="B31" t="str">
            <v>Times factor for two months</v>
          </cell>
          <cell r="L31">
            <v>0.16669999999999999</v>
          </cell>
        </row>
        <row r="32">
          <cell r="L32" t="str">
            <v xml:space="preserve"> </v>
          </cell>
        </row>
        <row r="33">
          <cell r="D33" t="str">
            <v>Minimum balance suggested</v>
          </cell>
          <cell r="L33">
            <v>481546</v>
          </cell>
        </row>
        <row r="35">
          <cell r="A35" t="str">
            <v>(2)</v>
          </cell>
          <cell r="B35" t="str">
            <v>Balance restricted per management.</v>
          </cell>
        </row>
        <row r="37">
          <cell r="A37" t="str">
            <v>(3)</v>
          </cell>
          <cell r="B37" t="str">
            <v>A balance sufficient to provide for the principal and interest due on the next payment</v>
          </cell>
        </row>
        <row r="38">
          <cell r="B38" t="str">
            <v>date must be accumulated before transfers may be made.</v>
          </cell>
        </row>
        <row r="40">
          <cell r="D40" t="str">
            <v>Due</v>
          </cell>
          <cell r="F40" t="str">
            <v xml:space="preserve">Payment </v>
          </cell>
          <cell r="H40" t="str">
            <v>Months</v>
          </cell>
          <cell r="L40" t="str">
            <v>Amount</v>
          </cell>
        </row>
        <row r="41">
          <cell r="D41" t="str">
            <v>Date</v>
          </cell>
          <cell r="F41" t="str">
            <v>Amount</v>
          </cell>
          <cell r="H41" t="str">
            <v>Factor</v>
          </cell>
          <cell r="L41" t="str">
            <v>Required</v>
          </cell>
        </row>
        <row r="42">
          <cell r="A42" t="str">
            <v xml:space="preserve">   All Outstanding Bonds:</v>
          </cell>
        </row>
        <row r="43">
          <cell r="C43" t="str">
            <v>Interest</v>
          </cell>
          <cell r="D43">
            <v>38534</v>
          </cell>
          <cell r="F43">
            <v>329495</v>
          </cell>
          <cell r="H43" t="str">
            <v>0/6</v>
          </cell>
          <cell r="L43">
            <v>0</v>
          </cell>
        </row>
        <row r="44">
          <cell r="C44" t="str">
            <v>Principal</v>
          </cell>
          <cell r="D44">
            <v>38718</v>
          </cell>
          <cell r="F44">
            <v>480000</v>
          </cell>
          <cell r="H44" t="str">
            <v>0/12</v>
          </cell>
          <cell r="L44">
            <v>0</v>
          </cell>
        </row>
        <row r="46">
          <cell r="D46" t="str">
            <v>Minimum balance required</v>
          </cell>
          <cell r="L46">
            <v>0</v>
          </cell>
        </row>
        <row r="48">
          <cell r="A48" t="str">
            <v>(4)</v>
          </cell>
          <cell r="B48" t="str">
            <v>Balance not restricted by bond ordinance.</v>
          </cell>
        </row>
        <row r="50">
          <cell r="A50" t="str">
            <v>(5)</v>
          </cell>
          <cell r="B50" t="str">
            <v>Balance fully restricted.</v>
          </cell>
        </row>
        <row r="51">
          <cell r="A51" t="str">
            <v>(The Accountants' disclaimer of opinion is</v>
          </cell>
        </row>
        <row r="52">
          <cell r="A52" t="str">
            <v>an integral part of this statement.)</v>
          </cell>
        </row>
        <row r="54">
          <cell r="A54">
            <v>10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O&amp;M"/>
      <sheetName val="Adj O&amp;M"/>
      <sheetName val="CIP"/>
      <sheetName val="revenue req "/>
      <sheetName val="Ref"/>
      <sheetName val="Tarriff"/>
      <sheetName val="Comparison"/>
      <sheetName val="SNA"/>
      <sheetName val="CNA"/>
      <sheetName val="Scf"/>
      <sheetName val="MinBal"/>
      <sheetName val="1998"/>
      <sheetName val="UPIS"/>
      <sheetName val="Coverage"/>
      <sheetName val="W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PIVOT"/>
      <sheetName val="WTB"/>
      <sheetName val="Bal"/>
      <sheetName val="Inc"/>
      <sheetName val="Scf"/>
      <sheetName val="But to Actual by Line Item"/>
      <sheetName val="But to Actual by Dept"/>
      <sheetName val="Bal - Spread"/>
      <sheetName val="Inc - Spread"/>
      <sheetName val="Notes"/>
      <sheetName val="MinBal"/>
      <sheetName val="Billing"/>
      <sheetName val="2001 Bonds"/>
      <sheetName val="NonfinInfo"/>
      <sheetName val="RecDis"/>
      <sheetName val="SelFinInfo"/>
    </sheetNames>
    <sheetDataSet>
      <sheetData sheetId="0" refreshError="1"/>
      <sheetData sheetId="1" refreshError="1">
        <row r="1">
          <cell r="A1" t="str">
            <v>Serv Area</v>
          </cell>
          <cell r="B1" t="str">
            <v>(All)</v>
          </cell>
          <cell r="E1" t="str">
            <v>Serv Area</v>
          </cell>
          <cell r="F1" t="str">
            <v>(All)</v>
          </cell>
        </row>
        <row r="3">
          <cell r="A3" t="str">
            <v>Sum of 12/31/02</v>
          </cell>
          <cell r="E3" t="str">
            <v>Sum of 12/31/03</v>
          </cell>
        </row>
        <row r="4">
          <cell r="A4" t="str">
            <v>FS Line</v>
          </cell>
          <cell r="B4" t="str">
            <v>Total</v>
          </cell>
          <cell r="E4" t="str">
            <v>FS Line</v>
          </cell>
          <cell r="F4" t="str">
            <v>Total</v>
          </cell>
        </row>
        <row r="5">
          <cell r="A5" t="str">
            <v>2003/2004 Bonds</v>
          </cell>
          <cell r="E5" t="str">
            <v>Contributions</v>
          </cell>
          <cell r="F5">
            <v>-4155423.11</v>
          </cell>
        </row>
        <row r="6">
          <cell r="A6" t="str">
            <v>A/R BMB</v>
          </cell>
          <cell r="B6">
            <v>49894.12</v>
          </cell>
          <cell r="E6" t="str">
            <v>Retained earnings</v>
          </cell>
          <cell r="F6">
            <v>-2299241.65</v>
          </cell>
        </row>
        <row r="7">
          <cell r="A7" t="str">
            <v>A/R IDA</v>
          </cell>
          <cell r="B7">
            <v>5180.3599999999997</v>
          </cell>
          <cell r="E7" t="str">
            <v>Other long-term debt</v>
          </cell>
          <cell r="F7">
            <v>-1500000</v>
          </cell>
        </row>
        <row r="8">
          <cell r="A8" t="str">
            <v>A/R PH1</v>
          </cell>
          <cell r="E8" t="str">
            <v>Operation and maintenance cash</v>
          </cell>
          <cell r="F8">
            <v>-852639.2</v>
          </cell>
        </row>
        <row r="9">
          <cell r="A9" t="str">
            <v>A/R S/D</v>
          </cell>
          <cell r="B9">
            <v>37337.68</v>
          </cell>
          <cell r="E9" t="str">
            <v>Accumulated depreciation</v>
          </cell>
          <cell r="F9">
            <v>-1312733.22</v>
          </cell>
        </row>
        <row r="10">
          <cell r="A10" t="str">
            <v>Accounts payable</v>
          </cell>
          <cell r="B10">
            <v>-146753.20000000001</v>
          </cell>
          <cell r="E10" t="str">
            <v>Loan Payable</v>
          </cell>
          <cell r="F10">
            <v>-550000</v>
          </cell>
        </row>
        <row r="11">
          <cell r="A11" t="str">
            <v>Accrued Payroll Exp</v>
          </cell>
          <cell r="B11">
            <v>-1560.38</v>
          </cell>
          <cell r="E11" t="str">
            <v>Retainage payable</v>
          </cell>
          <cell r="F11">
            <v>-401924.81</v>
          </cell>
        </row>
        <row r="12">
          <cell r="A12" t="str">
            <v>Accumulated depreciation</v>
          </cell>
          <cell r="B12">
            <v>-725850.22</v>
          </cell>
          <cell r="E12" t="str">
            <v>IntPay</v>
          </cell>
          <cell r="F12">
            <v>-276304.69</v>
          </cell>
        </row>
        <row r="13">
          <cell r="A13" t="str">
            <v>Advertising</v>
          </cell>
          <cell r="E13" t="str">
            <v>Current portion of LTD</v>
          </cell>
          <cell r="F13">
            <v>-257000</v>
          </cell>
        </row>
        <row r="14">
          <cell r="A14" t="str">
            <v>Allowance for doubtful accounts</v>
          </cell>
          <cell r="E14" t="str">
            <v>Accounts payable</v>
          </cell>
          <cell r="F14">
            <v>-146753.20000000001</v>
          </cell>
        </row>
        <row r="15">
          <cell r="A15" t="str">
            <v>Amortization expense</v>
          </cell>
          <cell r="E15" t="str">
            <v>A/R S/D</v>
          </cell>
          <cell r="F15">
            <v>33186.83</v>
          </cell>
        </row>
        <row r="16">
          <cell r="A16" t="str">
            <v>B&amp;I investment</v>
          </cell>
          <cell r="E16" t="str">
            <v>A/R BMB</v>
          </cell>
          <cell r="F16">
            <v>56338.23</v>
          </cell>
        </row>
        <row r="17">
          <cell r="A17" t="str">
            <v>Bad Debt Expense</v>
          </cell>
          <cell r="E17" t="str">
            <v>A/R IDA</v>
          </cell>
          <cell r="F17">
            <v>2443.23</v>
          </cell>
        </row>
        <row r="18">
          <cell r="A18" t="str">
            <v>Bond and interest cash</v>
          </cell>
          <cell r="B18">
            <v>396935.78</v>
          </cell>
          <cell r="E18" t="str">
            <v>Accrued Payroll Exp</v>
          </cell>
          <cell r="F18">
            <v>-1560.38</v>
          </cell>
        </row>
        <row r="19">
          <cell r="A19" t="str">
            <v>Chemicals</v>
          </cell>
          <cell r="E19" t="str">
            <v>2003/2004 Bonds</v>
          </cell>
          <cell r="F19">
            <v>0</v>
          </cell>
        </row>
        <row r="20">
          <cell r="A20" t="str">
            <v>Collection Services</v>
          </cell>
          <cell r="E20" t="str">
            <v>Prepaid expenses</v>
          </cell>
          <cell r="F20">
            <v>9514.4699999999993</v>
          </cell>
        </row>
        <row r="21">
          <cell r="A21" t="str">
            <v>Communication Expense</v>
          </cell>
          <cell r="E21" t="str">
            <v>Unamortized bond discount</v>
          </cell>
          <cell r="F21">
            <v>86464.37</v>
          </cell>
        </row>
        <row r="22">
          <cell r="A22" t="str">
            <v>Construction account cash</v>
          </cell>
          <cell r="B22">
            <v>2239873.41</v>
          </cell>
          <cell r="E22" t="str">
            <v>M&amp;S Inventory</v>
          </cell>
          <cell r="F22">
            <v>142091.57999999999</v>
          </cell>
        </row>
        <row r="23">
          <cell r="A23" t="str">
            <v>Construction work in progress</v>
          </cell>
          <cell r="B23">
            <v>8280108.4200000009</v>
          </cell>
          <cell r="E23" t="str">
            <v>Bond and interest cash</v>
          </cell>
          <cell r="F23">
            <v>238953</v>
          </cell>
        </row>
        <row r="24">
          <cell r="A24" t="str">
            <v>Contractual services</v>
          </cell>
          <cell r="E24" t="str">
            <v>Other accounts receivable</v>
          </cell>
          <cell r="F24">
            <v>752347.29</v>
          </cell>
        </row>
        <row r="25">
          <cell r="A25" t="str">
            <v>Contributions</v>
          </cell>
          <cell r="B25">
            <v>-3905348.6</v>
          </cell>
          <cell r="E25" t="str">
            <v>Debt service reserve cash</v>
          </cell>
          <cell r="F25">
            <v>760009.75</v>
          </cell>
        </row>
        <row r="26">
          <cell r="A26" t="str">
            <v>Current portion of LTD</v>
          </cell>
          <cell r="B26">
            <v>-257000</v>
          </cell>
          <cell r="E26" t="str">
            <v>Construction account cash</v>
          </cell>
          <cell r="F26">
            <v>1357456.04</v>
          </cell>
        </row>
        <row r="27">
          <cell r="A27" t="str">
            <v>Debt service reserve cash</v>
          </cell>
          <cell r="B27">
            <v>1211879.44</v>
          </cell>
          <cell r="E27" t="str">
            <v>Utility plant in service</v>
          </cell>
          <cell r="F27">
            <v>8725585.9899999965</v>
          </cell>
        </row>
        <row r="28">
          <cell r="A28" t="str">
            <v>Depreciation expense</v>
          </cell>
          <cell r="E28" t="str">
            <v>Construction work in progress</v>
          </cell>
          <cell r="F28">
            <v>9778403.5800000001</v>
          </cell>
        </row>
        <row r="29">
          <cell r="A29" t="str">
            <v>Depreciation fund cash</v>
          </cell>
          <cell r="B29">
            <v>76458.64</v>
          </cell>
          <cell r="E29" t="str">
            <v>A/R PH1</v>
          </cell>
          <cell r="F29">
            <v>0</v>
          </cell>
        </row>
        <row r="30">
          <cell r="A30" t="str">
            <v>Depreciation fund investment</v>
          </cell>
          <cell r="E30" t="str">
            <v>Allowance for doubtful accounts</v>
          </cell>
          <cell r="F30">
            <v>0</v>
          </cell>
        </row>
        <row r="31">
          <cell r="A31" t="str">
            <v>DSR investment</v>
          </cell>
          <cell r="E31" t="str">
            <v>B&amp;I investment</v>
          </cell>
          <cell r="F31">
            <v>0</v>
          </cell>
        </row>
        <row r="32">
          <cell r="A32" t="str">
            <v>Education &amp; Travel</v>
          </cell>
          <cell r="E32" t="str">
            <v>Depreciation fund cash</v>
          </cell>
          <cell r="F32">
            <v>0</v>
          </cell>
        </row>
        <row r="33">
          <cell r="A33" t="str">
            <v>Emergency Contractual</v>
          </cell>
          <cell r="E33" t="str">
            <v>Depreciation fund investment</v>
          </cell>
          <cell r="F33">
            <v>0</v>
          </cell>
        </row>
        <row r="34">
          <cell r="A34" t="str">
            <v>Employee benefits</v>
          </cell>
          <cell r="E34" t="str">
            <v>DSR investment</v>
          </cell>
          <cell r="F34">
            <v>0</v>
          </cell>
        </row>
        <row r="35">
          <cell r="A35" t="str">
            <v>Equipment Rental</v>
          </cell>
          <cell r="E35" t="str">
            <v>Equipment replacement</v>
          </cell>
          <cell r="F35">
            <v>0</v>
          </cell>
        </row>
        <row r="36">
          <cell r="A36" t="str">
            <v>Equipment replacement</v>
          </cell>
          <cell r="E36" t="str">
            <v>Equipment replacement investment</v>
          </cell>
          <cell r="F36">
            <v>0</v>
          </cell>
        </row>
        <row r="37">
          <cell r="A37" t="str">
            <v>Equipment replacement investment</v>
          </cell>
          <cell r="E37" t="str">
            <v>IntRec</v>
          </cell>
          <cell r="F37">
            <v>0</v>
          </cell>
        </row>
        <row r="38">
          <cell r="A38" t="str">
            <v>Extraordinary Income/(Loss)</v>
          </cell>
          <cell r="E38" t="str">
            <v>O&amp;M investment</v>
          </cell>
          <cell r="F38">
            <v>0</v>
          </cell>
        </row>
        <row r="39">
          <cell r="A39" t="str">
            <v>Insurance</v>
          </cell>
          <cell r="E39" t="str">
            <v>Collection Services</v>
          </cell>
          <cell r="F39">
            <v>-1111478.1499999999</v>
          </cell>
        </row>
        <row r="40">
          <cell r="A40" t="str">
            <v>IntExp</v>
          </cell>
          <cell r="E40" t="str">
            <v>Other Revenues</v>
          </cell>
          <cell r="F40">
            <v>-263849.8</v>
          </cell>
        </row>
        <row r="41">
          <cell r="A41" t="str">
            <v>IntInc</v>
          </cell>
          <cell r="E41" t="str">
            <v>IntInc</v>
          </cell>
          <cell r="F41">
            <v>-31785.91</v>
          </cell>
        </row>
        <row r="42">
          <cell r="A42" t="str">
            <v>IntPay</v>
          </cell>
          <cell r="B42">
            <v>-276304.69</v>
          </cell>
          <cell r="E42" t="str">
            <v>Tap Fees</v>
          </cell>
          <cell r="F42">
            <v>-27185</v>
          </cell>
        </row>
        <row r="43">
          <cell r="A43" t="str">
            <v>IntRec</v>
          </cell>
          <cell r="E43" t="str">
            <v>NonUtInc</v>
          </cell>
          <cell r="F43">
            <v>-171.43</v>
          </cell>
        </row>
        <row r="44">
          <cell r="A44" t="str">
            <v>Loan Payable</v>
          </cell>
          <cell r="B44">
            <v>-550000</v>
          </cell>
          <cell r="E44" t="str">
            <v>Bad Debt Expense</v>
          </cell>
          <cell r="F44">
            <v>0</v>
          </cell>
        </row>
        <row r="45">
          <cell r="A45" t="str">
            <v>M&amp;S Inventory</v>
          </cell>
          <cell r="B45">
            <v>142091.57999999999</v>
          </cell>
          <cell r="E45" t="str">
            <v>Regulatory fees</v>
          </cell>
          <cell r="F45">
            <v>0</v>
          </cell>
        </row>
        <row r="46">
          <cell r="A46" t="str">
            <v>Materials and supplies</v>
          </cell>
          <cell r="E46" t="str">
            <v>Public Relations</v>
          </cell>
          <cell r="F46">
            <v>90</v>
          </cell>
        </row>
        <row r="47">
          <cell r="A47" t="str">
            <v>Miscellaneous Expense</v>
          </cell>
          <cell r="E47" t="str">
            <v>Equipment Rental</v>
          </cell>
          <cell r="F47">
            <v>248</v>
          </cell>
        </row>
        <row r="48">
          <cell r="A48" t="str">
            <v>O&amp;M investment</v>
          </cell>
          <cell r="E48" t="str">
            <v>Education &amp; Travel</v>
          </cell>
          <cell r="F48">
            <v>346.27</v>
          </cell>
        </row>
        <row r="49">
          <cell r="A49" t="str">
            <v>Operation and maintenance cash</v>
          </cell>
          <cell r="B49">
            <v>63492</v>
          </cell>
          <cell r="E49" t="str">
            <v>Communication Expense</v>
          </cell>
          <cell r="F49">
            <v>1346.26</v>
          </cell>
        </row>
        <row r="50">
          <cell r="A50" t="str">
            <v>Other accounts receivable</v>
          </cell>
          <cell r="B50">
            <v>693942.66</v>
          </cell>
          <cell r="E50" t="str">
            <v>Sludge Removal</v>
          </cell>
          <cell r="F50">
            <v>2230</v>
          </cell>
        </row>
        <row r="51">
          <cell r="A51" t="str">
            <v>Other long-term debt</v>
          </cell>
          <cell r="B51">
            <v>-1500000</v>
          </cell>
          <cell r="E51" t="str">
            <v>Transportion Expense</v>
          </cell>
          <cell r="F51">
            <v>3729.67</v>
          </cell>
        </row>
        <row r="52">
          <cell r="A52" t="str">
            <v>Other Revenues</v>
          </cell>
          <cell r="E52" t="str">
            <v>Insurance</v>
          </cell>
          <cell r="F52">
            <v>15450.89</v>
          </cell>
        </row>
        <row r="53">
          <cell r="A53" t="str">
            <v>Penalties</v>
          </cell>
          <cell r="E53" t="str">
            <v>Miscellaneous Expense</v>
          </cell>
          <cell r="F53">
            <v>25920.86</v>
          </cell>
        </row>
        <row r="54">
          <cell r="A54" t="str">
            <v>Prepaid expenses</v>
          </cell>
          <cell r="B54">
            <v>9514.4699999999993</v>
          </cell>
          <cell r="E54" t="str">
            <v>Employee benefits</v>
          </cell>
          <cell r="F54">
            <v>28001.05</v>
          </cell>
        </row>
        <row r="55">
          <cell r="A55" t="str">
            <v>Property Rental</v>
          </cell>
          <cell r="E55" t="str">
            <v>Materials and supplies</v>
          </cell>
          <cell r="F55">
            <v>28070.89</v>
          </cell>
        </row>
        <row r="56">
          <cell r="A56" t="str">
            <v>Public Relations</v>
          </cell>
          <cell r="E56" t="str">
            <v>Contractual services</v>
          </cell>
          <cell r="F56">
            <v>45716.93</v>
          </cell>
        </row>
        <row r="57">
          <cell r="A57" t="str">
            <v>Purchase Power</v>
          </cell>
          <cell r="E57" t="str">
            <v>Purchase Power</v>
          </cell>
          <cell r="F57">
            <v>52093.93</v>
          </cell>
        </row>
        <row r="58">
          <cell r="A58" t="str">
            <v>Regulatory fees</v>
          </cell>
          <cell r="E58" t="str">
            <v>NonUtExp</v>
          </cell>
          <cell r="F58">
            <v>52177</v>
          </cell>
        </row>
        <row r="59">
          <cell r="A59" t="str">
            <v>Retainage payable</v>
          </cell>
          <cell r="B59">
            <v>-401924.81</v>
          </cell>
          <cell r="E59" t="str">
            <v>Emergency Contractual</v>
          </cell>
          <cell r="F59">
            <v>145768.85</v>
          </cell>
        </row>
        <row r="60">
          <cell r="A60" t="str">
            <v>Retained earnings</v>
          </cell>
          <cell r="B60">
            <v>-2299241.65</v>
          </cell>
          <cell r="E60" t="str">
            <v>Salaries and wages</v>
          </cell>
          <cell r="F60">
            <v>189753.55</v>
          </cell>
        </row>
        <row r="61">
          <cell r="A61" t="str">
            <v>Salaries and wages</v>
          </cell>
          <cell r="E61" t="str">
            <v>IntExp</v>
          </cell>
          <cell r="F61">
            <v>575273.13</v>
          </cell>
        </row>
        <row r="62">
          <cell r="A62" t="str">
            <v>Sludge Removal</v>
          </cell>
          <cell r="E62" t="str">
            <v>Advertising</v>
          </cell>
          <cell r="F62">
            <v>0</v>
          </cell>
        </row>
        <row r="63">
          <cell r="A63" t="str">
            <v>Subscriptions &amp; Dues</v>
          </cell>
          <cell r="E63" t="str">
            <v>Amortization expense</v>
          </cell>
          <cell r="F63">
            <v>6155.91</v>
          </cell>
        </row>
        <row r="64">
          <cell r="A64" t="str">
            <v>Tap Fees</v>
          </cell>
          <cell r="E64" t="str">
            <v>Chemicals</v>
          </cell>
          <cell r="F64">
            <v>0</v>
          </cell>
        </row>
        <row r="65">
          <cell r="A65" t="str">
            <v>Transportion Expense</v>
          </cell>
          <cell r="E65" t="str">
            <v>Depreciation expense</v>
          </cell>
          <cell r="F65">
            <v>586883</v>
          </cell>
        </row>
        <row r="66">
          <cell r="A66" t="str">
            <v>Unamortized bond discount</v>
          </cell>
          <cell r="B66">
            <v>92620.28</v>
          </cell>
          <cell r="E66" t="str">
            <v>Extraordinary Income/(Loss)</v>
          </cell>
          <cell r="F66">
            <v>0</v>
          </cell>
        </row>
        <row r="67">
          <cell r="A67" t="str">
            <v>Utility plant in service</v>
          </cell>
          <cell r="B67">
            <v>8665654.7099999972</v>
          </cell>
          <cell r="E67" t="str">
            <v>Penalties</v>
          </cell>
          <cell r="F67">
            <v>0</v>
          </cell>
        </row>
        <row r="68">
          <cell r="A68" t="str">
            <v>Vehicle Insurance</v>
          </cell>
          <cell r="E68" t="str">
            <v>Property Rental</v>
          </cell>
          <cell r="F68">
            <v>0</v>
          </cell>
        </row>
        <row r="69">
          <cell r="A69" t="str">
            <v>NonUtExp</v>
          </cell>
          <cell r="E69" t="str">
            <v>Subscriptions &amp; Dues</v>
          </cell>
          <cell r="F69">
            <v>0</v>
          </cell>
        </row>
        <row r="70">
          <cell r="A70" t="str">
            <v>NonUtInc</v>
          </cell>
          <cell r="E70" t="str">
            <v>Vehicle Insurance</v>
          </cell>
          <cell r="F70">
            <v>0</v>
          </cell>
        </row>
        <row r="71">
          <cell r="A71" t="str">
            <v>99Bonds</v>
          </cell>
          <cell r="B71">
            <v>-5305000</v>
          </cell>
          <cell r="E71" t="str">
            <v>99Bonds</v>
          </cell>
          <cell r="F71">
            <v>-5228000</v>
          </cell>
        </row>
        <row r="72">
          <cell r="A72" t="str">
            <v>01Bonds</v>
          </cell>
          <cell r="B72">
            <v>-6070000</v>
          </cell>
          <cell r="E72" t="str">
            <v>01Bonds</v>
          </cell>
          <cell r="F72">
            <v>-4760000</v>
          </cell>
        </row>
        <row r="73">
          <cell r="A73" t="str">
            <v>02Bonds</v>
          </cell>
          <cell r="B73">
            <v>-526000</v>
          </cell>
          <cell r="E73" t="str">
            <v>02Bonds</v>
          </cell>
          <cell r="F73">
            <v>-526000</v>
          </cell>
        </row>
        <row r="74">
          <cell r="A74" t="str">
            <v>Grand Total</v>
          </cell>
          <cell r="B74">
            <v>-3.7252902984619141E-9</v>
          </cell>
          <cell r="E74" t="str">
            <v>Grand Total</v>
          </cell>
          <cell r="F74">
            <v>-1.862645149230957E-9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WTB OLD"/>
      <sheetName val="WATDatabase 102714"/>
      <sheetName val="Proj Cost II"/>
      <sheetName val="2012-13 Prioritization"/>
      <sheetName val="Periodic Maintenance"/>
      <sheetName val="Jnl Entries"/>
      <sheetName val="Forecast Reports---&gt;"/>
      <sheetName val="For SNA"/>
      <sheetName val="For CNA"/>
      <sheetName val="For SCF"/>
      <sheetName val="TPs"/>
      <sheetName val="TPs (2)"/>
      <sheetName val="Fly 1"/>
      <sheetName val="Periodic Maintenance 2016-18"/>
      <sheetName val="2016-20 Prioritization"/>
      <sheetName val="Proj Costs (2)"/>
      <sheetName val="2022-2026 Projects"/>
      <sheetName val="OM 25 YR Alt II"/>
      <sheetName val="SRF 30 YR Pooled Alt II"/>
      <sheetName val="Proposed Bonds 2019 20YR WRAP"/>
      <sheetName val="Prop Comb 25Y LV"/>
      <sheetName val="Proposed Bonds 2019 25Y WRP"/>
      <sheetName val="Prop Comb 25Y WRP"/>
      <sheetName val="Prop Comb"/>
      <sheetName val="PF II"/>
      <sheetName val="PF II (Forward)"/>
      <sheetName val="PF II Adj - 2017"/>
      <sheetName val="PF - 2017"/>
      <sheetName val="PF Adj - 2017"/>
      <sheetName val="PF II Adj"/>
      <sheetName val="PF"/>
      <sheetName val="PF Adj"/>
      <sheetName val="PF (Forward)"/>
      <sheetName val="Norm"/>
      <sheetName val="Norm Adj"/>
      <sheetName val="FP Recalculation"/>
      <sheetName val="Norm Adj (Decl)"/>
      <sheetName val="PF Rev Req II "/>
      <sheetName val="PF Exp Rev Req II "/>
      <sheetName val="--------"/>
      <sheetName val="Fore Coverage (2)"/>
      <sheetName val="Rev Req Alternatives"/>
      <sheetName val="Rev ReqII - TP"/>
      <sheetName val="Rates I "/>
      <sheetName val="Rates II"/>
      <sheetName val="Rates III"/>
      <sheetName val="Graph Options"/>
      <sheetName val="Comparison"/>
      <sheetName val="Fly 2"/>
      <sheetName val="SNP"/>
      <sheetName val="SNP (reference)"/>
      <sheetName val="CNP"/>
      <sheetName val="WATCNP"/>
      <sheetName val="CNP (reference)"/>
      <sheetName val="SCF"/>
      <sheetName val="WATSCF"/>
      <sheetName val="SCF (Reference)"/>
      <sheetName val="Min Bal"/>
      <sheetName val="Det Oper Exp"/>
      <sheetName val="Hist Coverage"/>
      <sheetName val="2004 Bonds"/>
      <sheetName val="2005 Bonds"/>
      <sheetName val="Series 2008 Bonds"/>
      <sheetName val="Series 2013C Bonds "/>
      <sheetName val="Series 2014B Bonds"/>
      <sheetName val="2016A"/>
      <sheetName val="2016B"/>
      <sheetName val="2018A-1 (SRF)"/>
      <sheetName val="2018A-2 (SRF)"/>
      <sheetName val="2019 (OM)"/>
      <sheetName val="2020 (OM)"/>
      <sheetName val="2021 (Level)"/>
      <sheetName val="Combined"/>
      <sheetName val="Rate Study --------&gt;"/>
      <sheetName val="Workpapers------&gt;"/>
      <sheetName val="GSC and Forecast Info ----&gt;&gt;&gt;&gt;&gt;"/>
      <sheetName val="Prop Combined"/>
      <sheetName val="Proj Cost - Water Rate Case Imp"/>
      <sheetName val="Proj Costs - GPC "/>
      <sheetName val="Workpapers ----&gt;"/>
      <sheetName val="UPIS"/>
      <sheetName val="JOINT COSTS"/>
      <sheetName val="WATER ADMIN 100% SALARIES"/>
      <sheetName val="PIVOT RVSD"/>
      <sheetName val="Database - RVSD"/>
      <sheetName val=" COI  (2)"/>
      <sheetName val="IURC Fee Calc."/>
      <sheetName val="2020 WATExp Detail"/>
      <sheetName val="Pro Forma vs 2021 Budget"/>
      <sheetName val="WATDatabase 12.15.20"/>
      <sheetName val="Workpapers (Old) --&gt;"/>
      <sheetName val="Wholesale Surc."/>
      <sheetName val="German"/>
      <sheetName val="Gibson"/>
      <sheetName val="Other WS"/>
      <sheetName val="Other WS (2)"/>
      <sheetName val="UPIS Workpaper"/>
      <sheetName val=" COI "/>
      <sheetName val="Exp Detail"/>
      <sheetName val="Det Oper Expenses"/>
      <sheetName val="Pro Forma vs. 2018 Budget"/>
      <sheetName val="Pro Forma vs. 2018 Budget Sum"/>
      <sheetName val="Pro Forma Cont Serv Sum"/>
      <sheetName val="Pro Forma vs. 2017 Budget Sum"/>
      <sheetName val="Exp Detail OLD"/>
      <sheetName val="Pro Forma vs. Budget"/>
      <sheetName val="Det Oper Exp (2)"/>
      <sheetName val="Phase I"/>
      <sheetName val="Phase II"/>
      <sheetName val="Legal Fees"/>
      <sheetName val="Back Fill and Paving"/>
      <sheetName val="Norm Red Rev"/>
      <sheetName val="DLB Pres --&gt;"/>
      <sheetName val="PF vs. Act Rev"/>
      <sheetName val="Rev"/>
      <sheetName val="Cons"/>
      <sheetName val="Op Exp"/>
      <sheetName val="PF vs. Act Exp"/>
      <sheetName val="Cash Exp"/>
      <sheetName val="chemicals and power"/>
      <sheetName val="NOT USED --------&gt;"/>
      <sheetName val="SNA OLD"/>
      <sheetName val="CNA OLD"/>
      <sheetName val="SCF OLD"/>
      <sheetName val="FS Comp for EWSU Board ======&gt;"/>
      <sheetName val="For Workpapers-----&gt;"/>
      <sheetName val="For Rev"/>
      <sheetName val="For Rev II"/>
      <sheetName val="For Exp"/>
      <sheetName val="For Exp I"/>
      <sheetName val="For Exp II"/>
      <sheetName val="Min Bal 53016"/>
      <sheetName val="Amort"/>
      <sheetName val="Proj - 2013A Bonds"/>
      <sheetName val="Proj - 2013C Bonds"/>
      <sheetName val="For Bonds"/>
      <sheetName val="For Cash Bal"/>
      <sheetName val="Int Exp"/>
      <sheetName val="Int income"/>
      <sheetName val="Def Deb - CWIP"/>
      <sheetName val="GPC Workpapers-----&gt;&gt;"/>
      <sheetName val="Change orders"/>
      <sheetName val="Proposed Bonds - Water"/>
      <sheetName val="Proposed Bonds - Sewer"/>
      <sheetName val="Proposed Bonds Combined"/>
      <sheetName val="Combined Proposed Debt Service"/>
      <sheetName val="Interest rates"/>
      <sheetName val="Int R  071313"/>
      <sheetName val="Int R  071913"/>
      <sheetName val="COMPAR"/>
      <sheetName val="COMPAR - Sewer"/>
      <sheetName val="Est of Interest Earnings"/>
      <sheetName val="Total Savings"/>
      <sheetName val="COI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10">
          <cell r="K10" t="str">
            <v>(4/1/2022)</v>
          </cell>
          <cell r="M10" t="str">
            <v>(4/1/2023)</v>
          </cell>
          <cell r="O10" t="str">
            <v>(4/1/2024)</v>
          </cell>
          <cell r="Q10" t="str">
            <v>(4/1/2025)</v>
          </cell>
          <cell r="S10" t="str">
            <v>(4/1/2026)</v>
          </cell>
        </row>
        <row r="102">
          <cell r="C102" t="str">
            <v>Capital assets in service at 9/30/20 (Unaudited)</v>
          </cell>
          <cell r="K102">
            <v>314424828</v>
          </cell>
        </row>
        <row r="105">
          <cell r="C105" t="str">
            <v>Plus CWIP at 9/30/20 (Unaudited)</v>
          </cell>
          <cell r="K105">
            <v>46090260</v>
          </cell>
        </row>
        <row r="106">
          <cell r="C106" t="str">
            <v>Plus balance of the project proceeds at 9/30/20 (Unaudited)</v>
          </cell>
          <cell r="K106">
            <v>83293652</v>
          </cell>
        </row>
        <row r="107">
          <cell r="K107">
            <v>2552639</v>
          </cell>
        </row>
        <row r="108">
          <cell r="M108">
            <v>22459781</v>
          </cell>
          <cell r="O108">
            <v>6733000</v>
          </cell>
          <cell r="Q108">
            <v>6733000</v>
          </cell>
          <cell r="S108">
            <v>6733000</v>
          </cell>
        </row>
        <row r="109">
          <cell r="O109">
            <v>19436454</v>
          </cell>
          <cell r="Q109">
            <v>1833000</v>
          </cell>
          <cell r="S109">
            <v>1833000</v>
          </cell>
        </row>
        <row r="110">
          <cell r="Q110">
            <v>14797418</v>
          </cell>
          <cell r="S110">
            <v>419000</v>
          </cell>
        </row>
        <row r="111">
          <cell r="S111">
            <v>24071278</v>
          </cell>
        </row>
        <row r="112">
          <cell r="K112">
            <v>-122724702</v>
          </cell>
        </row>
        <row r="154">
          <cell r="C154" t="str">
            <v xml:space="preserve">   Consumer meter deposit fund (@ 9/30/20)</v>
          </cell>
        </row>
        <row r="155">
          <cell r="C155" t="str">
            <v xml:space="preserve">   Debt service reserve (@ 9/30/20)</v>
          </cell>
        </row>
        <row r="156">
          <cell r="C156" t="str">
            <v xml:space="preserve">   Proposed debt service reserve</v>
          </cell>
        </row>
        <row r="241">
          <cell r="AD241">
            <v>2237153</v>
          </cell>
          <cell r="AF241">
            <v>2254230</v>
          </cell>
          <cell r="AH241">
            <v>2241102</v>
          </cell>
          <cell r="AJ241">
            <v>2270450</v>
          </cell>
          <cell r="AL241">
            <v>1673644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Summary - Rebuttal"/>
      <sheetName val="PF Rev Req PH 1 - Rebuttal"/>
      <sheetName val="PF Rev Req PH 2 - Rebuttal"/>
      <sheetName val="Prelim Proj Cost - Rebuttal"/>
      <sheetName val="Proposed Bonds 2017 - Reb"/>
      <sheetName val="Prop Comb - Reb"/>
      <sheetName val="PF II - Rebuttal"/>
      <sheetName val="PF II Adj - Rebuttal"/>
      <sheetName val="Norm - Rebuttal"/>
      <sheetName val="Norm Adj - Rebuttal"/>
      <sheetName val="Proposed Bonds 2017 -OUCC)"/>
      <sheetName val="Rates I  (2)"/>
      <sheetName val="Rates II (2)"/>
      <sheetName val="Rates III (2)"/>
      <sheetName val="Orginal Filing -------&gt;&gt;&gt;&gt;"/>
      <sheetName val="WTB OLD"/>
      <sheetName val="WATDatabase 102714"/>
      <sheetName val="Proj Cost II"/>
      <sheetName val="2012-13 Prioritization"/>
      <sheetName val="Periodic Maintenance"/>
      <sheetName val="Jnl Entries"/>
      <sheetName val="Forecast Reports---&gt;"/>
      <sheetName val="For SNA"/>
      <sheetName val="For CNA"/>
      <sheetName val="For SCF"/>
      <sheetName val="Fly 1"/>
      <sheetName val="Prelim Proj Cost"/>
      <sheetName val="Periodic Maintenance 2016-18"/>
      <sheetName val="2016-20 Prioritization"/>
      <sheetName val="Proposed Bonds 2016"/>
      <sheetName val="Prop Comb"/>
      <sheetName val="PF II"/>
      <sheetName val="PF II Adj"/>
      <sheetName val="PF"/>
      <sheetName val="PF Adj"/>
      <sheetName val="Norm"/>
      <sheetName val="Norm Adj"/>
      <sheetName val="FP Recalculation"/>
      <sheetName val="PF Rev Req II "/>
      <sheetName val="PF Exp Rev Req II "/>
      <sheetName val="--------"/>
      <sheetName val="Fore Coverage (2)"/>
      <sheetName val="Rev ReqII - TP"/>
      <sheetName val="Rates I "/>
      <sheetName val="Rates II"/>
      <sheetName val="Rates III"/>
      <sheetName val="Graph Options"/>
      <sheetName val="Comparison"/>
      <sheetName val="Fly 2"/>
      <sheetName val="SNP"/>
      <sheetName val="CNP"/>
      <sheetName val="SCF"/>
      <sheetName val="Min Bal"/>
      <sheetName val="Det Oper Exp"/>
      <sheetName val="Hist Coverage"/>
      <sheetName val="2004 Bonds"/>
      <sheetName val="2005 Bonds"/>
      <sheetName val="Series 2008 Bonds"/>
      <sheetName val="Series 2013A Bonds"/>
      <sheetName val="Series 2013C Bonds "/>
      <sheetName val="Series 2014B Bonds"/>
      <sheetName val="Combined"/>
      <sheetName val="Rate Study --------&gt;"/>
      <sheetName val="UPIS"/>
      <sheetName val="Workpapers------&gt;"/>
      <sheetName val="GSC and Forecast Info ----&gt;&gt;&gt;&gt;&gt;"/>
      <sheetName val="Prop Combined"/>
      <sheetName val="Proj Cost - Water Rate Case Imp"/>
      <sheetName val="Proj Costs - GPC "/>
      <sheetName val="Workpapers ----&gt;"/>
      <sheetName val="Exp Detail"/>
      <sheetName val="UPIS Workpaper"/>
      <sheetName val="Pro Forma vs. 2015 Budget"/>
      <sheetName val="Pro Forma vs. 2015 Budget Sum"/>
      <sheetName val="Pro Forma Cont Serv Sum"/>
      <sheetName val="Legal Fees"/>
      <sheetName val="Back Fill and Paving"/>
      <sheetName val="Norm Red Rev"/>
      <sheetName val="DLB Pres --&gt;"/>
      <sheetName val="PF vs. Act Rev"/>
      <sheetName val="Rev"/>
      <sheetName val="Cons"/>
      <sheetName val="Op Exp"/>
      <sheetName val="PF vs. Act Exp"/>
      <sheetName val="Cash Exp"/>
      <sheetName val="chemicals and power"/>
      <sheetName val="NOT USED --------&gt;"/>
      <sheetName val="SNA OLD"/>
      <sheetName val="CNA OLD"/>
      <sheetName val="SCF OLD"/>
      <sheetName val="Exp Detail OLD"/>
      <sheetName val="FS Comp for EWSU Board ======&gt;"/>
      <sheetName val="For Workpapers-----&gt;"/>
      <sheetName val="For Rev"/>
      <sheetName val="For Rev II"/>
      <sheetName val="For Exp"/>
      <sheetName val="For Exp I"/>
      <sheetName val="For Exp II"/>
      <sheetName val="Min Bal 53016"/>
      <sheetName val="Amort"/>
      <sheetName val="Proj - 2013A Bonds"/>
      <sheetName val="Proj - 2013C Bonds"/>
      <sheetName val="For Bonds"/>
      <sheetName val="For Cash Bal"/>
      <sheetName val="Int Exp"/>
      <sheetName val="Int income"/>
      <sheetName val="Def Deb - CWIP"/>
      <sheetName val="GPC Workpapers-----&gt;&gt;"/>
      <sheetName val="Change orders"/>
      <sheetName val="Proposed Bonds - Water"/>
      <sheetName val="Proposed Bonds - Sewer"/>
      <sheetName val="Proposed Bonds Combined"/>
      <sheetName val="Combined Proposed Debt Service"/>
      <sheetName val="Interest rates"/>
      <sheetName val="Int R  071313"/>
      <sheetName val="Int R  071913"/>
      <sheetName val="COMPAR"/>
      <sheetName val="COMPAR - Sewer"/>
      <sheetName val="Est of Interest Earnings"/>
      <sheetName val="Total Savings"/>
      <sheetName val="COI"/>
      <sheetName val="Sheet1"/>
    </sheetNames>
    <sheetDataSet>
      <sheetData sheetId="0">
        <row r="1">
          <cell r="B1" t="str">
            <v>EVANSVILLE (INDIANA) WATERWORKS DISTRICT</v>
          </cell>
        </row>
      </sheetData>
      <sheetData sheetId="1" refreshError="1"/>
      <sheetData sheetId="2" refreshError="1"/>
      <sheetData sheetId="3" refreshError="1"/>
      <sheetData sheetId="4">
        <row r="80">
          <cell r="A80">
            <v>8</v>
          </cell>
        </row>
      </sheetData>
      <sheetData sheetId="5">
        <row r="58">
          <cell r="M58">
            <v>56536755.310000002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3">
          <cell r="V13">
            <v>3134291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>
        <row r="236">
          <cell r="BN236">
            <v>242071.19999999995</v>
          </cell>
        </row>
      </sheetData>
      <sheetData sheetId="17">
        <row r="4">
          <cell r="J4" t="str">
            <v>Operating Cash and cash equivalents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9">
          <cell r="E9">
            <v>5000000</v>
          </cell>
        </row>
      </sheetData>
      <sheetData sheetId="30">
        <row r="12">
          <cell r="V12">
            <v>3463905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8">
          <cell r="H18">
            <v>10992480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25">
          <cell r="AJ25">
            <v>40000000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14">
          <cell r="K14">
            <v>502578.14</v>
          </cell>
        </row>
      </sheetData>
      <sheetData sheetId="57">
        <row r="18">
          <cell r="K18">
            <v>133538.75</v>
          </cell>
        </row>
      </sheetData>
      <sheetData sheetId="58">
        <row r="14">
          <cell r="K14">
            <v>342978.44</v>
          </cell>
        </row>
      </sheetData>
      <sheetData sheetId="59">
        <row r="15">
          <cell r="K15">
            <v>271890.63</v>
          </cell>
        </row>
      </sheetData>
      <sheetData sheetId="60">
        <row r="14">
          <cell r="K14">
            <v>63435.68</v>
          </cell>
        </row>
      </sheetData>
      <sheetData sheetId="61">
        <row r="14">
          <cell r="K14">
            <v>1186205.83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2">
          <cell r="T12">
            <v>910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>
        <row r="32">
          <cell r="Z32">
            <v>3234818</v>
          </cell>
        </row>
      </sheetData>
      <sheetData sheetId="90" refreshError="1"/>
      <sheetData sheetId="91">
        <row r="10">
          <cell r="J10">
            <v>176703</v>
          </cell>
        </row>
      </sheetData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Fly 1"/>
      <sheetName val="Forecast Report---&gt;"/>
      <sheetName val="For SNA"/>
      <sheetName val="For CNA"/>
      <sheetName val="For SCF"/>
      <sheetName val="Pro Forma Coverage I"/>
      <sheetName val="Pro Forma Coverage II"/>
      <sheetName val="Prelim Proj Cost"/>
      <sheetName val="Proposed Bonds 2018A1"/>
      <sheetName val="Proposed Bonds 2018A2"/>
      <sheetName val="Proposed Bonds 2018A"/>
      <sheetName val="Proposed Bonds 2018A Comb 1108"/>
      <sheetName val="Proposed Bonds 2018A-1 1220 (2)"/>
      <sheetName val="Proposed Bonds 2018A-2 1220 (2)"/>
      <sheetName val="Proposed Bonds 2018A-1 122018"/>
      <sheetName val="Proposed Bonds 2018A-2 122018"/>
      <sheetName val="Proposed Bonds 2018 Comb"/>
      <sheetName val="Proposed Bonds 2018A Comb 1220"/>
      <sheetName val="Prop Comb Amort (2)"/>
      <sheetName val="Proposed Bonds 2019"/>
      <sheetName val="Prop &amp; Future"/>
      <sheetName val="Prop Comb Amort"/>
      <sheetName val="Rates I"/>
      <sheetName val="Rates II"/>
      <sheetName val="Rates III"/>
      <sheetName val="Hist Schedule --&gt;"/>
      <sheetName val="SNA"/>
      <sheetName val="Fly 2"/>
      <sheetName val="Proj Cost"/>
      <sheetName val="Prop Bonds"/>
      <sheetName val="Prop Comb"/>
      <sheetName val="Rates"/>
      <sheetName val="CNA"/>
      <sheetName val="WATSCF"/>
      <sheetName val="SCF"/>
      <sheetName val="Min Bal"/>
      <sheetName val="Det Oper Exp"/>
      <sheetName val="2013A"/>
      <sheetName val="2013C"/>
      <sheetName val="2014B"/>
      <sheetName val="2016A"/>
      <sheetName val="2016B"/>
      <sheetName val="Out Amrt"/>
      <sheetName val="Hist Schedules ---&gt;"/>
      <sheetName val="Comb Amort"/>
      <sheetName val="Projection Worksheets ---&gt;"/>
      <sheetName val="ProjRev"/>
      <sheetName val="Proj Rev"/>
      <sheetName val="Norm Adj (2)"/>
      <sheetName val="Proj Int Inc. (No Future Bonds)"/>
      <sheetName val="Proj Int Inc. All Bonds"/>
      <sheetName val="Proj Exp"/>
      <sheetName val="Proj Exp I"/>
      <sheetName val="Proj Exp (2)"/>
      <sheetName val="Exp Det and Pro Forma"/>
      <sheetName val="WTB"/>
      <sheetName val="Int Exp"/>
      <sheetName val="WATSNP"/>
      <sheetName val="WATCNP"/>
      <sheetName val="Norm"/>
      <sheetName val="Norm Adj"/>
      <sheetName val="Projection"/>
      <sheetName val="Pro Forma vs. 2019 Budget"/>
      <sheetName val="Norm (2)"/>
      <sheetName val="Proj Rev (2)"/>
      <sheetName val="PF Rev Req II "/>
      <sheetName val="PF Exp Rev Req II "/>
      <sheetName val="Sheet2"/>
      <sheetName val="Int Inc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 t="str">
            <v>(Debt Service Reserve Portion)</v>
          </cell>
        </row>
      </sheetData>
      <sheetData sheetId="10" refreshError="1">
        <row r="9">
          <cell r="A9" t="str">
            <v>(Construction Portion)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3A"/>
      <sheetName val="2013C"/>
      <sheetName val="2014B"/>
      <sheetName val="2016A"/>
      <sheetName val="2016B"/>
      <sheetName val="Page 4"/>
      <sheetName val="Page 5"/>
      <sheetName val="Page 6"/>
      <sheetName val="Fly A-2"/>
      <sheetName val="Page 7"/>
      <sheetName val="Page 8"/>
      <sheetName val="Page 9"/>
      <sheetName val="Page 10"/>
      <sheetName val="Page 1"/>
      <sheetName val="Page 2"/>
      <sheetName val="Page 3"/>
      <sheetName val="Page 5 (2)"/>
      <sheetName val="2020 (OM)"/>
      <sheetName val="Prop Comb Amort"/>
      <sheetName val="Bond FundTransfers"/>
      <sheetName val="2018A-1 (2)"/>
      <sheetName val="2018A-2 (2)"/>
      <sheetName val="Prop &amp; Future (2)"/>
      <sheetName val="SRF Savings"/>
      <sheetName val="Prop &amp; Future"/>
      <sheetName val="2013A (OM) (Refunded)"/>
      <sheetName val="2013C (OM)"/>
      <sheetName val="2014B (OM)"/>
      <sheetName val="2016A (OM)"/>
      <sheetName val="2016B (OM)"/>
      <sheetName val="2018A-1 (SRF)"/>
      <sheetName val="2018A-2 (SRF)"/>
      <sheetName val="2019 (OM)"/>
      <sheetName val="Sheet1"/>
      <sheetName val="Allocated DSR"/>
      <sheetName val="3ProngTe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EVANSVILLE (INDIANA) WATERWORKS DISTRICT</v>
          </cell>
        </row>
        <row r="7">
          <cell r="A7" t="str">
            <v>Interest rate as indicated.</v>
          </cell>
        </row>
      </sheetData>
      <sheetData sheetId="31">
        <row r="1">
          <cell r="A1" t="str">
            <v>EVANSVILLE (INDIANA) WATERWORKS DISTRICT</v>
          </cell>
        </row>
      </sheetData>
      <sheetData sheetId="32">
        <row r="1">
          <cell r="A1" t="str">
            <v>EVANSVILLE (INDIANA) WATERWORKS DISTRICT</v>
          </cell>
        </row>
      </sheetData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D6"/>
  <sheetViews>
    <sheetView tabSelected="1" workbookViewId="0">
      <selection activeCell="D9" sqref="D9"/>
    </sheetView>
  </sheetViews>
  <sheetFormatPr defaultRowHeight="12.75" x14ac:dyDescent="0.2"/>
  <sheetData>
    <row r="4" spans="4:4" x14ac:dyDescent="0.2">
      <c r="D4" t="s">
        <v>1171</v>
      </c>
    </row>
    <row r="5" spans="4:4" x14ac:dyDescent="0.2">
      <c r="D5" t="s">
        <v>1169</v>
      </c>
    </row>
    <row r="6" spans="4:4" x14ac:dyDescent="0.2">
      <c r="D6" t="s">
        <v>1170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26"/>
  <sheetViews>
    <sheetView view="pageBreakPreview" zoomScale="60" zoomScaleNormal="100" workbookViewId="0">
      <selection activeCell="Y70" sqref="Y70"/>
    </sheetView>
  </sheetViews>
  <sheetFormatPr defaultColWidth="12.7109375" defaultRowHeight="15.75" x14ac:dyDescent="0.25"/>
  <cols>
    <col min="1" max="16384" width="12.7109375" style="14"/>
  </cols>
  <sheetData>
    <row r="1" spans="1:2" x14ac:dyDescent="0.25">
      <c r="A1" s="14" t="s">
        <v>7</v>
      </c>
      <c r="B1" s="14" t="s">
        <v>232</v>
      </c>
    </row>
    <row r="2" spans="1:2" x14ac:dyDescent="0.25">
      <c r="B2" s="17"/>
    </row>
    <row r="3" spans="1:2" x14ac:dyDescent="0.25">
      <c r="A3" s="14" t="s">
        <v>8</v>
      </c>
      <c r="B3" s="221" t="s">
        <v>731</v>
      </c>
    </row>
    <row r="4" spans="1:2" x14ac:dyDescent="0.25">
      <c r="A4" s="14" t="s">
        <v>9</v>
      </c>
      <c r="B4" s="15">
        <f ca="1">NOW()</f>
        <v>44327.475997569447</v>
      </c>
    </row>
    <row r="6" spans="1:2" x14ac:dyDescent="0.25">
      <c r="A6" s="14" t="s">
        <v>10</v>
      </c>
      <c r="B6" s="221" t="s">
        <v>478</v>
      </c>
    </row>
    <row r="7" spans="1:2" x14ac:dyDescent="0.25">
      <c r="A7" s="14" t="s">
        <v>11</v>
      </c>
      <c r="B7" s="411" t="s">
        <v>683</v>
      </c>
    </row>
    <row r="8" spans="1:2" x14ac:dyDescent="0.25">
      <c r="A8" s="14" t="s">
        <v>12</v>
      </c>
      <c r="B8" s="14" t="s">
        <v>732</v>
      </c>
    </row>
    <row r="10" spans="1:2" x14ac:dyDescent="0.25">
      <c r="A10" s="16" t="s">
        <v>16</v>
      </c>
    </row>
    <row r="12" spans="1:2" x14ac:dyDescent="0.25">
      <c r="A12" s="16" t="s">
        <v>109</v>
      </c>
    </row>
    <row r="13" spans="1:2" x14ac:dyDescent="0.25">
      <c r="A13" s="16" t="s">
        <v>110</v>
      </c>
    </row>
    <row r="15" spans="1:2" x14ac:dyDescent="0.25">
      <c r="A15" s="55" t="s">
        <v>604</v>
      </c>
    </row>
    <row r="16" spans="1:2" x14ac:dyDescent="0.25">
      <c r="A16" s="55" t="s">
        <v>613</v>
      </c>
    </row>
    <row r="17" spans="1:2" x14ac:dyDescent="0.25">
      <c r="A17" s="16"/>
    </row>
    <row r="18" spans="1:2" x14ac:dyDescent="0.25">
      <c r="A18" s="55" t="s">
        <v>111</v>
      </c>
      <c r="B18" s="55"/>
    </row>
    <row r="19" spans="1:2" x14ac:dyDescent="0.25">
      <c r="A19" s="55" t="s">
        <v>480</v>
      </c>
      <c r="B19" s="55"/>
    </row>
    <row r="20" spans="1:2" x14ac:dyDescent="0.25">
      <c r="A20" s="55" t="s">
        <v>112</v>
      </c>
      <c r="B20" s="55"/>
    </row>
    <row r="22" spans="1:2" x14ac:dyDescent="0.25">
      <c r="A22" s="411" t="s">
        <v>1031</v>
      </c>
    </row>
    <row r="23" spans="1:2" x14ac:dyDescent="0.25">
      <c r="A23" s="14" t="s">
        <v>268</v>
      </c>
    </row>
    <row r="24" spans="1:2" x14ac:dyDescent="0.25">
      <c r="A24" s="14" t="s">
        <v>269</v>
      </c>
    </row>
    <row r="26" spans="1:2" x14ac:dyDescent="0.25">
      <c r="A26" s="55" t="s">
        <v>611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8"/>
  <dimension ref="A1:I3"/>
  <sheetViews>
    <sheetView view="pageBreakPreview" zoomScale="60" zoomScaleNormal="100" workbookViewId="0">
      <selection activeCell="Y70" sqref="Y70"/>
    </sheetView>
  </sheetViews>
  <sheetFormatPr defaultColWidth="9.140625" defaultRowHeight="15.75" x14ac:dyDescent="0.25"/>
  <cols>
    <col min="1" max="16384" width="9.140625" style="2"/>
  </cols>
  <sheetData>
    <row r="1" spans="1:9" x14ac:dyDescent="0.25">
      <c r="A1" s="4" t="str">
        <f>INFO!B1</f>
        <v>EVANSVILLE (INDIANA) WATERWORKS DISTRICT</v>
      </c>
      <c r="B1" s="3"/>
      <c r="C1" s="3"/>
      <c r="D1" s="3"/>
      <c r="E1" s="3"/>
      <c r="F1" s="3"/>
      <c r="G1" s="3"/>
      <c r="H1" s="3"/>
      <c r="I1" s="3"/>
    </row>
    <row r="2" spans="1:9" x14ac:dyDescent="0.25">
      <c r="A2" s="3"/>
      <c r="B2" s="3"/>
      <c r="C2" s="3"/>
      <c r="D2" s="3"/>
      <c r="E2" s="3"/>
      <c r="F2" s="3"/>
      <c r="G2" s="3"/>
      <c r="H2" s="3"/>
      <c r="I2" s="3"/>
    </row>
    <row r="3" spans="1:9" x14ac:dyDescent="0.25">
      <c r="A3" s="1" t="s">
        <v>1082</v>
      </c>
      <c r="B3" s="3"/>
      <c r="C3" s="3"/>
      <c r="D3" s="3"/>
      <c r="E3" s="3"/>
      <c r="F3" s="3"/>
      <c r="G3" s="3"/>
      <c r="H3" s="3"/>
      <c r="I3" s="3"/>
    </row>
  </sheetData>
  <printOptions horizontalCentered="1" verticalCentered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E51"/>
  <sheetViews>
    <sheetView view="pageBreakPreview" zoomScale="90" zoomScaleNormal="100" zoomScaleSheetLayoutView="90" workbookViewId="0">
      <selection activeCell="Y70" sqref="Y70"/>
    </sheetView>
  </sheetViews>
  <sheetFormatPr defaultColWidth="9.28515625" defaultRowHeight="15.75" x14ac:dyDescent="0.25"/>
  <cols>
    <col min="1" max="1" width="2.42578125" style="1020" customWidth="1"/>
    <col min="2" max="2" width="2" style="1020" customWidth="1"/>
    <col min="3" max="3" width="5" style="1020" customWidth="1"/>
    <col min="4" max="6" width="9.28515625" style="1020"/>
    <col min="7" max="7" width="19.42578125" style="1020" customWidth="1"/>
    <col min="8" max="8" width="16.5703125" style="1020" customWidth="1"/>
    <col min="9" max="9" width="18.28515625" style="1020" customWidth="1"/>
    <col min="10" max="10" width="1.7109375" style="1020" hidden="1" customWidth="1"/>
    <col min="11" max="11" width="18.28515625" style="1020" hidden="1" customWidth="1"/>
    <col min="12" max="12" width="2.7109375" style="1020" hidden="1" customWidth="1"/>
    <col min="13" max="13" width="18.28515625" style="1020" hidden="1" customWidth="1"/>
    <col min="14" max="14" width="2.7109375" style="1020" hidden="1" customWidth="1"/>
    <col min="15" max="15" width="18.28515625" style="1020" hidden="1" customWidth="1"/>
    <col min="16" max="16" width="1.5703125" style="1020" hidden="1" customWidth="1"/>
    <col min="17" max="17" width="16.7109375" style="1020" customWidth="1"/>
    <col min="18" max="18" width="17.85546875" style="1020" customWidth="1"/>
    <col min="19" max="19" width="20" style="1020" customWidth="1"/>
    <col min="20" max="20" width="17.85546875" style="1020" bestFit="1" customWidth="1"/>
    <col min="21" max="21" width="15.42578125" style="1020" customWidth="1"/>
    <col min="22" max="22" width="18.42578125" style="1020" bestFit="1" customWidth="1"/>
    <col min="23" max="25" width="9.28515625" style="1020"/>
    <col min="26" max="26" width="18.28515625" style="1020" customWidth="1"/>
    <col min="27" max="31" width="14.5703125" style="1020" customWidth="1"/>
    <col min="32" max="16384" width="9.28515625" style="1020"/>
  </cols>
  <sheetData>
    <row r="1" spans="1:31" x14ac:dyDescent="0.25">
      <c r="A1" s="1018" t="s">
        <v>232</v>
      </c>
      <c r="B1" s="1018"/>
      <c r="C1" s="1018"/>
      <c r="D1" s="1018"/>
      <c r="E1" s="1018"/>
      <c r="F1" s="1018"/>
      <c r="G1" s="1018"/>
      <c r="H1" s="1018"/>
      <c r="I1" s="1018"/>
      <c r="J1" s="1018"/>
      <c r="K1" s="1018"/>
      <c r="L1" s="1018"/>
      <c r="M1" s="1018"/>
      <c r="N1" s="1018"/>
      <c r="O1" s="1018"/>
      <c r="P1" s="1018"/>
      <c r="Q1" s="1019"/>
      <c r="R1" s="1019"/>
    </row>
    <row r="2" spans="1:31" x14ac:dyDescent="0.25">
      <c r="A2" s="1021"/>
      <c r="B2" s="1021"/>
      <c r="C2" s="1021"/>
      <c r="D2" s="1021"/>
      <c r="E2" s="1021"/>
      <c r="F2" s="1021"/>
      <c r="G2" s="1021"/>
      <c r="H2" s="1021"/>
      <c r="I2" s="1022"/>
      <c r="J2" s="1022"/>
      <c r="K2" s="1022"/>
      <c r="L2" s="1022"/>
      <c r="M2" s="1023"/>
      <c r="N2" s="1022"/>
      <c r="P2" s="1022"/>
      <c r="Q2" s="1024"/>
      <c r="R2" s="1024"/>
    </row>
    <row r="3" spans="1:31" x14ac:dyDescent="0.25">
      <c r="A3" s="1025" t="s">
        <v>307</v>
      </c>
      <c r="B3" s="1025"/>
      <c r="C3" s="1025"/>
      <c r="D3" s="1025"/>
      <c r="E3" s="1025"/>
      <c r="F3" s="1025"/>
      <c r="G3" s="1025"/>
      <c r="H3" s="1025"/>
      <c r="I3" s="1025"/>
      <c r="J3" s="1025"/>
      <c r="K3" s="1025"/>
      <c r="L3" s="1025"/>
      <c r="M3" s="1025"/>
      <c r="N3" s="1025"/>
      <c r="O3" s="1025"/>
      <c r="P3" s="1025"/>
      <c r="Q3" s="1026"/>
      <c r="R3" s="1026"/>
    </row>
    <row r="4" spans="1:31" x14ac:dyDescent="0.25">
      <c r="A4" s="1018" t="s">
        <v>811</v>
      </c>
      <c r="B4" s="1018"/>
      <c r="C4" s="1018"/>
      <c r="D4" s="1018"/>
      <c r="E4" s="1018"/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018"/>
      <c r="Q4" s="1019"/>
      <c r="R4" s="1019"/>
    </row>
    <row r="5" spans="1:31" x14ac:dyDescent="0.25">
      <c r="A5" s="1019"/>
      <c r="B5" s="1019"/>
      <c r="C5" s="1019"/>
      <c r="D5" s="1019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</row>
    <row r="6" spans="1:31" x14ac:dyDescent="0.25">
      <c r="A6" s="1028" t="s">
        <v>813</v>
      </c>
      <c r="I6" s="1084"/>
      <c r="J6" s="1027"/>
      <c r="K6" s="1029" t="s">
        <v>814</v>
      </c>
      <c r="L6" s="1027"/>
      <c r="M6" s="1029" t="s">
        <v>812</v>
      </c>
      <c r="N6" s="1027"/>
      <c r="O6" s="1029" t="s">
        <v>815</v>
      </c>
      <c r="P6" s="1027"/>
      <c r="Q6" s="1027"/>
      <c r="R6" s="1027"/>
    </row>
    <row r="7" spans="1:31" x14ac:dyDescent="0.25">
      <c r="B7" s="1020" t="s">
        <v>816</v>
      </c>
      <c r="P7" s="1024"/>
      <c r="Q7" s="1024"/>
      <c r="R7" s="1024"/>
    </row>
    <row r="8" spans="1:31" x14ac:dyDescent="0.25">
      <c r="I8" s="1024"/>
      <c r="J8" s="1024"/>
      <c r="K8" s="1024"/>
      <c r="L8" s="1024"/>
      <c r="M8" s="1024"/>
      <c r="N8" s="1024"/>
      <c r="O8" s="1024"/>
      <c r="P8" s="1024"/>
      <c r="Q8" s="1024"/>
      <c r="R8" s="1024"/>
    </row>
    <row r="9" spans="1:31" x14ac:dyDescent="0.25">
      <c r="C9" s="1020" t="s">
        <v>817</v>
      </c>
      <c r="I9" s="1030">
        <v>162638000</v>
      </c>
      <c r="J9" s="1030"/>
      <c r="K9" s="1030" t="e">
        <f>#REF!</f>
        <v>#REF!</v>
      </c>
      <c r="L9" s="1030"/>
      <c r="M9" s="1030" t="e">
        <f>#REF!</f>
        <v>#REF!</v>
      </c>
      <c r="N9" s="1030"/>
      <c r="O9" s="1030" t="e">
        <f>#REF!</f>
        <v>#REF!</v>
      </c>
      <c r="P9" s="1030"/>
      <c r="Q9" s="1030"/>
      <c r="R9" s="1030"/>
    </row>
    <row r="10" spans="1:31" ht="15" customHeight="1" x14ac:dyDescent="0.25">
      <c r="C10" s="1020" t="s">
        <v>818</v>
      </c>
      <c r="I10" s="1031">
        <v>13200000</v>
      </c>
      <c r="J10" s="1031"/>
      <c r="K10" s="1031" t="e">
        <f>#REF!</f>
        <v>#REF!</v>
      </c>
      <c r="L10" s="1031"/>
      <c r="M10" s="1031" t="e">
        <f>#REF!</f>
        <v>#REF!</v>
      </c>
      <c r="N10" s="1030"/>
      <c r="O10" s="1031" t="e">
        <f>#REF!</f>
        <v>#REF!</v>
      </c>
      <c r="P10" s="1030"/>
      <c r="Q10" s="1030"/>
      <c r="R10" s="1030"/>
    </row>
    <row r="11" spans="1:31" x14ac:dyDescent="0.25">
      <c r="C11" s="1020" t="s">
        <v>819</v>
      </c>
      <c r="I11" s="1031">
        <v>39806000</v>
      </c>
      <c r="J11" s="1031"/>
      <c r="K11" s="1031" t="e">
        <f>#REF!</f>
        <v>#REF!</v>
      </c>
      <c r="L11" s="1031"/>
      <c r="M11" s="1031" t="e">
        <f>#REF!</f>
        <v>#REF!</v>
      </c>
      <c r="N11" s="1031"/>
      <c r="O11" s="1031" t="e">
        <f>#REF!</f>
        <v>#REF!</v>
      </c>
      <c r="P11" s="1031"/>
      <c r="Q11" s="1031"/>
      <c r="R11" s="1031"/>
    </row>
    <row r="12" spans="1:31" x14ac:dyDescent="0.25">
      <c r="C12" s="1020" t="s">
        <v>1136</v>
      </c>
      <c r="I12" s="1031">
        <v>4585000</v>
      </c>
      <c r="J12" s="1031"/>
      <c r="K12" s="1031" t="e">
        <f>#REF!</f>
        <v>#REF!</v>
      </c>
      <c r="L12" s="1031"/>
      <c r="M12" s="1031" t="e">
        <f>#REF!</f>
        <v>#REF!</v>
      </c>
      <c r="N12" s="1031"/>
      <c r="O12" s="1031" t="e">
        <f>#REF!</f>
        <v>#REF!</v>
      </c>
      <c r="P12" s="1031"/>
      <c r="Q12" s="1031"/>
      <c r="R12" s="1031"/>
    </row>
    <row r="13" spans="1:31" x14ac:dyDescent="0.25">
      <c r="I13" s="1032"/>
      <c r="J13" s="1031"/>
      <c r="K13" s="1032"/>
      <c r="L13" s="1031"/>
      <c r="M13" s="1032"/>
      <c r="N13" s="1031"/>
      <c r="O13" s="1032"/>
      <c r="P13" s="1031"/>
      <c r="Q13" s="1278"/>
      <c r="R13" s="1278"/>
      <c r="S13" s="1279"/>
      <c r="T13" s="1279"/>
      <c r="U13" s="1279"/>
      <c r="V13" s="1279"/>
      <c r="W13" s="1279"/>
      <c r="X13" s="1279"/>
      <c r="Y13" s="1279"/>
      <c r="Z13" s="1279"/>
      <c r="AA13" s="1279"/>
      <c r="AB13" s="1279"/>
      <c r="AC13" s="1279"/>
      <c r="AD13" s="1279"/>
      <c r="AE13" s="1279"/>
    </row>
    <row r="14" spans="1:31" x14ac:dyDescent="0.25">
      <c r="D14" s="1020" t="s">
        <v>820</v>
      </c>
      <c r="Q14" s="1279"/>
      <c r="R14" s="1279"/>
      <c r="S14" s="1279"/>
      <c r="T14" s="1279"/>
      <c r="U14" s="1279"/>
      <c r="V14" s="1279"/>
      <c r="W14" s="1279"/>
      <c r="X14" s="1279"/>
      <c r="Y14" s="1279"/>
      <c r="Z14" s="1279"/>
      <c r="AA14" s="1279"/>
      <c r="AB14" s="1279"/>
      <c r="AC14" s="1279"/>
      <c r="AD14" s="1279"/>
      <c r="AE14" s="1279"/>
    </row>
    <row r="15" spans="1:31" x14ac:dyDescent="0.25">
      <c r="D15" s="1020" t="s">
        <v>821</v>
      </c>
      <c r="I15" s="1033">
        <f>SUM(I9:I12)</f>
        <v>220229000</v>
      </c>
      <c r="J15" s="1031"/>
      <c r="K15" s="1033" t="e">
        <f>SUM(K9:K12)</f>
        <v>#REF!</v>
      </c>
      <c r="L15" s="1031"/>
      <c r="M15" s="1033" t="e">
        <f>SUM(M9:M12)</f>
        <v>#REF!</v>
      </c>
      <c r="N15" s="1031"/>
      <c r="O15" s="1033" t="e">
        <f>SUM(O9:O12)</f>
        <v>#REF!</v>
      </c>
      <c r="P15" s="1031"/>
      <c r="Q15" s="1278"/>
      <c r="R15" s="1278"/>
      <c r="S15" s="1279"/>
      <c r="T15" s="1279"/>
      <c r="U15" s="1279"/>
      <c r="V15" s="1279"/>
      <c r="W15" s="1279"/>
      <c r="X15" s="1279"/>
      <c r="Y15" s="1279"/>
      <c r="Z15" s="1279"/>
      <c r="AA15" s="1279"/>
      <c r="AB15" s="1279"/>
      <c r="AC15" s="1279"/>
      <c r="AD15" s="1279"/>
      <c r="AE15" s="1279"/>
    </row>
    <row r="16" spans="1:31" x14ac:dyDescent="0.25">
      <c r="I16" s="1031"/>
      <c r="J16" s="1031"/>
      <c r="K16" s="1031"/>
      <c r="L16" s="1031"/>
      <c r="M16" s="1031"/>
      <c r="N16" s="1031"/>
      <c r="O16" s="1031"/>
      <c r="P16" s="1031"/>
      <c r="Q16" s="1279"/>
      <c r="R16" s="1279"/>
      <c r="S16" s="1279"/>
      <c r="T16" s="1279"/>
      <c r="U16" s="1279"/>
      <c r="V16" s="1279"/>
      <c r="W16" s="1279"/>
      <c r="X16" s="1279"/>
      <c r="Y16" s="1279"/>
      <c r="Z16" s="1278"/>
      <c r="AA16" s="1278"/>
      <c r="AB16" s="1279"/>
      <c r="AC16" s="1279"/>
      <c r="AD16" s="1279"/>
      <c r="AE16" s="1279"/>
    </row>
    <row r="17" spans="1:31" x14ac:dyDescent="0.25">
      <c r="B17" s="1020" t="s">
        <v>113</v>
      </c>
      <c r="I17" s="1031"/>
      <c r="J17" s="1031"/>
      <c r="K17" s="1031"/>
      <c r="L17" s="1031"/>
      <c r="M17" s="1031"/>
      <c r="N17" s="1031"/>
      <c r="O17" s="1031"/>
      <c r="P17" s="1031"/>
      <c r="Q17" s="1279"/>
      <c r="R17" s="1279"/>
      <c r="S17" s="1279"/>
      <c r="T17" s="1279"/>
      <c r="U17" s="1279"/>
      <c r="V17" s="1279"/>
      <c r="W17" s="1279"/>
      <c r="X17" s="1279"/>
      <c r="Y17" s="1279"/>
      <c r="Z17" s="1278"/>
      <c r="AA17" s="1278"/>
      <c r="AB17" s="1279"/>
      <c r="AC17" s="1279"/>
      <c r="AD17" s="1279"/>
      <c r="AE17" s="1279"/>
    </row>
    <row r="18" spans="1:31" x14ac:dyDescent="0.25">
      <c r="I18" s="1031"/>
      <c r="J18" s="1031"/>
      <c r="K18" s="1031"/>
      <c r="L18" s="1031"/>
      <c r="M18" s="1031"/>
      <c r="N18" s="1031"/>
      <c r="O18" s="1031"/>
      <c r="P18" s="1031"/>
      <c r="Q18" s="1279"/>
      <c r="R18" s="1279"/>
      <c r="S18" s="1279"/>
      <c r="T18" s="1279"/>
      <c r="U18" s="1279"/>
      <c r="V18" s="1279"/>
      <c r="W18" s="1279"/>
      <c r="X18" s="1279"/>
      <c r="Y18" s="1279"/>
      <c r="Z18" s="1278"/>
      <c r="AA18" s="1280"/>
      <c r="AB18" s="1279"/>
      <c r="AC18" s="1280"/>
      <c r="AD18" s="1279"/>
      <c r="AE18" s="1280"/>
    </row>
    <row r="19" spans="1:31" x14ac:dyDescent="0.25">
      <c r="C19" s="1020" t="s">
        <v>822</v>
      </c>
      <c r="I19" s="1024">
        <v>631800</v>
      </c>
      <c r="J19" s="1031"/>
      <c r="K19" s="1031">
        <f>AC23</f>
        <v>0</v>
      </c>
      <c r="L19" s="1031"/>
      <c r="M19" s="1031">
        <f>AA23</f>
        <v>0</v>
      </c>
      <c r="N19" s="1031"/>
      <c r="O19" s="1031">
        <f>AE23</f>
        <v>0</v>
      </c>
      <c r="P19" s="1031"/>
      <c r="Q19" s="1279"/>
      <c r="R19" s="1279"/>
      <c r="S19" s="1279"/>
      <c r="T19" s="1279"/>
      <c r="U19" s="1279"/>
      <c r="V19" s="1279"/>
      <c r="W19" s="1279"/>
      <c r="X19" s="1279"/>
      <c r="Y19" s="1279"/>
      <c r="Z19" s="1281"/>
      <c r="AA19" s="1282"/>
      <c r="AB19" s="1283"/>
      <c r="AC19" s="1284"/>
      <c r="AD19" s="1283"/>
      <c r="AE19" s="1284"/>
    </row>
    <row r="20" spans="1:31" x14ac:dyDescent="0.25">
      <c r="C20" s="1020" t="s">
        <v>823</v>
      </c>
      <c r="I20" s="1031">
        <v>750000</v>
      </c>
      <c r="J20" s="1031"/>
      <c r="K20" s="1031">
        <v>750000</v>
      </c>
      <c r="L20" s="1031"/>
      <c r="M20" s="1034">
        <v>0</v>
      </c>
      <c r="N20" s="1031"/>
      <c r="O20" s="1031">
        <v>750000</v>
      </c>
      <c r="P20" s="1031"/>
      <c r="Q20" s="1279"/>
      <c r="R20" s="1279"/>
      <c r="S20" s="1279"/>
      <c r="T20" s="1279"/>
      <c r="U20" s="1279"/>
      <c r="V20" s="1279"/>
      <c r="W20" s="1279"/>
      <c r="X20" s="1279"/>
      <c r="Y20" s="1279"/>
      <c r="Z20" s="1278"/>
      <c r="AA20" s="1278"/>
      <c r="AB20" s="1279"/>
      <c r="AC20" s="1278"/>
      <c r="AD20" s="1279"/>
      <c r="AE20" s="1278"/>
    </row>
    <row r="21" spans="1:31" x14ac:dyDescent="0.25">
      <c r="C21" s="1020" t="s">
        <v>1002</v>
      </c>
      <c r="I21" s="1031">
        <v>5628100</v>
      </c>
      <c r="J21" s="1031"/>
      <c r="K21" s="1031">
        <v>350000</v>
      </c>
      <c r="L21" s="1031"/>
      <c r="M21" s="1034">
        <v>0</v>
      </c>
      <c r="N21" s="1031"/>
      <c r="O21" s="1031"/>
      <c r="P21" s="1031"/>
      <c r="Q21" s="1279"/>
      <c r="R21" s="1279"/>
      <c r="S21" s="1279"/>
      <c r="T21" s="1279"/>
      <c r="U21" s="1279"/>
      <c r="V21" s="1279"/>
      <c r="W21" s="1279"/>
      <c r="X21" s="1279"/>
      <c r="Y21" s="1279"/>
      <c r="Z21" s="1278"/>
      <c r="AA21" s="1278"/>
      <c r="AB21" s="1279"/>
      <c r="AC21" s="1278"/>
      <c r="AD21" s="1279"/>
      <c r="AE21" s="1278"/>
    </row>
    <row r="22" spans="1:31" x14ac:dyDescent="0.25">
      <c r="C22" s="1020" t="s">
        <v>1003</v>
      </c>
      <c r="I22" s="1031">
        <v>8727100</v>
      </c>
      <c r="J22" s="1031"/>
      <c r="K22" s="1031"/>
      <c r="L22" s="1031"/>
      <c r="M22" s="1034"/>
      <c r="N22" s="1031"/>
      <c r="O22" s="1031"/>
      <c r="P22" s="1031"/>
      <c r="Q22" s="1279"/>
      <c r="R22" s="1279"/>
      <c r="S22" s="1279"/>
      <c r="T22" s="1279"/>
      <c r="U22" s="1279"/>
      <c r="V22" s="1279"/>
      <c r="W22" s="1279"/>
      <c r="X22" s="1279"/>
      <c r="Y22" s="1279"/>
      <c r="Z22" s="1278"/>
      <c r="AA22" s="1278"/>
      <c r="AB22" s="1279"/>
      <c r="AC22" s="1278"/>
      <c r="AD22" s="1279"/>
      <c r="AE22" s="1278"/>
    </row>
    <row r="23" spans="1:31" x14ac:dyDescent="0.25">
      <c r="C23" s="1020" t="s">
        <v>824</v>
      </c>
      <c r="P23" s="1031"/>
      <c r="Q23" s="1279"/>
      <c r="R23" s="1279"/>
      <c r="S23" s="1279"/>
      <c r="T23" s="1279"/>
      <c r="U23" s="1279"/>
      <c r="V23" s="1279"/>
      <c r="W23" s="1279"/>
      <c r="X23" s="1279"/>
      <c r="Y23" s="1279"/>
      <c r="Z23" s="1281"/>
      <c r="AA23" s="1281"/>
      <c r="AB23" s="1285"/>
      <c r="AC23" s="1281"/>
      <c r="AD23" s="1285"/>
      <c r="AE23" s="1281"/>
    </row>
    <row r="24" spans="1:31" x14ac:dyDescent="0.25">
      <c r="C24" s="1020" t="s">
        <v>825</v>
      </c>
      <c r="I24" s="1033">
        <v>2199000</v>
      </c>
      <c r="J24" s="1031"/>
      <c r="K24" s="1033">
        <f>AB33</f>
        <v>0</v>
      </c>
      <c r="L24" s="1031"/>
      <c r="M24" s="1033">
        <f>AB34</f>
        <v>0</v>
      </c>
      <c r="N24" s="1031"/>
      <c r="O24" s="1033">
        <f>AB35</f>
        <v>0</v>
      </c>
      <c r="P24" s="1031"/>
      <c r="Q24" s="1279"/>
      <c r="R24" s="1282"/>
      <c r="S24" s="1282"/>
      <c r="T24" s="1279"/>
      <c r="U24" s="1279"/>
      <c r="V24" s="1279"/>
      <c r="W24" s="1279"/>
      <c r="X24" s="1279"/>
      <c r="Y24" s="1279"/>
      <c r="Z24" s="1278"/>
      <c r="AA24" s="1278"/>
      <c r="AB24" s="1279"/>
      <c r="AC24" s="1279"/>
      <c r="AD24" s="1279"/>
      <c r="AE24" s="1279"/>
    </row>
    <row r="25" spans="1:31" x14ac:dyDescent="0.25">
      <c r="I25" s="1031"/>
      <c r="J25" s="1031"/>
      <c r="K25" s="1031"/>
      <c r="L25" s="1031"/>
      <c r="M25" s="1031"/>
      <c r="N25" s="1031"/>
      <c r="O25" s="1031"/>
      <c r="P25" s="1031"/>
      <c r="Q25" s="1279"/>
      <c r="R25" s="1279"/>
      <c r="S25" s="1279"/>
      <c r="T25" s="1279"/>
      <c r="U25" s="1286"/>
      <c r="V25" s="1279"/>
      <c r="W25" s="1279"/>
      <c r="X25" s="1279"/>
      <c r="Y25" s="1279"/>
      <c r="Z25" s="1278"/>
      <c r="AA25" s="1278"/>
      <c r="AB25" s="1279"/>
      <c r="AC25" s="1279"/>
      <c r="AD25" s="1279"/>
      <c r="AE25" s="1279"/>
    </row>
    <row r="26" spans="1:31" x14ac:dyDescent="0.25">
      <c r="D26" s="1020" t="s">
        <v>114</v>
      </c>
      <c r="I26" s="1033">
        <f>SUM(I19:I24)</f>
        <v>17936000</v>
      </c>
      <c r="J26" s="1031"/>
      <c r="K26" s="1033">
        <f>SUM(K19:K24)</f>
        <v>1100000</v>
      </c>
      <c r="L26" s="1031"/>
      <c r="M26" s="1033">
        <f>SUM(M19:M24)</f>
        <v>0</v>
      </c>
      <c r="N26" s="1031"/>
      <c r="O26" s="1033">
        <f>SUM(O19:O24)</f>
        <v>750000</v>
      </c>
      <c r="P26" s="1031"/>
      <c r="Q26" s="1279"/>
      <c r="R26" s="1279"/>
      <c r="S26" s="1279"/>
      <c r="T26" s="1279"/>
      <c r="U26" s="1279"/>
      <c r="V26" s="1279"/>
      <c r="W26" s="1279"/>
      <c r="X26" s="1279"/>
      <c r="Y26" s="1279"/>
      <c r="Z26" s="1281"/>
      <c r="AA26" s="1284"/>
      <c r="AB26" s="1283"/>
      <c r="AC26" s="1284"/>
      <c r="AD26" s="1279"/>
      <c r="AE26" s="1279"/>
    </row>
    <row r="27" spans="1:31" x14ac:dyDescent="0.25">
      <c r="I27" s="1031"/>
      <c r="J27" s="1031"/>
      <c r="K27" s="1031"/>
      <c r="L27" s="1031"/>
      <c r="M27" s="1031"/>
      <c r="N27" s="1031"/>
      <c r="O27" s="1031"/>
      <c r="P27" s="1031"/>
      <c r="Q27" s="1279"/>
      <c r="R27" s="1279"/>
      <c r="S27" s="1279"/>
      <c r="T27" s="1279"/>
      <c r="U27" s="1279"/>
      <c r="V27" s="1279"/>
      <c r="W27" s="1279"/>
      <c r="X27" s="1279"/>
      <c r="Y27" s="1279"/>
      <c r="Z27" s="1278"/>
      <c r="AA27" s="1278"/>
      <c r="AB27" s="1279"/>
      <c r="AC27" s="1279"/>
      <c r="AD27" s="1279"/>
      <c r="AE27" s="1279"/>
    </row>
    <row r="28" spans="1:31" ht="16.5" thickBot="1" x14ac:dyDescent="0.3">
      <c r="D28" s="1020" t="s">
        <v>308</v>
      </c>
      <c r="I28" s="1035">
        <f>+I15+I26</f>
        <v>238165000</v>
      </c>
      <c r="J28" s="1030"/>
      <c r="K28" s="1035" t="e">
        <f>+K15+K26</f>
        <v>#REF!</v>
      </c>
      <c r="L28" s="1030"/>
      <c r="M28" s="1035" t="e">
        <f>+M15+M26</f>
        <v>#REF!</v>
      </c>
      <c r="N28" s="1030"/>
      <c r="O28" s="1035" t="e">
        <f>+O15+O26</f>
        <v>#REF!</v>
      </c>
      <c r="P28" s="1030"/>
      <c r="Q28" s="1279"/>
      <c r="R28" s="1279"/>
      <c r="S28" s="1284"/>
      <c r="T28" s="1279"/>
      <c r="U28" s="1279"/>
      <c r="V28" s="1279"/>
      <c r="W28" s="1279"/>
      <c r="X28" s="1279"/>
      <c r="Y28" s="1279"/>
      <c r="Z28" s="1278"/>
      <c r="AA28" s="1278"/>
      <c r="AB28" s="1279"/>
      <c r="AC28" s="1278"/>
      <c r="AD28" s="1279"/>
      <c r="AE28" s="1279"/>
    </row>
    <row r="29" spans="1:31" ht="16.5" thickTop="1" x14ac:dyDescent="0.25">
      <c r="I29" s="1031"/>
      <c r="J29" s="1031"/>
      <c r="K29" s="1031"/>
      <c r="L29" s="1031"/>
      <c r="M29" s="1031"/>
      <c r="N29" s="1031"/>
      <c r="O29" s="1031"/>
      <c r="P29" s="1031"/>
      <c r="Q29" s="1279"/>
      <c r="R29" s="1279"/>
      <c r="S29" s="1284"/>
      <c r="T29" s="1279"/>
      <c r="U29" s="1279"/>
      <c r="V29" s="1279"/>
      <c r="W29" s="1279"/>
      <c r="X29" s="1279"/>
      <c r="Y29" s="1279"/>
      <c r="Z29" s="1281"/>
      <c r="AA29" s="1281"/>
      <c r="AB29" s="1285"/>
      <c r="AC29" s="1281"/>
      <c r="AD29" s="1279"/>
      <c r="AE29" s="1279"/>
    </row>
    <row r="30" spans="1:31" x14ac:dyDescent="0.25">
      <c r="A30" s="1028" t="s">
        <v>826</v>
      </c>
      <c r="I30" s="1031"/>
      <c r="J30" s="1031"/>
      <c r="K30" s="1031"/>
      <c r="L30" s="1031"/>
      <c r="M30" s="1031"/>
      <c r="N30" s="1031"/>
      <c r="O30" s="1031"/>
      <c r="P30" s="1031"/>
      <c r="Q30" s="1279"/>
      <c r="R30" s="1279"/>
      <c r="S30" s="1279"/>
      <c r="T30" s="1279"/>
      <c r="U30" s="1279"/>
      <c r="V30" s="1279"/>
      <c r="W30" s="1279"/>
      <c r="X30" s="1279"/>
      <c r="Y30" s="1279"/>
      <c r="Z30" s="1279"/>
      <c r="AA30" s="1279"/>
      <c r="AB30" s="1279"/>
      <c r="AC30" s="1279"/>
      <c r="AD30" s="1279"/>
      <c r="AE30" s="1279"/>
    </row>
    <row r="31" spans="1:31" x14ac:dyDescent="0.25">
      <c r="B31" s="1020" t="s">
        <v>827</v>
      </c>
      <c r="I31" s="1030">
        <v>63185000</v>
      </c>
      <c r="J31" s="1030"/>
      <c r="K31" s="1030" t="e">
        <f>ROUND((SUM(K9+K20)*0.51)+SUM(K10:K12)+K19++(K24*(2/3)),0)-647</f>
        <v>#REF!</v>
      </c>
      <c r="L31" s="1030"/>
      <c r="M31" s="1030" t="e">
        <f>M28</f>
        <v>#REF!</v>
      </c>
      <c r="N31" s="1030"/>
      <c r="P31" s="1030"/>
      <c r="Q31" s="1284"/>
      <c r="R31" s="1279"/>
      <c r="S31" s="1279"/>
      <c r="T31" s="1279"/>
      <c r="U31" s="1279"/>
      <c r="V31" s="1279"/>
      <c r="W31" s="1279"/>
      <c r="X31" s="1279"/>
      <c r="Y31" s="1279"/>
      <c r="Z31" s="1278"/>
      <c r="AA31" s="1287"/>
      <c r="AB31" s="1288"/>
      <c r="AC31" s="1279"/>
      <c r="AD31" s="1279"/>
      <c r="AE31" s="1279"/>
    </row>
    <row r="32" spans="1:31" x14ac:dyDescent="0.25">
      <c r="B32" s="1020" t="s">
        <v>828</v>
      </c>
      <c r="I32" s="1033">
        <v>174980000</v>
      </c>
      <c r="J32" s="1030"/>
      <c r="K32" s="1034">
        <v>0</v>
      </c>
      <c r="L32" s="1030"/>
      <c r="M32" s="1034">
        <v>0</v>
      </c>
      <c r="N32" s="1030"/>
      <c r="O32" s="1030" t="e">
        <f>O28</f>
        <v>#REF!</v>
      </c>
      <c r="P32" s="1030"/>
      <c r="Q32" s="1284"/>
      <c r="R32" s="1279"/>
      <c r="S32" s="1284"/>
      <c r="T32" s="1279"/>
      <c r="U32" s="1279"/>
      <c r="V32" s="1279"/>
      <c r="W32" s="1279"/>
      <c r="X32" s="1279"/>
      <c r="Y32" s="1279"/>
      <c r="Z32" s="1289"/>
      <c r="AA32" s="1278"/>
      <c r="AB32" s="1281"/>
      <c r="AC32" s="1278"/>
      <c r="AD32" s="1279"/>
      <c r="AE32" s="1279"/>
    </row>
    <row r="33" spans="1:31" x14ac:dyDescent="0.25">
      <c r="I33" s="1024"/>
      <c r="J33" s="1024"/>
      <c r="K33" s="1024"/>
      <c r="L33" s="1024"/>
      <c r="M33" s="1024"/>
      <c r="N33" s="1024"/>
      <c r="O33" s="1024"/>
      <c r="P33" s="1024"/>
      <c r="Q33" s="1279"/>
      <c r="R33" s="1279"/>
      <c r="S33" s="1279"/>
      <c r="T33" s="1279"/>
      <c r="U33" s="1279"/>
      <c r="V33" s="1279"/>
      <c r="W33" s="1279"/>
      <c r="X33" s="1279"/>
      <c r="Y33" s="1279"/>
      <c r="Z33" s="1290"/>
      <c r="AA33" s="1278"/>
      <c r="AB33" s="1281"/>
      <c r="AC33" s="1278"/>
      <c r="AD33" s="1279"/>
      <c r="AE33" s="1279"/>
    </row>
    <row r="34" spans="1:31" ht="16.5" thickBot="1" x14ac:dyDescent="0.3">
      <c r="D34" s="1020" t="s">
        <v>829</v>
      </c>
      <c r="I34" s="1035">
        <f>SUM(I31:I32)</f>
        <v>238165000</v>
      </c>
      <c r="J34" s="1030"/>
      <c r="K34" s="1035" t="e">
        <f>SUM(K31:K32)</f>
        <v>#REF!</v>
      </c>
      <c r="L34" s="1030"/>
      <c r="M34" s="1035" t="e">
        <f>SUM(M31:M32)</f>
        <v>#REF!</v>
      </c>
      <c r="N34" s="1030"/>
      <c r="O34" s="1035" t="e">
        <f>SUM(O32:O32)</f>
        <v>#REF!</v>
      </c>
      <c r="P34" s="1030"/>
      <c r="Q34" s="1279"/>
      <c r="R34" s="1291"/>
      <c r="S34" s="1279"/>
      <c r="T34" s="1279"/>
      <c r="U34" s="1279"/>
      <c r="V34" s="1279"/>
      <c r="W34" s="1279"/>
      <c r="X34" s="1279"/>
      <c r="Y34" s="1279"/>
      <c r="Z34" s="1290"/>
      <c r="AA34" s="1278"/>
      <c r="AB34" s="1281"/>
      <c r="AC34" s="1278"/>
      <c r="AD34" s="1279"/>
      <c r="AE34" s="1279"/>
    </row>
    <row r="35" spans="1:31" ht="16.5" thickTop="1" x14ac:dyDescent="0.25">
      <c r="Q35" s="1279"/>
      <c r="R35" s="1279"/>
      <c r="S35" s="1279"/>
      <c r="T35" s="1279"/>
      <c r="U35" s="1279"/>
      <c r="V35" s="1279"/>
      <c r="W35" s="1279"/>
      <c r="X35" s="1279"/>
      <c r="Y35" s="1279"/>
      <c r="Z35" s="1292"/>
      <c r="AA35" s="1278"/>
      <c r="AB35" s="1281"/>
      <c r="AC35" s="1278"/>
      <c r="AD35" s="1279"/>
      <c r="AE35" s="1279"/>
    </row>
    <row r="36" spans="1:31" x14ac:dyDescent="0.25">
      <c r="B36" s="1020" t="s">
        <v>830</v>
      </c>
      <c r="Q36" s="1279"/>
      <c r="R36" s="1279"/>
      <c r="S36" s="1279"/>
      <c r="T36" s="1279"/>
      <c r="U36" s="1279"/>
      <c r="V36" s="1279"/>
      <c r="W36" s="1279"/>
      <c r="X36" s="1279"/>
      <c r="Y36" s="1279"/>
      <c r="Z36" s="1279"/>
      <c r="AA36" s="1278"/>
      <c r="AB36" s="1279"/>
      <c r="AC36" s="1279"/>
      <c r="AD36" s="1279"/>
      <c r="AE36" s="1279"/>
    </row>
    <row r="37" spans="1:31" x14ac:dyDescent="0.25">
      <c r="Q37" s="1279"/>
      <c r="R37" s="1279"/>
      <c r="S37" s="1279"/>
      <c r="T37" s="1279"/>
      <c r="U37" s="1279"/>
      <c r="V37" s="1279"/>
      <c r="W37" s="1279"/>
      <c r="X37" s="1279"/>
      <c r="Y37" s="1279"/>
      <c r="Z37" s="1279"/>
      <c r="AA37" s="1278"/>
      <c r="AB37" s="1279"/>
      <c r="AC37" s="1279"/>
      <c r="AD37" s="1279"/>
      <c r="AE37" s="1279"/>
    </row>
    <row r="38" spans="1:31" x14ac:dyDescent="0.25">
      <c r="Q38" s="1284"/>
      <c r="R38" s="1279"/>
      <c r="S38" s="1279"/>
      <c r="T38" s="1279"/>
      <c r="U38" s="1279"/>
      <c r="V38" s="1279"/>
      <c r="W38" s="1279"/>
      <c r="X38" s="1279"/>
      <c r="Y38" s="1279"/>
      <c r="Z38" s="1279"/>
      <c r="AA38" s="1278"/>
      <c r="AB38" s="1279"/>
      <c r="AC38" s="1279"/>
      <c r="AD38" s="1279"/>
      <c r="AE38" s="1279"/>
    </row>
    <row r="39" spans="1:31" x14ac:dyDescent="0.25">
      <c r="Q39" s="1279"/>
      <c r="R39" s="1279"/>
      <c r="S39" s="1279"/>
      <c r="T39" s="1279"/>
      <c r="U39" s="1279"/>
      <c r="V39" s="1279"/>
      <c r="W39" s="1279"/>
      <c r="X39" s="1279"/>
      <c r="Y39" s="1279"/>
      <c r="Z39" s="1279"/>
      <c r="AA39" s="1278"/>
      <c r="AB39" s="1279"/>
      <c r="AC39" s="1279"/>
      <c r="AD39" s="1279"/>
      <c r="AE39" s="1279"/>
    </row>
    <row r="40" spans="1:31" x14ac:dyDescent="0.25">
      <c r="R40" s="1031"/>
    </row>
    <row r="41" spans="1:31" x14ac:dyDescent="0.25">
      <c r="R41" s="1031"/>
    </row>
    <row r="42" spans="1:31" x14ac:dyDescent="0.25">
      <c r="R42" s="1031"/>
    </row>
    <row r="43" spans="1:31" ht="12.75" customHeight="1" x14ac:dyDescent="0.25">
      <c r="R43" s="1031"/>
    </row>
    <row r="44" spans="1:31" ht="12.75" customHeight="1" x14ac:dyDescent="0.25">
      <c r="R44" s="1031"/>
    </row>
    <row r="45" spans="1:31" x14ac:dyDescent="0.25">
      <c r="R45" s="1031"/>
    </row>
    <row r="46" spans="1:31" x14ac:dyDescent="0.25">
      <c r="A46" s="1021"/>
      <c r="B46" s="1021"/>
      <c r="C46" s="1021"/>
      <c r="D46" s="1021"/>
      <c r="E46" s="1021"/>
      <c r="F46" s="1021"/>
      <c r="G46" s="1021"/>
      <c r="H46" s="1021"/>
      <c r="I46" s="1021"/>
      <c r="J46" s="1021"/>
      <c r="K46" s="1021"/>
      <c r="L46" s="1021"/>
      <c r="M46" s="1021"/>
      <c r="N46" s="1021"/>
      <c r="O46" s="1021"/>
      <c r="P46" s="1021"/>
      <c r="Q46" s="1036"/>
      <c r="R46" s="1036"/>
    </row>
    <row r="47" spans="1:31" x14ac:dyDescent="0.25">
      <c r="A47" s="1021"/>
      <c r="B47" s="1021"/>
      <c r="C47" s="1021"/>
      <c r="D47" s="1021"/>
      <c r="E47" s="1021"/>
      <c r="F47" s="1021"/>
      <c r="G47" s="1021"/>
      <c r="H47" s="1021"/>
      <c r="I47" s="1021"/>
      <c r="J47" s="1021"/>
      <c r="K47" s="1021"/>
      <c r="L47" s="1021"/>
      <c r="M47" s="1021"/>
      <c r="N47" s="1021"/>
      <c r="O47" s="1021"/>
      <c r="P47" s="1021"/>
      <c r="Q47" s="1036"/>
      <c r="R47" s="1036"/>
    </row>
    <row r="48" spans="1:31" x14ac:dyDescent="0.25">
      <c r="A48" s="1021" t="str">
        <f>INFO!A26</f>
        <v>(See Accountants' Report)</v>
      </c>
      <c r="B48" s="1021"/>
      <c r="C48" s="1021"/>
      <c r="D48" s="1021"/>
      <c r="E48" s="1021"/>
      <c r="F48" s="1021"/>
      <c r="G48" s="1021"/>
      <c r="H48" s="1021"/>
      <c r="I48" s="1021"/>
      <c r="J48" s="1021"/>
      <c r="K48" s="1021"/>
      <c r="L48" s="1021"/>
      <c r="M48" s="1021"/>
      <c r="N48" s="1021"/>
      <c r="O48" s="1021"/>
      <c r="P48" s="1021"/>
      <c r="Q48" s="1036"/>
      <c r="R48" s="1036"/>
    </row>
    <row r="49" spans="1:18" x14ac:dyDescent="0.25">
      <c r="A49" s="1021"/>
      <c r="B49" s="1021"/>
      <c r="C49" s="1021"/>
      <c r="D49" s="1021"/>
      <c r="E49" s="1021"/>
      <c r="F49" s="1021"/>
      <c r="G49" s="1021"/>
      <c r="H49" s="1021"/>
      <c r="I49" s="1021"/>
      <c r="J49" s="1021"/>
      <c r="K49" s="1021"/>
      <c r="L49" s="1021"/>
      <c r="M49" s="1021"/>
      <c r="N49" s="1021"/>
      <c r="O49" s="1021"/>
      <c r="P49" s="1021"/>
    </row>
    <row r="50" spans="1:18" x14ac:dyDescent="0.25">
      <c r="A50" s="1021">
        <v>3</v>
      </c>
      <c r="B50" s="1021"/>
      <c r="C50" s="1021"/>
      <c r="D50" s="1021"/>
      <c r="E50" s="1021"/>
      <c r="F50" s="1021"/>
      <c r="G50" s="1021"/>
      <c r="H50" s="1021"/>
      <c r="I50" s="1021"/>
      <c r="J50" s="1021"/>
      <c r="K50" s="1021"/>
      <c r="L50" s="1021"/>
      <c r="M50" s="1021"/>
      <c r="N50" s="1021"/>
      <c r="O50" s="1021"/>
      <c r="P50" s="1021"/>
      <c r="Q50" s="1036"/>
      <c r="R50" s="1036"/>
    </row>
    <row r="51" spans="1:18" x14ac:dyDescent="0.25">
      <c r="I51" s="1030"/>
      <c r="K51" s="1030" t="e">
        <f>K28-K34</f>
        <v>#REF!</v>
      </c>
      <c r="M51" s="1030" t="e">
        <f>M28-M34</f>
        <v>#REF!</v>
      </c>
      <c r="O51" s="1030" t="e">
        <f>O28-O34</f>
        <v>#REF!</v>
      </c>
    </row>
  </sheetData>
  <printOptions horizontalCentered="1"/>
  <pageMargins left="0.75" right="0.75" top="0.75" bottom="0.5" header="0.3" footer="0.3"/>
  <pageSetup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393"/>
  <sheetViews>
    <sheetView view="pageBreakPreview" zoomScale="80" zoomScaleNormal="100" zoomScaleSheetLayoutView="80" workbookViewId="0">
      <selection activeCell="C197" sqref="C197"/>
    </sheetView>
  </sheetViews>
  <sheetFormatPr defaultColWidth="9.140625" defaultRowHeight="15" customHeight="1" x14ac:dyDescent="0.25"/>
  <cols>
    <col min="1" max="2" width="1" style="596" customWidth="1"/>
    <col min="3" max="3" width="96.140625" style="601" customWidth="1"/>
    <col min="4" max="4" width="2.85546875" style="600" customWidth="1"/>
    <col min="5" max="5" width="17.85546875" style="598" customWidth="1"/>
    <col min="6" max="6" width="4.5703125" style="599" customWidth="1"/>
    <col min="7" max="7" width="17.85546875" style="598" customWidth="1"/>
    <col min="8" max="8" width="4.5703125" style="598" customWidth="1"/>
    <col min="9" max="9" width="17.85546875" style="598" customWidth="1"/>
    <col min="10" max="10" width="4.5703125" style="598" customWidth="1"/>
    <col min="11" max="11" width="16.140625" style="598" customWidth="1"/>
    <col min="12" max="12" width="4.5703125" style="598" customWidth="1"/>
    <col min="13" max="13" width="16.140625" style="598" customWidth="1"/>
    <col min="14" max="14" width="4.5703125" style="597" customWidth="1"/>
    <col min="15" max="15" width="17.85546875" style="596" customWidth="1"/>
    <col min="16" max="16" width="3" style="596" customWidth="1"/>
    <col min="17" max="17" width="15.85546875" style="621" customWidth="1"/>
    <col min="18" max="18" width="23.140625" style="621" customWidth="1"/>
    <col min="19" max="19" width="10.5703125" style="621" bestFit="1" customWidth="1"/>
    <col min="20" max="20" width="21.85546875" style="621" customWidth="1"/>
    <col min="21" max="21" width="13.85546875" style="621" customWidth="1"/>
    <col min="22" max="22" width="13.85546875" style="621" bestFit="1" customWidth="1"/>
    <col min="23" max="24" width="9.140625" style="621"/>
    <col min="25" max="25" width="83.42578125" style="621" bestFit="1" customWidth="1"/>
    <col min="26" max="26" width="9.140625" style="621"/>
    <col min="27" max="27" width="181.140625" style="621" hidden="1" customWidth="1"/>
    <col min="28" max="28" width="9.140625" style="621"/>
    <col min="29" max="29" width="11.28515625" style="621" bestFit="1" customWidth="1"/>
    <col min="30" max="30" width="9.140625" style="621"/>
    <col min="31" max="31" width="11.7109375" style="621" bestFit="1" customWidth="1"/>
    <col min="32" max="32" width="9.140625" style="621"/>
    <col min="33" max="33" width="12.5703125" style="621" bestFit="1" customWidth="1"/>
    <col min="34" max="16384" width="9.140625" style="621"/>
  </cols>
  <sheetData>
    <row r="1" spans="1:21" ht="15" customHeight="1" x14ac:dyDescent="0.25">
      <c r="C1" s="690" t="s">
        <v>232</v>
      </c>
      <c r="D1" s="607"/>
      <c r="E1" s="605"/>
      <c r="F1" s="606"/>
      <c r="G1" s="605"/>
      <c r="H1" s="605"/>
      <c r="I1" s="605"/>
      <c r="J1" s="605"/>
      <c r="K1" s="605"/>
      <c r="L1" s="605"/>
      <c r="M1" s="605"/>
      <c r="N1" s="604"/>
      <c r="O1" s="603"/>
      <c r="P1" s="603"/>
      <c r="S1" s="1293"/>
    </row>
    <row r="2" spans="1:21" ht="15" customHeight="1" x14ac:dyDescent="0.25">
      <c r="D2" s="607"/>
      <c r="E2" s="605"/>
      <c r="F2" s="606"/>
      <c r="G2" s="605"/>
      <c r="H2" s="605"/>
      <c r="I2" s="605"/>
      <c r="J2" s="605"/>
      <c r="K2" s="605"/>
      <c r="L2" s="605"/>
      <c r="M2" s="605"/>
      <c r="N2" s="604"/>
      <c r="O2" s="603"/>
      <c r="P2" s="603"/>
    </row>
    <row r="3" spans="1:21" ht="15" customHeight="1" x14ac:dyDescent="0.25">
      <c r="C3" s="689" t="s">
        <v>532</v>
      </c>
      <c r="D3" s="607"/>
      <c r="E3" s="605"/>
      <c r="F3" s="606"/>
      <c r="G3" s="605"/>
      <c r="H3" s="605"/>
      <c r="I3" s="605"/>
      <c r="J3" s="605"/>
      <c r="K3" s="605"/>
      <c r="L3" s="605"/>
      <c r="M3" s="605"/>
      <c r="N3" s="604"/>
      <c r="O3" s="603"/>
      <c r="P3" s="603"/>
      <c r="S3" s="1294"/>
    </row>
    <row r="4" spans="1:21" ht="15" customHeight="1" x14ac:dyDescent="0.25">
      <c r="C4" s="688" t="s">
        <v>663</v>
      </c>
      <c r="D4" s="607"/>
      <c r="E4" s="605"/>
      <c r="F4" s="606"/>
      <c r="G4" s="605"/>
      <c r="H4" s="605"/>
      <c r="I4" s="605"/>
      <c r="J4" s="605"/>
      <c r="K4" s="605"/>
      <c r="L4" s="605"/>
      <c r="M4" s="605"/>
      <c r="N4" s="604"/>
      <c r="O4" s="603"/>
      <c r="P4" s="603"/>
      <c r="S4" s="1294"/>
    </row>
    <row r="5" spans="1:21" ht="15" customHeight="1" x14ac:dyDescent="0.25">
      <c r="S5" s="1294"/>
    </row>
    <row r="6" spans="1:21" ht="15" customHeight="1" x14ac:dyDescent="0.25">
      <c r="A6" s="621"/>
      <c r="B6" s="627"/>
      <c r="C6" s="695" t="s">
        <v>411</v>
      </c>
      <c r="D6" s="667"/>
      <c r="E6" s="696">
        <v>2022</v>
      </c>
      <c r="F6" s="666"/>
      <c r="G6" s="696">
        <v>2023</v>
      </c>
      <c r="H6" s="666"/>
      <c r="I6" s="696">
        <v>2024</v>
      </c>
      <c r="J6" s="666"/>
      <c r="K6" s="696">
        <v>2025</v>
      </c>
      <c r="L6" s="666"/>
      <c r="M6" s="696">
        <v>2026</v>
      </c>
      <c r="N6" s="664"/>
      <c r="O6" s="697" t="s">
        <v>35</v>
      </c>
      <c r="P6" s="664"/>
      <c r="S6" s="1294"/>
    </row>
    <row r="7" spans="1:21" ht="15" customHeight="1" x14ac:dyDescent="0.25">
      <c r="A7" s="682"/>
      <c r="B7" s="682"/>
      <c r="C7" s="682"/>
      <c r="D7" s="667"/>
      <c r="E7" s="666"/>
      <c r="F7" s="666"/>
      <c r="G7" s="666"/>
      <c r="H7" s="666"/>
      <c r="I7" s="666"/>
      <c r="J7" s="666"/>
      <c r="K7" s="666"/>
      <c r="N7" s="664"/>
      <c r="O7" s="664"/>
      <c r="P7" s="664"/>
      <c r="S7" s="1294"/>
    </row>
    <row r="8" spans="1:21" ht="15" customHeight="1" x14ac:dyDescent="0.25">
      <c r="A8" s="698" t="s">
        <v>641</v>
      </c>
      <c r="C8" s="682"/>
      <c r="D8" s="667"/>
      <c r="E8" s="666"/>
      <c r="F8" s="666"/>
      <c r="G8" s="666"/>
      <c r="H8" s="666"/>
      <c r="I8" s="666"/>
      <c r="J8" s="666"/>
      <c r="K8" s="666"/>
      <c r="L8" s="666"/>
      <c r="M8" s="666"/>
      <c r="N8" s="664"/>
      <c r="O8" s="664"/>
      <c r="P8" s="664"/>
    </row>
    <row r="9" spans="1:21" s="633" customFormat="1" ht="15" customHeight="1" x14ac:dyDescent="0.25">
      <c r="A9" s="639"/>
      <c r="B9" s="639"/>
      <c r="C9" s="684" t="s">
        <v>863</v>
      </c>
      <c r="D9" s="641"/>
      <c r="E9" s="723">
        <v>931000</v>
      </c>
      <c r="F9" s="734"/>
      <c r="G9" s="677"/>
      <c r="H9" s="677"/>
      <c r="I9" s="677"/>
      <c r="J9" s="677"/>
      <c r="K9" s="677"/>
      <c r="L9" s="677"/>
      <c r="M9" s="677"/>
      <c r="N9" s="679"/>
      <c r="O9" s="723">
        <v>931000</v>
      </c>
      <c r="P9" s="723"/>
      <c r="Q9" s="765"/>
      <c r="R9" s="1295"/>
      <c r="U9" s="1295"/>
    </row>
    <row r="10" spans="1:21" s="633" customFormat="1" ht="15" customHeight="1" x14ac:dyDescent="0.25">
      <c r="A10" s="639"/>
      <c r="B10" s="639"/>
      <c r="C10" s="684" t="s">
        <v>865</v>
      </c>
      <c r="D10" s="641"/>
      <c r="E10" s="635">
        <v>1870000</v>
      </c>
      <c r="F10" s="734"/>
      <c r="G10" s="677"/>
      <c r="H10" s="677"/>
      <c r="I10" s="677"/>
      <c r="J10" s="677"/>
      <c r="K10" s="677"/>
      <c r="L10" s="677"/>
      <c r="M10" s="677"/>
      <c r="N10" s="687"/>
      <c r="O10" s="635">
        <v>1870000</v>
      </c>
      <c r="P10" s="635"/>
      <c r="Q10" s="765"/>
      <c r="R10" s="1295"/>
      <c r="U10" s="1295"/>
    </row>
    <row r="11" spans="1:21" ht="15" customHeight="1" x14ac:dyDescent="0.25">
      <c r="A11" s="639"/>
      <c r="B11" s="639"/>
      <c r="C11" s="684" t="s">
        <v>867</v>
      </c>
      <c r="D11" s="641"/>
      <c r="E11" s="635">
        <v>816000</v>
      </c>
      <c r="F11" s="734"/>
      <c r="G11" s="677"/>
      <c r="H11" s="677"/>
      <c r="I11" s="677"/>
      <c r="J11" s="677"/>
      <c r="K11" s="677"/>
      <c r="L11" s="677"/>
      <c r="M11" s="677"/>
      <c r="N11" s="677"/>
      <c r="O11" s="635">
        <v>816000</v>
      </c>
      <c r="P11" s="729"/>
    </row>
    <row r="12" spans="1:21" s="633" customFormat="1" ht="15" customHeight="1" x14ac:dyDescent="0.25">
      <c r="A12" s="639"/>
      <c r="B12" s="639"/>
      <c r="C12" s="684" t="s">
        <v>869</v>
      </c>
      <c r="D12" s="641"/>
      <c r="E12" s="635">
        <v>1528000</v>
      </c>
      <c r="F12" s="734"/>
      <c r="G12" s="723"/>
      <c r="H12" s="677"/>
      <c r="I12" s="677"/>
      <c r="J12" s="677"/>
      <c r="K12" s="677"/>
      <c r="L12" s="677"/>
      <c r="M12" s="677"/>
      <c r="N12" s="677"/>
      <c r="O12" s="635">
        <v>1528000</v>
      </c>
      <c r="P12" s="729"/>
    </row>
    <row r="13" spans="1:21" ht="15" customHeight="1" x14ac:dyDescent="0.25">
      <c r="A13" s="639"/>
      <c r="B13" s="639"/>
      <c r="C13" s="684" t="s">
        <v>872</v>
      </c>
      <c r="D13" s="641"/>
      <c r="E13" s="635"/>
      <c r="F13" s="734"/>
      <c r="G13" s="723">
        <v>1594000</v>
      </c>
      <c r="H13" s="677"/>
      <c r="I13" s="677"/>
      <c r="J13" s="677"/>
      <c r="K13" s="677"/>
      <c r="L13" s="677"/>
      <c r="M13" s="677"/>
      <c r="N13" s="677"/>
      <c r="O13" s="635">
        <v>1594000</v>
      </c>
      <c r="U13" s="1239"/>
    </row>
    <row r="14" spans="1:21" ht="15" customHeight="1" x14ac:dyDescent="0.25">
      <c r="A14" s="639"/>
      <c r="B14" s="639"/>
      <c r="C14" s="684" t="s">
        <v>874</v>
      </c>
      <c r="D14" s="641"/>
      <c r="E14" s="635"/>
      <c r="F14" s="734"/>
      <c r="G14" s="635">
        <v>849000</v>
      </c>
      <c r="H14" s="677"/>
      <c r="I14" s="677"/>
      <c r="J14" s="677"/>
      <c r="K14" s="677"/>
      <c r="L14" s="677"/>
      <c r="M14" s="677"/>
      <c r="N14" s="677"/>
      <c r="O14" s="635">
        <v>849000</v>
      </c>
      <c r="P14" s="729"/>
    </row>
    <row r="15" spans="1:21" ht="15" customHeight="1" x14ac:dyDescent="0.25">
      <c r="A15" s="639"/>
      <c r="B15" s="639"/>
      <c r="C15" s="684" t="s">
        <v>876</v>
      </c>
      <c r="D15" s="641"/>
      <c r="E15" s="635"/>
      <c r="F15" s="736"/>
      <c r="G15" s="635">
        <v>1095000</v>
      </c>
      <c r="H15" s="677"/>
      <c r="I15" s="677"/>
      <c r="J15" s="677"/>
      <c r="K15" s="677"/>
      <c r="L15" s="677"/>
      <c r="M15" s="677"/>
      <c r="N15" s="677"/>
      <c r="O15" s="635">
        <v>1095000</v>
      </c>
      <c r="P15" s="729"/>
      <c r="U15" s="1239"/>
    </row>
    <row r="16" spans="1:21" ht="15" customHeight="1" x14ac:dyDescent="0.25">
      <c r="A16" s="639"/>
      <c r="B16" s="639"/>
      <c r="C16" s="684" t="s">
        <v>881</v>
      </c>
      <c r="D16" s="641"/>
      <c r="E16" s="635"/>
      <c r="F16" s="734"/>
      <c r="G16" s="635">
        <v>1770000</v>
      </c>
      <c r="H16" s="677"/>
      <c r="I16" s="723"/>
      <c r="J16" s="677"/>
      <c r="K16" s="677"/>
      <c r="L16" s="677"/>
      <c r="M16" s="677"/>
      <c r="N16" s="677"/>
      <c r="O16" s="635">
        <v>1770000</v>
      </c>
    </row>
    <row r="17" spans="1:21" ht="15" customHeight="1" x14ac:dyDescent="0.25">
      <c r="A17" s="639"/>
      <c r="B17" s="639"/>
      <c r="C17" s="684" t="s">
        <v>879</v>
      </c>
      <c r="D17" s="641"/>
      <c r="E17" s="635"/>
      <c r="F17" s="734"/>
      <c r="G17" s="677"/>
      <c r="H17" s="677"/>
      <c r="I17" s="723">
        <v>4584000</v>
      </c>
      <c r="J17" s="677"/>
      <c r="K17" s="677"/>
      <c r="L17" s="677"/>
      <c r="M17" s="677"/>
      <c r="N17" s="677"/>
      <c r="O17" s="635">
        <v>4584000</v>
      </c>
      <c r="P17" s="635"/>
      <c r="U17" s="1240"/>
    </row>
    <row r="18" spans="1:21" ht="15" customHeight="1" x14ac:dyDescent="0.25">
      <c r="A18" s="639"/>
      <c r="B18" s="639"/>
      <c r="C18" s="684" t="s">
        <v>883</v>
      </c>
      <c r="D18" s="641"/>
      <c r="E18" s="635"/>
      <c r="F18" s="734"/>
      <c r="G18" s="677"/>
      <c r="H18" s="677"/>
      <c r="I18" s="635">
        <v>1327000</v>
      </c>
      <c r="J18" s="677"/>
      <c r="K18" s="723"/>
      <c r="L18" s="677"/>
      <c r="M18" s="677"/>
      <c r="N18" s="677"/>
      <c r="O18" s="635">
        <v>1327000</v>
      </c>
      <c r="P18" s="635"/>
      <c r="U18" s="636"/>
    </row>
    <row r="19" spans="1:21" ht="15" customHeight="1" x14ac:dyDescent="0.25">
      <c r="A19" s="639"/>
      <c r="B19" s="639"/>
      <c r="C19" s="684" t="s">
        <v>877</v>
      </c>
      <c r="D19" s="641"/>
      <c r="E19" s="635"/>
      <c r="F19" s="734"/>
      <c r="G19" s="677"/>
      <c r="H19" s="677"/>
      <c r="I19" s="677"/>
      <c r="J19" s="677"/>
      <c r="K19" s="723">
        <v>3366000</v>
      </c>
      <c r="L19" s="677"/>
      <c r="M19" s="677"/>
      <c r="N19" s="677"/>
      <c r="O19" s="635">
        <v>3366000</v>
      </c>
      <c r="P19" s="635"/>
      <c r="U19" s="636"/>
    </row>
    <row r="20" spans="1:21" ht="15" customHeight="1" x14ac:dyDescent="0.25">
      <c r="A20" s="639"/>
      <c r="B20" s="639"/>
      <c r="C20" s="684" t="s">
        <v>889</v>
      </c>
      <c r="D20" s="641"/>
      <c r="E20" s="635"/>
      <c r="F20" s="734"/>
      <c r="G20" s="677"/>
      <c r="H20" s="677"/>
      <c r="I20" s="677"/>
      <c r="J20" s="677"/>
      <c r="K20" s="635">
        <v>2062000</v>
      </c>
      <c r="L20" s="677"/>
      <c r="N20" s="677"/>
      <c r="O20" s="635">
        <v>2062000</v>
      </c>
      <c r="P20" s="635"/>
      <c r="U20" s="636"/>
    </row>
    <row r="21" spans="1:21" ht="15" customHeight="1" x14ac:dyDescent="0.25">
      <c r="A21" s="639"/>
      <c r="B21" s="639"/>
      <c r="C21" s="684" t="s">
        <v>885</v>
      </c>
      <c r="D21" s="641"/>
      <c r="E21" s="635"/>
      <c r="F21" s="734"/>
      <c r="G21" s="677"/>
      <c r="H21" s="677"/>
      <c r="I21" s="677"/>
      <c r="J21" s="677"/>
      <c r="K21" s="723"/>
      <c r="L21" s="677"/>
      <c r="M21" s="723">
        <v>1994000</v>
      </c>
      <c r="N21" s="677"/>
      <c r="O21" s="635">
        <v>1994000</v>
      </c>
      <c r="P21" s="635"/>
      <c r="U21" s="636"/>
    </row>
    <row r="22" spans="1:21" ht="15" customHeight="1" x14ac:dyDescent="0.25">
      <c r="A22" s="639"/>
      <c r="B22" s="639"/>
      <c r="C22" s="684" t="s">
        <v>887</v>
      </c>
      <c r="D22" s="641"/>
      <c r="E22" s="635"/>
      <c r="F22" s="734"/>
      <c r="G22" s="677"/>
      <c r="H22" s="677"/>
      <c r="I22" s="677"/>
      <c r="J22" s="677"/>
      <c r="K22" s="723"/>
      <c r="L22" s="677"/>
      <c r="M22" s="635">
        <v>5914000</v>
      </c>
      <c r="N22" s="677"/>
      <c r="O22" s="635">
        <v>5914000</v>
      </c>
      <c r="P22" s="635"/>
      <c r="U22" s="636"/>
    </row>
    <row r="23" spans="1:21" ht="15" customHeight="1" x14ac:dyDescent="0.25">
      <c r="A23" s="639"/>
      <c r="B23" s="639"/>
      <c r="C23" s="684"/>
      <c r="D23" s="641"/>
      <c r="E23" s="635"/>
      <c r="F23" s="734"/>
      <c r="G23" s="677"/>
      <c r="H23" s="677"/>
      <c r="I23" s="677"/>
      <c r="J23" s="677"/>
      <c r="K23" s="677"/>
      <c r="L23" s="677"/>
      <c r="M23" s="677"/>
      <c r="N23" s="677"/>
      <c r="O23" s="635"/>
      <c r="P23" s="635"/>
    </row>
    <row r="24" spans="1:21" ht="15" customHeight="1" x14ac:dyDescent="0.25">
      <c r="A24" s="698" t="s">
        <v>909</v>
      </c>
      <c r="B24" s="639"/>
      <c r="C24" s="684"/>
      <c r="D24" s="641"/>
      <c r="E24" s="635"/>
      <c r="F24" s="734"/>
      <c r="G24" s="677"/>
      <c r="H24" s="677"/>
      <c r="I24" s="677"/>
      <c r="J24" s="677"/>
      <c r="K24" s="677"/>
      <c r="L24" s="677"/>
      <c r="M24" s="677"/>
      <c r="N24" s="677"/>
      <c r="O24" s="635"/>
      <c r="P24" s="729"/>
    </row>
    <row r="25" spans="1:21" ht="15" customHeight="1" x14ac:dyDescent="0.25">
      <c r="A25" s="639"/>
      <c r="B25" s="639"/>
      <c r="C25" s="684" t="s">
        <v>855</v>
      </c>
      <c r="D25" s="641"/>
      <c r="E25" s="635">
        <v>3000000</v>
      </c>
      <c r="F25" s="677"/>
      <c r="G25" s="723"/>
      <c r="H25" s="734"/>
      <c r="I25" s="677"/>
      <c r="J25" s="677"/>
      <c r="K25" s="677"/>
      <c r="L25" s="677"/>
      <c r="M25" s="677"/>
      <c r="N25" s="677"/>
      <c r="O25" s="635">
        <v>3000000</v>
      </c>
      <c r="P25" s="635"/>
    </row>
    <row r="26" spans="1:21" ht="15" customHeight="1" x14ac:dyDescent="0.25">
      <c r="A26" s="639"/>
      <c r="B26" s="639"/>
      <c r="C26" s="684" t="s">
        <v>857</v>
      </c>
      <c r="D26" s="641"/>
      <c r="E26" s="635">
        <v>2661000</v>
      </c>
      <c r="F26" s="677"/>
      <c r="G26" s="635"/>
      <c r="H26" s="734"/>
      <c r="I26" s="677"/>
      <c r="J26" s="677"/>
      <c r="K26" s="677"/>
      <c r="L26" s="677"/>
      <c r="M26" s="677"/>
      <c r="N26" s="677"/>
      <c r="O26" s="635">
        <v>2661000</v>
      </c>
      <c r="P26" s="635"/>
      <c r="U26" s="1241"/>
    </row>
    <row r="27" spans="1:21" ht="15" customHeight="1" x14ac:dyDescent="0.25">
      <c r="A27" s="639"/>
      <c r="B27" s="639"/>
      <c r="C27" s="684" t="s">
        <v>855</v>
      </c>
      <c r="D27" s="641"/>
      <c r="E27" s="678"/>
      <c r="F27" s="677"/>
      <c r="G27" s="635">
        <v>3000000</v>
      </c>
      <c r="H27" s="734"/>
      <c r="I27" s="677"/>
      <c r="J27" s="677"/>
      <c r="K27" s="677"/>
      <c r="L27" s="677"/>
      <c r="M27" s="677"/>
      <c r="N27" s="677"/>
      <c r="O27" s="635">
        <v>3000000</v>
      </c>
      <c r="P27" s="635"/>
    </row>
    <row r="28" spans="1:21" ht="15" customHeight="1" x14ac:dyDescent="0.25">
      <c r="A28" s="639"/>
      <c r="B28" s="639"/>
      <c r="C28" s="684" t="s">
        <v>858</v>
      </c>
      <c r="D28" s="641"/>
      <c r="E28" s="678"/>
      <c r="F28" s="677"/>
      <c r="G28" s="635">
        <v>1987000</v>
      </c>
      <c r="H28" s="635"/>
      <c r="I28" s="635"/>
      <c r="J28" s="635"/>
      <c r="K28" s="635"/>
      <c r="L28" s="635"/>
      <c r="M28" s="635"/>
      <c r="N28" s="677"/>
      <c r="O28" s="635">
        <v>1987000</v>
      </c>
      <c r="P28" s="635"/>
      <c r="U28" s="1242"/>
    </row>
    <row r="29" spans="1:21" ht="15" customHeight="1" x14ac:dyDescent="0.25">
      <c r="A29" s="639"/>
      <c r="B29" s="639"/>
      <c r="C29" s="684" t="s">
        <v>859</v>
      </c>
      <c r="D29" s="641"/>
      <c r="E29" s="678"/>
      <c r="F29" s="677"/>
      <c r="G29" s="635">
        <v>15952000</v>
      </c>
      <c r="H29" s="635"/>
      <c r="I29" s="635"/>
      <c r="J29" s="635"/>
      <c r="K29" s="635"/>
      <c r="L29" s="635"/>
      <c r="M29" s="635"/>
      <c r="N29" s="677"/>
      <c r="O29" s="635">
        <v>15952000</v>
      </c>
      <c r="P29" s="635"/>
    </row>
    <row r="30" spans="1:21" s="1296" customFormat="1" ht="15" customHeight="1" x14ac:dyDescent="0.25">
      <c r="A30" s="639"/>
      <c r="B30" s="639"/>
      <c r="C30" s="684" t="s">
        <v>860</v>
      </c>
      <c r="D30" s="641"/>
      <c r="E30" s="678"/>
      <c r="F30" s="677"/>
      <c r="G30" s="635">
        <v>1972000</v>
      </c>
      <c r="H30" s="635"/>
      <c r="I30" s="635"/>
      <c r="J30" s="635"/>
      <c r="K30" s="635"/>
      <c r="L30" s="635"/>
      <c r="M30" s="635"/>
      <c r="N30" s="677"/>
      <c r="O30" s="635">
        <v>1972000</v>
      </c>
      <c r="P30" s="729"/>
    </row>
    <row r="31" spans="1:21" s="1296" customFormat="1" ht="15" customHeight="1" x14ac:dyDescent="0.25">
      <c r="A31" s="639"/>
      <c r="B31" s="639"/>
      <c r="C31" s="684" t="s">
        <v>855</v>
      </c>
      <c r="D31" s="641"/>
      <c r="E31" s="678"/>
      <c r="F31" s="677"/>
      <c r="G31" s="635"/>
      <c r="H31" s="635"/>
      <c r="I31" s="635">
        <v>3000000</v>
      </c>
      <c r="J31" s="635"/>
      <c r="K31" s="635"/>
      <c r="L31" s="635"/>
      <c r="M31" s="635"/>
      <c r="N31" s="677"/>
      <c r="O31" s="635">
        <v>3000000</v>
      </c>
      <c r="P31" s="729"/>
    </row>
    <row r="32" spans="1:21" s="1296" customFormat="1" ht="15" customHeight="1" x14ac:dyDescent="0.25">
      <c r="A32" s="639"/>
      <c r="B32" s="639"/>
      <c r="C32" s="684" t="s">
        <v>856</v>
      </c>
      <c r="D32" s="641"/>
      <c r="E32" s="678"/>
      <c r="F32" s="677"/>
      <c r="G32" s="635"/>
      <c r="H32" s="635"/>
      <c r="I32" s="635">
        <v>2234000</v>
      </c>
      <c r="J32" s="635"/>
      <c r="K32" s="635"/>
      <c r="L32" s="635"/>
      <c r="M32" s="635"/>
      <c r="N32" s="677"/>
      <c r="O32" s="635">
        <v>2234000</v>
      </c>
      <c r="P32" s="729"/>
    </row>
    <row r="33" spans="1:21" s="1296" customFormat="1" ht="15" customHeight="1" x14ac:dyDescent="0.25">
      <c r="A33" s="639"/>
      <c r="B33" s="639"/>
      <c r="C33" s="684" t="s">
        <v>855</v>
      </c>
      <c r="D33" s="641"/>
      <c r="E33" s="678"/>
      <c r="F33" s="677"/>
      <c r="G33" s="635"/>
      <c r="H33" s="635"/>
      <c r="I33" s="635"/>
      <c r="J33" s="635"/>
      <c r="K33" s="635">
        <v>3000000</v>
      </c>
      <c r="L33" s="635"/>
      <c r="M33" s="635"/>
      <c r="N33" s="677"/>
      <c r="O33" s="635">
        <v>3000000</v>
      </c>
      <c r="P33" s="729"/>
    </row>
    <row r="34" spans="1:21" ht="15" customHeight="1" x14ac:dyDescent="0.25">
      <c r="A34" s="639"/>
      <c r="B34" s="639"/>
      <c r="C34" s="684" t="s">
        <v>855</v>
      </c>
      <c r="D34" s="641"/>
      <c r="E34" s="678"/>
      <c r="F34" s="677"/>
      <c r="G34" s="635"/>
      <c r="H34" s="635"/>
      <c r="I34" s="635"/>
      <c r="J34" s="635"/>
      <c r="K34" s="635"/>
      <c r="L34" s="635"/>
      <c r="M34" s="635">
        <v>3000000</v>
      </c>
      <c r="N34" s="677"/>
      <c r="O34" s="635">
        <v>3000000</v>
      </c>
      <c r="P34" s="635"/>
    </row>
    <row r="35" spans="1:21" ht="15" customHeight="1" x14ac:dyDescent="0.25">
      <c r="A35" s="639"/>
      <c r="B35" s="639"/>
      <c r="C35" s="684"/>
      <c r="D35" s="641"/>
      <c r="E35" s="678"/>
      <c r="F35" s="677"/>
      <c r="G35" s="635"/>
      <c r="H35" s="734"/>
      <c r="I35" s="677"/>
      <c r="J35" s="677"/>
      <c r="K35" s="677"/>
      <c r="L35" s="677"/>
      <c r="M35" s="677"/>
      <c r="N35" s="677"/>
      <c r="O35" s="635"/>
      <c r="P35" s="635"/>
    </row>
    <row r="36" spans="1:21" ht="15" customHeight="1" x14ac:dyDescent="0.25">
      <c r="A36" s="698" t="s">
        <v>1004</v>
      </c>
      <c r="B36" s="639"/>
      <c r="C36" s="684"/>
      <c r="D36" s="641"/>
      <c r="E36" s="678"/>
      <c r="F36" s="677"/>
      <c r="G36" s="635"/>
      <c r="H36" s="734"/>
      <c r="I36" s="677"/>
      <c r="J36" s="677"/>
      <c r="K36" s="677"/>
      <c r="L36" s="677"/>
      <c r="M36" s="677"/>
      <c r="N36" s="677"/>
      <c r="O36" s="635"/>
      <c r="P36" s="635"/>
    </row>
    <row r="37" spans="1:21" ht="15" customHeight="1" x14ac:dyDescent="0.25">
      <c r="A37" s="639"/>
      <c r="B37" s="639"/>
      <c r="C37" s="684" t="s">
        <v>848</v>
      </c>
      <c r="D37" s="641"/>
      <c r="E37" s="635">
        <v>13200000</v>
      </c>
      <c r="F37" s="677"/>
      <c r="G37" s="635"/>
      <c r="H37" s="734"/>
      <c r="I37" s="677"/>
      <c r="J37" s="677"/>
      <c r="K37" s="677"/>
      <c r="L37" s="677"/>
      <c r="M37" s="677"/>
      <c r="N37" s="677"/>
      <c r="O37" s="635">
        <v>13200000</v>
      </c>
      <c r="P37" s="729"/>
    </row>
    <row r="38" spans="1:21" ht="15" customHeight="1" x14ac:dyDescent="0.25">
      <c r="A38" s="639"/>
      <c r="B38" s="639"/>
      <c r="C38" s="684" t="s">
        <v>850</v>
      </c>
      <c r="D38" s="641"/>
      <c r="E38" s="635">
        <v>11029000</v>
      </c>
      <c r="F38" s="677"/>
      <c r="G38" s="635"/>
      <c r="H38" s="734"/>
      <c r="I38" s="677"/>
      <c r="J38" s="677"/>
      <c r="K38" s="677"/>
      <c r="L38" s="677"/>
      <c r="M38" s="677"/>
      <c r="N38" s="677"/>
      <c r="O38" s="635">
        <v>11029000</v>
      </c>
      <c r="P38" s="729"/>
    </row>
    <row r="39" spans="1:21" ht="15" customHeight="1" x14ac:dyDescent="0.25">
      <c r="A39" s="639"/>
      <c r="B39" s="639"/>
      <c r="C39" s="684" t="s">
        <v>911</v>
      </c>
      <c r="D39" s="641"/>
      <c r="E39" s="635">
        <v>30000000</v>
      </c>
      <c r="F39" s="677"/>
      <c r="G39" s="635"/>
      <c r="H39" s="734"/>
      <c r="I39" s="677"/>
      <c r="J39" s="677"/>
      <c r="K39" s="677"/>
      <c r="L39" s="677"/>
      <c r="M39" s="677"/>
      <c r="N39" s="677"/>
      <c r="O39" s="635">
        <v>30000000</v>
      </c>
      <c r="P39" s="635"/>
    </row>
    <row r="40" spans="1:21" s="1296" customFormat="1" ht="15" customHeight="1" x14ac:dyDescent="0.25">
      <c r="A40" s="639"/>
      <c r="B40" s="639"/>
      <c r="C40" s="684" t="s">
        <v>851</v>
      </c>
      <c r="D40" s="641"/>
      <c r="E40" s="635"/>
      <c r="F40" s="677"/>
      <c r="G40" s="635">
        <v>30573000</v>
      </c>
      <c r="H40" s="734"/>
      <c r="I40" s="677"/>
      <c r="J40" s="677"/>
      <c r="K40" s="677"/>
      <c r="L40" s="677"/>
      <c r="M40" s="677"/>
      <c r="N40" s="677"/>
      <c r="O40" s="635">
        <v>30573000</v>
      </c>
      <c r="P40" s="729"/>
    </row>
    <row r="41" spans="1:21" ht="15" customHeight="1" x14ac:dyDescent="0.25">
      <c r="A41" s="639"/>
      <c r="B41" s="639"/>
      <c r="C41" s="684" t="s">
        <v>852</v>
      </c>
      <c r="D41" s="641"/>
      <c r="E41" s="635"/>
      <c r="F41" s="677"/>
      <c r="G41" s="635"/>
      <c r="H41" s="734"/>
      <c r="I41" s="635">
        <v>35302000</v>
      </c>
      <c r="J41" s="677"/>
      <c r="K41" s="677"/>
      <c r="L41" s="677"/>
      <c r="M41" s="677"/>
      <c r="N41" s="677"/>
      <c r="O41" s="635">
        <v>35302000</v>
      </c>
      <c r="P41" s="729"/>
    </row>
    <row r="42" spans="1:21" ht="15" customHeight="1" x14ac:dyDescent="0.25">
      <c r="A42" s="639"/>
      <c r="B42" s="639"/>
      <c r="C42" s="684" t="s">
        <v>853</v>
      </c>
      <c r="D42" s="641"/>
      <c r="E42" s="635"/>
      <c r="F42" s="677"/>
      <c r="G42" s="635"/>
      <c r="H42" s="734"/>
      <c r="I42" s="677"/>
      <c r="J42" s="677"/>
      <c r="K42" s="635">
        <v>37793000</v>
      </c>
      <c r="L42" s="677"/>
      <c r="M42" s="677"/>
      <c r="N42" s="677"/>
      <c r="O42" s="635">
        <v>37793000</v>
      </c>
      <c r="P42" s="635"/>
    </row>
    <row r="43" spans="1:21" ht="15" customHeight="1" x14ac:dyDescent="0.25">
      <c r="A43" s="639"/>
      <c r="B43" s="639"/>
      <c r="C43" s="684" t="s">
        <v>854</v>
      </c>
      <c r="D43" s="641"/>
      <c r="E43" s="635"/>
      <c r="F43" s="677"/>
      <c r="G43" s="635"/>
      <c r="H43" s="734"/>
      <c r="I43" s="677"/>
      <c r="J43" s="677"/>
      <c r="K43" s="677"/>
      <c r="L43" s="677"/>
      <c r="M43" s="635">
        <v>11661000</v>
      </c>
      <c r="N43" s="677"/>
      <c r="O43" s="635">
        <v>11661000</v>
      </c>
      <c r="P43" s="729"/>
    </row>
    <row r="44" spans="1:21" ht="15" customHeight="1" x14ac:dyDescent="0.25">
      <c r="A44" s="639"/>
      <c r="B44" s="639"/>
      <c r="C44" s="684"/>
      <c r="D44" s="641"/>
      <c r="E44" s="635"/>
      <c r="F44" s="677"/>
      <c r="G44" s="635"/>
      <c r="H44" s="734"/>
      <c r="I44" s="677"/>
      <c r="J44" s="677"/>
      <c r="K44" s="677"/>
      <c r="L44" s="677"/>
      <c r="M44" s="677"/>
      <c r="N44" s="677"/>
      <c r="O44" s="635"/>
      <c r="P44" s="729"/>
    </row>
    <row r="45" spans="1:21" ht="15" customHeight="1" x14ac:dyDescent="0.25">
      <c r="A45" s="698" t="s">
        <v>910</v>
      </c>
      <c r="B45" s="639"/>
      <c r="C45" s="684"/>
      <c r="D45" s="641"/>
      <c r="E45" s="635"/>
      <c r="F45" s="677"/>
      <c r="G45" s="635"/>
      <c r="H45" s="734"/>
      <c r="I45" s="677"/>
      <c r="J45" s="677"/>
      <c r="K45" s="677"/>
      <c r="L45" s="677"/>
      <c r="M45" s="677"/>
      <c r="N45" s="677"/>
      <c r="O45" s="635"/>
      <c r="P45" s="729"/>
    </row>
    <row r="46" spans="1:21" ht="15" hidden="1" customHeight="1" x14ac:dyDescent="0.25">
      <c r="A46" s="639"/>
      <c r="B46" s="639"/>
      <c r="C46" s="684"/>
      <c r="D46" s="641"/>
      <c r="E46" s="635"/>
      <c r="F46" s="677"/>
      <c r="G46" s="635"/>
      <c r="H46" s="734"/>
      <c r="I46" s="677"/>
      <c r="J46" s="677"/>
      <c r="K46" s="677"/>
      <c r="L46" s="677"/>
      <c r="M46" s="677"/>
      <c r="N46" s="677"/>
      <c r="O46" s="635"/>
      <c r="P46" s="729"/>
    </row>
    <row r="47" spans="1:21" ht="15" customHeight="1" x14ac:dyDescent="0.25">
      <c r="A47" s="639"/>
      <c r="B47" s="639"/>
      <c r="C47" s="684" t="s">
        <v>849</v>
      </c>
      <c r="D47" s="641"/>
      <c r="E47" s="635">
        <v>6280000</v>
      </c>
      <c r="F47" s="677"/>
      <c r="G47" s="635"/>
      <c r="H47" s="734"/>
      <c r="I47" s="677"/>
      <c r="J47" s="677"/>
      <c r="K47" s="677"/>
      <c r="L47" s="677"/>
      <c r="M47" s="677"/>
      <c r="N47" s="677"/>
      <c r="O47" s="635">
        <v>6280000</v>
      </c>
      <c r="P47" s="635"/>
    </row>
    <row r="48" spans="1:21" ht="15" customHeight="1" x14ac:dyDescent="0.25">
      <c r="A48" s="639"/>
      <c r="B48" s="639"/>
      <c r="C48" s="684" t="s">
        <v>847</v>
      </c>
      <c r="D48" s="641"/>
      <c r="E48" s="635">
        <v>453000</v>
      </c>
      <c r="F48" s="679"/>
      <c r="G48" s="635"/>
      <c r="H48" s="734"/>
      <c r="I48" s="639"/>
      <c r="J48" s="639"/>
      <c r="K48" s="678"/>
      <c r="L48" s="678"/>
      <c r="M48" s="678"/>
      <c r="N48" s="679"/>
      <c r="O48" s="635">
        <v>453000</v>
      </c>
      <c r="P48" s="729"/>
      <c r="U48" s="1241"/>
    </row>
    <row r="49" spans="1:21" ht="15" customHeight="1" x14ac:dyDescent="0.25">
      <c r="A49" s="639"/>
      <c r="B49" s="639"/>
      <c r="C49" s="684" t="s">
        <v>847</v>
      </c>
      <c r="D49" s="641"/>
      <c r="E49" s="635">
        <v>596232</v>
      </c>
      <c r="F49" s="677"/>
      <c r="G49" s="635"/>
      <c r="H49" s="734"/>
      <c r="I49" s="677"/>
      <c r="J49" s="677"/>
      <c r="K49" s="677"/>
      <c r="L49" s="677"/>
      <c r="M49" s="677"/>
      <c r="N49" s="677"/>
      <c r="O49" s="635">
        <v>596232</v>
      </c>
      <c r="P49" s="635"/>
      <c r="Q49" s="1297"/>
    </row>
    <row r="50" spans="1:21" ht="15" customHeight="1" x14ac:dyDescent="0.25">
      <c r="A50" s="639"/>
      <c r="B50" s="639"/>
      <c r="C50" s="684" t="s">
        <v>864</v>
      </c>
      <c r="D50" s="641"/>
      <c r="E50" s="635">
        <v>187000</v>
      </c>
      <c r="F50" s="677"/>
      <c r="G50" s="678"/>
      <c r="H50" s="677"/>
      <c r="I50" s="723"/>
      <c r="J50" s="734"/>
      <c r="K50" s="677"/>
      <c r="L50" s="677"/>
      <c r="M50" s="677"/>
      <c r="N50" s="677"/>
      <c r="O50" s="635">
        <v>187000</v>
      </c>
      <c r="P50" s="729"/>
    </row>
    <row r="51" spans="1:21" ht="15" customHeight="1" x14ac:dyDescent="0.25">
      <c r="A51" s="639"/>
      <c r="B51" s="639"/>
      <c r="C51" s="684" t="s">
        <v>866</v>
      </c>
      <c r="D51" s="641"/>
      <c r="E51" s="635">
        <v>81600</v>
      </c>
      <c r="F51" s="677"/>
      <c r="G51" s="678"/>
      <c r="H51" s="677"/>
      <c r="I51" s="635"/>
      <c r="J51" s="734"/>
      <c r="K51" s="677"/>
      <c r="L51" s="677"/>
      <c r="M51" s="677"/>
      <c r="N51" s="677"/>
      <c r="O51" s="635">
        <v>81600</v>
      </c>
      <c r="P51" s="635"/>
      <c r="U51" s="1298"/>
    </row>
    <row r="52" spans="1:21" ht="15" customHeight="1" x14ac:dyDescent="0.25">
      <c r="A52" s="639"/>
      <c r="B52" s="639"/>
      <c r="C52" s="684" t="s">
        <v>868</v>
      </c>
      <c r="D52" s="641"/>
      <c r="E52" s="635">
        <v>152800</v>
      </c>
      <c r="F52" s="677"/>
      <c r="G52" s="678"/>
      <c r="H52" s="677"/>
      <c r="I52" s="635"/>
      <c r="J52" s="734"/>
      <c r="K52" s="677"/>
      <c r="L52" s="677"/>
      <c r="M52" s="677"/>
      <c r="N52" s="677"/>
      <c r="O52" s="635">
        <v>152800</v>
      </c>
      <c r="P52" s="635"/>
    </row>
    <row r="53" spans="1:21" ht="15" customHeight="1" x14ac:dyDescent="0.25">
      <c r="A53" s="639"/>
      <c r="B53" s="639"/>
      <c r="C53" s="684" t="s">
        <v>847</v>
      </c>
      <c r="D53" s="641"/>
      <c r="E53" s="635"/>
      <c r="F53" s="677"/>
      <c r="G53" s="635">
        <v>1833000</v>
      </c>
      <c r="H53" s="677"/>
      <c r="I53" s="635"/>
      <c r="J53" s="734"/>
      <c r="K53" s="677"/>
      <c r="L53" s="677"/>
      <c r="M53" s="677"/>
      <c r="N53" s="677"/>
      <c r="O53" s="635">
        <v>1833000</v>
      </c>
      <c r="P53" s="635"/>
    </row>
    <row r="54" spans="1:21" ht="15" customHeight="1" x14ac:dyDescent="0.25">
      <c r="A54" s="639"/>
      <c r="B54" s="639"/>
      <c r="C54" s="684" t="s">
        <v>847</v>
      </c>
      <c r="D54" s="641"/>
      <c r="E54" s="635"/>
      <c r="F54" s="677"/>
      <c r="G54" s="635">
        <v>520184</v>
      </c>
      <c r="H54" s="677"/>
      <c r="I54" s="635"/>
      <c r="J54" s="734"/>
      <c r="K54" s="677"/>
      <c r="L54" s="677"/>
      <c r="M54" s="677"/>
      <c r="N54" s="677"/>
      <c r="O54" s="635">
        <v>520184</v>
      </c>
      <c r="P54" s="635"/>
    </row>
    <row r="55" spans="1:21" ht="15" customHeight="1" x14ac:dyDescent="0.25">
      <c r="A55" s="639"/>
      <c r="B55" s="639"/>
      <c r="C55" s="684" t="s">
        <v>870</v>
      </c>
      <c r="D55" s="641"/>
      <c r="E55" s="678"/>
      <c r="F55" s="677"/>
      <c r="G55" s="635">
        <v>84900</v>
      </c>
      <c r="H55" s="677"/>
      <c r="I55" s="635"/>
      <c r="J55" s="734"/>
      <c r="K55" s="677"/>
      <c r="L55" s="677"/>
      <c r="M55" s="677"/>
      <c r="N55" s="677"/>
      <c r="O55" s="635">
        <v>84900</v>
      </c>
      <c r="P55" s="635"/>
    </row>
    <row r="56" spans="1:21" ht="15" customHeight="1" x14ac:dyDescent="0.25">
      <c r="A56" s="639"/>
      <c r="B56" s="639"/>
      <c r="C56" s="684" t="s">
        <v>871</v>
      </c>
      <c r="D56" s="641"/>
      <c r="E56" s="678"/>
      <c r="F56" s="679"/>
      <c r="G56" s="635">
        <v>159400</v>
      </c>
      <c r="H56" s="677"/>
      <c r="I56" s="635"/>
      <c r="J56" s="778"/>
      <c r="K56" s="678"/>
      <c r="L56" s="678"/>
      <c r="M56" s="678"/>
      <c r="N56" s="679"/>
      <c r="O56" s="635">
        <v>159400</v>
      </c>
      <c r="P56" s="635"/>
    </row>
    <row r="57" spans="1:21" ht="15" customHeight="1" x14ac:dyDescent="0.25">
      <c r="A57" s="639"/>
      <c r="B57" s="639"/>
      <c r="C57" s="684" t="s">
        <v>875</v>
      </c>
      <c r="D57" s="641"/>
      <c r="E57" s="678"/>
      <c r="F57" s="679"/>
      <c r="G57" s="635">
        <v>109500</v>
      </c>
      <c r="H57" s="678"/>
      <c r="I57" s="635"/>
      <c r="J57" s="734"/>
      <c r="K57" s="678"/>
      <c r="L57" s="678"/>
      <c r="M57" s="678"/>
      <c r="N57" s="679"/>
      <c r="O57" s="635">
        <v>109500</v>
      </c>
      <c r="P57" s="635"/>
    </row>
    <row r="58" spans="1:21" ht="15" customHeight="1" x14ac:dyDescent="0.25">
      <c r="C58" s="684" t="s">
        <v>873</v>
      </c>
      <c r="E58" s="678"/>
      <c r="F58" s="677"/>
      <c r="G58" s="635">
        <v>336600</v>
      </c>
      <c r="H58" s="677"/>
      <c r="I58" s="635"/>
      <c r="J58" s="734"/>
      <c r="K58" s="677"/>
      <c r="L58" s="677"/>
      <c r="M58" s="677"/>
      <c r="N58" s="677"/>
      <c r="O58" s="635">
        <v>336600</v>
      </c>
      <c r="P58" s="635"/>
    </row>
    <row r="59" spans="1:21" ht="15" customHeight="1" x14ac:dyDescent="0.25">
      <c r="C59" s="684" t="s">
        <v>878</v>
      </c>
      <c r="E59" s="678"/>
      <c r="F59" s="677"/>
      <c r="G59" s="635">
        <v>458400</v>
      </c>
      <c r="H59" s="677"/>
      <c r="I59" s="635"/>
      <c r="J59" s="734"/>
      <c r="K59" s="677"/>
      <c r="L59" s="677"/>
      <c r="M59" s="677"/>
      <c r="N59" s="677"/>
      <c r="O59" s="635">
        <v>458400</v>
      </c>
      <c r="P59" s="729"/>
    </row>
    <row r="60" spans="1:21" ht="15" customHeight="1" x14ac:dyDescent="0.25">
      <c r="C60" s="684" t="s">
        <v>880</v>
      </c>
      <c r="E60" s="678"/>
      <c r="F60" s="677"/>
      <c r="G60" s="635">
        <v>177000</v>
      </c>
      <c r="H60" s="677"/>
      <c r="I60" s="635"/>
      <c r="J60" s="734"/>
      <c r="K60" s="677"/>
      <c r="L60" s="677"/>
      <c r="M60" s="677"/>
      <c r="N60" s="677"/>
      <c r="O60" s="635">
        <v>177000</v>
      </c>
      <c r="P60" s="635"/>
    </row>
    <row r="61" spans="1:21" ht="15" customHeight="1" x14ac:dyDescent="0.25">
      <c r="C61" s="693" t="s">
        <v>847</v>
      </c>
      <c r="D61" s="686"/>
      <c r="E61" s="678"/>
      <c r="F61" s="685"/>
      <c r="G61" s="635"/>
      <c r="H61" s="685"/>
      <c r="I61" s="635">
        <v>419000</v>
      </c>
      <c r="J61" s="734"/>
      <c r="K61" s="685"/>
      <c r="L61" s="685"/>
      <c r="M61" s="685"/>
      <c r="N61" s="685"/>
      <c r="O61" s="635">
        <v>419000</v>
      </c>
      <c r="P61" s="635"/>
      <c r="S61" s="1298"/>
    </row>
    <row r="62" spans="1:21" ht="15" customHeight="1" x14ac:dyDescent="0.25">
      <c r="C62" s="684" t="s">
        <v>847</v>
      </c>
      <c r="D62" s="686"/>
      <c r="E62" s="678"/>
      <c r="F62" s="685"/>
      <c r="G62" s="635"/>
      <c r="H62" s="685"/>
      <c r="I62" s="635">
        <v>579278</v>
      </c>
      <c r="J62" s="734"/>
      <c r="K62" s="685"/>
      <c r="L62" s="685"/>
      <c r="M62" s="685"/>
      <c r="N62" s="685"/>
      <c r="O62" s="635">
        <v>579278</v>
      </c>
      <c r="P62" s="729"/>
      <c r="R62" s="1298"/>
    </row>
    <row r="63" spans="1:21" s="633" customFormat="1" ht="15" customHeight="1" x14ac:dyDescent="0.25">
      <c r="A63" s="639"/>
      <c r="B63" s="639"/>
      <c r="C63" s="684" t="s">
        <v>882</v>
      </c>
      <c r="D63" s="785"/>
      <c r="E63" s="678"/>
      <c r="F63" s="685"/>
      <c r="G63" s="678"/>
      <c r="H63" s="685"/>
      <c r="I63" s="635">
        <v>132700</v>
      </c>
      <c r="J63" s="734"/>
      <c r="K63" s="685"/>
      <c r="L63" s="685"/>
      <c r="M63" s="685"/>
      <c r="N63" s="685"/>
      <c r="O63" s="635">
        <v>132700</v>
      </c>
      <c r="P63" s="729"/>
    </row>
    <row r="64" spans="1:21" s="633" customFormat="1" ht="15" customHeight="1" x14ac:dyDescent="0.25">
      <c r="A64" s="639"/>
      <c r="B64" s="639"/>
      <c r="C64" s="684" t="s">
        <v>884</v>
      </c>
      <c r="D64" s="785"/>
      <c r="E64" s="678"/>
      <c r="F64" s="685"/>
      <c r="G64" s="678"/>
      <c r="H64" s="685"/>
      <c r="I64" s="635">
        <v>199400</v>
      </c>
      <c r="J64" s="734"/>
      <c r="K64" s="635"/>
      <c r="L64" s="685"/>
      <c r="M64" s="685"/>
      <c r="N64" s="685"/>
      <c r="O64" s="635">
        <v>199400</v>
      </c>
      <c r="P64" s="729"/>
    </row>
    <row r="65" spans="1:18" s="633" customFormat="1" ht="15" customHeight="1" x14ac:dyDescent="0.25">
      <c r="A65" s="639"/>
      <c r="B65" s="639"/>
      <c r="C65" s="684" t="s">
        <v>847</v>
      </c>
      <c r="D65" s="785"/>
      <c r="E65" s="678"/>
      <c r="F65" s="685"/>
      <c r="G65" s="678"/>
      <c r="H65" s="685"/>
      <c r="I65" s="635"/>
      <c r="J65" s="734"/>
      <c r="K65" s="635">
        <v>240000</v>
      </c>
      <c r="L65" s="685"/>
      <c r="M65" s="685"/>
      <c r="N65" s="685"/>
      <c r="O65" s="635">
        <v>240000</v>
      </c>
      <c r="P65" s="729"/>
    </row>
    <row r="66" spans="1:18" s="633" customFormat="1" ht="15" customHeight="1" x14ac:dyDescent="0.25">
      <c r="A66" s="639"/>
      <c r="B66" s="639"/>
      <c r="C66" s="684" t="s">
        <v>847</v>
      </c>
      <c r="D66" s="785"/>
      <c r="E66" s="678"/>
      <c r="F66" s="685"/>
      <c r="G66" s="678"/>
      <c r="H66" s="685"/>
      <c r="I66" s="635"/>
      <c r="J66" s="734"/>
      <c r="K66" s="635">
        <v>531944</v>
      </c>
      <c r="L66" s="685"/>
      <c r="M66" s="635"/>
      <c r="N66" s="685"/>
      <c r="O66" s="635">
        <v>531944</v>
      </c>
      <c r="P66" s="729"/>
    </row>
    <row r="67" spans="1:18" s="633" customFormat="1" ht="15" customHeight="1" x14ac:dyDescent="0.25">
      <c r="A67" s="639"/>
      <c r="B67" s="639"/>
      <c r="C67" s="684" t="s">
        <v>888</v>
      </c>
      <c r="D67" s="785"/>
      <c r="E67" s="678"/>
      <c r="F67" s="685"/>
      <c r="G67" s="678"/>
      <c r="H67" s="685"/>
      <c r="I67" s="635"/>
      <c r="J67" s="734"/>
      <c r="K67" s="635">
        <v>206200</v>
      </c>
      <c r="L67" s="685"/>
      <c r="M67" s="635"/>
      <c r="N67" s="685"/>
      <c r="O67" s="635">
        <v>206200</v>
      </c>
      <c r="P67" s="729"/>
    </row>
    <row r="68" spans="1:18" s="633" customFormat="1" ht="15" customHeight="1" x14ac:dyDescent="0.25">
      <c r="A68" s="639"/>
      <c r="B68" s="639"/>
      <c r="C68" s="684" t="s">
        <v>886</v>
      </c>
      <c r="D68" s="785"/>
      <c r="E68" s="678"/>
      <c r="F68" s="685"/>
      <c r="G68" s="678"/>
      <c r="H68" s="685"/>
      <c r="I68" s="635"/>
      <c r="J68" s="734"/>
      <c r="K68" s="635">
        <v>591400</v>
      </c>
      <c r="L68" s="685"/>
      <c r="M68" s="635"/>
      <c r="N68" s="685"/>
      <c r="O68" s="635">
        <v>591400</v>
      </c>
      <c r="P68" s="729"/>
    </row>
    <row r="69" spans="1:18" s="633" customFormat="1" ht="15" customHeight="1" x14ac:dyDescent="0.25">
      <c r="A69" s="639"/>
      <c r="B69" s="639"/>
      <c r="C69" s="684" t="s">
        <v>847</v>
      </c>
      <c r="D69" s="785"/>
      <c r="E69" s="678"/>
      <c r="F69" s="685"/>
      <c r="G69" s="678"/>
      <c r="H69" s="685"/>
      <c r="I69" s="635"/>
      <c r="J69" s="734"/>
      <c r="K69" s="635"/>
      <c r="L69" s="685"/>
      <c r="M69" s="635">
        <v>240000</v>
      </c>
      <c r="N69" s="685"/>
      <c r="O69" s="635">
        <v>240000</v>
      </c>
      <c r="P69" s="729"/>
    </row>
    <row r="70" spans="1:18" s="633" customFormat="1" ht="15" customHeight="1" x14ac:dyDescent="0.25">
      <c r="A70" s="639"/>
      <c r="B70" s="639"/>
      <c r="C70" s="684" t="s">
        <v>847</v>
      </c>
      <c r="D70" s="785"/>
      <c r="E70" s="754"/>
      <c r="F70" s="1089"/>
      <c r="G70" s="754"/>
      <c r="H70" s="1089"/>
      <c r="I70" s="611"/>
      <c r="J70" s="734"/>
      <c r="K70" s="611"/>
      <c r="L70" s="1089"/>
      <c r="M70" s="611">
        <v>774984</v>
      </c>
      <c r="N70" s="1089"/>
      <c r="O70" s="611">
        <v>774984</v>
      </c>
      <c r="P70" s="729"/>
    </row>
    <row r="71" spans="1:18" ht="15" customHeight="1" x14ac:dyDescent="0.25">
      <c r="C71" s="684"/>
      <c r="D71" s="607"/>
      <c r="F71" s="661"/>
      <c r="H71" s="661"/>
      <c r="I71" s="652"/>
      <c r="J71" s="661"/>
      <c r="K71" s="661"/>
      <c r="L71" s="661"/>
      <c r="M71" s="661"/>
      <c r="N71" s="661"/>
      <c r="O71" s="660"/>
      <c r="P71" s="660"/>
    </row>
    <row r="72" spans="1:18" ht="15" customHeight="1" x14ac:dyDescent="0.25">
      <c r="C72" s="684" t="s">
        <v>661</v>
      </c>
      <c r="D72" s="607"/>
      <c r="E72" s="722">
        <f>SUM(E9:E71)</f>
        <v>72785632</v>
      </c>
      <c r="F72" s="661"/>
      <c r="G72" s="722">
        <f>SUM(G9:G71)</f>
        <v>62470984</v>
      </c>
      <c r="H72" s="661"/>
      <c r="I72" s="722">
        <f>SUM(I9:I71)</f>
        <v>47777378</v>
      </c>
      <c r="J72" s="661"/>
      <c r="K72" s="722">
        <f>SUM(K9:K71)</f>
        <v>47790544</v>
      </c>
      <c r="L72" s="661"/>
      <c r="M72" s="722">
        <f>SUM(M9:M71)</f>
        <v>23583984</v>
      </c>
      <c r="N72" s="661"/>
      <c r="O72" s="722">
        <f>SUM(O9:O71)</f>
        <v>254408522</v>
      </c>
      <c r="P72" s="619"/>
      <c r="Q72" s="1299"/>
      <c r="R72" s="1299"/>
    </row>
    <row r="73" spans="1:18" ht="15" customHeight="1" x14ac:dyDescent="0.25">
      <c r="C73" s="684"/>
      <c r="D73" s="607"/>
      <c r="E73" s="599"/>
      <c r="F73" s="661"/>
      <c r="G73" s="599"/>
      <c r="H73" s="661"/>
      <c r="I73" s="599"/>
      <c r="J73" s="661"/>
      <c r="K73" s="661"/>
      <c r="L73" s="661"/>
      <c r="M73" s="661"/>
      <c r="N73" s="661"/>
      <c r="O73" s="599"/>
      <c r="P73" s="599"/>
    </row>
    <row r="74" spans="1:18" ht="15" customHeight="1" x14ac:dyDescent="0.25">
      <c r="A74" s="1423" t="s">
        <v>16</v>
      </c>
      <c r="B74" s="1423"/>
      <c r="C74" s="1423"/>
      <c r="D74" s="1423"/>
      <c r="E74" s="1423"/>
      <c r="F74" s="1423"/>
      <c r="G74" s="1423"/>
      <c r="H74" s="1423"/>
      <c r="I74" s="1423"/>
      <c r="J74" s="1423"/>
      <c r="K74" s="1423"/>
      <c r="L74" s="1423"/>
      <c r="M74" s="1423"/>
      <c r="N74" s="1423"/>
      <c r="O74" s="1423"/>
      <c r="P74" s="1423"/>
    </row>
    <row r="75" spans="1:18" ht="15" customHeight="1" x14ac:dyDescent="0.25">
      <c r="A75" s="1424"/>
      <c r="B75" s="1424"/>
      <c r="C75" s="1424"/>
      <c r="D75" s="1424"/>
      <c r="E75" s="1424"/>
      <c r="F75" s="1424"/>
      <c r="G75" s="1424"/>
      <c r="H75" s="1424"/>
      <c r="I75" s="1424"/>
      <c r="J75" s="1424"/>
      <c r="K75" s="1424"/>
      <c r="L75" s="1424"/>
      <c r="M75" s="1424"/>
      <c r="N75" s="1424"/>
      <c r="O75" s="1424"/>
      <c r="P75" s="1424"/>
    </row>
    <row r="76" spans="1:18" ht="15" customHeight="1" x14ac:dyDescent="0.25">
      <c r="A76" s="1424"/>
      <c r="B76" s="1424"/>
      <c r="C76" s="1424"/>
      <c r="D76" s="1424"/>
      <c r="E76" s="1424"/>
      <c r="F76" s="1424"/>
      <c r="G76" s="1424"/>
      <c r="H76" s="1424"/>
      <c r="I76" s="1424"/>
      <c r="J76" s="1424"/>
      <c r="K76" s="1424"/>
      <c r="L76" s="1424"/>
      <c r="M76" s="1424"/>
      <c r="N76" s="1424"/>
      <c r="O76" s="1424"/>
      <c r="P76" s="1424"/>
    </row>
    <row r="77" spans="1:18" ht="15" customHeight="1" x14ac:dyDescent="0.25">
      <c r="A77" s="1424"/>
      <c r="B77" s="1424"/>
      <c r="C77" s="1424"/>
      <c r="D77" s="1424"/>
      <c r="E77" s="1424"/>
      <c r="F77" s="1424"/>
      <c r="G77" s="1424"/>
      <c r="H77" s="1424"/>
      <c r="I77" s="1424"/>
      <c r="J77" s="1424"/>
      <c r="K77" s="1424"/>
      <c r="L77" s="1424"/>
      <c r="M77" s="1424"/>
      <c r="N77" s="1424"/>
      <c r="O77" s="1424"/>
      <c r="P77" s="1424"/>
    </row>
    <row r="78" spans="1:18" ht="15" customHeight="1" x14ac:dyDescent="0.25">
      <c r="A78" s="1424" t="s">
        <v>611</v>
      </c>
      <c r="B78" s="1424"/>
      <c r="C78" s="1424"/>
      <c r="D78" s="1424"/>
      <c r="E78" s="1424"/>
      <c r="F78" s="1424"/>
      <c r="G78" s="1424"/>
      <c r="H78" s="1424"/>
      <c r="I78" s="1424"/>
      <c r="J78" s="1424"/>
      <c r="K78" s="1424"/>
      <c r="L78" s="1424"/>
      <c r="M78" s="1424"/>
      <c r="N78" s="1424"/>
      <c r="O78" s="1424"/>
      <c r="P78" s="1424"/>
    </row>
    <row r="79" spans="1:18" ht="15" customHeight="1" x14ac:dyDescent="0.25">
      <c r="C79" s="683"/>
      <c r="D79" s="607"/>
      <c r="E79" s="661"/>
      <c r="F79" s="661"/>
      <c r="G79" s="661"/>
      <c r="H79" s="661"/>
      <c r="I79" s="661"/>
      <c r="J79" s="661"/>
      <c r="K79" s="661"/>
      <c r="L79" s="661"/>
      <c r="M79" s="661"/>
      <c r="N79" s="661"/>
      <c r="O79" s="660"/>
      <c r="P79" s="660"/>
    </row>
    <row r="80" spans="1:18" ht="15" customHeight="1" x14ac:dyDescent="0.25">
      <c r="A80" s="1425">
        <v>4</v>
      </c>
      <c r="B80" s="1425"/>
      <c r="C80" s="1425"/>
      <c r="D80" s="1425"/>
      <c r="E80" s="1425"/>
      <c r="F80" s="1425"/>
      <c r="G80" s="1425"/>
      <c r="H80" s="1425"/>
      <c r="I80" s="1425"/>
      <c r="J80" s="1425"/>
      <c r="K80" s="1425"/>
      <c r="L80" s="1425"/>
      <c r="M80" s="1425"/>
      <c r="N80" s="1425"/>
      <c r="O80" s="1425"/>
      <c r="P80" s="1425"/>
    </row>
    <row r="81" spans="1:21" ht="15" customHeight="1" x14ac:dyDescent="0.25">
      <c r="C81" s="669" t="s">
        <v>232</v>
      </c>
      <c r="D81" s="607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0"/>
      <c r="P81" s="660"/>
    </row>
    <row r="82" spans="1:21" ht="15" customHeight="1" x14ac:dyDescent="0.25">
      <c r="C82" s="669"/>
      <c r="D82" s="607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671" t="s">
        <v>17</v>
      </c>
      <c r="P82" s="671"/>
    </row>
    <row r="83" spans="1:21" ht="15" customHeight="1" x14ac:dyDescent="0.25">
      <c r="C83" s="670" t="s">
        <v>532</v>
      </c>
      <c r="D83" s="607"/>
      <c r="E83" s="661"/>
      <c r="F83" s="661"/>
      <c r="G83" s="661"/>
      <c r="H83" s="661"/>
      <c r="I83" s="661"/>
      <c r="J83" s="661"/>
      <c r="K83" s="661"/>
      <c r="L83" s="661"/>
      <c r="M83" s="661"/>
      <c r="N83" s="661"/>
      <c r="O83" s="660"/>
      <c r="P83" s="660"/>
    </row>
    <row r="84" spans="1:21" ht="15" customHeight="1" x14ac:dyDescent="0.25">
      <c r="C84" s="669" t="s">
        <v>663</v>
      </c>
      <c r="D84" s="607"/>
      <c r="E84" s="661"/>
      <c r="F84" s="661"/>
      <c r="G84" s="661"/>
      <c r="H84" s="661"/>
      <c r="I84" s="661"/>
      <c r="J84" s="661"/>
      <c r="K84" s="661"/>
      <c r="L84" s="661"/>
      <c r="M84" s="661"/>
      <c r="N84" s="661"/>
      <c r="O84" s="660"/>
      <c r="P84" s="660"/>
    </row>
    <row r="85" spans="1:21" ht="15" customHeight="1" x14ac:dyDescent="0.25">
      <c r="C85" s="643"/>
      <c r="E85" s="644"/>
      <c r="F85" s="644"/>
      <c r="G85" s="644"/>
      <c r="H85" s="644"/>
      <c r="I85" s="644"/>
      <c r="J85" s="644"/>
      <c r="K85" s="644"/>
      <c r="L85" s="644"/>
      <c r="M85" s="644"/>
      <c r="N85" s="644"/>
      <c r="O85" s="652"/>
      <c r="P85" s="652"/>
    </row>
    <row r="86" spans="1:21" ht="15" customHeight="1" x14ac:dyDescent="0.25">
      <c r="A86" s="682"/>
      <c r="C86" s="695" t="s">
        <v>411</v>
      </c>
      <c r="D86" s="667"/>
      <c r="E86" s="696">
        <v>2022</v>
      </c>
      <c r="F86" s="666"/>
      <c r="G86" s="696">
        <v>2023</v>
      </c>
      <c r="H86" s="666"/>
      <c r="I86" s="696">
        <v>2024</v>
      </c>
      <c r="J86" s="666"/>
      <c r="K86" s="696">
        <v>2025</v>
      </c>
      <c r="L86" s="666"/>
      <c r="M86" s="696">
        <v>2026</v>
      </c>
      <c r="N86" s="664"/>
      <c r="O86" s="697" t="s">
        <v>35</v>
      </c>
      <c r="P86" s="664"/>
      <c r="U86" s="666"/>
    </row>
    <row r="87" spans="1:21" ht="15" customHeight="1" x14ac:dyDescent="0.25">
      <c r="A87" s="682"/>
      <c r="C87" s="682"/>
      <c r="D87" s="667"/>
      <c r="E87" s="666"/>
      <c r="F87" s="666"/>
      <c r="G87" s="666"/>
      <c r="H87" s="666"/>
      <c r="I87" s="666"/>
      <c r="J87" s="666"/>
      <c r="K87" s="666"/>
      <c r="L87" s="666"/>
      <c r="M87" s="666"/>
      <c r="N87" s="664"/>
      <c r="O87" s="664"/>
      <c r="P87" s="664"/>
      <c r="U87" s="666"/>
    </row>
    <row r="88" spans="1:21" ht="15" customHeight="1" x14ac:dyDescent="0.25">
      <c r="A88" s="682"/>
      <c r="C88" s="684" t="s">
        <v>334</v>
      </c>
      <c r="D88" s="667"/>
      <c r="E88" s="619">
        <f>E72</f>
        <v>72785632</v>
      </c>
      <c r="F88" s="666"/>
      <c r="G88" s="619">
        <f>G72</f>
        <v>62470984</v>
      </c>
      <c r="H88" s="666"/>
      <c r="I88" s="619">
        <f>I72</f>
        <v>47777378</v>
      </c>
      <c r="J88" s="666"/>
      <c r="K88" s="619">
        <f>K72</f>
        <v>47790544</v>
      </c>
      <c r="L88" s="666"/>
      <c r="M88" s="619">
        <f>M72</f>
        <v>23583984</v>
      </c>
      <c r="N88" s="664"/>
      <c r="O88" s="619">
        <f>O72</f>
        <v>254408522</v>
      </c>
      <c r="P88" s="619"/>
      <c r="U88" s="666"/>
    </row>
    <row r="89" spans="1:21" ht="15" customHeight="1" x14ac:dyDescent="0.25">
      <c r="A89" s="682"/>
      <c r="C89" s="684"/>
      <c r="D89" s="667"/>
      <c r="E89" s="694"/>
      <c r="F89" s="666"/>
      <c r="G89" s="694"/>
      <c r="H89" s="666"/>
      <c r="I89" s="694"/>
      <c r="J89" s="666"/>
      <c r="K89" s="666"/>
      <c r="L89" s="666"/>
      <c r="M89" s="666"/>
      <c r="N89" s="664"/>
      <c r="O89" s="694"/>
      <c r="P89" s="694"/>
      <c r="U89" s="666"/>
    </row>
    <row r="90" spans="1:21" s="633" customFormat="1" ht="15" customHeight="1" x14ac:dyDescent="0.25">
      <c r="A90" s="698" t="s">
        <v>913</v>
      </c>
      <c r="B90" s="639"/>
      <c r="C90" s="684"/>
      <c r="D90" s="785"/>
      <c r="E90" s="679"/>
      <c r="F90" s="685"/>
      <c r="G90" s="679"/>
      <c r="H90" s="685"/>
      <c r="I90" s="635"/>
      <c r="J90" s="734"/>
      <c r="K90" s="1089"/>
      <c r="L90" s="685"/>
      <c r="M90" s="1090"/>
      <c r="N90" s="685"/>
      <c r="O90" s="635"/>
      <c r="P90" s="729"/>
    </row>
    <row r="91" spans="1:21" ht="15" customHeight="1" x14ac:dyDescent="0.25">
      <c r="C91" s="684" t="s">
        <v>1135</v>
      </c>
      <c r="D91" s="607"/>
      <c r="E91" s="679"/>
      <c r="F91" s="685"/>
      <c r="G91" s="679"/>
      <c r="H91" s="685"/>
      <c r="I91" s="635"/>
      <c r="J91" s="734"/>
      <c r="K91" s="635">
        <v>1400000</v>
      </c>
      <c r="L91" s="685"/>
      <c r="M91" s="1090"/>
      <c r="N91" s="685"/>
      <c r="O91" s="635">
        <v>1400000</v>
      </c>
      <c r="P91" s="660"/>
    </row>
    <row r="92" spans="1:21" ht="15" customHeight="1" x14ac:dyDescent="0.25">
      <c r="C92" s="684"/>
      <c r="D92" s="607"/>
      <c r="E92" s="679"/>
      <c r="F92" s="685"/>
      <c r="G92" s="679"/>
      <c r="H92" s="685"/>
      <c r="I92" s="635"/>
      <c r="J92" s="734"/>
      <c r="K92" s="635"/>
      <c r="L92" s="685"/>
      <c r="M92" s="1090"/>
      <c r="N92" s="685"/>
      <c r="O92" s="635"/>
      <c r="P92" s="660"/>
    </row>
    <row r="93" spans="1:21" ht="15" customHeight="1" x14ac:dyDescent="0.25">
      <c r="A93" s="699" t="s">
        <v>345</v>
      </c>
      <c r="C93" s="682"/>
      <c r="D93" s="667"/>
      <c r="E93" s="666"/>
      <c r="F93" s="735"/>
      <c r="G93" s="666"/>
      <c r="H93" s="666"/>
      <c r="I93" s="666"/>
      <c r="J93" s="666"/>
      <c r="K93" s="666"/>
      <c r="L93" s="666"/>
      <c r="M93" s="666"/>
      <c r="N93" s="664"/>
      <c r="O93" s="664"/>
      <c r="P93" s="664"/>
    </row>
    <row r="94" spans="1:21" ht="15" customHeight="1" x14ac:dyDescent="0.25">
      <c r="A94" s="639"/>
      <c r="C94" s="684" t="s">
        <v>861</v>
      </c>
      <c r="E94" s="721">
        <v>708000</v>
      </c>
      <c r="F94" s="736"/>
      <c r="G94" s="677"/>
      <c r="H94" s="677"/>
      <c r="I94" s="677"/>
      <c r="J94" s="677"/>
      <c r="K94" s="677"/>
      <c r="L94" s="677"/>
      <c r="M94" s="677"/>
      <c r="N94" s="679"/>
      <c r="O94" s="721">
        <v>708000</v>
      </c>
      <c r="P94" s="721"/>
      <c r="Q94" s="1297"/>
    </row>
    <row r="95" spans="1:21" ht="15" customHeight="1" x14ac:dyDescent="0.25">
      <c r="A95" s="639"/>
      <c r="B95" s="639"/>
      <c r="C95" s="684" t="s">
        <v>862</v>
      </c>
      <c r="E95" s="635">
        <v>231000</v>
      </c>
      <c r="F95" s="736"/>
      <c r="G95" s="678"/>
      <c r="H95" s="677"/>
      <c r="I95" s="677"/>
      <c r="J95" s="644"/>
      <c r="K95" s="644"/>
      <c r="L95" s="644"/>
      <c r="N95" s="644"/>
      <c r="O95" s="721">
        <v>231000</v>
      </c>
      <c r="P95" s="635"/>
      <c r="Q95" s="1300"/>
      <c r="U95" s="635"/>
    </row>
    <row r="96" spans="1:21" s="1301" customFormat="1" ht="15" customHeight="1" x14ac:dyDescent="0.25">
      <c r="A96" s="639"/>
      <c r="B96" s="639"/>
      <c r="C96" s="684"/>
      <c r="D96" s="639"/>
      <c r="E96" s="635"/>
      <c r="F96" s="736"/>
      <c r="G96" s="681"/>
      <c r="H96" s="677"/>
      <c r="I96" s="680"/>
      <c r="J96" s="644"/>
      <c r="K96" s="644"/>
      <c r="L96" s="644"/>
      <c r="M96" s="598"/>
      <c r="N96" s="644"/>
      <c r="O96" s="721"/>
      <c r="P96" s="635"/>
      <c r="Q96" s="1300"/>
      <c r="R96" s="621"/>
    </row>
    <row r="97" spans="1:18" ht="15" customHeight="1" x14ac:dyDescent="0.25">
      <c r="A97" s="699" t="s">
        <v>660</v>
      </c>
      <c r="B97" s="639"/>
      <c r="C97" s="684"/>
      <c r="D97" s="641"/>
      <c r="E97" s="635"/>
      <c r="F97" s="736"/>
      <c r="G97" s="678"/>
      <c r="H97" s="677"/>
      <c r="I97" s="680"/>
      <c r="J97" s="644"/>
      <c r="K97" s="644"/>
      <c r="L97" s="644"/>
      <c r="M97" s="644"/>
      <c r="N97" s="644"/>
      <c r="O97" s="721"/>
      <c r="P97" s="635"/>
      <c r="Q97" s="1300"/>
    </row>
    <row r="98" spans="1:18" ht="15" customHeight="1" x14ac:dyDescent="0.25">
      <c r="A98" s="639"/>
      <c r="B98" s="639"/>
      <c r="C98" s="684" t="s">
        <v>891</v>
      </c>
      <c r="D98" s="641"/>
      <c r="E98" s="635">
        <v>80000</v>
      </c>
      <c r="F98" s="736"/>
      <c r="G98" s="678"/>
      <c r="H98" s="677"/>
      <c r="I98" s="680"/>
      <c r="J98" s="644"/>
      <c r="K98" s="644"/>
      <c r="L98" s="644"/>
      <c r="M98" s="644"/>
      <c r="N98" s="644"/>
      <c r="O98" s="721">
        <v>80000</v>
      </c>
      <c r="P98" s="635"/>
      <c r="Q98" s="1300"/>
    </row>
    <row r="99" spans="1:18" ht="15" customHeight="1" x14ac:dyDescent="0.25">
      <c r="A99" s="639"/>
      <c r="B99" s="639"/>
      <c r="C99" s="684" t="s">
        <v>892</v>
      </c>
      <c r="D99" s="641"/>
      <c r="E99" s="635">
        <v>42000</v>
      </c>
      <c r="F99" s="736"/>
      <c r="G99" s="678"/>
      <c r="H99" s="677"/>
      <c r="I99" s="680"/>
      <c r="J99" s="644"/>
      <c r="K99" s="644"/>
      <c r="L99" s="644"/>
      <c r="M99" s="644"/>
      <c r="N99" s="644"/>
      <c r="O99" s="721">
        <v>42000</v>
      </c>
      <c r="P99" s="635"/>
      <c r="Q99" s="1300"/>
    </row>
    <row r="100" spans="1:18" ht="15" customHeight="1" x14ac:dyDescent="0.25">
      <c r="A100" s="639"/>
      <c r="B100" s="639"/>
      <c r="C100" s="684" t="s">
        <v>893</v>
      </c>
      <c r="D100" s="641"/>
      <c r="E100" s="635">
        <v>275000</v>
      </c>
      <c r="F100" s="736"/>
      <c r="G100" s="678"/>
      <c r="H100" s="677"/>
      <c r="I100" s="680"/>
      <c r="J100" s="644"/>
      <c r="K100" s="644"/>
      <c r="L100" s="644"/>
      <c r="M100" s="644"/>
      <c r="N100" s="644"/>
      <c r="O100" s="721">
        <v>275000</v>
      </c>
      <c r="P100" s="635"/>
      <c r="Q100" s="1300"/>
    </row>
    <row r="101" spans="1:18" ht="15" customHeight="1" x14ac:dyDescent="0.25">
      <c r="A101" s="639"/>
      <c r="B101" s="639"/>
      <c r="C101" s="684" t="s">
        <v>894</v>
      </c>
      <c r="D101" s="641"/>
      <c r="E101" s="635">
        <v>46000</v>
      </c>
      <c r="F101" s="736"/>
      <c r="G101" s="678"/>
      <c r="H101" s="739"/>
      <c r="I101" s="680"/>
      <c r="J101" s="740"/>
      <c r="K101" s="644"/>
      <c r="L101" s="644"/>
      <c r="M101" s="644"/>
      <c r="N101" s="644"/>
      <c r="O101" s="721">
        <v>46000</v>
      </c>
      <c r="P101" s="635"/>
      <c r="Q101" s="1300"/>
    </row>
    <row r="102" spans="1:18" s="1301" customFormat="1" ht="15" customHeight="1" x14ac:dyDescent="0.25">
      <c r="A102" s="639"/>
      <c r="B102" s="639"/>
      <c r="C102" s="724" t="s">
        <v>895</v>
      </c>
      <c r="D102" s="639"/>
      <c r="E102" s="635">
        <v>173000</v>
      </c>
      <c r="F102" s="736"/>
      <c r="G102" s="681"/>
      <c r="H102" s="739"/>
      <c r="I102" s="680"/>
      <c r="J102" s="740"/>
      <c r="K102" s="644"/>
      <c r="L102" s="644"/>
      <c r="M102" s="644"/>
      <c r="N102" s="644"/>
      <c r="O102" s="721">
        <v>173000</v>
      </c>
      <c r="P102" s="635"/>
      <c r="Q102" s="1300"/>
      <c r="R102" s="621"/>
    </row>
    <row r="103" spans="1:18" ht="15" customHeight="1" x14ac:dyDescent="0.25">
      <c r="A103" s="639"/>
      <c r="B103" s="639"/>
      <c r="C103" s="684" t="s">
        <v>896</v>
      </c>
      <c r="E103" s="635">
        <v>1200000</v>
      </c>
      <c r="F103" s="736"/>
      <c r="G103" s="678"/>
      <c r="H103" s="739"/>
      <c r="I103" s="680"/>
      <c r="J103" s="740"/>
      <c r="K103" s="644"/>
      <c r="L103" s="644"/>
      <c r="M103" s="644"/>
      <c r="N103" s="644"/>
      <c r="O103" s="721">
        <v>1200000</v>
      </c>
      <c r="P103" s="635"/>
      <c r="Q103" s="1300"/>
    </row>
    <row r="104" spans="1:18" ht="15" customHeight="1" x14ac:dyDescent="0.25">
      <c r="C104" s="684" t="s">
        <v>534</v>
      </c>
      <c r="E104" s="635">
        <v>16500</v>
      </c>
      <c r="F104" s="736"/>
      <c r="G104" s="721"/>
      <c r="H104" s="736"/>
      <c r="I104" s="680"/>
      <c r="J104" s="740"/>
      <c r="K104" s="644"/>
      <c r="L104" s="644"/>
      <c r="M104" s="644"/>
      <c r="N104" s="644"/>
      <c r="O104" s="721">
        <v>16500</v>
      </c>
      <c r="P104" s="635"/>
      <c r="Q104" s="1300"/>
    </row>
    <row r="105" spans="1:18" ht="15" customHeight="1" x14ac:dyDescent="0.25">
      <c r="C105" s="684" t="s">
        <v>584</v>
      </c>
      <c r="E105" s="635">
        <v>42600</v>
      </c>
      <c r="F105" s="736"/>
      <c r="G105" s="678"/>
      <c r="H105" s="739"/>
      <c r="I105" s="721"/>
      <c r="J105" s="736"/>
      <c r="K105" s="644"/>
      <c r="L105" s="644"/>
      <c r="M105" s="644"/>
      <c r="N105" s="644"/>
      <c r="O105" s="721">
        <v>42600</v>
      </c>
      <c r="P105" s="635"/>
      <c r="Q105" s="1300"/>
    </row>
    <row r="106" spans="1:18" ht="15" customHeight="1" x14ac:dyDescent="0.25">
      <c r="C106" s="650" t="s">
        <v>897</v>
      </c>
      <c r="E106" s="635">
        <v>411466</v>
      </c>
      <c r="F106" s="736"/>
      <c r="G106" s="675"/>
      <c r="H106" s="740"/>
      <c r="I106" s="653"/>
      <c r="J106" s="740"/>
      <c r="K106" s="644"/>
      <c r="L106" s="644"/>
      <c r="M106" s="644"/>
      <c r="N106" s="644"/>
      <c r="O106" s="721">
        <v>411466</v>
      </c>
      <c r="P106" s="675"/>
      <c r="Q106" s="1300"/>
    </row>
    <row r="107" spans="1:18" ht="15" customHeight="1" x14ac:dyDescent="0.25">
      <c r="A107" s="699"/>
      <c r="C107" s="650" t="s">
        <v>898</v>
      </c>
      <c r="E107" s="635">
        <v>616360</v>
      </c>
      <c r="F107" s="736"/>
      <c r="G107" s="675"/>
      <c r="H107" s="740"/>
      <c r="I107" s="653"/>
      <c r="J107" s="740"/>
      <c r="K107" s="644"/>
      <c r="L107" s="644"/>
      <c r="M107" s="644"/>
      <c r="N107" s="644"/>
      <c r="O107" s="721">
        <v>616360</v>
      </c>
      <c r="P107" s="675"/>
      <c r="Q107" s="1300"/>
    </row>
    <row r="108" spans="1:18" ht="15.75" customHeight="1" x14ac:dyDescent="0.25">
      <c r="A108" s="621"/>
      <c r="B108" s="621"/>
      <c r="C108" s="684" t="s">
        <v>890</v>
      </c>
      <c r="E108" s="635"/>
      <c r="F108" s="736"/>
      <c r="G108" s="635">
        <v>144000</v>
      </c>
      <c r="H108" s="740"/>
      <c r="I108" s="653"/>
      <c r="J108" s="740"/>
      <c r="K108" s="644"/>
      <c r="L108" s="644"/>
      <c r="M108" s="644"/>
      <c r="N108" s="644"/>
      <c r="O108" s="721">
        <v>144000</v>
      </c>
      <c r="P108" s="635"/>
      <c r="Q108" s="1300"/>
    </row>
    <row r="109" spans="1:18" ht="15.75" x14ac:dyDescent="0.25">
      <c r="A109" s="621"/>
      <c r="B109" s="621"/>
      <c r="C109" s="684" t="s">
        <v>891</v>
      </c>
      <c r="E109" s="635"/>
      <c r="F109" s="736"/>
      <c r="G109" s="635">
        <v>140000</v>
      </c>
      <c r="H109" s="740"/>
      <c r="I109" s="653"/>
      <c r="J109" s="740"/>
      <c r="K109" s="644"/>
      <c r="L109" s="644"/>
      <c r="M109" s="644"/>
      <c r="N109" s="644"/>
      <c r="O109" s="721">
        <v>140000</v>
      </c>
      <c r="P109" s="635"/>
      <c r="Q109" s="1300"/>
    </row>
    <row r="110" spans="1:18" ht="15" customHeight="1" x14ac:dyDescent="0.25">
      <c r="A110" s="621"/>
      <c r="B110" s="621"/>
      <c r="C110" s="684" t="s">
        <v>892</v>
      </c>
      <c r="E110" s="675"/>
      <c r="F110" s="737"/>
      <c r="G110" s="635">
        <v>42000</v>
      </c>
      <c r="H110" s="736"/>
      <c r="I110" s="653"/>
      <c r="J110" s="740"/>
      <c r="K110" s="644"/>
      <c r="L110" s="644"/>
      <c r="M110" s="644"/>
      <c r="N110" s="644"/>
      <c r="O110" s="721">
        <v>42000</v>
      </c>
      <c r="P110" s="635"/>
      <c r="Q110" s="1300"/>
    </row>
    <row r="111" spans="1:18" ht="15" customHeight="1" x14ac:dyDescent="0.25">
      <c r="A111" s="621"/>
      <c r="B111" s="621"/>
      <c r="C111" s="684" t="s">
        <v>893</v>
      </c>
      <c r="E111" s="675"/>
      <c r="F111" s="737"/>
      <c r="G111" s="635">
        <v>275000</v>
      </c>
      <c r="H111" s="736"/>
      <c r="I111" s="653"/>
      <c r="J111" s="740"/>
      <c r="K111" s="644"/>
      <c r="L111" s="644"/>
      <c r="M111" s="644"/>
      <c r="N111" s="644"/>
      <c r="O111" s="721">
        <v>275000</v>
      </c>
      <c r="P111" s="635"/>
      <c r="Q111" s="1300"/>
    </row>
    <row r="112" spans="1:18" ht="15" customHeight="1" x14ac:dyDescent="0.25">
      <c r="C112" s="650" t="s">
        <v>894</v>
      </c>
      <c r="E112" s="675"/>
      <c r="F112" s="737"/>
      <c r="G112" s="635">
        <v>46000</v>
      </c>
      <c r="H112" s="740"/>
      <c r="I112" s="653"/>
      <c r="J112" s="740"/>
      <c r="K112" s="644"/>
      <c r="L112" s="644"/>
      <c r="M112" s="644"/>
      <c r="N112" s="644"/>
      <c r="O112" s="721">
        <v>46000</v>
      </c>
      <c r="P112" s="675"/>
      <c r="Q112" s="1300"/>
    </row>
    <row r="113" spans="1:31" ht="15" customHeight="1" x14ac:dyDescent="0.25">
      <c r="A113" s="699"/>
      <c r="C113" s="650" t="s">
        <v>895</v>
      </c>
      <c r="F113" s="737"/>
      <c r="G113" s="635">
        <v>178000</v>
      </c>
      <c r="H113" s="740"/>
      <c r="I113" s="653"/>
      <c r="J113" s="740"/>
      <c r="K113" s="644"/>
      <c r="L113" s="644"/>
      <c r="M113" s="644"/>
      <c r="N113" s="644"/>
      <c r="O113" s="721">
        <v>178000</v>
      </c>
      <c r="P113" s="675"/>
      <c r="Q113" s="1300"/>
    </row>
    <row r="114" spans="1:31" ht="15" customHeight="1" x14ac:dyDescent="0.25">
      <c r="C114" s="684" t="s">
        <v>896</v>
      </c>
      <c r="E114" s="596"/>
      <c r="F114" s="737"/>
      <c r="G114" s="635">
        <v>1200000</v>
      </c>
      <c r="H114" s="740"/>
      <c r="I114" s="635"/>
      <c r="J114" s="736"/>
      <c r="K114" s="644"/>
      <c r="L114" s="644"/>
      <c r="M114" s="644"/>
      <c r="N114" s="644"/>
      <c r="O114" s="721">
        <v>1200000</v>
      </c>
      <c r="P114" s="635"/>
      <c r="Q114" s="1300"/>
    </row>
    <row r="115" spans="1:31" ht="15" customHeight="1" x14ac:dyDescent="0.25">
      <c r="C115" s="684" t="s">
        <v>534</v>
      </c>
      <c r="E115" s="596"/>
      <c r="F115" s="737"/>
      <c r="G115" s="635">
        <v>16500</v>
      </c>
      <c r="H115" s="740"/>
      <c r="I115" s="635"/>
      <c r="J115" s="736"/>
      <c r="K115" s="644"/>
      <c r="L115" s="644"/>
      <c r="M115" s="644"/>
      <c r="N115" s="644"/>
      <c r="O115" s="721">
        <v>16500</v>
      </c>
      <c r="P115" s="635"/>
      <c r="Q115" s="1300"/>
      <c r="Y115" s="656"/>
      <c r="AA115" s="655"/>
      <c r="AB115" s="600"/>
      <c r="AC115" s="635"/>
      <c r="AD115" s="635"/>
      <c r="AE115" s="635"/>
    </row>
    <row r="116" spans="1:31" ht="15" customHeight="1" x14ac:dyDescent="0.25">
      <c r="C116" s="684" t="s">
        <v>584</v>
      </c>
      <c r="D116" s="596"/>
      <c r="E116" s="596"/>
      <c r="F116" s="738"/>
      <c r="G116" s="635">
        <v>42600</v>
      </c>
      <c r="H116" s="741"/>
      <c r="I116" s="635"/>
      <c r="J116" s="736"/>
      <c r="K116" s="596"/>
      <c r="L116" s="596"/>
      <c r="M116" s="596"/>
      <c r="N116" s="596"/>
      <c r="O116" s="721">
        <v>42600</v>
      </c>
      <c r="P116" s="635"/>
      <c r="Q116" s="1300"/>
    </row>
    <row r="117" spans="1:31" ht="15" customHeight="1" x14ac:dyDescent="0.25">
      <c r="C117" s="684" t="s">
        <v>897</v>
      </c>
      <c r="D117" s="596"/>
      <c r="E117" s="596"/>
      <c r="F117" s="738"/>
      <c r="G117" s="635">
        <v>420409</v>
      </c>
      <c r="H117" s="741"/>
      <c r="I117" s="635"/>
      <c r="J117" s="736"/>
      <c r="K117" s="596"/>
      <c r="L117" s="596"/>
      <c r="M117" s="596"/>
      <c r="N117" s="596"/>
      <c r="O117" s="721">
        <v>420409</v>
      </c>
      <c r="P117" s="635"/>
      <c r="Q117" s="1300"/>
    </row>
    <row r="118" spans="1:31" ht="15" customHeight="1" x14ac:dyDescent="0.25">
      <c r="C118" s="684" t="s">
        <v>898</v>
      </c>
      <c r="D118" s="596"/>
      <c r="E118" s="596"/>
      <c r="F118" s="738"/>
      <c r="G118" s="635">
        <v>586016</v>
      </c>
      <c r="H118" s="741"/>
      <c r="I118" s="635"/>
      <c r="J118" s="736"/>
      <c r="K118" s="596"/>
      <c r="L118" s="596"/>
      <c r="M118" s="596"/>
      <c r="N118" s="596"/>
      <c r="O118" s="721">
        <v>586016</v>
      </c>
      <c r="P118" s="635"/>
      <c r="Q118" s="1300"/>
      <c r="Y118" s="656"/>
    </row>
    <row r="119" spans="1:31" ht="15" customHeight="1" x14ac:dyDescent="0.25">
      <c r="C119" s="684" t="s">
        <v>890</v>
      </c>
      <c r="E119" s="596"/>
      <c r="F119" s="737"/>
      <c r="H119" s="740"/>
      <c r="I119" s="635">
        <v>149000</v>
      </c>
      <c r="J119" s="736"/>
      <c r="K119" s="644"/>
      <c r="L119" s="644"/>
      <c r="M119" s="644"/>
      <c r="N119" s="644"/>
      <c r="O119" s="721">
        <v>149000</v>
      </c>
      <c r="P119" s="635"/>
      <c r="Q119" s="1300"/>
      <c r="Y119" s="658"/>
    </row>
    <row r="120" spans="1:31" ht="15" customHeight="1" x14ac:dyDescent="0.25">
      <c r="C120" s="684" t="s">
        <v>891</v>
      </c>
      <c r="E120" s="596"/>
      <c r="F120" s="737"/>
      <c r="H120" s="740"/>
      <c r="I120" s="635">
        <v>80000</v>
      </c>
      <c r="J120" s="736"/>
      <c r="K120" s="644"/>
      <c r="L120" s="644"/>
      <c r="M120" s="644"/>
      <c r="N120" s="644"/>
      <c r="O120" s="721">
        <v>80000</v>
      </c>
      <c r="P120" s="635"/>
      <c r="Q120" s="1300"/>
      <c r="Y120" s="656"/>
    </row>
    <row r="121" spans="1:31" ht="15.75" customHeight="1" x14ac:dyDescent="0.25">
      <c r="C121" s="684" t="s">
        <v>892</v>
      </c>
      <c r="E121" s="596"/>
      <c r="F121" s="737"/>
      <c r="H121" s="740"/>
      <c r="I121" s="635">
        <v>42000</v>
      </c>
      <c r="J121" s="736"/>
      <c r="K121" s="644"/>
      <c r="L121" s="644"/>
      <c r="M121" s="644"/>
      <c r="N121" s="644"/>
      <c r="O121" s="721">
        <v>42000</v>
      </c>
      <c r="P121" s="635"/>
      <c r="Q121" s="1300"/>
      <c r="Y121" s="643"/>
    </row>
    <row r="122" spans="1:31" ht="15" customHeight="1" x14ac:dyDescent="0.25">
      <c r="C122" s="684" t="s">
        <v>893</v>
      </c>
      <c r="E122" s="596"/>
      <c r="F122" s="737"/>
      <c r="H122" s="740"/>
      <c r="I122" s="635">
        <v>275000</v>
      </c>
      <c r="J122" s="740"/>
      <c r="K122" s="644"/>
      <c r="L122" s="644"/>
      <c r="M122" s="644"/>
      <c r="N122" s="644"/>
      <c r="O122" s="721">
        <v>275000</v>
      </c>
      <c r="P122" s="635"/>
      <c r="Q122" s="1300"/>
      <c r="Y122" s="643"/>
    </row>
    <row r="123" spans="1:31" ht="15" customHeight="1" x14ac:dyDescent="0.25">
      <c r="B123" s="728"/>
      <c r="C123" s="684" t="s">
        <v>894</v>
      </c>
      <c r="E123" s="596"/>
      <c r="F123" s="737"/>
      <c r="H123" s="740"/>
      <c r="I123" s="635">
        <v>46000</v>
      </c>
      <c r="J123" s="740"/>
      <c r="K123" s="644"/>
      <c r="L123" s="644"/>
      <c r="M123" s="644"/>
      <c r="N123" s="644"/>
      <c r="O123" s="721">
        <v>46000</v>
      </c>
      <c r="P123" s="635"/>
      <c r="Q123" s="1300"/>
      <c r="Y123" s="643"/>
    </row>
    <row r="124" spans="1:31" ht="15" customHeight="1" x14ac:dyDescent="0.25">
      <c r="C124" s="684" t="s">
        <v>895</v>
      </c>
      <c r="E124" s="635"/>
      <c r="F124" s="736"/>
      <c r="G124" s="635"/>
      <c r="H124" s="733"/>
      <c r="I124" s="635">
        <v>184000</v>
      </c>
      <c r="J124" s="733"/>
      <c r="K124" s="644"/>
      <c r="L124" s="644"/>
      <c r="M124" s="644"/>
      <c r="N124" s="644"/>
      <c r="O124" s="721">
        <v>184000</v>
      </c>
      <c r="P124" s="729"/>
      <c r="Q124" s="1300"/>
      <c r="Y124" s="643"/>
    </row>
    <row r="125" spans="1:31" ht="15" customHeight="1" x14ac:dyDescent="0.25">
      <c r="C125" s="684" t="s">
        <v>534</v>
      </c>
      <c r="E125" s="635"/>
      <c r="F125" s="736"/>
      <c r="G125" s="635"/>
      <c r="H125" s="733"/>
      <c r="I125" s="635">
        <v>16500</v>
      </c>
      <c r="J125" s="733"/>
      <c r="K125" s="644"/>
      <c r="L125" s="644"/>
      <c r="M125" s="644"/>
      <c r="N125" s="644"/>
      <c r="O125" s="721">
        <v>16500</v>
      </c>
      <c r="P125" s="729"/>
      <c r="Q125" s="1300"/>
      <c r="Y125" s="643"/>
    </row>
    <row r="126" spans="1:31" ht="15" customHeight="1" x14ac:dyDescent="0.25">
      <c r="C126" s="684" t="s">
        <v>584</v>
      </c>
      <c r="E126" s="635"/>
      <c r="F126" s="736"/>
      <c r="G126" s="635"/>
      <c r="H126" s="733"/>
      <c r="I126" s="635">
        <v>42600</v>
      </c>
      <c r="J126" s="733"/>
      <c r="K126" s="644"/>
      <c r="L126" s="644"/>
      <c r="M126" s="644"/>
      <c r="N126" s="644"/>
      <c r="O126" s="721">
        <v>42600</v>
      </c>
      <c r="P126" s="729"/>
      <c r="Q126" s="1300"/>
      <c r="Y126" s="643"/>
    </row>
    <row r="127" spans="1:31" ht="15" customHeight="1" x14ac:dyDescent="0.25">
      <c r="C127" s="684" t="s">
        <v>897</v>
      </c>
      <c r="E127" s="635"/>
      <c r="F127" s="736"/>
      <c r="G127" s="635"/>
      <c r="H127" s="733"/>
      <c r="I127" s="635">
        <v>858512</v>
      </c>
      <c r="J127" s="733"/>
      <c r="K127" s="644"/>
      <c r="L127" s="644"/>
      <c r="M127" s="644"/>
      <c r="N127" s="644"/>
      <c r="O127" s="721">
        <v>858512</v>
      </c>
      <c r="P127" s="729"/>
      <c r="Q127" s="1300"/>
      <c r="Y127" s="643"/>
    </row>
    <row r="128" spans="1:31" ht="15" customHeight="1" x14ac:dyDescent="0.25">
      <c r="C128" s="684" t="s">
        <v>898</v>
      </c>
      <c r="E128" s="635"/>
      <c r="F128" s="736"/>
      <c r="G128" s="635"/>
      <c r="H128" s="733"/>
      <c r="I128" s="635">
        <v>588941</v>
      </c>
      <c r="J128" s="733"/>
      <c r="K128" s="644"/>
      <c r="L128" s="644"/>
      <c r="M128" s="644"/>
      <c r="N128" s="644"/>
      <c r="O128" s="721">
        <v>588941</v>
      </c>
      <c r="P128" s="729"/>
      <c r="Q128" s="1300"/>
      <c r="Y128" s="643"/>
    </row>
    <row r="129" spans="1:25" ht="15" customHeight="1" x14ac:dyDescent="0.25">
      <c r="C129" s="684" t="s">
        <v>891</v>
      </c>
      <c r="E129" s="744"/>
      <c r="F129" s="736"/>
      <c r="G129" s="635"/>
      <c r="H129" s="733"/>
      <c r="I129" s="744"/>
      <c r="J129" s="733"/>
      <c r="K129" s="644">
        <v>140000</v>
      </c>
      <c r="L129" s="644"/>
      <c r="M129" s="644"/>
      <c r="N129" s="644"/>
      <c r="O129" s="721">
        <v>140000</v>
      </c>
      <c r="P129" s="729"/>
      <c r="Q129" s="1300"/>
      <c r="Y129" s="643"/>
    </row>
    <row r="130" spans="1:25" ht="15" customHeight="1" x14ac:dyDescent="0.25">
      <c r="C130" s="684" t="s">
        <v>892</v>
      </c>
      <c r="E130" s="635"/>
      <c r="F130" s="736"/>
      <c r="G130" s="635"/>
      <c r="H130" s="733"/>
      <c r="I130" s="635"/>
      <c r="J130" s="733"/>
      <c r="K130" s="644">
        <v>42000</v>
      </c>
      <c r="L130" s="644"/>
      <c r="M130" s="644"/>
      <c r="N130" s="644"/>
      <c r="O130" s="721">
        <v>42000</v>
      </c>
      <c r="P130" s="729"/>
      <c r="Q130" s="1300"/>
      <c r="Y130" s="643"/>
    </row>
    <row r="131" spans="1:25" ht="15" customHeight="1" x14ac:dyDescent="0.25">
      <c r="C131" s="684" t="s">
        <v>893</v>
      </c>
      <c r="E131" s="635"/>
      <c r="F131" s="736"/>
      <c r="G131" s="635"/>
      <c r="H131" s="733"/>
      <c r="I131" s="635"/>
      <c r="J131" s="733"/>
      <c r="K131" s="644">
        <v>275000</v>
      </c>
      <c r="L131" s="644"/>
      <c r="M131" s="644"/>
      <c r="N131" s="644"/>
      <c r="O131" s="721">
        <v>275000</v>
      </c>
      <c r="P131" s="729"/>
      <c r="Q131" s="1300"/>
      <c r="Y131" s="643"/>
    </row>
    <row r="132" spans="1:25" ht="15" customHeight="1" x14ac:dyDescent="0.25">
      <c r="C132" s="684" t="s">
        <v>894</v>
      </c>
      <c r="E132" s="635"/>
      <c r="F132" s="736"/>
      <c r="G132" s="635"/>
      <c r="H132" s="733"/>
      <c r="I132" s="635"/>
      <c r="J132" s="733"/>
      <c r="K132" s="644">
        <v>46000</v>
      </c>
      <c r="L132" s="644"/>
      <c r="M132" s="644"/>
      <c r="N132" s="644"/>
      <c r="O132" s="721">
        <v>46000</v>
      </c>
      <c r="P132" s="729"/>
      <c r="Q132" s="1300"/>
      <c r="Y132" s="643"/>
    </row>
    <row r="133" spans="1:25" ht="15" customHeight="1" x14ac:dyDescent="0.25">
      <c r="C133" s="684" t="s">
        <v>895</v>
      </c>
      <c r="E133" s="635"/>
      <c r="F133" s="736"/>
      <c r="G133" s="635"/>
      <c r="H133" s="733"/>
      <c r="I133" s="635"/>
      <c r="J133" s="733"/>
      <c r="K133" s="644">
        <v>189000</v>
      </c>
      <c r="L133" s="644"/>
      <c r="M133" s="644"/>
      <c r="N133" s="644"/>
      <c r="O133" s="721">
        <v>189000</v>
      </c>
      <c r="P133" s="729"/>
      <c r="Q133" s="1300"/>
      <c r="Y133" s="643"/>
    </row>
    <row r="134" spans="1:25" ht="15" customHeight="1" x14ac:dyDescent="0.25">
      <c r="C134" s="684" t="s">
        <v>534</v>
      </c>
      <c r="E134" s="635"/>
      <c r="F134" s="736"/>
      <c r="G134" s="635"/>
      <c r="H134" s="733"/>
      <c r="I134" s="635"/>
      <c r="J134" s="733"/>
      <c r="K134" s="644">
        <v>16500</v>
      </c>
      <c r="L134" s="644"/>
      <c r="M134" s="644"/>
      <c r="N134" s="644"/>
      <c r="O134" s="721">
        <v>16500</v>
      </c>
      <c r="P134" s="729"/>
      <c r="Q134" s="1300"/>
      <c r="Y134" s="643"/>
    </row>
    <row r="135" spans="1:25" ht="15" customHeight="1" x14ac:dyDescent="0.25">
      <c r="A135" s="749"/>
      <c r="B135" s="749"/>
      <c r="C135" s="684" t="s">
        <v>584</v>
      </c>
      <c r="D135" s="749"/>
      <c r="E135" s="752"/>
      <c r="F135" s="736"/>
      <c r="G135" s="397"/>
      <c r="H135" s="753"/>
      <c r="I135" s="753"/>
      <c r="J135" s="749"/>
      <c r="K135" s="644">
        <v>42600</v>
      </c>
      <c r="L135" s="749"/>
      <c r="M135" s="749"/>
      <c r="N135" s="749"/>
      <c r="O135" s="721">
        <v>42600</v>
      </c>
      <c r="P135" s="749"/>
      <c r="Q135" s="1300"/>
    </row>
    <row r="136" spans="1:25" ht="15" customHeight="1" x14ac:dyDescent="0.25">
      <c r="A136" s="749"/>
      <c r="B136" s="749"/>
      <c r="C136" s="684" t="s">
        <v>897</v>
      </c>
      <c r="D136" s="749"/>
      <c r="E136" s="752"/>
      <c r="F136" s="736"/>
      <c r="G136" s="752"/>
      <c r="H136" s="736"/>
      <c r="I136" s="752"/>
      <c r="J136" s="736"/>
      <c r="K136" s="644">
        <v>1209447</v>
      </c>
      <c r="L136" s="749"/>
      <c r="M136" s="749"/>
      <c r="N136" s="749"/>
      <c r="O136" s="721">
        <v>1209447</v>
      </c>
      <c r="P136" s="749"/>
      <c r="Q136" s="1300"/>
    </row>
    <row r="137" spans="1:25" ht="15" customHeight="1" x14ac:dyDescent="0.25">
      <c r="A137" s="749"/>
      <c r="B137" s="749"/>
      <c r="C137" s="684" t="s">
        <v>898</v>
      </c>
      <c r="D137" s="749"/>
      <c r="E137" s="752"/>
      <c r="F137" s="736"/>
      <c r="G137" s="397"/>
      <c r="H137" s="397"/>
      <c r="I137" s="397"/>
      <c r="J137" s="749"/>
      <c r="K137" s="644">
        <v>541602</v>
      </c>
      <c r="L137" s="749"/>
      <c r="M137" s="749"/>
      <c r="N137" s="749"/>
      <c r="O137" s="721">
        <v>541602</v>
      </c>
      <c r="P137" s="749"/>
      <c r="Q137" s="1300"/>
    </row>
    <row r="138" spans="1:25" ht="15" customHeight="1" x14ac:dyDescent="0.25">
      <c r="A138" s="1017"/>
      <c r="B138" s="1017"/>
      <c r="C138" s="684" t="s">
        <v>890</v>
      </c>
      <c r="D138" s="1017"/>
      <c r="E138" s="752"/>
      <c r="F138" s="736"/>
      <c r="G138" s="397"/>
      <c r="H138" s="397"/>
      <c r="I138" s="397"/>
      <c r="J138" s="1017"/>
      <c r="K138" s="1017"/>
      <c r="L138" s="1017"/>
      <c r="M138" s="644">
        <v>149000</v>
      </c>
      <c r="N138" s="1017"/>
      <c r="O138" s="721">
        <v>149000</v>
      </c>
      <c r="P138" s="1017"/>
      <c r="Q138" s="1300"/>
    </row>
    <row r="139" spans="1:25" ht="15" customHeight="1" x14ac:dyDescent="0.25">
      <c r="A139" s="1017"/>
      <c r="B139" s="1017"/>
      <c r="C139" s="684" t="s">
        <v>891</v>
      </c>
      <c r="D139" s="1017"/>
      <c r="E139" s="752"/>
      <c r="F139" s="736"/>
      <c r="G139" s="397"/>
      <c r="H139" s="397"/>
      <c r="I139" s="397"/>
      <c r="J139" s="1017"/>
      <c r="K139" s="1017"/>
      <c r="L139" s="1017"/>
      <c r="M139" s="644">
        <v>80000</v>
      </c>
      <c r="N139" s="1017"/>
      <c r="O139" s="721">
        <v>80000</v>
      </c>
      <c r="P139" s="1017"/>
      <c r="Q139" s="1300"/>
    </row>
    <row r="140" spans="1:25" ht="15" customHeight="1" x14ac:dyDescent="0.25">
      <c r="A140" s="1017"/>
      <c r="B140" s="1017"/>
      <c r="C140" s="684" t="s">
        <v>892</v>
      </c>
      <c r="D140" s="1017"/>
      <c r="E140" s="752"/>
      <c r="F140" s="736"/>
      <c r="G140" s="397"/>
      <c r="H140" s="397"/>
      <c r="I140" s="397"/>
      <c r="J140" s="1017"/>
      <c r="K140" s="1017"/>
      <c r="L140" s="1017"/>
      <c r="M140" s="644">
        <v>42000</v>
      </c>
      <c r="N140" s="1017"/>
      <c r="O140" s="721">
        <v>42000</v>
      </c>
      <c r="P140" s="1017"/>
      <c r="Q140" s="1300"/>
    </row>
    <row r="141" spans="1:25" ht="15" customHeight="1" x14ac:dyDescent="0.25">
      <c r="A141" s="1017"/>
      <c r="B141" s="1017"/>
      <c r="C141" s="684" t="s">
        <v>893</v>
      </c>
      <c r="D141" s="1017"/>
      <c r="E141" s="752"/>
      <c r="F141" s="736"/>
      <c r="G141" s="397"/>
      <c r="H141" s="397"/>
      <c r="I141" s="397"/>
      <c r="J141" s="1017"/>
      <c r="K141" s="1017"/>
      <c r="L141" s="1017"/>
      <c r="M141" s="644">
        <v>275000</v>
      </c>
      <c r="N141" s="1017"/>
      <c r="O141" s="721">
        <v>275000</v>
      </c>
      <c r="P141" s="1017"/>
      <c r="Q141" s="1300"/>
    </row>
    <row r="142" spans="1:25" ht="15" customHeight="1" x14ac:dyDescent="0.25">
      <c r="A142" s="749"/>
      <c r="B142" s="749"/>
      <c r="C142" s="684" t="s">
        <v>894</v>
      </c>
      <c r="D142" s="749"/>
      <c r="E142" s="752"/>
      <c r="F142" s="736"/>
      <c r="G142" s="397"/>
      <c r="H142" s="397"/>
      <c r="I142" s="397"/>
      <c r="J142" s="749"/>
      <c r="K142" s="749"/>
      <c r="L142" s="749"/>
      <c r="M142" s="644">
        <v>46000</v>
      </c>
      <c r="N142" s="749"/>
      <c r="O142" s="721">
        <v>46000</v>
      </c>
      <c r="P142" s="749"/>
      <c r="Q142" s="1300"/>
    </row>
    <row r="143" spans="1:25" ht="15" customHeight="1" x14ac:dyDescent="0.25">
      <c r="A143" s="769"/>
      <c r="B143" s="769"/>
      <c r="C143" s="684" t="s">
        <v>895</v>
      </c>
      <c r="D143" s="769"/>
      <c r="E143" s="760"/>
      <c r="F143" s="736"/>
      <c r="G143" s="759"/>
      <c r="H143" s="759"/>
      <c r="I143" s="759"/>
      <c r="J143" s="769"/>
      <c r="K143" s="769"/>
      <c r="L143" s="769"/>
      <c r="M143" s="644">
        <v>194000</v>
      </c>
      <c r="N143" s="769"/>
      <c r="O143" s="721">
        <v>194000</v>
      </c>
      <c r="P143" s="769"/>
      <c r="Q143" s="1300"/>
    </row>
    <row r="144" spans="1:25" ht="15" customHeight="1" x14ac:dyDescent="0.25">
      <c r="C144" s="684" t="s">
        <v>534</v>
      </c>
      <c r="D144" s="607"/>
      <c r="E144" s="596"/>
      <c r="F144" s="596"/>
      <c r="G144" s="596"/>
      <c r="H144" s="596"/>
      <c r="I144" s="596"/>
      <c r="J144" s="596"/>
      <c r="K144" s="596"/>
      <c r="L144" s="596"/>
      <c r="M144" s="644">
        <v>16500</v>
      </c>
      <c r="N144" s="596"/>
      <c r="O144" s="721">
        <v>16500</v>
      </c>
      <c r="P144" s="729"/>
      <c r="Q144" s="1300"/>
      <c r="Y144" s="643"/>
    </row>
    <row r="145" spans="1:25" ht="15" customHeight="1" x14ac:dyDescent="0.25">
      <c r="C145" s="684" t="s">
        <v>584</v>
      </c>
      <c r="E145" s="635"/>
      <c r="F145" s="736"/>
      <c r="G145" s="635"/>
      <c r="H145" s="733"/>
      <c r="I145" s="635"/>
      <c r="J145" s="733"/>
      <c r="K145" s="644"/>
      <c r="L145" s="644"/>
      <c r="M145" s="644">
        <v>42600</v>
      </c>
      <c r="N145" s="644"/>
      <c r="O145" s="721">
        <v>42600</v>
      </c>
      <c r="P145" s="729"/>
      <c r="Q145" s="1300"/>
      <c r="Y145" s="643"/>
    </row>
    <row r="146" spans="1:25" ht="15" customHeight="1" x14ac:dyDescent="0.25">
      <c r="C146" s="684" t="s">
        <v>897</v>
      </c>
      <c r="E146" s="596"/>
      <c r="F146" s="596"/>
      <c r="G146" s="596"/>
      <c r="H146" s="596"/>
      <c r="I146" s="596"/>
      <c r="J146" s="596"/>
      <c r="K146" s="596"/>
      <c r="L146" s="596"/>
      <c r="M146" s="644">
        <v>344487</v>
      </c>
      <c r="N146" s="596"/>
      <c r="O146" s="721">
        <v>344487</v>
      </c>
      <c r="P146" s="729"/>
      <c r="Q146" s="1300"/>
      <c r="Y146" s="643"/>
    </row>
    <row r="147" spans="1:25" ht="15" customHeight="1" x14ac:dyDescent="0.25">
      <c r="C147" s="684" t="s">
        <v>898</v>
      </c>
      <c r="E147" s="722"/>
      <c r="F147" s="661"/>
      <c r="G147" s="722"/>
      <c r="H147" s="661"/>
      <c r="I147" s="722"/>
      <c r="J147" s="661"/>
      <c r="K147" s="1091"/>
      <c r="L147" s="661"/>
      <c r="M147" s="611">
        <v>541602</v>
      </c>
      <c r="N147" s="661"/>
      <c r="O147" s="1092">
        <v>541602</v>
      </c>
      <c r="P147" s="729"/>
      <c r="Q147" s="1300"/>
      <c r="Y147" s="643"/>
    </row>
    <row r="148" spans="1:25" ht="15" customHeight="1" x14ac:dyDescent="0.25">
      <c r="C148" s="684"/>
      <c r="E148" s="635"/>
      <c r="F148" s="736"/>
      <c r="G148" s="635"/>
      <c r="H148" s="733"/>
      <c r="I148" s="635"/>
      <c r="J148" s="733"/>
      <c r="K148" s="644"/>
      <c r="L148" s="644"/>
      <c r="M148" s="644"/>
      <c r="N148" s="644"/>
      <c r="O148" s="635"/>
      <c r="P148" s="729"/>
      <c r="Q148" s="1300"/>
      <c r="Y148" s="643"/>
    </row>
    <row r="149" spans="1:25" ht="15" customHeight="1" thickBot="1" x14ac:dyDescent="0.3">
      <c r="C149" s="684" t="s">
        <v>158</v>
      </c>
      <c r="E149" s="748">
        <f>SUM(E88:E147)</f>
        <v>76627558</v>
      </c>
      <c r="F149" s="736"/>
      <c r="G149" s="748">
        <f>SUM(G88:G147)</f>
        <v>65561509</v>
      </c>
      <c r="H149" s="733"/>
      <c r="I149" s="748">
        <f>SUM(I88:I147)</f>
        <v>50059931</v>
      </c>
      <c r="J149" s="733"/>
      <c r="K149" s="748">
        <f>SUM(K88:K147)</f>
        <v>51692693</v>
      </c>
      <c r="L149" s="644"/>
      <c r="M149" s="748">
        <f>SUM(M88:M147)</f>
        <v>25315173</v>
      </c>
      <c r="N149" s="644"/>
      <c r="O149" s="748">
        <f>SUM(O88:O147)</f>
        <v>269256864</v>
      </c>
      <c r="P149" s="729"/>
      <c r="Q149" s="1300"/>
      <c r="Y149" s="643"/>
    </row>
    <row r="150" spans="1:25" ht="15" customHeight="1" thickTop="1" x14ac:dyDescent="0.25">
      <c r="C150" s="684"/>
      <c r="E150" s="635"/>
      <c r="F150" s="736"/>
      <c r="G150" s="635"/>
      <c r="H150" s="733"/>
      <c r="I150" s="635"/>
      <c r="J150" s="733"/>
      <c r="K150" s="644"/>
      <c r="L150" s="644"/>
      <c r="M150" s="644"/>
      <c r="N150" s="644"/>
      <c r="P150" s="729"/>
      <c r="Q150" s="1300"/>
      <c r="Y150" s="643"/>
    </row>
    <row r="151" spans="1:25" ht="15" customHeight="1" x14ac:dyDescent="0.25">
      <c r="C151" s="684"/>
      <c r="E151" s="635"/>
      <c r="F151" s="736"/>
      <c r="G151" s="635"/>
      <c r="H151" s="733"/>
      <c r="I151" s="635"/>
      <c r="J151" s="733"/>
      <c r="K151" s="644"/>
      <c r="L151" s="644"/>
      <c r="M151" s="644"/>
      <c r="N151" s="644"/>
      <c r="P151" s="729"/>
      <c r="Q151" s="1300"/>
      <c r="Y151" s="643"/>
    </row>
    <row r="152" spans="1:25" ht="15" customHeight="1" x14ac:dyDescent="0.25">
      <c r="C152" s="684"/>
      <c r="E152" s="635"/>
      <c r="F152" s="736"/>
      <c r="G152" s="635"/>
      <c r="H152" s="733"/>
      <c r="I152" s="635"/>
      <c r="J152" s="733"/>
      <c r="K152" s="644"/>
      <c r="L152" s="644"/>
      <c r="M152" s="644"/>
      <c r="N152" s="644"/>
      <c r="P152" s="729"/>
      <c r="Q152" s="1300"/>
      <c r="Y152" s="643"/>
    </row>
    <row r="153" spans="1:25" ht="15" customHeight="1" x14ac:dyDescent="0.25">
      <c r="Q153" s="1300"/>
      <c r="Y153" s="643"/>
    </row>
    <row r="154" spans="1:25" ht="15" customHeight="1" x14ac:dyDescent="0.25">
      <c r="A154" s="1424"/>
      <c r="B154" s="1424"/>
      <c r="C154" s="1424"/>
      <c r="D154" s="1424"/>
      <c r="E154" s="1424"/>
      <c r="F154" s="1424"/>
      <c r="G154" s="1424"/>
      <c r="H154" s="1424"/>
      <c r="I154" s="1424"/>
      <c r="J154" s="1424"/>
      <c r="K154" s="1424"/>
      <c r="L154" s="1424"/>
      <c r="M154" s="1424"/>
      <c r="N154" s="1424"/>
      <c r="O154" s="1424"/>
      <c r="P154" s="1424"/>
      <c r="Q154" s="1300"/>
      <c r="Y154" s="643"/>
    </row>
    <row r="155" spans="1:25" ht="15.75" x14ac:dyDescent="0.25">
      <c r="A155" s="1423" t="s">
        <v>16</v>
      </c>
      <c r="B155" s="1423"/>
      <c r="C155" s="1423"/>
      <c r="D155" s="1423"/>
      <c r="E155" s="1423"/>
      <c r="F155" s="1423"/>
      <c r="G155" s="1423"/>
      <c r="H155" s="1423"/>
      <c r="I155" s="1423"/>
      <c r="J155" s="1423"/>
      <c r="K155" s="1423"/>
      <c r="L155" s="1423"/>
      <c r="M155" s="1423"/>
      <c r="N155" s="1423"/>
      <c r="O155" s="1423"/>
      <c r="P155" s="1423"/>
      <c r="Q155" s="1300"/>
      <c r="Y155" s="643"/>
    </row>
    <row r="156" spans="1:25" ht="15.75" x14ac:dyDescent="0.25">
      <c r="A156" s="1424"/>
      <c r="B156" s="1424"/>
      <c r="C156" s="1424"/>
      <c r="D156" s="1424"/>
      <c r="E156" s="1424"/>
      <c r="F156" s="1424"/>
      <c r="G156" s="1424"/>
      <c r="H156" s="1424"/>
      <c r="I156" s="1424"/>
      <c r="J156" s="1424"/>
      <c r="K156" s="1424"/>
      <c r="L156" s="1424"/>
      <c r="M156" s="1424"/>
      <c r="N156" s="1424"/>
      <c r="O156" s="1424"/>
      <c r="P156" s="1424"/>
      <c r="Q156" s="1300"/>
      <c r="Y156" s="643"/>
    </row>
    <row r="157" spans="1:25" ht="15.75" x14ac:dyDescent="0.25">
      <c r="A157" s="1424" t="s">
        <v>611</v>
      </c>
      <c r="B157" s="1424"/>
      <c r="C157" s="1424"/>
      <c r="D157" s="1424"/>
      <c r="E157" s="1424"/>
      <c r="F157" s="1424"/>
      <c r="G157" s="1424"/>
      <c r="H157" s="1424"/>
      <c r="I157" s="1424"/>
      <c r="J157" s="1424"/>
      <c r="K157" s="1424"/>
      <c r="L157" s="1424"/>
      <c r="M157" s="1424"/>
      <c r="N157" s="1424"/>
      <c r="O157" s="1424"/>
      <c r="P157" s="1424"/>
      <c r="Q157" s="1300"/>
      <c r="Y157" s="643"/>
    </row>
    <row r="158" spans="1:25" ht="15" customHeight="1" x14ac:dyDescent="0.25">
      <c r="C158" s="683"/>
      <c r="D158" s="607"/>
      <c r="E158" s="661"/>
      <c r="F158" s="661"/>
      <c r="G158" s="661"/>
      <c r="H158" s="661"/>
      <c r="I158" s="661"/>
      <c r="J158" s="661"/>
      <c r="K158" s="661"/>
      <c r="L158" s="661"/>
      <c r="M158" s="661"/>
      <c r="N158" s="661"/>
      <c r="O158" s="660"/>
      <c r="P158" s="660"/>
      <c r="Q158" s="1300"/>
      <c r="Y158" s="643"/>
    </row>
    <row r="159" spans="1:25" ht="15" customHeight="1" x14ac:dyDescent="0.25">
      <c r="A159" s="1425">
        <v>5</v>
      </c>
      <c r="B159" s="1425"/>
      <c r="C159" s="1425"/>
      <c r="D159" s="1425"/>
      <c r="E159" s="1425"/>
      <c r="F159" s="1425"/>
      <c r="G159" s="1425"/>
      <c r="H159" s="1425"/>
      <c r="I159" s="1425"/>
      <c r="J159" s="1425"/>
      <c r="K159" s="1425"/>
      <c r="L159" s="1425"/>
      <c r="M159" s="1425"/>
      <c r="N159" s="1425"/>
      <c r="O159" s="1425"/>
      <c r="P159" s="1425"/>
      <c r="Q159" s="1300"/>
    </row>
    <row r="160" spans="1:25" ht="15" customHeight="1" x14ac:dyDescent="0.25">
      <c r="C160" s="669" t="s">
        <v>232</v>
      </c>
      <c r="D160" s="607"/>
      <c r="E160" s="661"/>
      <c r="F160" s="661"/>
      <c r="G160" s="661"/>
      <c r="H160" s="661"/>
      <c r="I160" s="661"/>
      <c r="J160" s="661"/>
      <c r="K160" s="661"/>
      <c r="L160" s="661"/>
      <c r="M160" s="661"/>
      <c r="N160" s="661"/>
      <c r="O160" s="660"/>
      <c r="P160" s="660"/>
      <c r="Q160" s="1300"/>
    </row>
    <row r="161" spans="1:17" ht="15" customHeight="1" x14ac:dyDescent="0.25">
      <c r="C161" s="669"/>
      <c r="D161" s="607"/>
      <c r="E161" s="661"/>
      <c r="F161" s="661"/>
      <c r="G161" s="661"/>
      <c r="H161" s="661"/>
      <c r="I161" s="661"/>
      <c r="J161" s="661"/>
      <c r="K161" s="661"/>
      <c r="L161" s="661"/>
      <c r="M161" s="661"/>
      <c r="N161" s="661"/>
      <c r="O161" s="671" t="s">
        <v>17</v>
      </c>
      <c r="P161" s="671"/>
      <c r="Q161" s="1300"/>
    </row>
    <row r="162" spans="1:17" ht="15" customHeight="1" x14ac:dyDescent="0.25">
      <c r="C162" s="670" t="s">
        <v>532</v>
      </c>
      <c r="D162" s="607"/>
      <c r="E162" s="661"/>
      <c r="F162" s="661"/>
      <c r="G162" s="661"/>
      <c r="H162" s="661"/>
      <c r="I162" s="661"/>
      <c r="J162" s="661"/>
      <c r="K162" s="661"/>
      <c r="L162" s="661"/>
      <c r="M162" s="661"/>
      <c r="N162" s="661"/>
      <c r="O162" s="660"/>
      <c r="P162" s="660"/>
      <c r="Q162" s="1300"/>
    </row>
    <row r="163" spans="1:17" ht="15" customHeight="1" x14ac:dyDescent="0.25">
      <c r="C163" s="669" t="s">
        <v>663</v>
      </c>
      <c r="D163" s="607"/>
      <c r="E163" s="661"/>
      <c r="F163" s="661"/>
      <c r="G163" s="661"/>
      <c r="H163" s="661"/>
      <c r="I163" s="661"/>
      <c r="J163" s="661"/>
      <c r="K163" s="661"/>
      <c r="L163" s="661"/>
      <c r="M163" s="661"/>
      <c r="N163" s="661"/>
      <c r="O163" s="660"/>
      <c r="P163" s="660"/>
      <c r="Q163" s="1300"/>
    </row>
    <row r="164" spans="1:17" ht="15" customHeight="1" x14ac:dyDescent="0.25">
      <c r="C164" s="643"/>
      <c r="E164" s="644"/>
      <c r="F164" s="644"/>
      <c r="G164" s="644"/>
      <c r="H164" s="644"/>
      <c r="I164" s="644"/>
      <c r="J164" s="644"/>
      <c r="K164" s="644"/>
      <c r="L164" s="644"/>
      <c r="M164" s="644"/>
      <c r="N164" s="644"/>
      <c r="O164" s="652"/>
      <c r="P164" s="652"/>
      <c r="Q164" s="1300"/>
    </row>
    <row r="165" spans="1:17" ht="15" customHeight="1" x14ac:dyDescent="0.25">
      <c r="A165" s="682"/>
      <c r="C165" s="695" t="s">
        <v>411</v>
      </c>
      <c r="D165" s="667"/>
      <c r="E165" s="696">
        <v>2022</v>
      </c>
      <c r="F165" s="666"/>
      <c r="G165" s="696">
        <v>2023</v>
      </c>
      <c r="H165" s="666"/>
      <c r="I165" s="696">
        <v>2024</v>
      </c>
      <c r="J165" s="666"/>
      <c r="K165" s="696">
        <v>2025</v>
      </c>
      <c r="L165" s="666"/>
      <c r="M165" s="696">
        <v>2026</v>
      </c>
      <c r="N165" s="664"/>
      <c r="O165" s="696" t="s">
        <v>35</v>
      </c>
      <c r="P165" s="664"/>
      <c r="Q165" s="1300"/>
    </row>
    <row r="166" spans="1:17" ht="15" customHeight="1" x14ac:dyDescent="0.25">
      <c r="A166" s="749"/>
      <c r="B166" s="749"/>
      <c r="C166" s="749"/>
      <c r="D166" s="749"/>
      <c r="E166" s="749"/>
      <c r="F166" s="749"/>
      <c r="G166" s="749"/>
      <c r="H166" s="749"/>
      <c r="I166" s="749"/>
      <c r="J166" s="749"/>
      <c r="K166" s="749"/>
      <c r="L166" s="749"/>
      <c r="M166" s="749"/>
      <c r="N166" s="749"/>
      <c r="O166" s="749"/>
      <c r="P166" s="749"/>
      <c r="Q166" s="1300"/>
    </row>
    <row r="167" spans="1:17" ht="15" customHeight="1" x14ac:dyDescent="0.25">
      <c r="A167" s="749"/>
      <c r="B167" s="749"/>
      <c r="C167" s="684" t="s">
        <v>914</v>
      </c>
      <c r="D167" s="749"/>
      <c r="E167" s="619">
        <v>76627558</v>
      </c>
      <c r="F167" s="751"/>
      <c r="G167" s="619">
        <v>65561509</v>
      </c>
      <c r="H167" s="751"/>
      <c r="I167" s="619">
        <v>50059931</v>
      </c>
      <c r="J167" s="751"/>
      <c r="K167" s="619">
        <v>51692693</v>
      </c>
      <c r="L167" s="751"/>
      <c r="M167" s="619">
        <v>25315173</v>
      </c>
      <c r="N167" s="751"/>
      <c r="O167" s="619">
        <v>269256864</v>
      </c>
      <c r="P167" s="749"/>
      <c r="Q167" s="1300"/>
    </row>
    <row r="168" spans="1:17" ht="15" customHeight="1" x14ac:dyDescent="0.25">
      <c r="A168" s="749"/>
      <c r="B168" s="749"/>
      <c r="C168" s="684" t="s">
        <v>917</v>
      </c>
      <c r="D168" s="749"/>
      <c r="E168" s="615">
        <v>-19314000</v>
      </c>
      <c r="F168" s="615"/>
      <c r="G168" s="615">
        <v>-24744000</v>
      </c>
      <c r="H168" s="615"/>
      <c r="I168" s="615">
        <v>-5653000</v>
      </c>
      <c r="J168" s="615"/>
      <c r="K168" s="615">
        <v>-3240000</v>
      </c>
      <c r="L168" s="615"/>
      <c r="M168" s="615">
        <v>-3240000</v>
      </c>
      <c r="N168" s="615"/>
      <c r="O168" s="615">
        <v>-56191000</v>
      </c>
      <c r="P168" s="749"/>
      <c r="Q168" s="1300"/>
    </row>
    <row r="169" spans="1:17" ht="15" customHeight="1" x14ac:dyDescent="0.25">
      <c r="A169" s="699"/>
      <c r="B169" s="749"/>
      <c r="C169" s="684" t="s">
        <v>916</v>
      </c>
      <c r="D169" s="749"/>
      <c r="E169" s="747">
        <v>-47309000</v>
      </c>
      <c r="F169" s="615"/>
      <c r="G169" s="747">
        <v>-30573000</v>
      </c>
      <c r="H169" s="615"/>
      <c r="I169" s="747">
        <v>-35302000</v>
      </c>
      <c r="J169" s="615"/>
      <c r="K169" s="747">
        <v>-39193000</v>
      </c>
      <c r="L169" s="615"/>
      <c r="M169" s="747">
        <v>-11661000</v>
      </c>
      <c r="N169" s="615"/>
      <c r="O169" s="747">
        <v>-164038000</v>
      </c>
      <c r="P169" s="749"/>
      <c r="Q169" s="1300"/>
    </row>
    <row r="170" spans="1:17" ht="15" customHeight="1" x14ac:dyDescent="0.25">
      <c r="A170" s="757"/>
      <c r="B170" s="757"/>
      <c r="C170" s="758"/>
      <c r="D170" s="757"/>
      <c r="E170" s="759"/>
      <c r="F170" s="759"/>
      <c r="G170" s="759"/>
      <c r="H170" s="759"/>
      <c r="I170" s="760"/>
      <c r="J170" s="736"/>
      <c r="K170" s="757"/>
      <c r="L170" s="757"/>
      <c r="M170" s="757"/>
      <c r="N170" s="757"/>
      <c r="O170" s="760"/>
      <c r="P170" s="757"/>
      <c r="Q170" s="1300"/>
    </row>
    <row r="171" spans="1:17" ht="15" customHeight="1" thickBot="1" x14ac:dyDescent="0.3">
      <c r="A171" s="749"/>
      <c r="B171" s="749"/>
      <c r="C171" s="750" t="s">
        <v>915</v>
      </c>
      <c r="D171" s="749"/>
      <c r="E171" s="1095">
        <v>10004558</v>
      </c>
      <c r="F171" s="397"/>
      <c r="G171" s="1095">
        <v>10244509</v>
      </c>
      <c r="H171" s="397"/>
      <c r="I171" s="1095">
        <v>9104931</v>
      </c>
      <c r="J171" s="736"/>
      <c r="K171" s="1095">
        <v>9259693</v>
      </c>
      <c r="L171" s="749"/>
      <c r="M171" s="1095">
        <v>10414173</v>
      </c>
      <c r="N171" s="749"/>
      <c r="O171" s="1095">
        <v>49027864</v>
      </c>
      <c r="P171" s="749"/>
      <c r="Q171" s="756"/>
    </row>
    <row r="172" spans="1:17" ht="15" customHeight="1" thickTop="1" x14ac:dyDescent="0.25">
      <c r="A172" s="749"/>
      <c r="B172" s="749"/>
      <c r="C172" s="750"/>
      <c r="D172" s="749"/>
      <c r="E172" s="1094"/>
      <c r="F172" s="736"/>
      <c r="G172" s="1094"/>
      <c r="H172" s="736"/>
      <c r="I172" s="1094"/>
      <c r="J172" s="736"/>
      <c r="K172" s="1017"/>
      <c r="L172" s="1017"/>
      <c r="M172" s="1017"/>
      <c r="N172" s="1017"/>
      <c r="O172" s="1094"/>
      <c r="P172" s="749"/>
      <c r="Q172" s="1300"/>
    </row>
    <row r="173" spans="1:17" ht="15" customHeight="1" x14ac:dyDescent="0.25">
      <c r="E173" s="625"/>
      <c r="F173" s="625"/>
      <c r="G173" s="625"/>
      <c r="H173" s="674"/>
      <c r="I173" s="674"/>
      <c r="J173" s="674"/>
      <c r="K173" s="674"/>
      <c r="L173" s="674"/>
      <c r="M173" s="674"/>
      <c r="N173" s="624"/>
      <c r="O173" s="673"/>
      <c r="P173" s="673"/>
      <c r="Q173" s="1300"/>
    </row>
    <row r="174" spans="1:17" ht="15" customHeight="1" x14ac:dyDescent="0.25">
      <c r="A174" s="745" t="s">
        <v>665</v>
      </c>
      <c r="E174" s="674"/>
      <c r="F174" s="625"/>
      <c r="G174" s="674"/>
      <c r="H174" s="674"/>
      <c r="I174" s="674"/>
      <c r="J174" s="674"/>
      <c r="K174" s="674"/>
      <c r="L174" s="674"/>
      <c r="M174" s="674"/>
      <c r="N174" s="624"/>
      <c r="O174" s="673"/>
      <c r="P174" s="673"/>
      <c r="Q174" s="1097"/>
    </row>
    <row r="175" spans="1:17" ht="15" customHeight="1" x14ac:dyDescent="0.25">
      <c r="C175" s="643"/>
      <c r="K175" s="653"/>
      <c r="O175" s="652"/>
      <c r="P175" s="652"/>
      <c r="Q175" s="1300"/>
    </row>
    <row r="176" spans="1:17" ht="15" customHeight="1" x14ac:dyDescent="0.25">
      <c r="C176" s="643" t="s">
        <v>666</v>
      </c>
      <c r="E176" s="616">
        <v>5145000</v>
      </c>
      <c r="G176" s="616">
        <v>5308000</v>
      </c>
      <c r="I176" s="616">
        <v>5911000</v>
      </c>
      <c r="K176" s="616">
        <v>5428000</v>
      </c>
      <c r="M176" s="616">
        <v>7908000</v>
      </c>
      <c r="O176" s="616">
        <v>29700000</v>
      </c>
      <c r="P176" s="652"/>
      <c r="Q176" s="1300"/>
    </row>
    <row r="177" spans="3:17" ht="15" customHeight="1" x14ac:dyDescent="0.25">
      <c r="C177" s="643" t="s">
        <v>845</v>
      </c>
      <c r="E177" s="614">
        <v>5661000</v>
      </c>
      <c r="G177" s="614">
        <v>22911000</v>
      </c>
      <c r="I177" s="614">
        <v>5234000</v>
      </c>
      <c r="K177" s="614">
        <v>3000000</v>
      </c>
      <c r="M177" s="614">
        <v>3000000</v>
      </c>
      <c r="O177" s="614">
        <v>39806000</v>
      </c>
      <c r="P177" s="652"/>
      <c r="Q177" s="1300"/>
    </row>
    <row r="178" spans="3:17" ht="15" customHeight="1" x14ac:dyDescent="0.25">
      <c r="C178" s="643" t="s">
        <v>667</v>
      </c>
      <c r="E178" s="614">
        <v>54229000</v>
      </c>
      <c r="G178" s="614">
        <v>30573000</v>
      </c>
      <c r="I178" s="614">
        <v>35302000</v>
      </c>
      <c r="K178" s="614">
        <v>37793000</v>
      </c>
      <c r="M178" s="614">
        <v>11661000</v>
      </c>
      <c r="O178" s="614">
        <v>169558000</v>
      </c>
      <c r="P178" s="652"/>
      <c r="Q178" s="1300"/>
    </row>
    <row r="179" spans="3:17" ht="15" customHeight="1" x14ac:dyDescent="0.25">
      <c r="C179" s="643" t="s">
        <v>638</v>
      </c>
      <c r="E179" s="1093">
        <v>939000</v>
      </c>
      <c r="G179" s="746">
        <v>0</v>
      </c>
      <c r="I179" s="746">
        <v>0</v>
      </c>
      <c r="K179" s="746">
        <v>0</v>
      </c>
      <c r="M179" s="746">
        <v>0</v>
      </c>
      <c r="O179" s="614">
        <v>939000</v>
      </c>
      <c r="P179" s="652"/>
      <c r="Q179" s="1300"/>
    </row>
    <row r="180" spans="3:17" ht="15" customHeight="1" x14ac:dyDescent="0.25">
      <c r="C180" s="643" t="s">
        <v>161</v>
      </c>
      <c r="E180" s="1093">
        <v>7750632</v>
      </c>
      <c r="G180" s="1093">
        <v>3678984</v>
      </c>
      <c r="I180" s="1093">
        <v>1330378</v>
      </c>
      <c r="K180" s="1093">
        <v>1569544</v>
      </c>
      <c r="M180" s="1093">
        <v>1014984</v>
      </c>
      <c r="O180" s="614">
        <v>15344522</v>
      </c>
      <c r="P180" s="652"/>
      <c r="Q180" s="1300"/>
    </row>
    <row r="181" spans="3:17" ht="15" customHeight="1" x14ac:dyDescent="0.25">
      <c r="C181" s="643" t="s">
        <v>846</v>
      </c>
      <c r="E181" s="746">
        <v>0</v>
      </c>
      <c r="G181" s="746">
        <v>0</v>
      </c>
      <c r="I181" s="746">
        <v>0</v>
      </c>
      <c r="K181" s="1093">
        <v>1400000</v>
      </c>
      <c r="M181" s="746">
        <v>0</v>
      </c>
      <c r="O181" s="614">
        <v>1400000</v>
      </c>
      <c r="P181" s="652"/>
      <c r="Q181" s="1300"/>
    </row>
    <row r="182" spans="3:17" ht="15" customHeight="1" x14ac:dyDescent="0.25">
      <c r="C182" s="643" t="s">
        <v>668</v>
      </c>
      <c r="E182" s="747">
        <v>2902926</v>
      </c>
      <c r="G182" s="747">
        <v>3090525</v>
      </c>
      <c r="I182" s="747">
        <v>2282553</v>
      </c>
      <c r="K182" s="747">
        <v>2502149</v>
      </c>
      <c r="M182" s="747">
        <v>1731189</v>
      </c>
      <c r="O182" s="747">
        <v>12509342</v>
      </c>
      <c r="P182" s="652"/>
      <c r="Q182" s="1300"/>
    </row>
    <row r="183" spans="3:17" ht="15" customHeight="1" x14ac:dyDescent="0.25">
      <c r="C183" s="596"/>
      <c r="K183" s="653"/>
      <c r="O183" s="652"/>
      <c r="P183" s="652"/>
      <c r="Q183" s="1300"/>
    </row>
    <row r="184" spans="3:17" ht="15" customHeight="1" thickBot="1" x14ac:dyDescent="0.3">
      <c r="C184" s="596" t="s">
        <v>533</v>
      </c>
      <c r="E184" s="748">
        <v>76627558</v>
      </c>
      <c r="G184" s="748">
        <v>65561509</v>
      </c>
      <c r="I184" s="748">
        <v>50059931</v>
      </c>
      <c r="K184" s="748">
        <v>51692693</v>
      </c>
      <c r="M184" s="748">
        <v>25315173</v>
      </c>
      <c r="O184" s="748">
        <v>269256864</v>
      </c>
      <c r="P184" s="652"/>
      <c r="Q184" s="1300"/>
    </row>
    <row r="185" spans="3:17" ht="15" customHeight="1" thickTop="1" x14ac:dyDescent="0.25">
      <c r="C185" s="596"/>
      <c r="K185" s="653"/>
      <c r="O185" s="652"/>
      <c r="P185" s="652"/>
      <c r="Q185" s="1300"/>
    </row>
    <row r="186" spans="3:17" ht="15" customHeight="1" x14ac:dyDescent="0.25">
      <c r="C186" s="609"/>
      <c r="K186" s="653"/>
      <c r="O186" s="652"/>
      <c r="P186" s="652"/>
      <c r="Q186" s="1300"/>
    </row>
    <row r="187" spans="3:17" ht="15" customHeight="1" x14ac:dyDescent="0.25">
      <c r="C187" s="609"/>
      <c r="K187" s="653"/>
      <c r="O187" s="652"/>
      <c r="P187" s="652"/>
      <c r="Q187" s="1300"/>
    </row>
    <row r="188" spans="3:17" ht="15" customHeight="1" x14ac:dyDescent="0.25">
      <c r="C188" s="609"/>
      <c r="K188" s="653"/>
      <c r="O188" s="652"/>
      <c r="P188" s="652"/>
      <c r="Q188" s="1300"/>
    </row>
    <row r="189" spans="3:17" ht="15" customHeight="1" x14ac:dyDescent="0.25">
      <c r="C189" s="609"/>
      <c r="K189" s="653"/>
      <c r="O189" s="652"/>
      <c r="P189" s="652"/>
      <c r="Q189" s="1300"/>
    </row>
    <row r="190" spans="3:17" ht="15" customHeight="1" x14ac:dyDescent="0.25">
      <c r="C190" s="609"/>
      <c r="K190" s="653"/>
      <c r="O190" s="652"/>
      <c r="P190" s="652"/>
      <c r="Q190" s="1300"/>
    </row>
    <row r="191" spans="3:17" ht="15" customHeight="1" x14ac:dyDescent="0.25">
      <c r="C191" s="609"/>
      <c r="K191" s="653"/>
      <c r="O191" s="652"/>
      <c r="P191" s="652"/>
      <c r="Q191" s="1300"/>
    </row>
    <row r="192" spans="3:17" ht="15" customHeight="1" x14ac:dyDescent="0.25">
      <c r="C192" s="609"/>
      <c r="K192" s="653"/>
      <c r="O192" s="652"/>
      <c r="P192" s="652"/>
      <c r="Q192" s="1300"/>
    </row>
    <row r="193" spans="3:17" ht="15" customHeight="1" x14ac:dyDescent="0.25">
      <c r="C193" s="609"/>
      <c r="K193" s="653"/>
      <c r="O193" s="652"/>
      <c r="P193" s="652"/>
      <c r="Q193" s="1300"/>
    </row>
    <row r="194" spans="3:17" ht="15" customHeight="1" x14ac:dyDescent="0.25">
      <c r="C194" s="609"/>
      <c r="K194" s="653"/>
      <c r="O194" s="652"/>
      <c r="P194" s="652"/>
      <c r="Q194" s="1300"/>
    </row>
    <row r="195" spans="3:17" ht="15" customHeight="1" x14ac:dyDescent="0.25">
      <c r="C195" s="609"/>
      <c r="K195" s="653"/>
      <c r="O195" s="652"/>
      <c r="P195" s="652"/>
      <c r="Q195" s="1300"/>
    </row>
    <row r="196" spans="3:17" ht="15" customHeight="1" x14ac:dyDescent="0.25">
      <c r="C196" s="609"/>
      <c r="K196" s="653"/>
      <c r="O196" s="652"/>
      <c r="P196" s="652"/>
      <c r="Q196" s="1300"/>
    </row>
    <row r="197" spans="3:17" ht="15" customHeight="1" x14ac:dyDescent="0.25">
      <c r="C197" s="609"/>
      <c r="K197" s="653"/>
      <c r="O197" s="652"/>
      <c r="P197" s="652"/>
      <c r="Q197" s="1300"/>
    </row>
    <row r="198" spans="3:17" ht="15" customHeight="1" x14ac:dyDescent="0.25">
      <c r="C198" s="609"/>
      <c r="K198" s="653"/>
      <c r="O198" s="652"/>
      <c r="P198" s="652"/>
      <c r="Q198" s="1300"/>
    </row>
    <row r="199" spans="3:17" ht="15" customHeight="1" x14ac:dyDescent="0.25">
      <c r="C199" s="609"/>
      <c r="K199" s="653"/>
      <c r="O199" s="652"/>
      <c r="P199" s="652"/>
      <c r="Q199" s="1300"/>
    </row>
    <row r="200" spans="3:17" ht="15" customHeight="1" x14ac:dyDescent="0.25">
      <c r="C200" s="609"/>
      <c r="K200" s="653"/>
      <c r="O200" s="652"/>
      <c r="P200" s="652"/>
      <c r="Q200" s="1300"/>
    </row>
    <row r="201" spans="3:17" ht="15" customHeight="1" x14ac:dyDescent="0.25">
      <c r="C201" s="609"/>
      <c r="K201" s="653"/>
      <c r="O201" s="652"/>
      <c r="P201" s="652"/>
      <c r="Q201" s="1300"/>
    </row>
    <row r="202" spans="3:17" ht="15" customHeight="1" x14ac:dyDescent="0.25">
      <c r="C202" s="609"/>
      <c r="K202" s="653"/>
      <c r="O202" s="652"/>
      <c r="P202" s="652"/>
      <c r="Q202" s="1300"/>
    </row>
    <row r="203" spans="3:17" ht="15" customHeight="1" x14ac:dyDescent="0.25">
      <c r="C203" s="609"/>
      <c r="K203" s="653"/>
      <c r="O203" s="652"/>
      <c r="P203" s="652"/>
      <c r="Q203" s="1300"/>
    </row>
    <row r="204" spans="3:17" ht="15" customHeight="1" x14ac:dyDescent="0.25">
      <c r="C204" s="609"/>
      <c r="K204" s="653"/>
      <c r="O204" s="652"/>
      <c r="P204" s="652"/>
      <c r="Q204" s="1300"/>
    </row>
    <row r="205" spans="3:17" ht="15" customHeight="1" x14ac:dyDescent="0.25">
      <c r="C205" s="609"/>
      <c r="K205" s="653"/>
      <c r="O205" s="652"/>
      <c r="P205" s="652"/>
      <c r="Q205" s="1300"/>
    </row>
    <row r="206" spans="3:17" ht="15" customHeight="1" x14ac:dyDescent="0.25">
      <c r="C206" s="609"/>
      <c r="K206" s="653"/>
      <c r="O206" s="652"/>
      <c r="P206" s="652"/>
      <c r="Q206" s="1300"/>
    </row>
    <row r="207" spans="3:17" ht="15" customHeight="1" x14ac:dyDescent="0.25">
      <c r="C207" s="609"/>
      <c r="K207" s="653"/>
      <c r="O207" s="652"/>
      <c r="P207" s="652"/>
      <c r="Q207" s="1300"/>
    </row>
    <row r="208" spans="3:17" ht="15" customHeight="1" x14ac:dyDescent="0.25">
      <c r="C208" s="609"/>
      <c r="K208" s="653"/>
      <c r="O208" s="652"/>
      <c r="P208" s="652"/>
      <c r="Q208" s="1300"/>
    </row>
    <row r="209" spans="1:17" ht="15" customHeight="1" x14ac:dyDescent="0.25">
      <c r="C209" s="609"/>
      <c r="K209" s="653"/>
      <c r="O209" s="652"/>
      <c r="P209" s="652"/>
      <c r="Q209" s="1300"/>
    </row>
    <row r="210" spans="1:17" ht="15" customHeight="1" x14ac:dyDescent="0.25">
      <c r="C210" s="609"/>
      <c r="K210" s="653"/>
      <c r="O210" s="652"/>
      <c r="P210" s="652"/>
      <c r="Q210" s="1300"/>
    </row>
    <row r="211" spans="1:17" ht="15" customHeight="1" x14ac:dyDescent="0.25">
      <c r="C211" s="596"/>
      <c r="K211" s="653"/>
      <c r="O211" s="652"/>
      <c r="P211" s="652"/>
      <c r="Q211" s="1300"/>
    </row>
    <row r="212" spans="1:17" ht="15" customHeight="1" x14ac:dyDescent="0.25">
      <c r="C212" s="596"/>
      <c r="K212" s="653"/>
      <c r="O212" s="652"/>
      <c r="P212" s="652"/>
      <c r="Q212" s="1300"/>
    </row>
    <row r="213" spans="1:17" ht="15" customHeight="1" x14ac:dyDescent="0.25">
      <c r="C213" s="596"/>
      <c r="K213" s="653"/>
      <c r="O213" s="652"/>
      <c r="P213" s="652"/>
      <c r="Q213" s="1300"/>
    </row>
    <row r="214" spans="1:17" ht="15" customHeight="1" x14ac:dyDescent="0.25">
      <c r="C214" s="596"/>
      <c r="K214" s="653"/>
      <c r="O214" s="652"/>
      <c r="P214" s="652"/>
      <c r="Q214" s="1300"/>
    </row>
    <row r="215" spans="1:17" ht="15" customHeight="1" x14ac:dyDescent="0.25">
      <c r="A215" s="608"/>
      <c r="B215" s="603"/>
      <c r="C215" s="672"/>
      <c r="D215" s="607"/>
      <c r="E215" s="661"/>
      <c r="F215" s="661"/>
      <c r="G215" s="661"/>
      <c r="H215" s="661"/>
      <c r="I215" s="661"/>
      <c r="J215" s="661"/>
      <c r="K215" s="661"/>
      <c r="L215" s="661"/>
      <c r="M215" s="661"/>
      <c r="N215" s="661"/>
      <c r="O215" s="660"/>
      <c r="P215" s="660"/>
      <c r="Q215" s="1300"/>
    </row>
    <row r="216" spans="1:17" ht="15" customHeight="1" x14ac:dyDescent="0.25">
      <c r="A216" s="608"/>
      <c r="B216" s="603"/>
      <c r="C216" s="672"/>
      <c r="D216" s="607"/>
      <c r="E216" s="661"/>
      <c r="F216" s="661"/>
      <c r="G216" s="661"/>
      <c r="H216" s="661"/>
      <c r="I216" s="661"/>
      <c r="J216" s="661"/>
      <c r="K216" s="661"/>
      <c r="L216" s="661"/>
      <c r="M216" s="661"/>
      <c r="N216" s="661"/>
      <c r="O216" s="660"/>
      <c r="P216" s="660"/>
      <c r="Q216" s="1300"/>
    </row>
    <row r="217" spans="1:17" ht="15" customHeight="1" x14ac:dyDescent="0.25">
      <c r="A217" s="608"/>
      <c r="B217" s="603"/>
      <c r="C217" s="672"/>
      <c r="D217" s="607"/>
      <c r="E217" s="661"/>
      <c r="F217" s="661"/>
      <c r="G217" s="661"/>
      <c r="H217" s="661"/>
      <c r="I217" s="661"/>
      <c r="J217" s="661"/>
      <c r="K217" s="661"/>
      <c r="L217" s="661"/>
      <c r="M217" s="661"/>
      <c r="N217" s="661"/>
      <c r="O217" s="660"/>
      <c r="P217" s="660"/>
      <c r="Q217" s="1300"/>
    </row>
    <row r="218" spans="1:17" ht="15" customHeight="1" x14ac:dyDescent="0.25">
      <c r="A218" s="608"/>
      <c r="B218" s="603"/>
      <c r="C218" s="672"/>
      <c r="D218" s="607"/>
      <c r="E218" s="661"/>
      <c r="F218" s="661"/>
      <c r="G218" s="661"/>
      <c r="H218" s="661"/>
      <c r="I218" s="661"/>
      <c r="J218" s="661"/>
      <c r="K218" s="661"/>
      <c r="L218" s="661"/>
      <c r="M218" s="661"/>
      <c r="N218" s="661"/>
      <c r="O218" s="660"/>
      <c r="P218" s="660"/>
      <c r="Q218" s="1300"/>
    </row>
    <row r="219" spans="1:17" ht="15" customHeight="1" x14ac:dyDescent="0.25">
      <c r="A219" s="608"/>
      <c r="B219" s="603"/>
      <c r="C219" s="672"/>
      <c r="D219" s="607"/>
      <c r="E219" s="661"/>
      <c r="F219" s="661"/>
      <c r="G219" s="661"/>
      <c r="H219" s="661"/>
      <c r="I219" s="661"/>
      <c r="J219" s="661"/>
      <c r="K219" s="661"/>
      <c r="L219" s="661"/>
      <c r="M219" s="661"/>
      <c r="N219" s="661"/>
      <c r="O219" s="660"/>
      <c r="P219" s="660"/>
      <c r="Q219" s="1300"/>
    </row>
    <row r="220" spans="1:17" ht="15" customHeight="1" x14ac:dyDescent="0.25">
      <c r="A220" s="608"/>
      <c r="B220" s="603"/>
      <c r="C220" s="672"/>
      <c r="D220" s="607"/>
      <c r="E220" s="661"/>
      <c r="F220" s="661"/>
      <c r="G220" s="661"/>
      <c r="H220" s="661"/>
      <c r="I220" s="661"/>
      <c r="J220" s="661"/>
      <c r="K220" s="661"/>
      <c r="L220" s="661"/>
      <c r="M220" s="661"/>
      <c r="N220" s="661"/>
      <c r="O220" s="660"/>
      <c r="P220" s="660"/>
      <c r="Q220" s="1300"/>
    </row>
    <row r="221" spans="1:17" ht="15" customHeight="1" x14ac:dyDescent="0.25">
      <c r="A221" s="608"/>
      <c r="B221" s="603"/>
      <c r="C221" s="672"/>
      <c r="D221" s="607"/>
      <c r="E221" s="661"/>
      <c r="F221" s="661"/>
      <c r="G221" s="661"/>
      <c r="H221" s="661"/>
      <c r="I221" s="661"/>
      <c r="J221" s="661"/>
      <c r="K221" s="661"/>
      <c r="L221" s="661"/>
      <c r="M221" s="661"/>
      <c r="N221" s="661"/>
      <c r="O221" s="660"/>
      <c r="P221" s="660"/>
      <c r="Q221" s="1300"/>
    </row>
    <row r="222" spans="1:17" ht="15" customHeight="1" x14ac:dyDescent="0.25">
      <c r="A222" s="608"/>
      <c r="B222" s="603"/>
      <c r="C222" s="672"/>
      <c r="D222" s="607"/>
      <c r="E222" s="661"/>
      <c r="F222" s="661"/>
      <c r="G222" s="661"/>
      <c r="H222" s="661"/>
      <c r="I222" s="661"/>
      <c r="J222" s="661"/>
      <c r="K222" s="661"/>
      <c r="L222" s="661"/>
      <c r="M222" s="661"/>
      <c r="N222" s="661"/>
      <c r="O222" s="660"/>
      <c r="P222" s="660"/>
      <c r="Q222" s="1300"/>
    </row>
    <row r="223" spans="1:17" ht="15" customHeight="1" x14ac:dyDescent="0.25">
      <c r="A223" s="608"/>
      <c r="B223" s="603"/>
      <c r="C223" s="672"/>
      <c r="D223" s="607"/>
      <c r="E223" s="661"/>
      <c r="F223" s="661"/>
      <c r="G223" s="661"/>
      <c r="H223" s="661"/>
      <c r="I223" s="661"/>
      <c r="J223" s="661"/>
      <c r="K223" s="661"/>
      <c r="L223" s="661"/>
      <c r="M223" s="661"/>
      <c r="N223" s="661"/>
      <c r="O223" s="660"/>
      <c r="P223" s="660"/>
      <c r="Q223" s="1300"/>
    </row>
    <row r="224" spans="1:17" ht="15" customHeight="1" x14ac:dyDescent="0.25">
      <c r="A224" s="608"/>
      <c r="B224" s="603"/>
      <c r="C224" s="672"/>
      <c r="D224" s="607"/>
      <c r="E224" s="661"/>
      <c r="F224" s="661"/>
      <c r="G224" s="661"/>
      <c r="H224" s="661"/>
      <c r="I224" s="661"/>
      <c r="J224" s="661"/>
      <c r="K224" s="661"/>
      <c r="L224" s="661"/>
      <c r="M224" s="661"/>
      <c r="N224" s="661"/>
      <c r="O224" s="660"/>
      <c r="P224" s="660"/>
      <c r="Q224" s="1300"/>
    </row>
    <row r="225" spans="1:17" ht="15" customHeight="1" x14ac:dyDescent="0.25">
      <c r="A225" s="608"/>
      <c r="B225" s="603"/>
      <c r="C225" s="672"/>
      <c r="D225" s="607"/>
      <c r="E225" s="661"/>
      <c r="F225" s="661"/>
      <c r="G225" s="661"/>
      <c r="H225" s="661"/>
      <c r="I225" s="661"/>
      <c r="J225" s="661"/>
      <c r="K225" s="661"/>
      <c r="L225" s="661"/>
      <c r="M225" s="661"/>
      <c r="N225" s="661"/>
      <c r="O225" s="660"/>
      <c r="P225" s="660"/>
      <c r="Q225" s="1300"/>
    </row>
    <row r="226" spans="1:17" ht="15" customHeight="1" x14ac:dyDescent="0.25">
      <c r="A226" s="608"/>
      <c r="B226" s="603"/>
      <c r="C226" s="672"/>
      <c r="D226" s="607"/>
      <c r="E226" s="661"/>
      <c r="F226" s="661"/>
      <c r="G226" s="661"/>
      <c r="H226" s="661"/>
      <c r="I226" s="661"/>
      <c r="J226" s="661"/>
      <c r="K226" s="661"/>
      <c r="L226" s="661"/>
      <c r="M226" s="661"/>
      <c r="N226" s="661"/>
      <c r="O226" s="660"/>
      <c r="P226" s="660"/>
      <c r="Q226" s="1300"/>
    </row>
    <row r="227" spans="1:17" ht="15" customHeight="1" x14ac:dyDescent="0.25">
      <c r="A227" s="608"/>
      <c r="B227" s="603"/>
      <c r="C227" s="672"/>
      <c r="D227" s="607"/>
      <c r="E227" s="661"/>
      <c r="F227" s="661"/>
      <c r="G227" s="661"/>
      <c r="H227" s="661"/>
      <c r="I227" s="661"/>
      <c r="J227" s="661"/>
      <c r="K227" s="661"/>
      <c r="L227" s="661"/>
      <c r="M227" s="661"/>
      <c r="N227" s="661"/>
      <c r="O227" s="660"/>
      <c r="P227" s="660"/>
      <c r="Q227" s="1300"/>
    </row>
    <row r="228" spans="1:17" ht="15" customHeight="1" x14ac:dyDescent="0.25">
      <c r="A228" s="608"/>
      <c r="B228" s="603"/>
      <c r="C228" s="672"/>
      <c r="D228" s="607"/>
      <c r="E228" s="661"/>
      <c r="F228" s="661"/>
      <c r="G228" s="661"/>
      <c r="H228" s="661"/>
      <c r="I228" s="661"/>
      <c r="J228" s="661"/>
      <c r="K228" s="661"/>
      <c r="L228" s="661"/>
      <c r="M228" s="661"/>
      <c r="N228" s="661"/>
      <c r="O228" s="660"/>
      <c r="P228" s="660"/>
      <c r="Q228" s="1300"/>
    </row>
    <row r="229" spans="1:17" ht="15" customHeight="1" x14ac:dyDescent="0.25">
      <c r="A229" s="608"/>
      <c r="B229" s="603"/>
      <c r="C229" s="672"/>
      <c r="D229" s="607"/>
      <c r="E229" s="661"/>
      <c r="F229" s="661"/>
      <c r="G229" s="661"/>
      <c r="H229" s="661"/>
      <c r="I229" s="661"/>
      <c r="J229" s="661"/>
      <c r="K229" s="661"/>
      <c r="L229" s="661"/>
      <c r="M229" s="661"/>
      <c r="N229" s="661"/>
      <c r="O229" s="660"/>
      <c r="P229" s="660"/>
      <c r="Q229" s="1300"/>
    </row>
    <row r="230" spans="1:17" ht="15" customHeight="1" x14ac:dyDescent="0.25">
      <c r="A230" s="608"/>
      <c r="B230" s="603"/>
      <c r="C230" s="672"/>
      <c r="D230" s="607"/>
      <c r="E230" s="661"/>
      <c r="F230" s="661"/>
      <c r="G230" s="661"/>
      <c r="H230" s="661"/>
      <c r="I230" s="661"/>
      <c r="J230" s="661"/>
      <c r="K230" s="661"/>
      <c r="L230" s="661"/>
      <c r="M230" s="661"/>
      <c r="N230" s="661"/>
      <c r="O230" s="660"/>
      <c r="P230" s="660"/>
      <c r="Q230" s="1300"/>
    </row>
    <row r="231" spans="1:17" ht="15" customHeight="1" x14ac:dyDescent="0.25">
      <c r="A231" s="608"/>
      <c r="B231" s="603"/>
      <c r="C231" s="672"/>
      <c r="D231" s="607"/>
      <c r="E231" s="661"/>
      <c r="F231" s="661"/>
      <c r="G231" s="661"/>
      <c r="H231" s="661"/>
      <c r="I231" s="661"/>
      <c r="J231" s="661"/>
      <c r="K231" s="661"/>
      <c r="L231" s="661"/>
      <c r="M231" s="661"/>
      <c r="N231" s="661"/>
      <c r="O231" s="660"/>
      <c r="P231" s="660"/>
      <c r="Q231" s="1300"/>
    </row>
    <row r="232" spans="1:17" ht="15" customHeight="1" x14ac:dyDescent="0.25">
      <c r="A232" s="608"/>
      <c r="B232" s="603"/>
      <c r="C232" s="672"/>
      <c r="D232" s="607"/>
      <c r="E232" s="661"/>
      <c r="F232" s="661"/>
      <c r="G232" s="661"/>
      <c r="H232" s="661"/>
      <c r="I232" s="661"/>
      <c r="J232" s="661"/>
      <c r="K232" s="661"/>
      <c r="L232" s="661"/>
      <c r="M232" s="661"/>
      <c r="N232" s="661"/>
      <c r="O232" s="660"/>
      <c r="P232" s="660"/>
      <c r="Q232" s="1300"/>
    </row>
    <row r="233" spans="1:17" ht="15" customHeight="1" x14ac:dyDescent="0.25">
      <c r="A233" s="608"/>
      <c r="B233" s="603"/>
      <c r="C233" s="672"/>
      <c r="D233" s="607"/>
      <c r="E233" s="661"/>
      <c r="F233" s="661"/>
      <c r="G233" s="661"/>
      <c r="H233" s="661"/>
      <c r="I233" s="661"/>
      <c r="J233" s="661"/>
      <c r="K233" s="661"/>
      <c r="L233" s="661"/>
      <c r="M233" s="661"/>
      <c r="N233" s="661"/>
      <c r="O233" s="660"/>
      <c r="P233" s="660"/>
      <c r="Q233" s="1300"/>
    </row>
    <row r="234" spans="1:17" ht="15" customHeight="1" x14ac:dyDescent="0.25">
      <c r="A234" s="608"/>
      <c r="B234" s="603"/>
      <c r="C234" s="672"/>
      <c r="D234" s="607"/>
      <c r="E234" s="661"/>
      <c r="F234" s="661"/>
      <c r="G234" s="661"/>
      <c r="H234" s="661"/>
      <c r="I234" s="661"/>
      <c r="J234" s="661"/>
      <c r="K234" s="661"/>
      <c r="L234" s="661"/>
      <c r="M234" s="661"/>
      <c r="N234" s="661"/>
      <c r="O234" s="660"/>
      <c r="P234" s="660"/>
      <c r="Q234" s="1300"/>
    </row>
    <row r="235" spans="1:17" ht="15" customHeight="1" x14ac:dyDescent="0.25">
      <c r="A235" s="608"/>
      <c r="B235" s="603"/>
      <c r="C235" s="672"/>
      <c r="D235" s="607"/>
      <c r="E235" s="661"/>
      <c r="F235" s="661"/>
      <c r="G235" s="661"/>
      <c r="H235" s="661"/>
      <c r="I235" s="661"/>
      <c r="J235" s="661"/>
      <c r="K235" s="661"/>
      <c r="L235" s="661"/>
      <c r="M235" s="661"/>
      <c r="N235" s="661"/>
      <c r="O235" s="660"/>
      <c r="P235" s="660"/>
      <c r="Q235" s="1300"/>
    </row>
    <row r="236" spans="1:17" ht="15" customHeight="1" x14ac:dyDescent="0.25">
      <c r="A236" s="608" t="s">
        <v>611</v>
      </c>
      <c r="B236" s="603"/>
      <c r="C236" s="672"/>
      <c r="D236" s="607"/>
      <c r="E236" s="661"/>
      <c r="F236" s="661"/>
      <c r="G236" s="661"/>
      <c r="H236" s="661"/>
      <c r="I236" s="661"/>
      <c r="J236" s="661"/>
      <c r="K236" s="661"/>
      <c r="L236" s="661"/>
      <c r="M236" s="661"/>
      <c r="N236" s="661"/>
      <c r="O236" s="660"/>
      <c r="P236" s="660"/>
      <c r="Q236" s="1300"/>
    </row>
    <row r="237" spans="1:17" ht="15" customHeight="1" x14ac:dyDescent="0.25">
      <c r="C237" s="662"/>
      <c r="D237" s="607"/>
      <c r="E237" s="661"/>
      <c r="F237" s="661"/>
      <c r="G237" s="661"/>
      <c r="H237" s="661"/>
      <c r="I237" s="661"/>
      <c r="J237" s="661"/>
      <c r="K237" s="661"/>
      <c r="L237" s="661"/>
      <c r="M237" s="661"/>
      <c r="N237" s="661"/>
      <c r="O237" s="660"/>
      <c r="P237" s="660"/>
      <c r="Q237" s="1300"/>
    </row>
    <row r="238" spans="1:17" ht="15" customHeight="1" x14ac:dyDescent="0.25">
      <c r="A238" s="1422">
        <v>6</v>
      </c>
      <c r="B238" s="1422"/>
      <c r="C238" s="1422"/>
      <c r="D238" s="1422"/>
      <c r="E238" s="1422"/>
      <c r="F238" s="1422"/>
      <c r="G238" s="1422"/>
      <c r="H238" s="1422"/>
      <c r="I238" s="1422"/>
      <c r="J238" s="1422"/>
      <c r="K238" s="1422"/>
      <c r="L238" s="1422"/>
      <c r="M238" s="1422"/>
      <c r="N238" s="1422"/>
      <c r="O238" s="1422"/>
      <c r="P238" s="1422"/>
      <c r="Q238" s="1300"/>
    </row>
    <row r="239" spans="1:17" ht="15" customHeight="1" x14ac:dyDescent="0.25">
      <c r="C239" s="662"/>
      <c r="D239" s="607"/>
      <c r="E239" s="661"/>
      <c r="F239" s="661"/>
      <c r="G239" s="661"/>
      <c r="H239" s="661"/>
      <c r="I239" s="661"/>
      <c r="J239" s="661"/>
      <c r="K239" s="661"/>
      <c r="L239" s="661"/>
      <c r="M239" s="661"/>
      <c r="N239" s="661"/>
      <c r="O239" s="660"/>
      <c r="P239" s="660"/>
      <c r="Q239" s="1300"/>
    </row>
    <row r="240" spans="1:17" ht="15" customHeight="1" x14ac:dyDescent="0.25">
      <c r="C240" s="662"/>
      <c r="D240" s="607"/>
      <c r="E240" s="1306"/>
      <c r="F240" s="1306"/>
      <c r="G240" s="1306"/>
      <c r="H240" s="1306"/>
      <c r="I240" s="1306"/>
      <c r="J240" s="1306"/>
      <c r="K240" s="1306"/>
      <c r="L240" s="1306"/>
      <c r="M240" s="1306"/>
      <c r="N240" s="1306"/>
      <c r="O240" s="660"/>
      <c r="P240" s="660"/>
      <c r="Q240" s="1300"/>
    </row>
    <row r="241" spans="3:29" ht="15" customHeight="1" x14ac:dyDescent="0.25">
      <c r="C241" s="775"/>
      <c r="D241" s="622"/>
      <c r="E241" s="635"/>
      <c r="F241" s="635"/>
      <c r="G241" s="635"/>
      <c r="H241" s="635"/>
      <c r="I241" s="635"/>
      <c r="J241" s="635"/>
      <c r="K241" s="635"/>
      <c r="L241" s="635"/>
      <c r="M241" s="635"/>
      <c r="N241" s="635"/>
      <c r="O241" s="635"/>
      <c r="P241" s="660"/>
      <c r="Q241" s="1300"/>
    </row>
    <row r="242" spans="3:29" ht="15" customHeight="1" x14ac:dyDescent="0.25">
      <c r="C242" s="775"/>
      <c r="D242" s="622"/>
      <c r="E242" s="635"/>
      <c r="F242" s="635"/>
      <c r="G242" s="635"/>
      <c r="H242" s="635"/>
      <c r="I242" s="635"/>
      <c r="J242" s="635"/>
      <c r="K242" s="635"/>
      <c r="L242" s="635"/>
      <c r="M242" s="635"/>
      <c r="N242" s="635"/>
      <c r="O242" s="635"/>
      <c r="P242" s="660"/>
      <c r="Q242" s="1300"/>
    </row>
    <row r="243" spans="3:29" ht="15" customHeight="1" x14ac:dyDescent="0.25">
      <c r="C243" s="775"/>
      <c r="D243" s="622"/>
      <c r="E243" s="635"/>
      <c r="F243" s="635"/>
      <c r="G243" s="635"/>
      <c r="H243" s="635"/>
      <c r="I243" s="635"/>
      <c r="J243" s="635"/>
      <c r="K243" s="635"/>
      <c r="L243" s="635"/>
      <c r="M243" s="635"/>
      <c r="N243" s="635"/>
      <c r="O243" s="652"/>
      <c r="P243" s="660"/>
      <c r="Q243" s="1300"/>
    </row>
    <row r="244" spans="3:29" ht="15" customHeight="1" x14ac:dyDescent="0.25">
      <c r="C244" s="775"/>
      <c r="D244" s="622"/>
      <c r="E244" s="635"/>
      <c r="F244" s="635"/>
      <c r="G244" s="635"/>
      <c r="H244" s="635"/>
      <c r="I244" s="635"/>
      <c r="J244" s="635"/>
      <c r="K244" s="635"/>
      <c r="L244" s="635"/>
      <c r="M244" s="635"/>
      <c r="N244" s="635"/>
      <c r="O244" s="635"/>
      <c r="P244" s="660"/>
      <c r="Q244" s="1300"/>
    </row>
    <row r="245" spans="3:29" ht="15" customHeight="1" x14ac:dyDescent="0.25">
      <c r="C245" s="775"/>
      <c r="D245" s="622"/>
      <c r="E245" s="635"/>
      <c r="F245" s="635"/>
      <c r="G245" s="635"/>
      <c r="H245" s="635"/>
      <c r="I245" s="635"/>
      <c r="J245" s="635"/>
      <c r="K245" s="635"/>
      <c r="L245" s="635"/>
      <c r="M245" s="635"/>
      <c r="N245" s="635"/>
      <c r="O245" s="635"/>
      <c r="P245" s="660"/>
      <c r="Q245" s="1300"/>
    </row>
    <row r="246" spans="3:29" ht="15" customHeight="1" x14ac:dyDescent="0.25">
      <c r="C246" s="775"/>
      <c r="D246" s="622"/>
      <c r="E246" s="635"/>
      <c r="F246" s="635"/>
      <c r="G246" s="635"/>
      <c r="H246" s="635"/>
      <c r="I246" s="635"/>
      <c r="J246" s="635"/>
      <c r="K246" s="635"/>
      <c r="L246" s="635"/>
      <c r="M246" s="635"/>
      <c r="N246" s="635"/>
      <c r="O246" s="652"/>
      <c r="P246" s="660"/>
      <c r="Q246" s="1300"/>
    </row>
    <row r="247" spans="3:29" ht="15" customHeight="1" x14ac:dyDescent="0.25">
      <c r="C247" s="775"/>
      <c r="D247" s="622"/>
      <c r="E247" s="635"/>
      <c r="F247" s="635"/>
      <c r="G247" s="635"/>
      <c r="H247" s="635"/>
      <c r="I247" s="635"/>
      <c r="J247" s="635"/>
      <c r="K247" s="635"/>
      <c r="L247" s="635"/>
      <c r="M247" s="635"/>
      <c r="N247" s="635"/>
      <c r="O247" s="635"/>
      <c r="P247" s="660"/>
      <c r="Q247" s="1300"/>
    </row>
    <row r="248" spans="3:29" ht="15" customHeight="1" x14ac:dyDescent="0.25">
      <c r="C248" s="775"/>
      <c r="D248" s="622"/>
      <c r="E248" s="635"/>
      <c r="F248" s="635"/>
      <c r="G248" s="635"/>
      <c r="H248" s="635"/>
      <c r="I248" s="635"/>
      <c r="J248" s="635"/>
      <c r="K248" s="635"/>
      <c r="L248" s="635"/>
      <c r="M248" s="635"/>
      <c r="N248" s="635"/>
      <c r="O248" s="652"/>
      <c r="P248" s="660"/>
      <c r="Q248" s="1300"/>
    </row>
    <row r="249" spans="3:29" ht="15" customHeight="1" x14ac:dyDescent="0.25">
      <c r="C249" s="775"/>
      <c r="D249" s="622"/>
      <c r="E249" s="635"/>
      <c r="F249" s="635"/>
      <c r="G249" s="635"/>
      <c r="H249" s="635"/>
      <c r="I249" s="635"/>
      <c r="J249" s="635"/>
      <c r="K249" s="635"/>
      <c r="L249" s="635"/>
      <c r="M249" s="635"/>
      <c r="N249" s="635"/>
      <c r="O249" s="652"/>
      <c r="P249" s="660"/>
      <c r="Q249" s="1300"/>
    </row>
    <row r="250" spans="3:29" ht="15" customHeight="1" x14ac:dyDescent="0.25">
      <c r="C250" s="775"/>
      <c r="D250" s="622"/>
      <c r="E250" s="635"/>
      <c r="F250" s="635"/>
      <c r="G250" s="635"/>
      <c r="H250" s="635"/>
      <c r="I250" s="635"/>
      <c r="J250" s="635"/>
      <c r="K250" s="635"/>
      <c r="L250" s="635"/>
      <c r="M250" s="635"/>
      <c r="N250" s="635"/>
      <c r="O250" s="652"/>
      <c r="P250" s="660"/>
      <c r="Q250" s="1300"/>
      <c r="Y250" s="643"/>
      <c r="AA250" s="600"/>
      <c r="AB250" s="600"/>
      <c r="AC250" s="635"/>
    </row>
    <row r="251" spans="3:29" ht="15" customHeight="1" x14ac:dyDescent="0.25">
      <c r="C251" s="775"/>
      <c r="D251" s="622"/>
      <c r="E251" s="635"/>
      <c r="F251" s="635"/>
      <c r="G251" s="635"/>
      <c r="H251" s="635"/>
      <c r="I251" s="635"/>
      <c r="J251" s="635"/>
      <c r="K251" s="635"/>
      <c r="L251" s="635"/>
      <c r="M251" s="635"/>
      <c r="N251" s="635"/>
      <c r="O251" s="652"/>
      <c r="P251" s="660"/>
      <c r="Q251" s="1300"/>
      <c r="Y251" s="643"/>
      <c r="AA251" s="600"/>
      <c r="AB251" s="600"/>
      <c r="AC251" s="635"/>
    </row>
    <row r="252" spans="3:29" ht="15" customHeight="1" x14ac:dyDescent="0.25">
      <c r="C252" s="775"/>
      <c r="D252" s="622"/>
      <c r="E252" s="466"/>
      <c r="F252" s="466"/>
      <c r="G252" s="466"/>
      <c r="H252" s="466"/>
      <c r="I252" s="466"/>
      <c r="J252" s="466"/>
      <c r="K252" s="466"/>
      <c r="L252" s="635"/>
      <c r="M252" s="635"/>
      <c r="N252" s="635"/>
      <c r="O252" s="652"/>
      <c r="P252" s="660"/>
      <c r="Q252" s="1300"/>
      <c r="Y252" s="650"/>
      <c r="AA252" s="600"/>
      <c r="AB252" s="600"/>
      <c r="AC252" s="635"/>
    </row>
    <row r="253" spans="3:29" ht="15" customHeight="1" x14ac:dyDescent="0.25">
      <c r="C253" s="775"/>
      <c r="D253" s="622"/>
      <c r="E253" s="635"/>
      <c r="F253" s="635"/>
      <c r="G253" s="635"/>
      <c r="H253" s="635"/>
      <c r="I253" s="635"/>
      <c r="J253" s="635"/>
      <c r="K253" s="635"/>
      <c r="L253" s="635"/>
      <c r="M253" s="635"/>
      <c r="N253" s="635"/>
      <c r="O253" s="652"/>
      <c r="P253" s="660"/>
      <c r="Q253" s="1300"/>
      <c r="Y253" s="643"/>
      <c r="AA253" s="600"/>
      <c r="AB253" s="600"/>
      <c r="AC253" s="635"/>
    </row>
    <row r="254" spans="3:29" ht="15" customHeight="1" x14ac:dyDescent="0.25">
      <c r="C254" s="775"/>
      <c r="D254" s="622"/>
      <c r="E254" s="644"/>
      <c r="F254" s="644"/>
      <c r="G254" s="644"/>
      <c r="H254" s="644"/>
      <c r="I254" s="644"/>
      <c r="J254" s="644"/>
      <c r="K254" s="644"/>
      <c r="L254" s="644"/>
      <c r="M254" s="644"/>
      <c r="N254" s="644"/>
      <c r="O254" s="652"/>
      <c r="P254" s="660"/>
      <c r="Q254" s="1300"/>
      <c r="Y254" s="658"/>
      <c r="AA254" s="600"/>
      <c r="AB254" s="600"/>
      <c r="AC254" s="635"/>
    </row>
    <row r="255" spans="3:29" ht="15" customHeight="1" x14ac:dyDescent="0.25">
      <c r="C255" s="775"/>
      <c r="D255" s="622"/>
      <c r="E255" s="644"/>
      <c r="F255" s="644"/>
      <c r="G255" s="644"/>
      <c r="H255" s="644"/>
      <c r="I255" s="644"/>
      <c r="J255" s="644"/>
      <c r="K255" s="644"/>
      <c r="L255" s="644"/>
      <c r="M255" s="644"/>
      <c r="N255" s="644"/>
      <c r="O255" s="652"/>
      <c r="P255" s="660"/>
      <c r="Q255" s="1300"/>
      <c r="Y255" s="658"/>
      <c r="AA255" s="600"/>
      <c r="AB255" s="600"/>
      <c r="AC255" s="635"/>
    </row>
    <row r="256" spans="3:29" ht="15" customHeight="1" x14ac:dyDescent="0.25">
      <c r="C256" s="775"/>
      <c r="D256" s="622"/>
      <c r="E256" s="644"/>
      <c r="F256" s="644"/>
      <c r="G256" s="644"/>
      <c r="H256" s="644"/>
      <c r="I256" s="644"/>
      <c r="J256" s="644"/>
      <c r="K256" s="644"/>
      <c r="L256" s="644"/>
      <c r="M256" s="644"/>
      <c r="N256" s="644"/>
      <c r="O256" s="652"/>
      <c r="P256" s="660"/>
      <c r="Q256" s="1300"/>
      <c r="Y256" s="643"/>
      <c r="AA256" s="600"/>
      <c r="AB256" s="600"/>
      <c r="AC256" s="635"/>
    </row>
    <row r="257" spans="3:32" ht="15" customHeight="1" x14ac:dyDescent="0.25">
      <c r="C257" s="662"/>
      <c r="D257" s="607"/>
      <c r="E257" s="661"/>
      <c r="F257" s="661"/>
      <c r="G257" s="661"/>
      <c r="H257" s="661"/>
      <c r="I257" s="661"/>
      <c r="J257" s="661"/>
      <c r="K257" s="661"/>
      <c r="L257" s="661"/>
      <c r="M257" s="661"/>
      <c r="N257" s="661"/>
      <c r="O257" s="660"/>
      <c r="P257" s="660"/>
      <c r="Q257" s="1300"/>
      <c r="Y257" s="658"/>
      <c r="AA257" s="600"/>
      <c r="AB257" s="600"/>
      <c r="AC257" s="635"/>
    </row>
    <row r="258" spans="3:32" ht="15" customHeight="1" x14ac:dyDescent="0.25">
      <c r="C258" s="662"/>
      <c r="D258" s="607"/>
      <c r="E258" s="661"/>
      <c r="F258" s="661"/>
      <c r="G258" s="661"/>
      <c r="H258" s="661"/>
      <c r="I258" s="661"/>
      <c r="J258" s="661"/>
      <c r="K258" s="661"/>
      <c r="L258" s="661"/>
      <c r="M258" s="661"/>
      <c r="N258" s="661"/>
      <c r="O258" s="660"/>
      <c r="P258" s="660"/>
      <c r="Q258" s="1300"/>
      <c r="Y258" s="643"/>
      <c r="AA258" s="600"/>
      <c r="AB258" s="600"/>
      <c r="AC258" s="635"/>
    </row>
    <row r="259" spans="3:32" ht="15" customHeight="1" x14ac:dyDescent="0.25">
      <c r="C259" s="662"/>
      <c r="D259" s="607"/>
      <c r="E259" s="661"/>
      <c r="F259" s="661"/>
      <c r="G259" s="661"/>
      <c r="H259" s="661"/>
      <c r="I259" s="661"/>
      <c r="J259" s="661"/>
      <c r="K259" s="661"/>
      <c r="L259" s="661"/>
      <c r="M259" s="661"/>
      <c r="N259" s="661"/>
      <c r="O259" s="660"/>
      <c r="P259" s="660"/>
      <c r="Q259" s="1300"/>
      <c r="Y259" s="643"/>
      <c r="AA259" s="600"/>
      <c r="AB259" s="600"/>
      <c r="AC259" s="635"/>
    </row>
    <row r="260" spans="3:32" ht="15" customHeight="1" x14ac:dyDescent="0.25">
      <c r="C260" s="662"/>
      <c r="D260" s="607"/>
      <c r="E260" s="661"/>
      <c r="F260" s="661"/>
      <c r="G260" s="661"/>
      <c r="H260" s="661"/>
      <c r="I260" s="661"/>
      <c r="J260" s="661"/>
      <c r="K260" s="661"/>
      <c r="L260" s="661"/>
      <c r="M260" s="661"/>
      <c r="N260" s="661"/>
      <c r="O260" s="660"/>
      <c r="P260" s="660"/>
      <c r="Q260" s="1300"/>
      <c r="Y260" s="643"/>
      <c r="AA260" s="600"/>
      <c r="AB260" s="600"/>
      <c r="AC260" s="635"/>
    </row>
    <row r="261" spans="3:32" ht="15" customHeight="1" x14ac:dyDescent="0.25">
      <c r="C261" s="662"/>
      <c r="D261" s="607"/>
      <c r="E261" s="661"/>
      <c r="F261" s="661"/>
      <c r="G261" s="661"/>
      <c r="H261" s="661"/>
      <c r="I261" s="661"/>
      <c r="J261" s="661"/>
      <c r="K261" s="661"/>
      <c r="L261" s="661"/>
      <c r="M261" s="661"/>
      <c r="N261" s="661"/>
      <c r="O261" s="660"/>
      <c r="P261" s="660"/>
      <c r="Q261" s="1300"/>
      <c r="Y261" s="643"/>
      <c r="AA261" s="600"/>
      <c r="AB261" s="600"/>
      <c r="AC261" s="635"/>
    </row>
    <row r="262" spans="3:32" ht="15" customHeight="1" x14ac:dyDescent="0.25">
      <c r="C262" s="662"/>
      <c r="D262" s="607"/>
      <c r="E262" s="661"/>
      <c r="F262" s="661"/>
      <c r="G262" s="661"/>
      <c r="H262" s="661"/>
      <c r="I262" s="661"/>
      <c r="J262" s="661"/>
      <c r="K262" s="661"/>
      <c r="L262" s="661"/>
      <c r="M262" s="661"/>
      <c r="N262" s="661"/>
      <c r="O262" s="660"/>
      <c r="P262" s="660"/>
      <c r="Q262" s="1300"/>
      <c r="Y262" s="643"/>
      <c r="AA262" s="600"/>
      <c r="AB262" s="600"/>
      <c r="AC262" s="635"/>
    </row>
    <row r="263" spans="3:32" ht="15" customHeight="1" x14ac:dyDescent="0.25">
      <c r="C263" s="662"/>
      <c r="D263" s="607"/>
      <c r="E263" s="661"/>
      <c r="F263" s="661"/>
      <c r="G263" s="661"/>
      <c r="H263" s="661"/>
      <c r="I263" s="661"/>
      <c r="J263" s="661"/>
      <c r="K263" s="661"/>
      <c r="L263" s="661"/>
      <c r="M263" s="661"/>
      <c r="N263" s="661"/>
      <c r="O263" s="660"/>
      <c r="P263" s="660"/>
      <c r="Q263" s="1300"/>
      <c r="Y263" s="643"/>
      <c r="AA263" s="600"/>
      <c r="AB263" s="600"/>
      <c r="AC263" s="635"/>
    </row>
    <row r="264" spans="3:32" ht="15" customHeight="1" x14ac:dyDescent="0.25">
      <c r="C264" s="662"/>
      <c r="D264" s="607"/>
      <c r="E264" s="661"/>
      <c r="F264" s="661"/>
      <c r="G264" s="661"/>
      <c r="H264" s="661"/>
      <c r="I264" s="661"/>
      <c r="J264" s="661"/>
      <c r="K264" s="661"/>
      <c r="L264" s="661"/>
      <c r="M264" s="661"/>
      <c r="N264" s="661"/>
      <c r="O264" s="660"/>
      <c r="P264" s="660"/>
      <c r="Q264" s="1300"/>
      <c r="Y264" s="643"/>
      <c r="AA264" s="600"/>
      <c r="AB264" s="600"/>
      <c r="AC264" s="635"/>
    </row>
    <row r="265" spans="3:32" ht="15" customHeight="1" x14ac:dyDescent="0.25">
      <c r="C265" s="662"/>
      <c r="D265" s="607"/>
      <c r="E265" s="661"/>
      <c r="F265" s="661"/>
      <c r="G265" s="661"/>
      <c r="H265" s="661"/>
      <c r="I265" s="661"/>
      <c r="J265" s="661"/>
      <c r="K265" s="661"/>
      <c r="L265" s="661"/>
      <c r="M265" s="661"/>
      <c r="N265" s="661"/>
      <c r="O265" s="660"/>
      <c r="P265" s="660"/>
      <c r="Q265" s="1300"/>
      <c r="Y265" s="643"/>
      <c r="AA265" s="600"/>
      <c r="AB265" s="600"/>
      <c r="AC265" s="635"/>
    </row>
    <row r="266" spans="3:32" ht="15" customHeight="1" x14ac:dyDescent="0.25">
      <c r="C266" s="662"/>
      <c r="D266" s="607"/>
      <c r="E266" s="661"/>
      <c r="F266" s="661"/>
      <c r="G266" s="661"/>
      <c r="H266" s="661"/>
      <c r="I266" s="661"/>
      <c r="J266" s="661"/>
      <c r="K266" s="661"/>
      <c r="L266" s="661"/>
      <c r="M266" s="661"/>
      <c r="N266" s="661"/>
      <c r="O266" s="660"/>
      <c r="P266" s="660"/>
      <c r="Q266" s="1300"/>
      <c r="Y266" s="643"/>
      <c r="AA266" s="600"/>
      <c r="AB266" s="600"/>
      <c r="AC266" s="635"/>
    </row>
    <row r="267" spans="3:32" ht="15" customHeight="1" x14ac:dyDescent="0.25">
      <c r="C267" s="662"/>
      <c r="D267" s="607"/>
      <c r="E267" s="661"/>
      <c r="F267" s="661"/>
      <c r="G267" s="661"/>
      <c r="H267" s="661"/>
      <c r="I267" s="661"/>
      <c r="J267" s="661"/>
      <c r="K267" s="661"/>
      <c r="L267" s="661"/>
      <c r="M267" s="661"/>
      <c r="N267" s="661"/>
      <c r="O267" s="660"/>
      <c r="P267" s="660"/>
      <c r="Q267" s="1300"/>
      <c r="Y267" s="643"/>
      <c r="AA267" s="600"/>
      <c r="AB267" s="600"/>
      <c r="AC267" s="635"/>
    </row>
    <row r="268" spans="3:32" ht="15" customHeight="1" x14ac:dyDescent="0.25">
      <c r="C268" s="662"/>
      <c r="D268" s="607"/>
      <c r="E268" s="661"/>
      <c r="F268" s="661"/>
      <c r="G268" s="661"/>
      <c r="H268" s="661"/>
      <c r="I268" s="661"/>
      <c r="J268" s="661"/>
      <c r="K268" s="661"/>
      <c r="L268" s="661"/>
      <c r="M268" s="661"/>
      <c r="N268" s="661"/>
      <c r="O268" s="660"/>
      <c r="P268" s="660"/>
      <c r="Q268" s="1300"/>
      <c r="Y268" s="643"/>
      <c r="AA268" s="600"/>
      <c r="AB268" s="600"/>
      <c r="AC268" s="635"/>
    </row>
    <row r="269" spans="3:32" ht="15" customHeight="1" x14ac:dyDescent="0.25">
      <c r="C269" s="662"/>
      <c r="D269" s="607"/>
      <c r="E269" s="661"/>
      <c r="F269" s="661"/>
      <c r="G269" s="661"/>
      <c r="H269" s="661"/>
      <c r="I269" s="661"/>
      <c r="J269" s="661"/>
      <c r="K269" s="661"/>
      <c r="L269" s="661"/>
      <c r="M269" s="661"/>
      <c r="N269" s="661"/>
      <c r="O269" s="660"/>
      <c r="P269" s="660"/>
      <c r="Q269" s="1300"/>
      <c r="Y269" s="643"/>
      <c r="AA269" s="600"/>
      <c r="AB269" s="600"/>
      <c r="AC269" s="635"/>
      <c r="AF269" s="1301"/>
    </row>
    <row r="270" spans="3:32" ht="15" customHeight="1" x14ac:dyDescent="0.25">
      <c r="C270" s="662"/>
      <c r="D270" s="607"/>
      <c r="E270" s="661"/>
      <c r="F270" s="661"/>
      <c r="G270" s="661"/>
      <c r="H270" s="661"/>
      <c r="I270" s="661"/>
      <c r="J270" s="661"/>
      <c r="K270" s="661"/>
      <c r="L270" s="661"/>
      <c r="M270" s="661"/>
      <c r="N270" s="661"/>
      <c r="O270" s="660"/>
      <c r="P270" s="660"/>
      <c r="Q270" s="1300"/>
      <c r="Y270" s="643"/>
      <c r="AA270" s="600"/>
      <c r="AB270" s="600"/>
      <c r="AC270" s="635"/>
    </row>
    <row r="271" spans="3:32" ht="15" customHeight="1" x14ac:dyDescent="0.25">
      <c r="C271" s="662"/>
      <c r="D271" s="607"/>
      <c r="E271" s="661"/>
      <c r="F271" s="661"/>
      <c r="G271" s="661"/>
      <c r="H271" s="661"/>
      <c r="I271" s="661"/>
      <c r="J271" s="661"/>
      <c r="K271" s="661"/>
      <c r="L271" s="661"/>
      <c r="M271" s="661"/>
      <c r="N271" s="661"/>
      <c r="O271" s="660"/>
      <c r="P271" s="660"/>
      <c r="Q271" s="1300"/>
      <c r="Y271" s="643"/>
      <c r="AA271" s="600"/>
      <c r="AB271" s="600"/>
      <c r="AC271" s="635"/>
    </row>
    <row r="272" spans="3:32" ht="15" customHeight="1" x14ac:dyDescent="0.25">
      <c r="C272" s="662"/>
      <c r="D272" s="607"/>
      <c r="E272" s="661"/>
      <c r="F272" s="661"/>
      <c r="G272" s="661"/>
      <c r="H272" s="661"/>
      <c r="I272" s="661"/>
      <c r="J272" s="661"/>
      <c r="K272" s="661"/>
      <c r="L272" s="661"/>
      <c r="M272" s="661"/>
      <c r="N272" s="661"/>
      <c r="O272" s="660"/>
      <c r="P272" s="660"/>
      <c r="Q272" s="1300"/>
      <c r="Y272" s="643"/>
      <c r="AA272" s="600"/>
      <c r="AB272" s="600"/>
      <c r="AC272" s="635"/>
    </row>
    <row r="273" spans="3:32" ht="15" customHeight="1" x14ac:dyDescent="0.25">
      <c r="C273" s="662"/>
      <c r="D273" s="607"/>
      <c r="E273" s="661"/>
      <c r="F273" s="661"/>
      <c r="G273" s="661"/>
      <c r="H273" s="661"/>
      <c r="I273" s="661"/>
      <c r="J273" s="661"/>
      <c r="K273" s="661"/>
      <c r="L273" s="661"/>
      <c r="M273" s="661"/>
      <c r="N273" s="661"/>
      <c r="O273" s="660"/>
      <c r="P273" s="660"/>
      <c r="Q273" s="1300"/>
      <c r="Y273" s="643"/>
      <c r="AA273" s="600"/>
      <c r="AB273" s="600"/>
      <c r="AC273" s="635"/>
    </row>
    <row r="274" spans="3:32" ht="15" customHeight="1" x14ac:dyDescent="0.25">
      <c r="C274" s="662"/>
      <c r="D274" s="607"/>
      <c r="E274" s="661"/>
      <c r="F274" s="661"/>
      <c r="G274" s="661"/>
      <c r="H274" s="661"/>
      <c r="I274" s="661"/>
      <c r="J274" s="661"/>
      <c r="K274" s="661"/>
      <c r="L274" s="661"/>
      <c r="M274" s="661"/>
      <c r="N274" s="661"/>
      <c r="O274" s="660"/>
      <c r="P274" s="660"/>
      <c r="Q274" s="1300"/>
      <c r="Y274" s="656"/>
      <c r="AA274" s="676"/>
      <c r="AB274" s="600"/>
      <c r="AC274" s="635"/>
    </row>
    <row r="275" spans="3:32" ht="15" customHeight="1" x14ac:dyDescent="0.25">
      <c r="C275" s="662"/>
      <c r="D275" s="607"/>
      <c r="E275" s="661"/>
      <c r="F275" s="661"/>
      <c r="G275" s="661"/>
      <c r="H275" s="661"/>
      <c r="I275" s="661"/>
      <c r="J275" s="661"/>
      <c r="K275" s="661"/>
      <c r="L275" s="661"/>
      <c r="M275" s="661"/>
      <c r="N275" s="661"/>
      <c r="O275" s="660"/>
      <c r="P275" s="660"/>
      <c r="Q275" s="1300"/>
      <c r="Y275" s="650"/>
      <c r="AA275" s="655"/>
      <c r="AB275" s="600"/>
      <c r="AC275" s="635"/>
      <c r="AF275" s="1301"/>
    </row>
    <row r="276" spans="3:32" ht="15" customHeight="1" x14ac:dyDescent="0.25">
      <c r="C276" s="662"/>
      <c r="D276" s="607"/>
      <c r="E276" s="661"/>
      <c r="F276" s="661"/>
      <c r="G276" s="661"/>
      <c r="H276" s="661"/>
      <c r="I276" s="661"/>
      <c r="J276" s="661"/>
      <c r="K276" s="661"/>
      <c r="L276" s="661"/>
      <c r="M276" s="661"/>
      <c r="N276" s="661"/>
      <c r="O276" s="660"/>
      <c r="P276" s="660"/>
      <c r="Q276" s="1300"/>
      <c r="Y276" s="643"/>
      <c r="AA276" s="600"/>
      <c r="AB276" s="600"/>
      <c r="AC276" s="635"/>
    </row>
    <row r="277" spans="3:32" ht="15" customHeight="1" x14ac:dyDescent="0.25">
      <c r="C277" s="662"/>
      <c r="D277" s="607"/>
      <c r="E277" s="661"/>
      <c r="F277" s="661"/>
      <c r="G277" s="661"/>
      <c r="H277" s="661"/>
      <c r="I277" s="661"/>
      <c r="J277" s="661"/>
      <c r="K277" s="661"/>
      <c r="L277" s="661"/>
      <c r="M277" s="661"/>
      <c r="N277" s="661"/>
      <c r="O277" s="660"/>
      <c r="P277" s="660"/>
      <c r="Q277" s="1300"/>
      <c r="Y277" s="643"/>
      <c r="AA277" s="600"/>
      <c r="AB277" s="600"/>
      <c r="AC277" s="635"/>
    </row>
    <row r="278" spans="3:32" ht="15" customHeight="1" x14ac:dyDescent="0.25">
      <c r="C278" s="662"/>
      <c r="D278" s="607"/>
      <c r="E278" s="661"/>
      <c r="F278" s="661"/>
      <c r="G278" s="661"/>
      <c r="H278" s="661"/>
      <c r="I278" s="661"/>
      <c r="J278" s="661"/>
      <c r="K278" s="661"/>
      <c r="L278" s="661"/>
      <c r="M278" s="661"/>
      <c r="N278" s="661"/>
      <c r="O278" s="660"/>
      <c r="P278" s="660"/>
      <c r="Q278" s="1300"/>
      <c r="Y278" s="643"/>
      <c r="AA278" s="600"/>
      <c r="AB278" s="600"/>
      <c r="AC278" s="635"/>
    </row>
    <row r="279" spans="3:32" ht="15" customHeight="1" x14ac:dyDescent="0.25">
      <c r="C279" s="662"/>
      <c r="D279" s="607"/>
      <c r="E279" s="661"/>
      <c r="F279" s="661"/>
      <c r="G279" s="661"/>
      <c r="H279" s="661"/>
      <c r="I279" s="661"/>
      <c r="J279" s="661"/>
      <c r="K279" s="661"/>
      <c r="L279" s="661"/>
      <c r="M279" s="661"/>
      <c r="N279" s="661"/>
      <c r="O279" s="660"/>
      <c r="P279" s="660"/>
      <c r="Q279" s="1300"/>
      <c r="Y279" s="643"/>
      <c r="AA279" s="600"/>
      <c r="AB279" s="600"/>
      <c r="AC279" s="635"/>
    </row>
    <row r="280" spans="3:32" ht="15" customHeight="1" x14ac:dyDescent="0.25">
      <c r="C280" s="662"/>
      <c r="D280" s="607"/>
      <c r="E280" s="661"/>
      <c r="F280" s="661"/>
      <c r="G280" s="661"/>
      <c r="H280" s="661"/>
      <c r="I280" s="661"/>
      <c r="J280" s="661"/>
      <c r="K280" s="661"/>
      <c r="L280" s="661"/>
      <c r="M280" s="661"/>
      <c r="N280" s="661"/>
      <c r="O280" s="660"/>
      <c r="P280" s="660"/>
      <c r="Q280" s="1300"/>
      <c r="Y280" s="643"/>
      <c r="AA280" s="600"/>
      <c r="AB280" s="600"/>
      <c r="AC280" s="635"/>
    </row>
    <row r="281" spans="3:32" ht="15" customHeight="1" x14ac:dyDescent="0.25">
      <c r="C281" s="662"/>
      <c r="D281" s="607"/>
      <c r="E281" s="661"/>
      <c r="F281" s="661"/>
      <c r="G281" s="661"/>
      <c r="H281" s="661"/>
      <c r="I281" s="661"/>
      <c r="J281" s="661"/>
      <c r="K281" s="661"/>
      <c r="L281" s="661"/>
      <c r="M281" s="661"/>
      <c r="N281" s="661"/>
      <c r="O281" s="660"/>
      <c r="P281" s="660"/>
      <c r="Q281" s="1300"/>
    </row>
    <row r="282" spans="3:32" ht="15" customHeight="1" x14ac:dyDescent="0.25">
      <c r="C282" s="662"/>
      <c r="D282" s="607"/>
      <c r="E282" s="661"/>
      <c r="F282" s="661"/>
      <c r="G282" s="661"/>
      <c r="H282" s="661"/>
      <c r="I282" s="661"/>
      <c r="J282" s="661"/>
      <c r="K282" s="661"/>
      <c r="L282" s="661"/>
      <c r="M282" s="661"/>
      <c r="N282" s="661"/>
      <c r="O282" s="660"/>
      <c r="P282" s="660"/>
      <c r="Q282" s="1300"/>
      <c r="Y282" s="643"/>
      <c r="AA282" s="600"/>
      <c r="AB282" s="600"/>
      <c r="AC282" s="635"/>
    </row>
    <row r="283" spans="3:32" ht="15" customHeight="1" x14ac:dyDescent="0.25">
      <c r="C283" s="662"/>
      <c r="D283" s="607"/>
      <c r="E283" s="661"/>
      <c r="F283" s="661"/>
      <c r="G283" s="661"/>
      <c r="H283" s="661"/>
      <c r="I283" s="661"/>
      <c r="J283" s="661"/>
      <c r="K283" s="661"/>
      <c r="L283" s="661"/>
      <c r="M283" s="661"/>
      <c r="N283" s="661"/>
      <c r="O283" s="660"/>
      <c r="P283" s="660"/>
      <c r="Q283" s="1300"/>
      <c r="Y283" s="643"/>
      <c r="AA283" s="600"/>
      <c r="AB283" s="600"/>
      <c r="AC283" s="635"/>
    </row>
    <row r="284" spans="3:32" ht="15" customHeight="1" x14ac:dyDescent="0.25">
      <c r="C284" s="662"/>
      <c r="D284" s="607"/>
      <c r="E284" s="661"/>
      <c r="F284" s="661"/>
      <c r="G284" s="661"/>
      <c r="H284" s="661"/>
      <c r="I284" s="661"/>
      <c r="J284" s="661"/>
      <c r="K284" s="661"/>
      <c r="L284" s="661"/>
      <c r="M284" s="661"/>
      <c r="N284" s="661"/>
      <c r="O284" s="660"/>
      <c r="P284" s="660"/>
      <c r="Q284" s="1300"/>
      <c r="Y284" s="643"/>
      <c r="AA284" s="600"/>
      <c r="AB284" s="600"/>
      <c r="AC284" s="635"/>
    </row>
    <row r="285" spans="3:32" ht="15" customHeight="1" x14ac:dyDescent="0.25">
      <c r="C285" s="662"/>
      <c r="D285" s="607"/>
      <c r="E285" s="661"/>
      <c r="F285" s="661"/>
      <c r="G285" s="661"/>
      <c r="H285" s="661"/>
      <c r="I285" s="661"/>
      <c r="J285" s="661"/>
      <c r="K285" s="661"/>
      <c r="L285" s="661"/>
      <c r="M285" s="661"/>
      <c r="N285" s="661"/>
      <c r="O285" s="660"/>
      <c r="P285" s="660"/>
      <c r="Q285" s="1300"/>
      <c r="Y285" s="643"/>
      <c r="AA285" s="600"/>
      <c r="AB285" s="600"/>
      <c r="AC285" s="635"/>
    </row>
    <row r="286" spans="3:32" ht="15" customHeight="1" x14ac:dyDescent="0.25">
      <c r="C286" s="662"/>
      <c r="D286" s="607"/>
      <c r="E286" s="661"/>
      <c r="F286" s="661"/>
      <c r="G286" s="661"/>
      <c r="H286" s="661"/>
      <c r="I286" s="661"/>
      <c r="J286" s="661"/>
      <c r="K286" s="661"/>
      <c r="L286" s="661"/>
      <c r="M286" s="661"/>
      <c r="N286" s="661"/>
      <c r="O286" s="660"/>
      <c r="P286" s="660"/>
      <c r="Q286" s="1300"/>
      <c r="Y286" s="643"/>
      <c r="AA286" s="600"/>
      <c r="AB286" s="600"/>
      <c r="AC286" s="635"/>
    </row>
    <row r="287" spans="3:32" ht="15" customHeight="1" x14ac:dyDescent="0.25">
      <c r="C287" s="662"/>
      <c r="D287" s="607"/>
      <c r="E287" s="661"/>
      <c r="F287" s="661"/>
      <c r="G287" s="661"/>
      <c r="H287" s="661"/>
      <c r="I287" s="661"/>
      <c r="J287" s="661"/>
      <c r="K287" s="661"/>
      <c r="L287" s="661"/>
      <c r="M287" s="661"/>
      <c r="N287" s="661"/>
      <c r="O287" s="660"/>
      <c r="P287" s="660"/>
      <c r="Q287" s="1300"/>
      <c r="Y287" s="643"/>
      <c r="AA287" s="600"/>
      <c r="AB287" s="600"/>
      <c r="AC287" s="635"/>
    </row>
    <row r="288" spans="3:32" ht="15" customHeight="1" x14ac:dyDescent="0.25">
      <c r="C288" s="662"/>
      <c r="D288" s="607"/>
      <c r="E288" s="661"/>
      <c r="F288" s="661"/>
      <c r="G288" s="661"/>
      <c r="H288" s="661"/>
      <c r="I288" s="661"/>
      <c r="J288" s="661"/>
      <c r="K288" s="661"/>
      <c r="L288" s="661"/>
      <c r="M288" s="661"/>
      <c r="N288" s="661"/>
      <c r="O288" s="660"/>
      <c r="P288" s="660"/>
      <c r="Q288" s="1300"/>
    </row>
    <row r="289" spans="3:31" ht="15" customHeight="1" x14ac:dyDescent="0.25">
      <c r="C289" s="662"/>
      <c r="D289" s="607"/>
      <c r="E289" s="661"/>
      <c r="F289" s="661"/>
      <c r="G289" s="661"/>
      <c r="H289" s="661"/>
      <c r="I289" s="661"/>
      <c r="J289" s="661"/>
      <c r="K289" s="661"/>
      <c r="L289" s="661"/>
      <c r="M289" s="661"/>
      <c r="N289" s="661"/>
      <c r="O289" s="660"/>
      <c r="P289" s="660"/>
      <c r="Q289" s="1300"/>
    </row>
    <row r="290" spans="3:31" ht="15" customHeight="1" x14ac:dyDescent="0.25">
      <c r="C290" s="662"/>
      <c r="D290" s="607"/>
      <c r="E290" s="661"/>
      <c r="F290" s="661"/>
      <c r="G290" s="661"/>
      <c r="H290" s="661"/>
      <c r="I290" s="661"/>
      <c r="J290" s="661"/>
      <c r="K290" s="661"/>
      <c r="L290" s="661"/>
      <c r="M290" s="661"/>
      <c r="N290" s="661"/>
      <c r="O290" s="660"/>
      <c r="P290" s="660"/>
      <c r="Q290" s="1300"/>
      <c r="Y290" s="622"/>
      <c r="AA290" s="600"/>
      <c r="AB290" s="600"/>
      <c r="AC290" s="635"/>
      <c r="AD290" s="635"/>
      <c r="AE290" s="635"/>
    </row>
    <row r="291" spans="3:31" ht="15" customHeight="1" x14ac:dyDescent="0.25">
      <c r="C291" s="662"/>
      <c r="D291" s="607"/>
      <c r="E291" s="661"/>
      <c r="F291" s="661"/>
      <c r="G291" s="661"/>
      <c r="H291" s="661"/>
      <c r="I291" s="661"/>
      <c r="J291" s="661"/>
      <c r="K291" s="661"/>
      <c r="L291" s="661"/>
      <c r="M291" s="661"/>
      <c r="N291" s="661"/>
      <c r="O291" s="660"/>
      <c r="P291" s="660"/>
      <c r="Q291" s="1300"/>
      <c r="Y291" s="643"/>
      <c r="AA291" s="600"/>
      <c r="AB291" s="600"/>
      <c r="AC291" s="635"/>
      <c r="AD291" s="635"/>
      <c r="AE291" s="635"/>
    </row>
    <row r="292" spans="3:31" ht="15" customHeight="1" x14ac:dyDescent="0.25">
      <c r="C292" s="662"/>
      <c r="D292" s="607"/>
      <c r="E292" s="661"/>
      <c r="F292" s="661"/>
      <c r="G292" s="661"/>
      <c r="H292" s="661"/>
      <c r="I292" s="661"/>
      <c r="J292" s="661"/>
      <c r="K292" s="661"/>
      <c r="L292" s="661"/>
      <c r="M292" s="661"/>
      <c r="N292" s="661"/>
      <c r="O292" s="660"/>
      <c r="P292" s="660"/>
      <c r="Q292" s="1300"/>
      <c r="Y292" s="643"/>
      <c r="AA292" s="600"/>
      <c r="AB292" s="600"/>
      <c r="AC292" s="635"/>
      <c r="AD292" s="635"/>
      <c r="AE292" s="635"/>
    </row>
    <row r="293" spans="3:31" ht="15" customHeight="1" x14ac:dyDescent="0.25">
      <c r="C293" s="662"/>
      <c r="D293" s="607"/>
      <c r="E293" s="661"/>
      <c r="F293" s="661"/>
      <c r="G293" s="661"/>
      <c r="H293" s="661"/>
      <c r="I293" s="661"/>
      <c r="J293" s="661"/>
      <c r="K293" s="661"/>
      <c r="L293" s="661"/>
      <c r="M293" s="661"/>
      <c r="N293" s="661"/>
      <c r="O293" s="660"/>
      <c r="P293" s="660"/>
      <c r="Q293" s="1300"/>
      <c r="Y293" s="643"/>
      <c r="AA293" s="600"/>
      <c r="AB293" s="600"/>
      <c r="AC293" s="635"/>
      <c r="AD293" s="635"/>
      <c r="AE293" s="635"/>
    </row>
    <row r="294" spans="3:31" ht="15" customHeight="1" x14ac:dyDescent="0.25">
      <c r="C294" s="662"/>
      <c r="D294" s="607"/>
      <c r="E294" s="661"/>
      <c r="F294" s="661"/>
      <c r="G294" s="661"/>
      <c r="H294" s="661"/>
      <c r="I294" s="661"/>
      <c r="J294" s="661"/>
      <c r="K294" s="661"/>
      <c r="L294" s="661"/>
      <c r="M294" s="661"/>
      <c r="N294" s="661"/>
      <c r="O294" s="660"/>
      <c r="P294" s="660"/>
      <c r="Q294" s="1300"/>
      <c r="Y294" s="643"/>
      <c r="AA294" s="600"/>
      <c r="AB294" s="600"/>
      <c r="AC294" s="635"/>
      <c r="AD294" s="635"/>
      <c r="AE294" s="635"/>
    </row>
    <row r="295" spans="3:31" ht="15" customHeight="1" x14ac:dyDescent="0.25">
      <c r="C295" s="662"/>
      <c r="D295" s="607"/>
      <c r="E295" s="661"/>
      <c r="F295" s="661"/>
      <c r="G295" s="661"/>
      <c r="H295" s="661"/>
      <c r="I295" s="661"/>
      <c r="J295" s="661"/>
      <c r="K295" s="661"/>
      <c r="L295" s="661"/>
      <c r="M295" s="661"/>
      <c r="N295" s="661"/>
      <c r="O295" s="660"/>
      <c r="P295" s="660"/>
      <c r="Q295" s="1300"/>
      <c r="Y295" s="643"/>
      <c r="AA295" s="600"/>
      <c r="AB295" s="600"/>
      <c r="AC295" s="635"/>
      <c r="AD295" s="635"/>
      <c r="AE295" s="635"/>
    </row>
    <row r="296" spans="3:31" ht="15" customHeight="1" x14ac:dyDescent="0.25">
      <c r="C296" s="662"/>
      <c r="D296" s="607"/>
      <c r="E296" s="661"/>
      <c r="F296" s="661"/>
      <c r="G296" s="661"/>
      <c r="H296" s="661"/>
      <c r="I296" s="661"/>
      <c r="J296" s="661"/>
      <c r="K296" s="661"/>
      <c r="L296" s="661"/>
      <c r="M296" s="661"/>
      <c r="N296" s="661"/>
      <c r="O296" s="660"/>
      <c r="P296" s="660"/>
      <c r="Q296" s="1300"/>
      <c r="Y296" s="643"/>
      <c r="AA296" s="600"/>
      <c r="AB296" s="600"/>
      <c r="AC296" s="635"/>
      <c r="AD296" s="635"/>
      <c r="AE296" s="635"/>
    </row>
    <row r="297" spans="3:31" ht="15" customHeight="1" x14ac:dyDescent="0.25">
      <c r="C297" s="662"/>
      <c r="D297" s="607"/>
      <c r="E297" s="661"/>
      <c r="F297" s="661"/>
      <c r="G297" s="661"/>
      <c r="H297" s="661"/>
      <c r="I297" s="661"/>
      <c r="J297" s="661"/>
      <c r="K297" s="661"/>
      <c r="L297" s="661"/>
      <c r="M297" s="661"/>
      <c r="N297" s="661"/>
      <c r="O297" s="660"/>
      <c r="P297" s="660"/>
      <c r="Q297" s="1300"/>
      <c r="Y297" s="643"/>
      <c r="AA297" s="600"/>
      <c r="AB297" s="600"/>
      <c r="AC297" s="635"/>
      <c r="AD297" s="635"/>
      <c r="AE297" s="635"/>
    </row>
    <row r="298" spans="3:31" ht="15" customHeight="1" x14ac:dyDescent="0.25">
      <c r="C298" s="662"/>
      <c r="D298" s="607"/>
      <c r="E298" s="661"/>
      <c r="F298" s="661"/>
      <c r="G298" s="661"/>
      <c r="H298" s="661"/>
      <c r="I298" s="661"/>
      <c r="J298" s="661"/>
      <c r="K298" s="661"/>
      <c r="L298" s="661"/>
      <c r="M298" s="661"/>
      <c r="N298" s="661"/>
      <c r="O298" s="660"/>
      <c r="P298" s="660"/>
      <c r="Q298" s="1300"/>
      <c r="Y298" s="656"/>
      <c r="AA298" s="655"/>
      <c r="AB298" s="600"/>
      <c r="AC298" s="635"/>
      <c r="AD298" s="635"/>
      <c r="AE298" s="635"/>
    </row>
    <row r="299" spans="3:31" ht="15" customHeight="1" x14ac:dyDescent="0.25">
      <c r="C299" s="662"/>
      <c r="D299" s="607"/>
      <c r="E299" s="661"/>
      <c r="F299" s="661"/>
      <c r="G299" s="661"/>
      <c r="H299" s="661"/>
      <c r="I299" s="661"/>
      <c r="J299" s="661"/>
      <c r="K299" s="661"/>
      <c r="L299" s="661"/>
      <c r="M299" s="661"/>
      <c r="N299" s="661"/>
      <c r="O299" s="660"/>
      <c r="P299" s="660"/>
      <c r="Q299" s="1300"/>
      <c r="Y299" s="656"/>
      <c r="AA299" s="655"/>
      <c r="AB299" s="600"/>
      <c r="AC299" s="635"/>
      <c r="AD299" s="635"/>
      <c r="AE299" s="635"/>
    </row>
    <row r="300" spans="3:31" ht="15" customHeight="1" x14ac:dyDescent="0.25">
      <c r="C300" s="662"/>
      <c r="D300" s="607"/>
      <c r="E300" s="661"/>
      <c r="F300" s="661"/>
      <c r="G300" s="661"/>
      <c r="H300" s="661"/>
      <c r="I300" s="661"/>
      <c r="J300" s="661"/>
      <c r="K300" s="661"/>
      <c r="L300" s="661"/>
      <c r="M300" s="661"/>
      <c r="N300" s="661"/>
      <c r="O300" s="660"/>
      <c r="P300" s="660"/>
      <c r="Q300" s="1300"/>
      <c r="Y300" s="656"/>
      <c r="AA300" s="655"/>
      <c r="AB300" s="600"/>
      <c r="AC300" s="635"/>
      <c r="AD300" s="635"/>
      <c r="AE300" s="635"/>
    </row>
    <row r="301" spans="3:31" ht="15" customHeight="1" x14ac:dyDescent="0.25">
      <c r="C301" s="662"/>
      <c r="D301" s="607"/>
      <c r="E301" s="661"/>
      <c r="F301" s="661"/>
      <c r="G301" s="661"/>
      <c r="H301" s="661"/>
      <c r="I301" s="661"/>
      <c r="J301" s="661"/>
      <c r="K301" s="661"/>
      <c r="L301" s="661"/>
      <c r="M301" s="661"/>
      <c r="N301" s="661"/>
      <c r="O301" s="660"/>
      <c r="P301" s="660"/>
      <c r="Q301" s="1300"/>
      <c r="Y301" s="656"/>
      <c r="AA301" s="642"/>
      <c r="AB301" s="600"/>
      <c r="AC301" s="635"/>
      <c r="AD301" s="635"/>
      <c r="AE301" s="635"/>
    </row>
    <row r="302" spans="3:31" ht="15" customHeight="1" x14ac:dyDescent="0.25">
      <c r="C302" s="662"/>
      <c r="D302" s="607"/>
      <c r="E302" s="661"/>
      <c r="F302" s="661"/>
      <c r="G302" s="661"/>
      <c r="H302" s="661"/>
      <c r="I302" s="661"/>
      <c r="J302" s="661"/>
      <c r="K302" s="661"/>
      <c r="L302" s="661"/>
      <c r="M302" s="661"/>
      <c r="N302" s="661"/>
      <c r="O302" s="660"/>
      <c r="P302" s="660"/>
      <c r="Q302" s="1300"/>
      <c r="Y302" s="656"/>
      <c r="AA302" s="642"/>
      <c r="AB302" s="600"/>
      <c r="AC302" s="635"/>
      <c r="AD302" s="635"/>
      <c r="AE302" s="635"/>
    </row>
    <row r="303" spans="3:31" ht="15" customHeight="1" x14ac:dyDescent="0.25">
      <c r="C303" s="662"/>
      <c r="D303" s="607"/>
      <c r="E303" s="661"/>
      <c r="F303" s="661"/>
      <c r="G303" s="661"/>
      <c r="H303" s="661"/>
      <c r="I303" s="661"/>
      <c r="J303" s="661"/>
      <c r="K303" s="661"/>
      <c r="L303" s="661"/>
      <c r="M303" s="661"/>
      <c r="N303" s="661"/>
      <c r="O303" s="660"/>
      <c r="P303" s="660"/>
      <c r="Q303" s="1300"/>
      <c r="Y303" s="656"/>
      <c r="AA303" s="642"/>
      <c r="AB303" s="600"/>
      <c r="AC303" s="635"/>
      <c r="AD303" s="635"/>
      <c r="AE303" s="635"/>
    </row>
    <row r="304" spans="3:31" ht="15" customHeight="1" x14ac:dyDescent="0.25">
      <c r="C304" s="662"/>
      <c r="D304" s="607"/>
      <c r="E304" s="661"/>
      <c r="F304" s="661"/>
      <c r="G304" s="661"/>
      <c r="H304" s="661"/>
      <c r="I304" s="661"/>
      <c r="J304" s="661"/>
      <c r="K304" s="661"/>
      <c r="L304" s="661"/>
      <c r="M304" s="661"/>
      <c r="N304" s="661"/>
      <c r="O304" s="660"/>
      <c r="P304" s="660"/>
      <c r="Q304" s="1300"/>
      <c r="Y304" s="656"/>
      <c r="AA304" s="642"/>
      <c r="AB304" s="600"/>
      <c r="AC304" s="635"/>
      <c r="AD304" s="635"/>
      <c r="AE304" s="635"/>
    </row>
    <row r="305" spans="3:31" ht="15" customHeight="1" x14ac:dyDescent="0.25">
      <c r="C305" s="662"/>
      <c r="D305" s="607"/>
      <c r="E305" s="661"/>
      <c r="F305" s="661"/>
      <c r="G305" s="661"/>
      <c r="H305" s="661"/>
      <c r="I305" s="661"/>
      <c r="J305" s="661"/>
      <c r="K305" s="661"/>
      <c r="L305" s="661"/>
      <c r="M305" s="661"/>
      <c r="N305" s="661"/>
      <c r="O305" s="660"/>
      <c r="P305" s="660"/>
      <c r="Q305" s="1300"/>
      <c r="Y305" s="656"/>
      <c r="AA305" s="642"/>
      <c r="AB305" s="600"/>
      <c r="AC305" s="635"/>
      <c r="AD305" s="635"/>
      <c r="AE305" s="635"/>
    </row>
    <row r="306" spans="3:31" ht="15" customHeight="1" x14ac:dyDescent="0.25">
      <c r="C306" s="662"/>
      <c r="D306" s="607"/>
      <c r="E306" s="661"/>
      <c r="F306" s="661"/>
      <c r="G306" s="661"/>
      <c r="H306" s="661"/>
      <c r="I306" s="661"/>
      <c r="J306" s="661"/>
      <c r="K306" s="661"/>
      <c r="L306" s="661"/>
      <c r="M306" s="661"/>
      <c r="N306" s="661"/>
      <c r="O306" s="660"/>
      <c r="P306" s="660"/>
      <c r="Q306" s="1300"/>
      <c r="Y306" s="656"/>
      <c r="AA306" s="642"/>
      <c r="AB306" s="600"/>
      <c r="AC306" s="635"/>
      <c r="AD306" s="635"/>
      <c r="AE306" s="635"/>
    </row>
    <row r="307" spans="3:31" ht="15" customHeight="1" x14ac:dyDescent="0.25">
      <c r="C307" s="662"/>
      <c r="D307" s="607"/>
      <c r="E307" s="661"/>
      <c r="F307" s="661"/>
      <c r="G307" s="661"/>
      <c r="H307" s="661"/>
      <c r="I307" s="661"/>
      <c r="J307" s="661"/>
      <c r="K307" s="661"/>
      <c r="L307" s="661"/>
      <c r="M307" s="661"/>
      <c r="N307" s="661"/>
      <c r="O307" s="660"/>
      <c r="P307" s="660"/>
      <c r="Q307" s="1300"/>
      <c r="Y307" s="656"/>
      <c r="AA307" s="642"/>
      <c r="AB307" s="600"/>
      <c r="AC307" s="635"/>
      <c r="AD307" s="635"/>
      <c r="AE307" s="635"/>
    </row>
    <row r="308" spans="3:31" ht="15" customHeight="1" x14ac:dyDescent="0.25">
      <c r="C308" s="662"/>
      <c r="D308" s="607"/>
      <c r="E308" s="661"/>
      <c r="F308" s="661"/>
      <c r="G308" s="661"/>
      <c r="H308" s="661"/>
      <c r="I308" s="661"/>
      <c r="J308" s="661"/>
      <c r="K308" s="661"/>
      <c r="L308" s="661"/>
      <c r="M308" s="661"/>
      <c r="N308" s="661"/>
      <c r="O308" s="660"/>
      <c r="P308" s="660"/>
      <c r="Q308" s="1300"/>
      <c r="Y308" s="650"/>
      <c r="AA308" s="676"/>
      <c r="AB308" s="600"/>
      <c r="AC308" s="635"/>
      <c r="AD308" s="635"/>
      <c r="AE308" s="635"/>
    </row>
    <row r="309" spans="3:31" ht="15" customHeight="1" x14ac:dyDescent="0.25">
      <c r="C309" s="662"/>
      <c r="D309" s="607"/>
      <c r="E309" s="661"/>
      <c r="F309" s="661"/>
      <c r="G309" s="661"/>
      <c r="H309" s="661"/>
      <c r="I309" s="661"/>
      <c r="J309" s="661"/>
      <c r="K309" s="661"/>
      <c r="L309" s="661"/>
      <c r="M309" s="661"/>
      <c r="N309" s="661"/>
      <c r="O309" s="660"/>
      <c r="P309" s="660"/>
      <c r="Q309" s="1300"/>
      <c r="Y309" s="622"/>
      <c r="AA309" s="600"/>
      <c r="AB309" s="600"/>
      <c r="AC309" s="635"/>
      <c r="AD309" s="635"/>
      <c r="AE309" s="635"/>
    </row>
    <row r="310" spans="3:31" ht="15" customHeight="1" x14ac:dyDescent="0.25">
      <c r="C310" s="662"/>
      <c r="D310" s="607"/>
      <c r="E310" s="661"/>
      <c r="F310" s="661"/>
      <c r="G310" s="661"/>
      <c r="H310" s="661"/>
      <c r="I310" s="661"/>
      <c r="J310" s="661"/>
      <c r="K310" s="661"/>
      <c r="L310" s="661"/>
      <c r="M310" s="661"/>
      <c r="N310" s="661"/>
      <c r="O310" s="660"/>
      <c r="P310" s="660"/>
      <c r="Q310" s="1300"/>
    </row>
    <row r="311" spans="3:31" ht="15" customHeight="1" x14ac:dyDescent="0.25">
      <c r="C311" s="662"/>
      <c r="D311" s="607"/>
      <c r="E311" s="661"/>
      <c r="F311" s="661"/>
      <c r="G311" s="661"/>
      <c r="H311" s="661"/>
      <c r="I311" s="661"/>
      <c r="J311" s="661"/>
      <c r="K311" s="661"/>
      <c r="L311" s="661"/>
      <c r="M311" s="661"/>
      <c r="N311" s="661"/>
      <c r="O311" s="660"/>
      <c r="P311" s="660"/>
      <c r="Q311" s="1300"/>
    </row>
    <row r="312" spans="3:31" ht="15" customHeight="1" x14ac:dyDescent="0.25">
      <c r="C312" s="662"/>
      <c r="D312" s="607"/>
      <c r="E312" s="661"/>
      <c r="F312" s="661"/>
      <c r="G312" s="661"/>
      <c r="H312" s="661"/>
      <c r="I312" s="661"/>
      <c r="J312" s="661"/>
      <c r="K312" s="661"/>
      <c r="L312" s="661"/>
      <c r="M312" s="661"/>
      <c r="N312" s="661"/>
      <c r="O312" s="660"/>
      <c r="P312" s="660"/>
      <c r="Q312" s="1300"/>
    </row>
    <row r="313" spans="3:31" ht="15" customHeight="1" x14ac:dyDescent="0.25">
      <c r="C313" s="662"/>
      <c r="D313" s="607"/>
      <c r="E313" s="661"/>
      <c r="F313" s="661"/>
      <c r="G313" s="661"/>
      <c r="H313" s="661"/>
      <c r="I313" s="661"/>
      <c r="J313" s="661"/>
      <c r="K313" s="661"/>
      <c r="L313" s="661"/>
      <c r="M313" s="661"/>
      <c r="N313" s="661"/>
      <c r="O313" s="660"/>
      <c r="P313" s="660"/>
      <c r="Q313" s="1300"/>
    </row>
    <row r="314" spans="3:31" ht="15" customHeight="1" x14ac:dyDescent="0.25">
      <c r="C314" s="669" t="s">
        <v>232</v>
      </c>
      <c r="D314" s="607"/>
      <c r="E314" s="661"/>
      <c r="F314" s="661"/>
      <c r="G314" s="661"/>
      <c r="H314" s="661"/>
      <c r="I314" s="661"/>
      <c r="J314" s="661"/>
      <c r="K314" s="661"/>
      <c r="L314" s="661"/>
      <c r="M314" s="661"/>
      <c r="N314" s="661"/>
      <c r="O314" s="660"/>
      <c r="P314" s="660"/>
      <c r="Q314" s="1302"/>
    </row>
    <row r="315" spans="3:31" ht="15" customHeight="1" x14ac:dyDescent="0.25">
      <c r="C315" s="669"/>
      <c r="D315" s="607"/>
      <c r="E315" s="661"/>
      <c r="F315" s="661"/>
      <c r="G315" s="661"/>
      <c r="H315" s="661"/>
      <c r="I315" s="661"/>
      <c r="J315" s="661"/>
      <c r="K315" s="661"/>
      <c r="L315" s="661"/>
      <c r="M315" s="661"/>
      <c r="N315" s="661"/>
      <c r="O315" s="671" t="s">
        <v>17</v>
      </c>
      <c r="P315" s="671"/>
      <c r="Q315" s="1302"/>
    </row>
    <row r="316" spans="3:31" ht="15" customHeight="1" x14ac:dyDescent="0.25">
      <c r="C316" s="670" t="s">
        <v>532</v>
      </c>
      <c r="D316" s="607"/>
      <c r="E316" s="661"/>
      <c r="F316" s="661"/>
      <c r="G316" s="661"/>
      <c r="H316" s="661"/>
      <c r="I316" s="661"/>
      <c r="J316" s="661"/>
      <c r="K316" s="661"/>
      <c r="L316" s="661"/>
      <c r="M316" s="661"/>
      <c r="N316" s="661"/>
      <c r="O316" s="660"/>
      <c r="P316" s="660"/>
      <c r="Q316" s="1302"/>
    </row>
    <row r="317" spans="3:31" ht="15" customHeight="1" x14ac:dyDescent="0.25">
      <c r="C317" s="669" t="s">
        <v>663</v>
      </c>
      <c r="D317" s="607"/>
      <c r="E317" s="661"/>
      <c r="F317" s="661"/>
      <c r="G317" s="661"/>
      <c r="H317" s="661"/>
      <c r="I317" s="661"/>
      <c r="J317" s="661"/>
      <c r="K317" s="661"/>
      <c r="L317" s="661"/>
      <c r="M317" s="661"/>
      <c r="N317" s="661"/>
      <c r="O317" s="660"/>
      <c r="P317" s="660"/>
      <c r="Q317" s="1302"/>
    </row>
    <row r="318" spans="3:31" ht="15" customHeight="1" x14ac:dyDescent="0.25">
      <c r="C318" s="669"/>
      <c r="D318" s="607"/>
      <c r="E318" s="661"/>
      <c r="F318" s="661"/>
      <c r="G318" s="661"/>
      <c r="H318" s="661"/>
      <c r="I318" s="661"/>
      <c r="J318" s="661"/>
      <c r="K318" s="661"/>
      <c r="L318" s="661"/>
      <c r="M318" s="661"/>
      <c r="N318" s="661"/>
      <c r="O318" s="660"/>
      <c r="P318" s="660"/>
      <c r="Q318" s="1302"/>
    </row>
    <row r="319" spans="3:31" ht="15" customHeight="1" x14ac:dyDescent="0.25">
      <c r="C319" s="669"/>
      <c r="D319" s="607"/>
      <c r="E319" s="661"/>
      <c r="F319" s="661"/>
      <c r="G319" s="661"/>
      <c r="H319" s="661"/>
      <c r="I319" s="661"/>
      <c r="J319" s="661"/>
      <c r="K319" s="661"/>
      <c r="L319" s="661"/>
      <c r="M319" s="661"/>
      <c r="N319" s="661"/>
      <c r="O319" s="660"/>
      <c r="P319" s="660"/>
      <c r="Q319" s="1300"/>
    </row>
    <row r="320" spans="3:31" ht="15" customHeight="1" thickBot="1" x14ac:dyDescent="0.3">
      <c r="C320" s="668" t="s">
        <v>411</v>
      </c>
      <c r="D320" s="667"/>
      <c r="E320" s="665">
        <v>2017</v>
      </c>
      <c r="F320" s="666"/>
      <c r="G320" s="665">
        <v>2018</v>
      </c>
      <c r="H320" s="666"/>
      <c r="I320" s="665">
        <v>2019</v>
      </c>
      <c r="J320" s="666"/>
      <c r="K320" s="665">
        <v>2020</v>
      </c>
      <c r="L320" s="666"/>
      <c r="M320" s="665">
        <v>2020</v>
      </c>
      <c r="N320" s="664"/>
      <c r="O320" s="663" t="s">
        <v>35</v>
      </c>
      <c r="P320" s="664"/>
      <c r="Q320" s="1300"/>
    </row>
    <row r="321" spans="1:33" ht="15" customHeight="1" thickTop="1" x14ac:dyDescent="0.25">
      <c r="C321" s="662"/>
      <c r="D321" s="607"/>
      <c r="E321" s="661"/>
      <c r="F321" s="661"/>
      <c r="G321" s="661"/>
      <c r="H321" s="661"/>
      <c r="I321" s="661"/>
      <c r="J321" s="661"/>
      <c r="K321" s="661"/>
      <c r="L321" s="661"/>
      <c r="M321" s="661"/>
      <c r="N321" s="661"/>
      <c r="O321" s="660"/>
      <c r="P321" s="660"/>
      <c r="Q321" s="1300"/>
    </row>
    <row r="322" spans="1:33" ht="15" customHeight="1" x14ac:dyDescent="0.25">
      <c r="C322" s="650"/>
      <c r="H322" s="644"/>
      <c r="I322" s="653"/>
      <c r="J322" s="644"/>
      <c r="K322" s="651"/>
      <c r="L322" s="644"/>
      <c r="M322" s="644"/>
      <c r="N322" s="644"/>
      <c r="O322" s="651"/>
      <c r="P322" s="651"/>
      <c r="Q322" s="1300"/>
      <c r="Y322" s="656"/>
      <c r="AA322" s="659"/>
      <c r="AB322" s="600"/>
      <c r="AC322" s="635"/>
      <c r="AD322" s="635"/>
      <c r="AE322" s="629"/>
    </row>
    <row r="323" spans="1:33" ht="15" customHeight="1" x14ac:dyDescent="0.25">
      <c r="C323" s="650"/>
      <c r="J323" s="644"/>
      <c r="K323" s="653"/>
      <c r="L323" s="644"/>
      <c r="M323" s="644"/>
      <c r="N323" s="644"/>
      <c r="O323" s="652"/>
      <c r="P323" s="652"/>
      <c r="Q323" s="1300"/>
      <c r="Y323" s="658"/>
      <c r="AA323" s="657"/>
      <c r="AB323" s="600"/>
      <c r="AC323" s="635"/>
      <c r="AD323" s="635"/>
      <c r="AE323" s="635"/>
    </row>
    <row r="324" spans="1:33" ht="15" customHeight="1" x14ac:dyDescent="0.25">
      <c r="C324" s="642"/>
      <c r="H324" s="644"/>
      <c r="I324" s="644"/>
      <c r="J324" s="644"/>
      <c r="K324" s="653"/>
      <c r="L324" s="644"/>
      <c r="M324" s="644"/>
      <c r="N324" s="644"/>
      <c r="O324" s="652"/>
      <c r="P324" s="652"/>
      <c r="Q324" s="1300"/>
      <c r="Y324" s="656"/>
      <c r="AA324" s="655"/>
      <c r="AB324" s="600"/>
      <c r="AC324" s="635"/>
      <c r="AD324" s="635"/>
      <c r="AE324" s="635"/>
    </row>
    <row r="325" spans="1:33" ht="15" customHeight="1" x14ac:dyDescent="0.25">
      <c r="C325" s="650"/>
      <c r="H325" s="644"/>
      <c r="I325" s="644"/>
      <c r="J325" s="644"/>
      <c r="K325" s="653"/>
      <c r="L325" s="644"/>
      <c r="M325" s="644"/>
      <c r="N325" s="644"/>
      <c r="O325" s="652"/>
      <c r="P325" s="652"/>
      <c r="Q325" s="1300"/>
      <c r="Y325" s="643"/>
      <c r="AA325" s="600"/>
      <c r="AB325" s="600"/>
      <c r="AC325" s="635"/>
      <c r="AD325" s="635"/>
      <c r="AE325" s="635"/>
    </row>
    <row r="326" spans="1:33" ht="15" customHeight="1" x14ac:dyDescent="0.25">
      <c r="C326" s="650"/>
      <c r="J326" s="644"/>
      <c r="K326" s="653"/>
      <c r="L326" s="644"/>
      <c r="M326" s="644"/>
      <c r="N326" s="644"/>
      <c r="O326" s="652"/>
      <c r="P326" s="652"/>
      <c r="Q326" s="1300"/>
      <c r="Y326" s="650"/>
      <c r="AA326" s="654"/>
      <c r="AB326" s="600"/>
      <c r="AC326" s="635"/>
      <c r="AD326" s="635"/>
      <c r="AE326" s="635"/>
    </row>
    <row r="327" spans="1:33" ht="15" customHeight="1" x14ac:dyDescent="0.25">
      <c r="C327" s="650"/>
      <c r="J327" s="644"/>
      <c r="K327" s="653"/>
      <c r="L327" s="644"/>
      <c r="M327" s="644"/>
      <c r="N327" s="644"/>
      <c r="O327" s="652"/>
      <c r="P327" s="652"/>
      <c r="Q327" s="1300"/>
      <c r="Y327" s="650"/>
      <c r="AA327" s="600"/>
      <c r="AB327" s="600"/>
      <c r="AC327" s="635"/>
      <c r="AD327" s="635"/>
      <c r="AE327" s="635"/>
    </row>
    <row r="328" spans="1:33" ht="15" customHeight="1" x14ac:dyDescent="0.25">
      <c r="C328" s="650"/>
      <c r="J328" s="644"/>
      <c r="K328" s="653"/>
      <c r="L328" s="644"/>
      <c r="M328" s="644"/>
      <c r="N328" s="644"/>
      <c r="O328" s="652"/>
      <c r="P328" s="652"/>
      <c r="Q328" s="1300"/>
      <c r="Y328" s="622"/>
      <c r="AA328" s="600"/>
      <c r="AB328" s="600"/>
      <c r="AC328" s="635"/>
      <c r="AD328" s="635"/>
      <c r="AE328" s="635"/>
      <c r="AF328" s="635"/>
      <c r="AG328" s="629"/>
    </row>
    <row r="329" spans="1:33" ht="15" customHeight="1" x14ac:dyDescent="0.25">
      <c r="C329" s="650"/>
      <c r="J329" s="644"/>
      <c r="K329" s="653"/>
      <c r="L329" s="644"/>
      <c r="M329" s="644"/>
      <c r="N329" s="644"/>
      <c r="O329" s="652"/>
      <c r="P329" s="652"/>
      <c r="Q329" s="1300"/>
      <c r="Y329" s="643"/>
      <c r="AA329" s="600"/>
      <c r="AB329" s="600"/>
      <c r="AC329" s="635"/>
      <c r="AD329" s="635"/>
      <c r="AE329" s="635"/>
      <c r="AF329" s="635"/>
      <c r="AG329" s="635"/>
    </row>
    <row r="330" spans="1:33" s="633" customFormat="1" ht="15" customHeight="1" x14ac:dyDescent="0.25">
      <c r="A330" s="639"/>
      <c r="B330" s="639"/>
      <c r="C330" s="650"/>
      <c r="D330" s="649"/>
      <c r="E330" s="651"/>
      <c r="F330" s="651"/>
      <c r="G330" s="651"/>
      <c r="H330" s="651"/>
      <c r="I330" s="651"/>
      <c r="J330" s="647"/>
      <c r="K330" s="647"/>
      <c r="L330" s="647"/>
      <c r="M330" s="648"/>
      <c r="N330" s="647"/>
      <c r="O330" s="646"/>
      <c r="P330" s="646"/>
      <c r="Q330" s="765"/>
      <c r="R330" s="1303"/>
      <c r="Y330" s="643"/>
      <c r="AA330" s="641"/>
      <c r="AB330" s="641"/>
      <c r="AC330" s="635"/>
      <c r="AD330" s="635"/>
      <c r="AE330" s="635"/>
      <c r="AF330" s="635"/>
      <c r="AG330" s="635"/>
    </row>
    <row r="331" spans="1:33" s="633" customFormat="1" ht="15" customHeight="1" x14ac:dyDescent="0.25">
      <c r="A331" s="639"/>
      <c r="B331" s="639"/>
      <c r="C331" s="650"/>
      <c r="D331" s="649"/>
      <c r="E331" s="647"/>
      <c r="F331" s="651"/>
      <c r="G331" s="647"/>
      <c r="H331" s="651"/>
      <c r="I331" s="647"/>
      <c r="J331" s="647"/>
      <c r="K331" s="647"/>
      <c r="L331" s="647"/>
      <c r="M331" s="648"/>
      <c r="N331" s="647"/>
      <c r="O331" s="646"/>
      <c r="P331" s="646"/>
      <c r="Q331" s="765"/>
      <c r="R331" s="1303"/>
      <c r="Y331" s="643"/>
      <c r="AA331" s="641"/>
      <c r="AB331" s="641"/>
      <c r="AC331" s="635"/>
      <c r="AD331" s="635"/>
      <c r="AE331" s="635"/>
      <c r="AF331" s="635"/>
      <c r="AG331" s="635"/>
    </row>
    <row r="332" spans="1:33" s="1303" customFormat="1" ht="15" customHeight="1" x14ac:dyDescent="0.25">
      <c r="A332" s="645"/>
      <c r="B332" s="645"/>
      <c r="C332" s="650"/>
      <c r="D332" s="649"/>
      <c r="E332" s="647"/>
      <c r="F332" s="651"/>
      <c r="G332" s="647"/>
      <c r="H332" s="651"/>
      <c r="I332" s="647"/>
      <c r="J332" s="647"/>
      <c r="K332" s="647"/>
      <c r="L332" s="647"/>
      <c r="M332" s="648"/>
      <c r="N332" s="647"/>
      <c r="O332" s="646"/>
      <c r="P332" s="646"/>
      <c r="Q332" s="765"/>
      <c r="U332" s="646"/>
    </row>
    <row r="333" spans="1:33" s="1303" customFormat="1" ht="15" customHeight="1" x14ac:dyDescent="0.25">
      <c r="A333" s="645"/>
      <c r="B333" s="645"/>
      <c r="C333" s="645"/>
      <c r="D333" s="645"/>
      <c r="E333" s="647"/>
      <c r="F333" s="645"/>
      <c r="G333" s="647"/>
      <c r="H333" s="645"/>
      <c r="I333" s="647"/>
      <c r="J333" s="645"/>
      <c r="K333" s="645"/>
      <c r="L333" s="645"/>
      <c r="M333" s="645"/>
      <c r="N333" s="645"/>
      <c r="O333" s="646"/>
      <c r="P333" s="646"/>
      <c r="Q333" s="765"/>
      <c r="U333" s="646"/>
    </row>
    <row r="334" spans="1:33" s="1303" customFormat="1" ht="15" customHeight="1" x14ac:dyDescent="0.25">
      <c r="A334" s="645"/>
      <c r="B334" s="645"/>
      <c r="C334" s="650"/>
      <c r="D334" s="649"/>
      <c r="E334" s="647"/>
      <c r="F334" s="647"/>
      <c r="G334" s="647"/>
      <c r="H334" s="647"/>
      <c r="I334" s="647"/>
      <c r="J334" s="647"/>
      <c r="K334" s="647"/>
      <c r="L334" s="647"/>
      <c r="M334" s="648"/>
      <c r="N334" s="647"/>
      <c r="O334" s="646"/>
      <c r="P334" s="646"/>
      <c r="Q334" s="765"/>
      <c r="U334" s="646"/>
    </row>
    <row r="335" spans="1:33" s="1303" customFormat="1" ht="15" customHeight="1" x14ac:dyDescent="0.25">
      <c r="A335" s="645"/>
      <c r="B335" s="645"/>
      <c r="C335" s="650"/>
      <c r="D335" s="649"/>
      <c r="E335" s="647"/>
      <c r="F335" s="647"/>
      <c r="G335" s="647"/>
      <c r="H335" s="647"/>
      <c r="I335" s="647"/>
      <c r="J335" s="647"/>
      <c r="K335" s="647"/>
      <c r="L335" s="647"/>
      <c r="M335" s="648"/>
      <c r="N335" s="647"/>
      <c r="O335" s="646"/>
      <c r="P335" s="646"/>
      <c r="Q335" s="765"/>
      <c r="U335" s="646"/>
    </row>
    <row r="336" spans="1:33" s="633" customFormat="1" ht="15" customHeight="1" x14ac:dyDescent="0.25">
      <c r="A336" s="639"/>
      <c r="B336" s="639"/>
      <c r="C336" s="650"/>
      <c r="D336" s="649"/>
      <c r="E336" s="647"/>
      <c r="F336" s="647"/>
      <c r="G336" s="647"/>
      <c r="H336" s="647"/>
      <c r="I336" s="647"/>
      <c r="J336" s="647"/>
      <c r="K336" s="647"/>
      <c r="L336" s="647"/>
      <c r="M336" s="648"/>
      <c r="N336" s="647"/>
      <c r="O336" s="646"/>
      <c r="P336" s="646"/>
      <c r="Q336" s="765"/>
      <c r="R336" s="1303"/>
      <c r="U336" s="635"/>
    </row>
    <row r="337" spans="1:21" s="633" customFormat="1" ht="15" customHeight="1" x14ac:dyDescent="0.25">
      <c r="A337" s="639"/>
      <c r="B337" s="639"/>
      <c r="C337" s="643"/>
      <c r="D337" s="641"/>
      <c r="E337" s="644"/>
      <c r="F337" s="644"/>
      <c r="G337" s="644"/>
      <c r="H337" s="644"/>
      <c r="I337" s="644"/>
      <c r="J337" s="644"/>
      <c r="K337" s="644"/>
      <c r="L337" s="644"/>
      <c r="M337" s="644"/>
      <c r="N337" s="644"/>
      <c r="O337" s="635"/>
      <c r="P337" s="635"/>
      <c r="Q337" s="765"/>
      <c r="U337" s="635"/>
    </row>
    <row r="338" spans="1:21" s="633" customFormat="1" ht="15" customHeight="1" x14ac:dyDescent="0.25">
      <c r="A338" s="639"/>
      <c r="B338" s="639"/>
      <c r="C338" s="643"/>
      <c r="D338" s="641"/>
      <c r="E338" s="644"/>
      <c r="F338" s="644"/>
      <c r="G338" s="644"/>
      <c r="H338" s="644"/>
      <c r="I338" s="644"/>
      <c r="J338" s="644"/>
      <c r="K338" s="644"/>
      <c r="L338" s="644"/>
      <c r="M338" s="644"/>
      <c r="N338" s="644"/>
      <c r="O338" s="635"/>
      <c r="P338" s="635"/>
      <c r="Q338" s="765"/>
      <c r="U338" s="635"/>
    </row>
    <row r="339" spans="1:21" s="633" customFormat="1" ht="15" customHeight="1" x14ac:dyDescent="0.25">
      <c r="A339" s="639"/>
      <c r="B339" s="639"/>
      <c r="C339" s="643"/>
      <c r="D339" s="641"/>
      <c r="E339" s="644"/>
      <c r="F339" s="644"/>
      <c r="G339" s="644"/>
      <c r="H339" s="644"/>
      <c r="I339" s="644"/>
      <c r="J339" s="644"/>
      <c r="K339" s="644"/>
      <c r="L339" s="644"/>
      <c r="M339" s="644"/>
      <c r="N339" s="644"/>
      <c r="O339" s="635"/>
      <c r="P339" s="635"/>
      <c r="Q339" s="765"/>
    </row>
    <row r="340" spans="1:21" s="633" customFormat="1" ht="15" customHeight="1" x14ac:dyDescent="0.25">
      <c r="A340" s="639"/>
      <c r="B340" s="639"/>
      <c r="C340" s="643"/>
      <c r="D340" s="641"/>
      <c r="E340" s="644"/>
      <c r="F340" s="644"/>
      <c r="G340" s="644"/>
      <c r="H340" s="644"/>
      <c r="I340" s="644"/>
      <c r="J340" s="644"/>
      <c r="K340" s="644"/>
      <c r="L340" s="644"/>
      <c r="M340" s="644"/>
      <c r="N340" s="644"/>
      <c r="O340" s="635"/>
      <c r="P340" s="635"/>
      <c r="Q340" s="765"/>
    </row>
    <row r="341" spans="1:21" s="633" customFormat="1" ht="15" customHeight="1" x14ac:dyDescent="0.25">
      <c r="A341" s="639"/>
      <c r="B341" s="639"/>
      <c r="C341" s="643"/>
      <c r="D341" s="641"/>
      <c r="E341" s="644"/>
      <c r="F341" s="644"/>
      <c r="G341" s="644"/>
      <c r="H341" s="644"/>
      <c r="I341" s="644"/>
      <c r="J341" s="644"/>
      <c r="K341" s="644"/>
      <c r="L341" s="644"/>
      <c r="M341" s="644"/>
      <c r="N341" s="644"/>
      <c r="O341" s="635"/>
      <c r="P341" s="635"/>
      <c r="Q341" s="765"/>
    </row>
    <row r="342" spans="1:21" s="633" customFormat="1" ht="15" customHeight="1" x14ac:dyDescent="0.25">
      <c r="A342" s="639"/>
      <c r="B342" s="639"/>
      <c r="C342" s="643"/>
      <c r="D342" s="641"/>
      <c r="E342" s="644"/>
      <c r="F342" s="644"/>
      <c r="G342" s="644"/>
      <c r="H342" s="644"/>
      <c r="I342" s="644"/>
      <c r="J342" s="644"/>
      <c r="K342" s="644"/>
      <c r="L342" s="644"/>
      <c r="M342" s="644"/>
      <c r="N342" s="644"/>
      <c r="O342" s="635"/>
      <c r="P342" s="635"/>
      <c r="Q342" s="765"/>
    </row>
    <row r="343" spans="1:21" s="633" customFormat="1" ht="13.5" customHeight="1" x14ac:dyDescent="0.25">
      <c r="A343" s="639"/>
      <c r="B343" s="639"/>
      <c r="C343" s="643"/>
      <c r="D343" s="641"/>
      <c r="E343" s="635"/>
      <c r="F343" s="635"/>
      <c r="G343" s="635"/>
      <c r="H343" s="635"/>
      <c r="I343" s="635"/>
      <c r="J343" s="635"/>
      <c r="K343" s="635"/>
      <c r="L343" s="635"/>
      <c r="M343" s="635"/>
      <c r="N343" s="635"/>
      <c r="O343" s="635"/>
      <c r="P343" s="635"/>
      <c r="Q343" s="765"/>
    </row>
    <row r="344" spans="1:21" s="633" customFormat="1" ht="15.75" hidden="1" customHeight="1" x14ac:dyDescent="0.25">
      <c r="A344" s="639"/>
      <c r="B344" s="639"/>
      <c r="G344" s="635"/>
      <c r="I344" s="635"/>
      <c r="O344" s="635"/>
      <c r="P344" s="635"/>
      <c r="Q344" s="765"/>
    </row>
    <row r="345" spans="1:21" ht="15" customHeight="1" x14ac:dyDescent="0.25">
      <c r="C345" s="622"/>
      <c r="E345" s="599"/>
      <c r="G345" s="599"/>
      <c r="H345" s="599"/>
      <c r="I345" s="638"/>
      <c r="J345" s="638"/>
      <c r="K345" s="638"/>
      <c r="L345" s="638"/>
      <c r="M345" s="638"/>
      <c r="O345" s="621"/>
      <c r="P345" s="621"/>
    </row>
    <row r="346" spans="1:21" ht="15" customHeight="1" x14ac:dyDescent="0.25">
      <c r="C346" s="637"/>
      <c r="E346" s="625"/>
      <c r="F346" s="625"/>
      <c r="G346" s="625"/>
      <c r="H346" s="625"/>
      <c r="I346" s="625"/>
      <c r="J346" s="625"/>
      <c r="K346" s="625"/>
      <c r="L346" s="625"/>
      <c r="M346" s="625"/>
      <c r="N346" s="624"/>
      <c r="O346" s="624"/>
      <c r="P346" s="624"/>
      <c r="Q346" s="623"/>
    </row>
    <row r="347" spans="1:21" ht="15" hidden="1" customHeight="1" x14ac:dyDescent="0.25">
      <c r="C347" s="621"/>
      <c r="E347" s="636"/>
      <c r="F347" s="625"/>
      <c r="G347" s="625"/>
      <c r="H347" s="625"/>
      <c r="I347" s="625"/>
      <c r="J347" s="625"/>
      <c r="K347" s="625"/>
      <c r="L347" s="625"/>
      <c r="M347" s="625"/>
      <c r="N347" s="624"/>
      <c r="O347" s="635"/>
      <c r="P347" s="635"/>
      <c r="Q347" s="623"/>
    </row>
    <row r="348" spans="1:21" ht="15" customHeight="1" x14ac:dyDescent="0.25">
      <c r="C348" s="621"/>
      <c r="E348" s="636"/>
      <c r="F348" s="635"/>
      <c r="G348" s="636"/>
      <c r="H348" s="635"/>
      <c r="I348" s="636"/>
      <c r="J348" s="635"/>
      <c r="K348" s="635"/>
      <c r="L348" s="635"/>
      <c r="M348" s="636"/>
      <c r="N348" s="635"/>
      <c r="O348" s="635"/>
      <c r="P348" s="635"/>
      <c r="Q348" s="623"/>
    </row>
    <row r="349" spans="1:21" ht="15" customHeight="1" x14ac:dyDescent="0.25">
      <c r="C349" s="621"/>
      <c r="E349" s="625"/>
      <c r="F349" s="625"/>
      <c r="G349" s="625"/>
      <c r="H349" s="625"/>
      <c r="I349" s="625"/>
      <c r="J349" s="625"/>
      <c r="K349" s="629"/>
      <c r="L349" s="625"/>
      <c r="M349" s="625"/>
      <c r="N349" s="624"/>
      <c r="O349" s="625"/>
      <c r="P349" s="625"/>
      <c r="Q349" s="626"/>
    </row>
    <row r="350" spans="1:21" ht="15" customHeight="1" x14ac:dyDescent="0.25">
      <c r="C350" s="621"/>
      <c r="E350" s="629"/>
      <c r="F350" s="625"/>
      <c r="G350" s="629"/>
      <c r="H350" s="625"/>
      <c r="I350" s="629"/>
      <c r="J350" s="625"/>
      <c r="K350" s="629"/>
      <c r="L350" s="625"/>
      <c r="M350" s="629"/>
      <c r="N350" s="624"/>
      <c r="O350" s="629"/>
      <c r="P350" s="629"/>
      <c r="Q350" s="626"/>
      <c r="R350" s="624"/>
    </row>
    <row r="351" spans="1:21" ht="15" customHeight="1" x14ac:dyDescent="0.25">
      <c r="C351" s="621"/>
      <c r="E351" s="634"/>
      <c r="F351" s="625"/>
      <c r="G351" s="634"/>
      <c r="H351" s="625"/>
      <c r="I351" s="634"/>
      <c r="J351" s="625"/>
      <c r="K351" s="634"/>
      <c r="L351" s="625"/>
      <c r="M351" s="634"/>
      <c r="N351" s="624"/>
      <c r="O351" s="634"/>
      <c r="P351" s="634"/>
      <c r="Q351" s="626"/>
    </row>
    <row r="352" spans="1:21" ht="15" customHeight="1" x14ac:dyDescent="0.25">
      <c r="C352" s="633"/>
      <c r="E352" s="630"/>
      <c r="F352" s="631"/>
      <c r="G352" s="630"/>
      <c r="H352" s="631"/>
      <c r="I352" s="631"/>
      <c r="J352" s="632"/>
      <c r="K352" s="632"/>
      <c r="L352" s="599"/>
      <c r="M352" s="599"/>
      <c r="N352" s="624"/>
      <c r="O352" s="628"/>
      <c r="P352" s="628"/>
      <c r="Q352" s="623"/>
      <c r="R352" s="626"/>
    </row>
    <row r="353" spans="3:18" ht="15" customHeight="1" x14ac:dyDescent="0.25">
      <c r="C353" s="621"/>
      <c r="E353" s="631"/>
      <c r="F353" s="631"/>
      <c r="G353" s="631"/>
      <c r="H353" s="631"/>
      <c r="I353" s="631"/>
      <c r="J353" s="631"/>
      <c r="K353" s="631"/>
      <c r="L353" s="625"/>
      <c r="M353" s="625"/>
      <c r="N353" s="624"/>
      <c r="O353" s="624"/>
      <c r="P353" s="624"/>
      <c r="Q353" s="626"/>
    </row>
    <row r="354" spans="3:18" ht="15" customHeight="1" x14ac:dyDescent="0.25">
      <c r="C354" s="621"/>
      <c r="E354" s="630"/>
      <c r="F354" s="631"/>
      <c r="G354" s="630"/>
      <c r="H354" s="631"/>
      <c r="I354" s="630"/>
      <c r="J354" s="631"/>
      <c r="K354" s="630"/>
      <c r="L354" s="625"/>
      <c r="M354" s="629"/>
      <c r="N354" s="624"/>
      <c r="O354" s="628"/>
      <c r="P354" s="628"/>
      <c r="Q354" s="626"/>
      <c r="R354" s="1304"/>
    </row>
    <row r="355" spans="3:18" ht="15" customHeight="1" x14ac:dyDescent="0.25">
      <c r="C355" s="622"/>
      <c r="E355" s="625"/>
      <c r="F355" s="625"/>
      <c r="G355" s="625"/>
      <c r="H355" s="625"/>
      <c r="I355" s="625"/>
      <c r="J355" s="625"/>
      <c r="K355" s="625"/>
      <c r="L355" s="625"/>
      <c r="M355" s="625"/>
      <c r="N355" s="624"/>
      <c r="O355" s="624"/>
      <c r="P355" s="624"/>
      <c r="Q355" s="626"/>
    </row>
    <row r="356" spans="3:18" ht="15" customHeight="1" x14ac:dyDescent="0.25">
      <c r="C356" s="627"/>
      <c r="E356" s="625"/>
      <c r="F356" s="625"/>
      <c r="G356" s="625"/>
      <c r="H356" s="625"/>
      <c r="I356" s="625"/>
      <c r="J356" s="625"/>
      <c r="K356" s="625"/>
      <c r="L356" s="625"/>
      <c r="M356" s="625"/>
      <c r="N356" s="624"/>
      <c r="O356" s="624"/>
      <c r="P356" s="624"/>
      <c r="Q356" s="626"/>
    </row>
    <row r="357" spans="3:18" ht="15" hidden="1" customHeight="1" x14ac:dyDescent="0.25">
      <c r="C357" s="622"/>
      <c r="E357" s="625"/>
      <c r="F357" s="625"/>
      <c r="G357" s="625"/>
      <c r="H357" s="625"/>
      <c r="I357" s="625"/>
      <c r="J357" s="625"/>
      <c r="K357" s="625"/>
      <c r="L357" s="625"/>
      <c r="M357" s="625"/>
      <c r="N357" s="624"/>
      <c r="O357" s="624"/>
      <c r="P357" s="624"/>
      <c r="Q357" s="623"/>
    </row>
    <row r="358" spans="3:18" ht="15" hidden="1" customHeight="1" x14ac:dyDescent="0.25">
      <c r="C358" s="622"/>
      <c r="E358" s="625"/>
      <c r="F358" s="625"/>
      <c r="G358" s="625"/>
      <c r="H358" s="625"/>
      <c r="I358" s="625"/>
      <c r="J358" s="625"/>
      <c r="K358" s="625"/>
      <c r="L358" s="625"/>
      <c r="M358" s="625"/>
      <c r="N358" s="624"/>
      <c r="O358" s="624"/>
      <c r="P358" s="624"/>
      <c r="Q358" s="626"/>
    </row>
    <row r="359" spans="3:18" ht="15" hidden="1" customHeight="1" x14ac:dyDescent="0.25">
      <c r="C359" s="622"/>
      <c r="E359" s="625"/>
      <c r="F359" s="625"/>
      <c r="G359" s="625"/>
      <c r="H359" s="625"/>
      <c r="I359" s="625"/>
      <c r="J359" s="625"/>
      <c r="K359" s="625"/>
      <c r="L359" s="625"/>
      <c r="M359" s="625"/>
      <c r="N359" s="624"/>
      <c r="O359" s="624"/>
      <c r="P359" s="624"/>
      <c r="Q359" s="623"/>
    </row>
    <row r="360" spans="3:18" ht="15" hidden="1" customHeight="1" x14ac:dyDescent="0.25">
      <c r="C360" s="622"/>
      <c r="E360" s="599"/>
      <c r="G360" s="599"/>
      <c r="H360" s="599"/>
      <c r="I360" s="599"/>
      <c r="J360" s="599"/>
      <c r="K360" s="599"/>
      <c r="L360" s="599"/>
      <c r="M360" s="599"/>
      <c r="O360" s="621"/>
      <c r="P360" s="621"/>
      <c r="R360" s="1298"/>
    </row>
    <row r="361" spans="3:18" ht="15" customHeight="1" x14ac:dyDescent="0.25">
      <c r="C361" s="622"/>
      <c r="E361" s="599"/>
      <c r="G361" s="599"/>
      <c r="H361" s="599"/>
      <c r="I361" s="599"/>
      <c r="J361" s="599"/>
      <c r="K361" s="599"/>
      <c r="L361" s="599"/>
      <c r="M361" s="599"/>
      <c r="O361" s="621"/>
      <c r="P361" s="621"/>
    </row>
    <row r="362" spans="3:18" ht="15" hidden="1" customHeight="1" x14ac:dyDescent="0.25">
      <c r="C362" s="620" t="s">
        <v>614</v>
      </c>
    </row>
    <row r="363" spans="3:18" ht="15" hidden="1" customHeight="1" x14ac:dyDescent="0.25">
      <c r="C363" s="602" t="s">
        <v>615</v>
      </c>
      <c r="E363" s="616">
        <v>0</v>
      </c>
      <c r="F363" s="619"/>
      <c r="G363" s="616">
        <v>0</v>
      </c>
      <c r="H363" s="616"/>
      <c r="I363" s="616">
        <v>0</v>
      </c>
      <c r="J363" s="616"/>
      <c r="K363" s="616">
        <v>0</v>
      </c>
      <c r="L363" s="618"/>
      <c r="M363" s="618"/>
      <c r="N363" s="617"/>
      <c r="O363" s="616">
        <v>0</v>
      </c>
      <c r="P363" s="616"/>
    </row>
    <row r="364" spans="3:18" ht="15" hidden="1" customHeight="1" x14ac:dyDescent="0.25">
      <c r="C364" s="601" t="s">
        <v>616</v>
      </c>
      <c r="E364" s="611">
        <v>0</v>
      </c>
      <c r="F364" s="615"/>
      <c r="G364" s="611">
        <v>0</v>
      </c>
      <c r="H364" s="614"/>
      <c r="I364" s="611">
        <v>0</v>
      </c>
      <c r="J364" s="614"/>
      <c r="K364" s="611">
        <v>0</v>
      </c>
      <c r="L364" s="613"/>
      <c r="M364" s="613"/>
      <c r="N364" s="612"/>
      <c r="O364" s="611">
        <v>0</v>
      </c>
      <c r="P364" s="635"/>
    </row>
    <row r="365" spans="3:18" ht="15" hidden="1" customHeight="1" x14ac:dyDescent="0.25">
      <c r="C365" s="609"/>
    </row>
    <row r="366" spans="3:18" ht="15" hidden="1" customHeight="1" x14ac:dyDescent="0.25">
      <c r="C366" s="601" t="s">
        <v>533</v>
      </c>
      <c r="E366" s="610">
        <v>0</v>
      </c>
      <c r="G366" s="610">
        <v>0</v>
      </c>
      <c r="I366" s="610">
        <v>0</v>
      </c>
      <c r="K366" s="610">
        <v>0</v>
      </c>
      <c r="O366" s="610">
        <v>0</v>
      </c>
      <c r="P366" s="629"/>
    </row>
    <row r="367" spans="3:18" ht="15" hidden="1" customHeight="1" x14ac:dyDescent="0.25">
      <c r="C367" s="609"/>
    </row>
    <row r="368" spans="3:18" ht="15" customHeight="1" x14ac:dyDescent="0.25">
      <c r="C368" s="609"/>
    </row>
    <row r="369" spans="3:18" ht="15" customHeight="1" x14ac:dyDescent="0.25">
      <c r="C369" s="609"/>
    </row>
    <row r="370" spans="3:18" ht="15" customHeight="1" x14ac:dyDescent="0.25">
      <c r="C370" s="609"/>
    </row>
    <row r="371" spans="3:18" ht="15" customHeight="1" x14ac:dyDescent="0.25">
      <c r="C371" s="602"/>
    </row>
    <row r="372" spans="3:18" ht="15" customHeight="1" x14ac:dyDescent="0.25">
      <c r="C372" s="602"/>
    </row>
    <row r="373" spans="3:18" ht="15" customHeight="1" x14ac:dyDescent="0.25">
      <c r="C373" s="602"/>
    </row>
    <row r="374" spans="3:18" ht="15" customHeight="1" x14ac:dyDescent="0.25">
      <c r="C374" s="608">
        <v>0</v>
      </c>
      <c r="D374" s="607"/>
      <c r="E374" s="605"/>
      <c r="F374" s="606"/>
      <c r="G374" s="605"/>
      <c r="H374" s="605"/>
      <c r="I374" s="605"/>
      <c r="J374" s="605"/>
      <c r="K374" s="605"/>
      <c r="L374" s="605"/>
      <c r="M374" s="605"/>
      <c r="N374" s="604"/>
      <c r="O374" s="603"/>
      <c r="P374" s="603"/>
    </row>
    <row r="375" spans="3:18" ht="15" customHeight="1" x14ac:dyDescent="0.25">
      <c r="C375" s="608">
        <v>0</v>
      </c>
      <c r="D375" s="607"/>
      <c r="E375" s="605"/>
      <c r="F375" s="606"/>
      <c r="G375" s="605"/>
      <c r="H375" s="605"/>
      <c r="I375" s="605"/>
      <c r="J375" s="605"/>
      <c r="K375" s="605"/>
      <c r="L375" s="605"/>
      <c r="M375" s="605"/>
      <c r="N375" s="604"/>
      <c r="O375" s="603"/>
      <c r="P375" s="603"/>
    </row>
    <row r="376" spans="3:18" ht="15" customHeight="1" x14ac:dyDescent="0.25">
      <c r="C376" s="608">
        <v>0</v>
      </c>
      <c r="D376" s="607"/>
      <c r="E376" s="605"/>
      <c r="F376" s="606"/>
      <c r="G376" s="605"/>
      <c r="H376" s="605"/>
      <c r="I376" s="605"/>
      <c r="J376" s="605"/>
      <c r="K376" s="605"/>
      <c r="L376" s="605"/>
      <c r="M376" s="605"/>
      <c r="N376" s="604"/>
      <c r="O376" s="603"/>
      <c r="P376" s="603"/>
    </row>
    <row r="377" spans="3:18" ht="15" customHeight="1" x14ac:dyDescent="0.25">
      <c r="C377" s="603"/>
      <c r="D377" s="607"/>
      <c r="E377" s="605"/>
      <c r="F377" s="606"/>
      <c r="G377" s="605"/>
      <c r="H377" s="605"/>
      <c r="I377" s="605"/>
      <c r="J377" s="605"/>
      <c r="K377" s="605"/>
      <c r="L377" s="605"/>
      <c r="M377" s="605"/>
      <c r="N377" s="604"/>
      <c r="O377" s="603"/>
      <c r="P377" s="603"/>
    </row>
    <row r="378" spans="3:18" ht="15" customHeight="1" x14ac:dyDescent="0.25">
      <c r="C378" s="603">
        <v>7</v>
      </c>
      <c r="D378" s="607"/>
      <c r="E378" s="605"/>
      <c r="F378" s="606"/>
      <c r="G378" s="605"/>
      <c r="H378" s="605"/>
      <c r="I378" s="605"/>
      <c r="J378" s="605"/>
      <c r="K378" s="605"/>
      <c r="L378" s="605"/>
      <c r="M378" s="605"/>
      <c r="N378" s="604"/>
      <c r="O378" s="603"/>
      <c r="P378" s="603"/>
    </row>
    <row r="381" spans="3:18" ht="15" customHeight="1" x14ac:dyDescent="0.25">
      <c r="C381" s="601" t="s">
        <v>579</v>
      </c>
      <c r="E381" s="598">
        <v>0</v>
      </c>
      <c r="G381" s="598">
        <v>0</v>
      </c>
      <c r="I381" s="598">
        <v>0</v>
      </c>
      <c r="K381" s="598">
        <v>0</v>
      </c>
      <c r="O381" s="598">
        <v>0</v>
      </c>
      <c r="P381" s="598"/>
      <c r="Q381" s="1305"/>
      <c r="R381" s="1305"/>
    </row>
    <row r="387" spans="1:33" s="599" customFormat="1" ht="15" customHeight="1" x14ac:dyDescent="0.25">
      <c r="A387" s="596"/>
      <c r="B387" s="596"/>
      <c r="C387" s="602" t="s">
        <v>573</v>
      </c>
      <c r="D387" s="600"/>
      <c r="E387" s="598"/>
      <c r="G387" s="598"/>
      <c r="H387" s="598"/>
      <c r="I387" s="598"/>
      <c r="J387" s="598"/>
      <c r="K387" s="598"/>
      <c r="L387" s="598"/>
      <c r="M387" s="598"/>
      <c r="N387" s="597"/>
      <c r="O387" s="596"/>
      <c r="P387" s="596"/>
      <c r="Q387" s="621"/>
      <c r="R387" s="621"/>
      <c r="S387" s="621"/>
      <c r="T387" s="621"/>
      <c r="U387" s="621"/>
      <c r="V387" s="621"/>
      <c r="W387" s="621"/>
      <c r="X387" s="621"/>
      <c r="Y387" s="621"/>
      <c r="Z387" s="621"/>
      <c r="AA387" s="621"/>
      <c r="AB387" s="621"/>
      <c r="AC387" s="621"/>
      <c r="AD387" s="621"/>
      <c r="AE387" s="621"/>
      <c r="AF387" s="621"/>
      <c r="AG387" s="621"/>
    </row>
    <row r="388" spans="1:33" s="599" customFormat="1" ht="15" customHeight="1" x14ac:dyDescent="0.25">
      <c r="A388" s="596"/>
      <c r="B388" s="596"/>
      <c r="C388" s="601"/>
      <c r="D388" s="600"/>
      <c r="E388" s="598">
        <v>-2801000</v>
      </c>
      <c r="G388" s="598">
        <v>0</v>
      </c>
      <c r="H388" s="598"/>
      <c r="I388" s="598"/>
      <c r="J388" s="598"/>
      <c r="K388" s="598"/>
      <c r="L388" s="598"/>
      <c r="M388" s="598"/>
      <c r="N388" s="597"/>
      <c r="O388" s="596"/>
      <c r="P388" s="596"/>
      <c r="Q388" s="621"/>
      <c r="R388" s="621"/>
      <c r="S388" s="621"/>
      <c r="T388" s="621"/>
      <c r="U388" s="621"/>
      <c r="V388" s="621"/>
      <c r="W388" s="621"/>
      <c r="X388" s="621"/>
      <c r="Y388" s="621"/>
      <c r="Z388" s="621"/>
      <c r="AA388" s="621"/>
      <c r="AB388" s="621"/>
      <c r="AC388" s="621"/>
      <c r="AD388" s="621"/>
      <c r="AE388" s="621"/>
      <c r="AF388" s="621"/>
      <c r="AG388" s="621"/>
    </row>
    <row r="391" spans="1:33" s="599" customFormat="1" ht="15" customHeight="1" x14ac:dyDescent="0.25">
      <c r="A391" s="596"/>
      <c r="B391" s="596"/>
      <c r="C391" s="601" t="s">
        <v>585</v>
      </c>
      <c r="D391" s="600"/>
      <c r="E391" s="598"/>
      <c r="G391" s="598">
        <v>20000000</v>
      </c>
      <c r="H391" s="598"/>
      <c r="I391" s="598">
        <v>5000000</v>
      </c>
      <c r="J391" s="598"/>
      <c r="K391" s="598"/>
      <c r="L391" s="598"/>
      <c r="M391" s="598"/>
      <c r="N391" s="597"/>
      <c r="O391" s="596"/>
      <c r="P391" s="596"/>
      <c r="Q391" s="621"/>
      <c r="R391" s="621"/>
      <c r="S391" s="621"/>
      <c r="T391" s="621"/>
      <c r="U391" s="621"/>
      <c r="V391" s="621"/>
      <c r="W391" s="621"/>
      <c r="X391" s="621"/>
      <c r="Y391" s="621"/>
      <c r="Z391" s="621"/>
      <c r="AA391" s="621"/>
      <c r="AB391" s="621"/>
      <c r="AC391" s="621"/>
      <c r="AD391" s="621"/>
      <c r="AE391" s="621"/>
      <c r="AF391" s="621"/>
      <c r="AG391" s="621"/>
    </row>
    <row r="393" spans="1:33" s="599" customFormat="1" ht="15" customHeight="1" x14ac:dyDescent="0.25">
      <c r="A393" s="596"/>
      <c r="B393" s="596"/>
      <c r="C393" s="601"/>
      <c r="D393" s="600"/>
      <c r="E393" s="598">
        <v>0</v>
      </c>
      <c r="G393" s="598">
        <v>20000000</v>
      </c>
      <c r="H393" s="598"/>
      <c r="I393" s="598">
        <v>5000000</v>
      </c>
      <c r="J393" s="598"/>
      <c r="K393" s="598"/>
      <c r="L393" s="598"/>
      <c r="M393" s="598"/>
      <c r="N393" s="597"/>
      <c r="O393" s="596"/>
      <c r="P393" s="596"/>
      <c r="Q393" s="621"/>
      <c r="R393" s="621"/>
      <c r="S393" s="621"/>
      <c r="T393" s="621"/>
      <c r="U393" s="621"/>
      <c r="V393" s="621"/>
      <c r="W393" s="621"/>
      <c r="X393" s="621"/>
      <c r="Y393" s="621"/>
      <c r="Z393" s="621"/>
      <c r="AA393" s="621"/>
      <c r="AB393" s="621"/>
      <c r="AC393" s="621"/>
      <c r="AD393" s="621"/>
      <c r="AE393" s="621"/>
      <c r="AF393" s="621"/>
      <c r="AG393" s="621"/>
    </row>
  </sheetData>
  <autoFilter ref="C6:Q344" xr:uid="{00000000-0009-0000-0000-000004000000}"/>
  <mergeCells count="12">
    <mergeCell ref="A238:P238"/>
    <mergeCell ref="A74:P74"/>
    <mergeCell ref="A75:P75"/>
    <mergeCell ref="A76:P76"/>
    <mergeCell ref="A156:P156"/>
    <mergeCell ref="A159:P159"/>
    <mergeCell ref="A77:P77"/>
    <mergeCell ref="A80:P80"/>
    <mergeCell ref="A155:P155"/>
    <mergeCell ref="A154:P154"/>
    <mergeCell ref="A78:P78"/>
    <mergeCell ref="A157:P157"/>
  </mergeCells>
  <printOptions horizontalCentered="1"/>
  <pageMargins left="0.25" right="0.25" top="0.5" bottom="0.5" header="0.3" footer="0.3"/>
  <pageSetup scale="48" fitToHeight="3" orientation="landscape" horizontalDpi="4294967295" verticalDpi="4294967295" r:id="rId1"/>
  <rowBreaks count="2" manualBreakCount="2">
    <brk id="80" max="17" man="1"/>
    <brk id="159" max="1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W83"/>
  <sheetViews>
    <sheetView view="pageBreakPreview" zoomScale="80" zoomScaleNormal="100" zoomScaleSheetLayoutView="80" workbookViewId="0">
      <selection activeCell="Y70" sqref="Y70"/>
    </sheetView>
  </sheetViews>
  <sheetFormatPr defaultColWidth="9.28515625" defaultRowHeight="15" x14ac:dyDescent="0.25"/>
  <cols>
    <col min="1" max="1" width="11.42578125" style="1038" customWidth="1"/>
    <col min="2" max="2" width="2.7109375" style="1038" customWidth="1"/>
    <col min="3" max="3" width="13.7109375" style="1038" customWidth="1"/>
    <col min="4" max="4" width="2.7109375" style="1038" customWidth="1"/>
    <col min="5" max="5" width="12.7109375" style="1038" customWidth="1"/>
    <col min="6" max="6" width="2.7109375" style="1038" customWidth="1"/>
    <col min="7" max="7" width="11.42578125" style="1038" customWidth="1"/>
    <col min="8" max="8" width="2.42578125" style="1038" customWidth="1"/>
    <col min="9" max="9" width="16.7109375" style="1038" customWidth="1"/>
    <col min="10" max="10" width="2.42578125" style="1038" customWidth="1"/>
    <col min="11" max="11" width="16.7109375" style="1038" customWidth="1"/>
    <col min="12" max="12" width="2.42578125" style="1038" customWidth="1"/>
    <col min="13" max="13" width="16.7109375" style="1038" customWidth="1"/>
    <col min="14" max="14" width="2.42578125" style="1038" customWidth="1"/>
    <col min="15" max="15" width="16.7109375" style="1038" customWidth="1"/>
    <col min="16" max="16" width="1.7109375" style="1038" customWidth="1"/>
    <col min="17" max="17" width="14" style="1038" customWidth="1"/>
    <col min="18" max="18" width="13.5703125" style="1038" bestFit="1" customWidth="1"/>
    <col min="19" max="19" width="9.28515625" style="1038"/>
    <col min="20" max="20" width="15.140625" style="1038" bestFit="1" customWidth="1"/>
    <col min="21" max="21" width="11.7109375" style="1038" customWidth="1"/>
    <col min="22" max="22" width="15.5703125" style="1038" bestFit="1" customWidth="1"/>
    <col min="23" max="23" width="19.5703125" style="1038" customWidth="1"/>
    <col min="24" max="24" width="20.140625" style="1038" customWidth="1"/>
    <col min="25" max="25" width="15.5703125" style="1038" bestFit="1" customWidth="1"/>
    <col min="26" max="30" width="9.28515625" style="1038"/>
    <col min="31" max="31" width="15.42578125" style="1038" bestFit="1" customWidth="1"/>
    <col min="32" max="33" width="9.28515625" style="1038"/>
    <col min="34" max="34" width="15.42578125" style="1038" bestFit="1" customWidth="1"/>
    <col min="35" max="16384" width="9.28515625" style="1038"/>
  </cols>
  <sheetData>
    <row r="1" spans="1:49" x14ac:dyDescent="0.25">
      <c r="A1" s="1037" t="s">
        <v>232</v>
      </c>
      <c r="B1" s="1037"/>
      <c r="C1" s="1037"/>
      <c r="D1" s="1037"/>
      <c r="E1" s="1037"/>
      <c r="F1" s="1037"/>
      <c r="G1" s="1037"/>
      <c r="H1" s="1037"/>
      <c r="I1" s="1037"/>
      <c r="J1" s="1037"/>
      <c r="K1" s="1037"/>
      <c r="L1" s="1037"/>
      <c r="M1" s="1037"/>
      <c r="N1" s="1037"/>
      <c r="O1" s="1037"/>
      <c r="P1" s="1037"/>
      <c r="Q1" s="1377" t="s">
        <v>831</v>
      </c>
      <c r="R1" s="1378">
        <v>44743</v>
      </c>
      <c r="S1" s="1377"/>
      <c r="T1" s="1377"/>
    </row>
    <row r="2" spans="1:49" x14ac:dyDescent="0.25">
      <c r="A2" s="1037"/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039" t="s">
        <v>941</v>
      </c>
      <c r="P2" s="1040"/>
      <c r="Q2" s="1377" t="s">
        <v>832</v>
      </c>
      <c r="R2" s="1378">
        <v>44927</v>
      </c>
      <c r="S2" s="1377"/>
      <c r="T2" s="1377"/>
    </row>
    <row r="3" spans="1:49" x14ac:dyDescent="0.25">
      <c r="A3" s="1041" t="str">
        <f>"SCHEDULE OF AMORTIZATION OF "&amp;TEXT(E69*1000,"$#,###,###,###")&amp;" PRINCIPAL AMOUNT OF"</f>
        <v>SCHEDULE OF AMORTIZATION OF $63,185,000 PRINCIPAL AMOUNT OF</v>
      </c>
      <c r="B3" s="1041"/>
      <c r="C3" s="1041"/>
      <c r="D3" s="1041"/>
      <c r="E3" s="1041"/>
      <c r="F3" s="1041"/>
      <c r="G3" s="1041"/>
      <c r="H3" s="1041"/>
      <c r="I3" s="1041"/>
      <c r="J3" s="1041"/>
      <c r="K3" s="1041"/>
      <c r="L3" s="1041"/>
      <c r="M3" s="1041"/>
      <c r="N3" s="1041"/>
      <c r="O3" s="1041"/>
      <c r="P3" s="1041"/>
      <c r="Q3" s="1377"/>
      <c r="R3" s="1379">
        <f>-(R1-A67)</f>
        <v>9681</v>
      </c>
      <c r="S3" s="1377" t="s">
        <v>833</v>
      </c>
      <c r="T3" s="1377"/>
    </row>
    <row r="4" spans="1:49" x14ac:dyDescent="0.25">
      <c r="A4" s="1041" t="s">
        <v>781</v>
      </c>
      <c r="B4" s="1041"/>
      <c r="C4" s="1041"/>
      <c r="D4" s="1041"/>
      <c r="E4" s="1041"/>
      <c r="F4" s="1041"/>
      <c r="G4" s="1041"/>
      <c r="H4" s="1041"/>
      <c r="I4" s="1041"/>
      <c r="J4" s="1041"/>
      <c r="K4" s="1041"/>
      <c r="L4" s="1041"/>
      <c r="M4" s="1041"/>
      <c r="N4" s="1041"/>
      <c r="O4" s="1041"/>
      <c r="P4" s="1041"/>
      <c r="Q4" s="1377"/>
      <c r="R4" s="1379">
        <f>R3/365</f>
        <v>26.523287671232875</v>
      </c>
      <c r="S4" s="1377" t="s">
        <v>834</v>
      </c>
      <c r="T4" s="1377"/>
    </row>
    <row r="5" spans="1:49" x14ac:dyDescent="0.25">
      <c r="A5" s="1037" t="s">
        <v>950</v>
      </c>
      <c r="B5" s="1037"/>
      <c r="C5" s="1037"/>
      <c r="D5" s="1037"/>
      <c r="E5" s="1037"/>
      <c r="F5" s="1037"/>
      <c r="G5" s="1037"/>
      <c r="H5" s="1037"/>
      <c r="I5" s="1037"/>
      <c r="J5" s="1037"/>
      <c r="K5" s="1037"/>
      <c r="L5" s="1037"/>
      <c r="M5" s="1037"/>
      <c r="N5" s="1037"/>
      <c r="O5" s="1037"/>
      <c r="P5" s="1037"/>
      <c r="Q5" s="1380"/>
      <c r="R5" s="1379">
        <f>R4</f>
        <v>26.523287671232875</v>
      </c>
      <c r="S5" s="1377"/>
      <c r="T5" s="1377"/>
    </row>
    <row r="6" spans="1:49" x14ac:dyDescent="0.25">
      <c r="A6" s="1037" t="s">
        <v>835</v>
      </c>
      <c r="B6" s="1037"/>
      <c r="C6" s="1037"/>
      <c r="D6" s="1037"/>
      <c r="E6" s="1037"/>
      <c r="F6" s="1037"/>
      <c r="G6" s="1037"/>
      <c r="H6" s="1037"/>
      <c r="I6" s="1037"/>
      <c r="J6" s="1037"/>
      <c r="K6" s="1037"/>
      <c r="L6" s="1037"/>
      <c r="M6" s="1037"/>
      <c r="N6" s="1037"/>
      <c r="O6" s="1037"/>
      <c r="P6" s="1037"/>
      <c r="Q6" s="1380"/>
      <c r="R6" s="1379">
        <f>12*R5</f>
        <v>318.27945205479449</v>
      </c>
      <c r="S6" s="1377" t="s">
        <v>836</v>
      </c>
      <c r="T6" s="1377"/>
    </row>
    <row r="7" spans="1:49" x14ac:dyDescent="0.25">
      <c r="A7" s="1037" t="str">
        <f>"Assumes Bonds dated "&amp;TEXT(R1,"mmmm d, yyyy") &amp;"."</f>
        <v>Assumes Bonds dated July 1, 2022.</v>
      </c>
      <c r="B7" s="1037"/>
      <c r="C7" s="1037"/>
      <c r="D7" s="1037"/>
      <c r="E7" s="1037"/>
      <c r="F7" s="1037"/>
      <c r="G7" s="1037"/>
      <c r="H7" s="1037"/>
      <c r="I7" s="1037"/>
      <c r="J7" s="1037"/>
      <c r="K7" s="1037"/>
      <c r="L7" s="1037"/>
      <c r="M7" s="1037"/>
      <c r="N7" s="1037"/>
      <c r="O7" s="1037"/>
      <c r="P7" s="1037"/>
      <c r="Q7" s="1381"/>
      <c r="R7" s="1377"/>
      <c r="S7" s="1377"/>
      <c r="T7" s="1377"/>
      <c r="U7" s="1042"/>
    </row>
    <row r="8" spans="1:49" x14ac:dyDescent="0.25">
      <c r="A8" s="1039" t="s">
        <v>837</v>
      </c>
      <c r="B8" s="1039"/>
      <c r="C8" s="1039"/>
      <c r="D8" s="1039"/>
      <c r="E8" s="1039"/>
      <c r="F8" s="1039"/>
      <c r="G8" s="1039"/>
      <c r="H8" s="1039"/>
      <c r="I8" s="1039"/>
      <c r="J8" s="1039"/>
      <c r="K8" s="1039"/>
      <c r="L8" s="1039"/>
      <c r="M8" s="1039"/>
      <c r="N8" s="1039"/>
      <c r="O8" s="1039"/>
      <c r="P8" s="1039"/>
      <c r="Q8" s="1043"/>
      <c r="R8" s="1088"/>
      <c r="S8" s="1088"/>
      <c r="T8" s="1088"/>
      <c r="U8" s="1088"/>
      <c r="V8" s="1088"/>
      <c r="W8" s="1088"/>
      <c r="X8" s="1088"/>
      <c r="Y8" s="1088"/>
      <c r="Z8" s="1088"/>
      <c r="AA8" s="1088"/>
      <c r="AB8" s="1088"/>
      <c r="AC8" s="1088"/>
      <c r="AD8" s="1369"/>
      <c r="AE8" s="1088"/>
      <c r="AF8" s="1088"/>
      <c r="AG8" s="1088"/>
      <c r="AH8" s="1088"/>
      <c r="AI8" s="1088"/>
      <c r="AJ8" s="1088"/>
      <c r="AK8" s="1088"/>
      <c r="AL8" s="1088"/>
      <c r="AM8" s="1088"/>
      <c r="AN8" s="1088"/>
      <c r="AO8" s="1088"/>
      <c r="AP8" s="1088"/>
      <c r="AQ8" s="1088"/>
      <c r="AR8" s="1088"/>
      <c r="AS8" s="1088"/>
      <c r="AT8" s="1088"/>
      <c r="AU8" s="1088"/>
      <c r="AV8" s="1088"/>
      <c r="AW8" s="1088"/>
    </row>
    <row r="9" spans="1:49" x14ac:dyDescent="0.25">
      <c r="A9" s="1037"/>
      <c r="B9" s="1044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5"/>
      <c r="R9" s="1088"/>
      <c r="S9" s="1088"/>
      <c r="T9" s="1088"/>
      <c r="U9" s="1088"/>
      <c r="V9" s="1088"/>
      <c r="W9" s="1088"/>
      <c r="X9" s="1088"/>
      <c r="Y9" s="1088"/>
      <c r="Z9" s="1088"/>
      <c r="AA9" s="1088"/>
      <c r="AB9" s="1088"/>
      <c r="AC9" s="1088"/>
      <c r="AD9" s="1088"/>
      <c r="AE9" s="1088"/>
      <c r="AF9" s="1088"/>
      <c r="AG9" s="1088"/>
      <c r="AH9" s="1088"/>
      <c r="AI9" s="1088"/>
      <c r="AJ9" s="1088"/>
      <c r="AK9" s="1088"/>
      <c r="AL9" s="1088"/>
      <c r="AM9" s="1088"/>
      <c r="AN9" s="1088"/>
      <c r="AO9" s="1088"/>
      <c r="AP9" s="1088"/>
      <c r="AQ9" s="1088"/>
      <c r="AR9" s="1088"/>
      <c r="AS9" s="1088"/>
      <c r="AT9" s="1088"/>
      <c r="AU9" s="1088"/>
      <c r="AV9" s="1088"/>
      <c r="AW9" s="1088"/>
    </row>
    <row r="10" spans="1:49" x14ac:dyDescent="0.25">
      <c r="A10" s="1046"/>
      <c r="B10" s="1046"/>
      <c r="C10" s="1046"/>
      <c r="D10" s="1046"/>
      <c r="E10" s="1046"/>
      <c r="F10" s="1047"/>
      <c r="G10" s="1046" t="s">
        <v>423</v>
      </c>
      <c r="H10" s="1046"/>
      <c r="I10" s="1046"/>
      <c r="J10" s="1211"/>
      <c r="K10" s="1211"/>
      <c r="L10" s="1046"/>
      <c r="M10" s="1046"/>
      <c r="N10" s="1046"/>
      <c r="O10" s="1046"/>
      <c r="P10" s="1046"/>
      <c r="Q10" s="1045"/>
      <c r="R10" s="1088"/>
      <c r="S10" s="1088"/>
      <c r="T10" s="1088"/>
      <c r="U10" s="1088"/>
      <c r="V10" s="1088"/>
      <c r="W10" s="1088"/>
      <c r="X10" s="1088"/>
      <c r="Y10" s="1088"/>
      <c r="Z10" s="1088"/>
      <c r="AA10" s="1088"/>
      <c r="AB10" s="1088"/>
      <c r="AC10" s="1088"/>
      <c r="AD10" s="1088"/>
      <c r="AE10" s="1088"/>
      <c r="AF10" s="1088"/>
      <c r="AG10" s="1088"/>
      <c r="AH10" s="1088"/>
      <c r="AI10" s="1088"/>
      <c r="AJ10" s="1088"/>
      <c r="AK10" s="1088"/>
      <c r="AL10" s="1088"/>
      <c r="AM10" s="1088"/>
      <c r="AN10" s="1088"/>
      <c r="AO10" s="1088"/>
      <c r="AP10" s="1088"/>
      <c r="AQ10" s="1088"/>
      <c r="AR10" s="1088"/>
      <c r="AS10" s="1088"/>
      <c r="AT10" s="1088"/>
      <c r="AU10" s="1088"/>
      <c r="AV10" s="1088"/>
      <c r="AW10" s="1088"/>
    </row>
    <row r="11" spans="1:49" x14ac:dyDescent="0.25">
      <c r="A11" s="1046" t="s">
        <v>29</v>
      </c>
      <c r="B11" s="1046"/>
      <c r="C11" s="1046" t="s">
        <v>30</v>
      </c>
      <c r="D11" s="1046"/>
      <c r="E11" s="1046"/>
      <c r="F11" s="1046"/>
      <c r="G11" s="1046" t="s">
        <v>31</v>
      </c>
      <c r="H11" s="1046"/>
      <c r="I11" s="1046"/>
      <c r="J11" s="1211"/>
      <c r="K11" s="1211" t="s">
        <v>426</v>
      </c>
      <c r="L11" s="1046"/>
      <c r="M11" s="1048"/>
      <c r="N11" s="1046"/>
      <c r="O11" s="1046" t="s">
        <v>33</v>
      </c>
      <c r="P11" s="1046"/>
      <c r="Q11" s="1046"/>
      <c r="R11" s="1088"/>
      <c r="S11" s="1088"/>
      <c r="T11" s="1088"/>
      <c r="U11" s="1088"/>
      <c r="V11" s="1088"/>
      <c r="W11" s="1088"/>
      <c r="X11" s="1088"/>
      <c r="Y11" s="1088"/>
      <c r="Z11" s="1088"/>
      <c r="AA11" s="1088"/>
      <c r="AB11" s="1088"/>
      <c r="AC11" s="1088"/>
      <c r="AD11" s="1088"/>
      <c r="AE11" s="1088"/>
      <c r="AF11" s="1088"/>
      <c r="AG11" s="1088"/>
      <c r="AH11" s="1088"/>
      <c r="AI11" s="1088"/>
      <c r="AJ11" s="1088"/>
      <c r="AK11" s="1088"/>
      <c r="AL11" s="1088"/>
      <c r="AM11" s="1088"/>
      <c r="AN11" s="1088"/>
      <c r="AO11" s="1088"/>
      <c r="AP11" s="1088"/>
      <c r="AQ11" s="1088"/>
      <c r="AR11" s="1088"/>
      <c r="AS11" s="1088"/>
      <c r="AT11" s="1088"/>
      <c r="AU11" s="1088"/>
      <c r="AV11" s="1088"/>
      <c r="AW11" s="1088"/>
    </row>
    <row r="12" spans="1:49" x14ac:dyDescent="0.25">
      <c r="A12" s="1049" t="s">
        <v>9</v>
      </c>
      <c r="B12" s="1046"/>
      <c r="C12" s="1049" t="s">
        <v>34</v>
      </c>
      <c r="D12" s="1047"/>
      <c r="E12" s="1049" t="s">
        <v>30</v>
      </c>
      <c r="F12" s="1047"/>
      <c r="G12" s="1049" t="s">
        <v>603</v>
      </c>
      <c r="H12" s="1046"/>
      <c r="I12" s="1049" t="s">
        <v>31</v>
      </c>
      <c r="J12" s="1217"/>
      <c r="K12" s="1049" t="s">
        <v>31</v>
      </c>
      <c r="L12" s="1047"/>
      <c r="M12" s="1050" t="s">
        <v>35</v>
      </c>
      <c r="N12" s="1047"/>
      <c r="O12" s="1049" t="s">
        <v>35</v>
      </c>
      <c r="P12" s="1047"/>
      <c r="Q12" s="1046"/>
      <c r="R12" s="1370"/>
      <c r="S12" s="1088"/>
      <c r="T12" s="1088"/>
      <c r="U12" s="1088"/>
      <c r="V12" s="1088"/>
      <c r="W12" s="1088"/>
      <c r="X12" s="1088"/>
      <c r="Y12" s="1088"/>
      <c r="Z12" s="1088"/>
      <c r="AA12" s="1088"/>
      <c r="AB12" s="1088"/>
      <c r="AC12" s="1088"/>
      <c r="AD12" s="1088"/>
      <c r="AE12" s="1088"/>
      <c r="AF12" s="1088"/>
      <c r="AG12" s="1088"/>
      <c r="AH12" s="1371"/>
      <c r="AI12" s="1088"/>
      <c r="AJ12" s="1088"/>
      <c r="AK12" s="1088"/>
      <c r="AL12" s="1088"/>
      <c r="AM12" s="1088"/>
      <c r="AN12" s="1088"/>
      <c r="AO12" s="1088"/>
      <c r="AP12" s="1088"/>
      <c r="AQ12" s="1088"/>
      <c r="AR12" s="1088"/>
      <c r="AS12" s="1088"/>
      <c r="AT12" s="1088"/>
      <c r="AU12" s="1088"/>
      <c r="AV12" s="1088"/>
      <c r="AW12" s="1088"/>
    </row>
    <row r="13" spans="1:49" x14ac:dyDescent="0.25">
      <c r="A13" s="1052"/>
      <c r="B13" s="1052"/>
      <c r="C13" s="1426" t="s">
        <v>838</v>
      </c>
      <c r="D13" s="1426"/>
      <c r="E13" s="1426"/>
      <c r="F13" s="1052"/>
      <c r="G13" s="1053" t="s">
        <v>36</v>
      </c>
      <c r="H13" s="1052"/>
      <c r="I13" s="1426" t="s">
        <v>979</v>
      </c>
      <c r="J13" s="1426"/>
      <c r="K13" s="1426"/>
      <c r="L13" s="1426"/>
      <c r="M13" s="1426"/>
      <c r="N13" s="1426"/>
      <c r="O13" s="1426"/>
      <c r="P13" s="1052"/>
      <c r="Q13" s="1052"/>
      <c r="R13" s="1088"/>
      <c r="S13" s="1088"/>
      <c r="T13" s="1372"/>
      <c r="U13" s="1088"/>
      <c r="V13" s="1088"/>
      <c r="W13" s="1088"/>
      <c r="X13" s="1088"/>
      <c r="Y13" s="1088"/>
      <c r="Z13" s="1088"/>
      <c r="AA13" s="1088"/>
      <c r="AB13" s="1088"/>
      <c r="AC13" s="1088"/>
      <c r="AD13" s="1088"/>
      <c r="AE13" s="1088"/>
      <c r="AF13" s="1088"/>
      <c r="AG13" s="1088"/>
      <c r="AH13" s="1088"/>
      <c r="AI13" s="1088"/>
      <c r="AJ13" s="1088"/>
      <c r="AK13" s="1088"/>
      <c r="AL13" s="1088"/>
      <c r="AM13" s="1088"/>
      <c r="AN13" s="1088"/>
      <c r="AO13" s="1088"/>
      <c r="AP13" s="1088"/>
      <c r="AQ13" s="1088"/>
      <c r="AR13" s="1088"/>
      <c r="AS13" s="1088"/>
      <c r="AT13" s="1088"/>
      <c r="AU13" s="1088"/>
      <c r="AV13" s="1088"/>
      <c r="AW13" s="1088"/>
    </row>
    <row r="14" spans="1:49" x14ac:dyDescent="0.25">
      <c r="A14" s="1052"/>
      <c r="B14" s="1052"/>
      <c r="C14" s="1046"/>
      <c r="D14" s="1046"/>
      <c r="E14" s="1046"/>
      <c r="F14" s="1052"/>
      <c r="G14" s="1053"/>
      <c r="H14" s="1052"/>
      <c r="I14" s="1052"/>
      <c r="J14" s="1052"/>
      <c r="K14" s="1052"/>
      <c r="L14" s="1052"/>
      <c r="M14" s="1053"/>
      <c r="N14" s="1052"/>
      <c r="O14" s="1052"/>
      <c r="P14" s="1052"/>
      <c r="Q14" s="1052"/>
      <c r="R14" s="1088"/>
      <c r="S14" s="1088"/>
      <c r="T14" s="1088"/>
      <c r="U14" s="1088"/>
      <c r="V14" s="1088"/>
      <c r="W14" s="1088"/>
      <c r="X14" s="1088"/>
      <c r="Y14" s="1088"/>
      <c r="Z14" s="1088"/>
      <c r="AA14" s="1088"/>
      <c r="AB14" s="1088"/>
      <c r="AC14" s="1088"/>
      <c r="AD14" s="1088"/>
      <c r="AE14" s="1088"/>
      <c r="AF14" s="1088"/>
      <c r="AG14" s="1088"/>
      <c r="AH14" s="1373"/>
      <c r="AI14" s="1088"/>
      <c r="AJ14" s="1088"/>
      <c r="AK14" s="1088"/>
      <c r="AL14" s="1088"/>
      <c r="AM14" s="1088"/>
      <c r="AN14" s="1088"/>
      <c r="AO14" s="1088"/>
      <c r="AP14" s="1088"/>
      <c r="AQ14" s="1088"/>
      <c r="AR14" s="1088"/>
      <c r="AS14" s="1088"/>
      <c r="AT14" s="1088"/>
      <c r="AU14" s="1088"/>
      <c r="AV14" s="1088"/>
      <c r="AW14" s="1088"/>
    </row>
    <row r="15" spans="1:49" x14ac:dyDescent="0.25">
      <c r="A15" s="1054">
        <v>44927</v>
      </c>
      <c r="B15" s="1052"/>
      <c r="C15" s="1055">
        <f>+E69</f>
        <v>63185</v>
      </c>
      <c r="D15" s="1056"/>
      <c r="E15" s="1045"/>
      <c r="F15" s="1052"/>
      <c r="G15" s="1057"/>
      <c r="H15" s="1052"/>
      <c r="I15" s="1058">
        <f>(DAYS360($R$1,A15)/180)*((E15*1000*G15/2)+I16)</f>
        <v>938007.5</v>
      </c>
      <c r="J15" s="1058"/>
      <c r="K15" s="1058">
        <f t="shared" ref="K15:K20" si="0">-I15</f>
        <v>-938007.5</v>
      </c>
      <c r="L15" s="1058"/>
      <c r="M15" s="1220">
        <f>SUM(E15*1000+I15+K15)</f>
        <v>0</v>
      </c>
      <c r="N15" s="1045"/>
      <c r="O15" s="1220">
        <f>M15</f>
        <v>0</v>
      </c>
      <c r="P15" s="1045"/>
      <c r="Q15" s="1059"/>
      <c r="R15" s="1088"/>
      <c r="S15" s="1088"/>
      <c r="T15" s="1374"/>
      <c r="U15" s="1088"/>
      <c r="V15" s="1088"/>
      <c r="W15" s="1088"/>
      <c r="X15" s="1375"/>
      <c r="Y15" s="1375"/>
      <c r="Z15" s="1088"/>
      <c r="AA15" s="1088"/>
      <c r="AB15" s="1088"/>
      <c r="AC15" s="1088"/>
      <c r="AD15" s="1088"/>
      <c r="AE15" s="1088"/>
      <c r="AF15" s="1088"/>
      <c r="AG15" s="1088"/>
      <c r="AH15" s="1088"/>
      <c r="AI15" s="1088"/>
      <c r="AJ15" s="1088"/>
      <c r="AK15" s="1088"/>
      <c r="AL15" s="1088"/>
      <c r="AM15" s="1088"/>
      <c r="AN15" s="1088"/>
      <c r="AO15" s="1088"/>
      <c r="AP15" s="1088"/>
      <c r="AQ15" s="1088"/>
      <c r="AR15" s="1088"/>
      <c r="AS15" s="1088"/>
      <c r="AT15" s="1088"/>
      <c r="AU15" s="1088"/>
      <c r="AV15" s="1088"/>
      <c r="AW15" s="1088"/>
    </row>
    <row r="16" spans="1:49" x14ac:dyDescent="0.25">
      <c r="A16" s="1054">
        <f t="shared" ref="A16:A67" si="1">EDATE(A15,6)</f>
        <v>45108</v>
      </c>
      <c r="B16" s="1052"/>
      <c r="C16" s="1045">
        <f t="shared" ref="C16:C67" si="2">C15-E15</f>
        <v>63185</v>
      </c>
      <c r="D16" s="1056"/>
      <c r="E16" s="1055"/>
      <c r="F16" s="1052"/>
      <c r="G16" s="1057"/>
      <c r="H16" s="1052"/>
      <c r="I16" s="1060">
        <f t="shared" ref="I16:I65" si="3">((E16*1000)*G16/100/2)+I17</f>
        <v>938007.5</v>
      </c>
      <c r="J16" s="1060"/>
      <c r="K16" s="1060">
        <f t="shared" si="0"/>
        <v>-938007.5</v>
      </c>
      <c r="L16" s="1045"/>
      <c r="M16" s="742">
        <f t="shared" ref="M16:M67" si="4">SUM(E16*1000+I16+K16)</f>
        <v>0</v>
      </c>
      <c r="N16" s="1045"/>
      <c r="O16" s="1058"/>
      <c r="P16" s="1045"/>
      <c r="Q16" s="1060"/>
      <c r="R16" s="1088"/>
      <c r="S16" s="1088"/>
      <c r="T16" s="1088"/>
      <c r="U16" s="1088"/>
      <c r="V16" s="1088"/>
      <c r="W16" s="1088"/>
      <c r="X16" s="1375"/>
      <c r="Y16" s="1375"/>
      <c r="Z16" s="1088"/>
      <c r="AA16" s="1088"/>
      <c r="AB16" s="1088"/>
      <c r="AC16" s="1088"/>
      <c r="AD16" s="1088"/>
      <c r="AE16" s="1372"/>
      <c r="AF16" s="1088"/>
      <c r="AG16" s="1088"/>
      <c r="AH16" s="1372"/>
      <c r="AI16" s="1088"/>
      <c r="AJ16" s="1088"/>
      <c r="AK16" s="1088"/>
      <c r="AL16" s="1088"/>
      <c r="AM16" s="1088"/>
      <c r="AN16" s="1088"/>
      <c r="AO16" s="1088"/>
      <c r="AP16" s="1088"/>
      <c r="AQ16" s="1088"/>
      <c r="AR16" s="1088"/>
      <c r="AS16" s="1088"/>
      <c r="AT16" s="1088"/>
      <c r="AU16" s="1088"/>
      <c r="AV16" s="1088"/>
      <c r="AW16" s="1088"/>
    </row>
    <row r="17" spans="1:49" x14ac:dyDescent="0.25">
      <c r="A17" s="1054">
        <f t="shared" si="1"/>
        <v>45292</v>
      </c>
      <c r="B17" s="1052"/>
      <c r="C17" s="1045">
        <f t="shared" si="2"/>
        <v>63185</v>
      </c>
      <c r="D17" s="1045"/>
      <c r="E17" s="1045"/>
      <c r="F17" s="1052"/>
      <c r="G17" s="1057"/>
      <c r="H17" s="1052"/>
      <c r="I17" s="1060">
        <f t="shared" si="3"/>
        <v>938007.5</v>
      </c>
      <c r="J17" s="1060"/>
      <c r="K17" s="1060">
        <f t="shared" si="0"/>
        <v>-938007.5</v>
      </c>
      <c r="L17" s="1045"/>
      <c r="M17" s="742">
        <f t="shared" si="4"/>
        <v>0</v>
      </c>
      <c r="N17" s="1045"/>
      <c r="O17" s="742">
        <f>M16+M17</f>
        <v>0</v>
      </c>
      <c r="P17" s="1045"/>
      <c r="Q17" s="1045"/>
      <c r="R17" s="1088"/>
      <c r="S17" s="1088"/>
      <c r="T17" s="1374"/>
      <c r="U17" s="1088"/>
      <c r="V17" s="1088"/>
      <c r="W17" s="1088"/>
      <c r="X17" s="1375"/>
      <c r="Y17" s="1375"/>
      <c r="Z17" s="1088"/>
      <c r="AA17" s="1088"/>
      <c r="AB17" s="1088"/>
      <c r="AC17" s="1376"/>
      <c r="AD17" s="1088"/>
      <c r="AE17" s="1370"/>
      <c r="AF17" s="1088"/>
      <c r="AG17" s="1088"/>
      <c r="AH17" s="1370"/>
      <c r="AI17" s="1088"/>
      <c r="AJ17" s="1088"/>
      <c r="AK17" s="1088"/>
      <c r="AL17" s="1088"/>
      <c r="AM17" s="1088"/>
      <c r="AN17" s="1088"/>
      <c r="AO17" s="1088"/>
      <c r="AP17" s="1088"/>
      <c r="AQ17" s="1088"/>
      <c r="AR17" s="1088"/>
      <c r="AS17" s="1088"/>
      <c r="AT17" s="1088"/>
      <c r="AU17" s="1088"/>
      <c r="AV17" s="1088"/>
      <c r="AW17" s="1088"/>
    </row>
    <row r="18" spans="1:49" x14ac:dyDescent="0.25">
      <c r="A18" s="1054">
        <f t="shared" si="1"/>
        <v>45474</v>
      </c>
      <c r="B18" s="1052"/>
      <c r="C18" s="1045">
        <f t="shared" si="2"/>
        <v>63185</v>
      </c>
      <c r="D18" s="1045"/>
      <c r="E18" s="1055"/>
      <c r="F18" s="1052"/>
      <c r="G18" s="1061"/>
      <c r="H18" s="1052"/>
      <c r="I18" s="1060">
        <f t="shared" si="3"/>
        <v>938007.5</v>
      </c>
      <c r="J18" s="1060"/>
      <c r="K18" s="1060">
        <f t="shared" si="0"/>
        <v>-938007.5</v>
      </c>
      <c r="L18" s="1045"/>
      <c r="M18" s="742">
        <f t="shared" si="4"/>
        <v>0</v>
      </c>
      <c r="N18" s="1045"/>
      <c r="O18" s="742"/>
      <c r="P18" s="1045"/>
      <c r="Q18" s="1060"/>
      <c r="R18" s="1088"/>
      <c r="S18" s="1088"/>
      <c r="T18" s="1088"/>
      <c r="U18" s="1088"/>
      <c r="V18" s="1088"/>
      <c r="W18" s="1088"/>
      <c r="X18" s="1375"/>
      <c r="Y18" s="1375"/>
      <c r="Z18" s="1088"/>
      <c r="AA18" s="1088"/>
      <c r="AB18" s="1088"/>
      <c r="AC18" s="1376"/>
      <c r="AD18" s="1088"/>
      <c r="AE18" s="1374"/>
      <c r="AF18" s="1088"/>
      <c r="AG18" s="1088"/>
      <c r="AH18" s="1374"/>
      <c r="AI18" s="1088"/>
      <c r="AJ18" s="1088"/>
      <c r="AK18" s="1088"/>
      <c r="AL18" s="1088"/>
      <c r="AM18" s="1088"/>
      <c r="AN18" s="1088"/>
      <c r="AO18" s="1088"/>
      <c r="AP18" s="1088"/>
      <c r="AQ18" s="1088"/>
      <c r="AR18" s="1088"/>
      <c r="AS18" s="1088"/>
      <c r="AT18" s="1088"/>
      <c r="AU18" s="1088"/>
      <c r="AV18" s="1088"/>
      <c r="AW18" s="1088"/>
    </row>
    <row r="19" spans="1:49" x14ac:dyDescent="0.25">
      <c r="A19" s="1054">
        <f t="shared" si="1"/>
        <v>45658</v>
      </c>
      <c r="B19" s="1052"/>
      <c r="C19" s="1045">
        <f t="shared" si="2"/>
        <v>63185</v>
      </c>
      <c r="D19" s="1045"/>
      <c r="E19" s="1055"/>
      <c r="F19" s="1052"/>
      <c r="G19" s="1062"/>
      <c r="H19" s="1052"/>
      <c r="I19" s="1060">
        <f t="shared" si="3"/>
        <v>938007.5</v>
      </c>
      <c r="J19" s="1060"/>
      <c r="K19" s="1060">
        <f t="shared" si="0"/>
        <v>-938007.5</v>
      </c>
      <c r="L19" s="1045"/>
      <c r="M19" s="742">
        <f t="shared" si="4"/>
        <v>0</v>
      </c>
      <c r="N19" s="1045"/>
      <c r="O19" s="742">
        <f t="shared" ref="O19" si="5">M18+M19</f>
        <v>0</v>
      </c>
      <c r="P19" s="1045"/>
      <c r="Q19" s="1045"/>
      <c r="R19" s="1088"/>
      <c r="S19" s="1088"/>
      <c r="T19" s="1374"/>
      <c r="U19" s="1370"/>
      <c r="V19" s="1375"/>
      <c r="W19" s="1373"/>
      <c r="X19" s="1375"/>
      <c r="Y19" s="1375"/>
      <c r="Z19" s="1088"/>
      <c r="AA19" s="1088"/>
      <c r="AB19" s="1088"/>
      <c r="AC19" s="1376"/>
      <c r="AD19" s="1088"/>
      <c r="AE19" s="1374"/>
      <c r="AF19" s="1088"/>
      <c r="AG19" s="1088"/>
      <c r="AH19" s="1374"/>
      <c r="AI19" s="1088"/>
      <c r="AJ19" s="1088"/>
      <c r="AK19" s="1088"/>
      <c r="AL19" s="1088"/>
      <c r="AM19" s="1088"/>
      <c r="AN19" s="1088"/>
      <c r="AO19" s="1088"/>
      <c r="AP19" s="1088"/>
      <c r="AQ19" s="1088"/>
      <c r="AR19" s="1088"/>
      <c r="AS19" s="1088"/>
      <c r="AT19" s="1088"/>
      <c r="AU19" s="1088"/>
      <c r="AV19" s="1088"/>
      <c r="AW19" s="1088"/>
    </row>
    <row r="20" spans="1:49" x14ac:dyDescent="0.25">
      <c r="A20" s="1054">
        <f t="shared" si="1"/>
        <v>45839</v>
      </c>
      <c r="B20" s="1052"/>
      <c r="C20" s="1045">
        <f t="shared" si="2"/>
        <v>63185</v>
      </c>
      <c r="D20" s="1045"/>
      <c r="E20" s="1055"/>
      <c r="F20" s="1052"/>
      <c r="G20" s="1061"/>
      <c r="H20" s="1052"/>
      <c r="I20" s="1060">
        <f t="shared" si="3"/>
        <v>938007.5</v>
      </c>
      <c r="J20" s="1060"/>
      <c r="K20" s="1060">
        <f t="shared" si="0"/>
        <v>-938007.5</v>
      </c>
      <c r="L20" s="1045"/>
      <c r="M20" s="742">
        <f t="shared" si="4"/>
        <v>0</v>
      </c>
      <c r="N20" s="1045"/>
      <c r="O20" s="1058"/>
      <c r="P20" s="1045"/>
      <c r="Q20" s="1045"/>
      <c r="R20" s="1088"/>
      <c r="S20" s="1088"/>
      <c r="T20" s="1088"/>
      <c r="U20" s="1088"/>
      <c r="V20" s="1088"/>
      <c r="W20" s="1088"/>
      <c r="X20" s="1375"/>
      <c r="Y20" s="1375"/>
      <c r="Z20" s="1088"/>
      <c r="AA20" s="1088"/>
      <c r="AB20" s="1088"/>
      <c r="AC20" s="1376"/>
      <c r="AD20" s="1088"/>
      <c r="AE20" s="1374"/>
      <c r="AF20" s="1088"/>
      <c r="AG20" s="1088"/>
      <c r="AH20" s="1374"/>
      <c r="AI20" s="1088"/>
      <c r="AJ20" s="1088"/>
      <c r="AK20" s="1088"/>
      <c r="AL20" s="1088"/>
      <c r="AM20" s="1088"/>
      <c r="AN20" s="1088"/>
      <c r="AO20" s="1088"/>
      <c r="AP20" s="1088"/>
      <c r="AQ20" s="1088"/>
      <c r="AR20" s="1088"/>
      <c r="AS20" s="1088"/>
      <c r="AT20" s="1088"/>
      <c r="AU20" s="1088"/>
      <c r="AV20" s="1088"/>
      <c r="AW20" s="1088"/>
    </row>
    <row r="21" spans="1:49" x14ac:dyDescent="0.25">
      <c r="A21" s="1054">
        <f t="shared" si="1"/>
        <v>46023</v>
      </c>
      <c r="B21" s="1052"/>
      <c r="C21" s="1045">
        <f t="shared" si="2"/>
        <v>63185</v>
      </c>
      <c r="D21" s="1045"/>
      <c r="E21" s="1055"/>
      <c r="F21" s="1052"/>
      <c r="G21" s="1062"/>
      <c r="H21" s="1052"/>
      <c r="I21" s="1060">
        <f t="shared" si="3"/>
        <v>938007.5</v>
      </c>
      <c r="J21" s="1060"/>
      <c r="K21" s="1060"/>
      <c r="L21" s="1045"/>
      <c r="M21" s="1060">
        <f t="shared" si="4"/>
        <v>938007.5</v>
      </c>
      <c r="N21" s="1045"/>
      <c r="O21" s="1060">
        <f t="shared" ref="O21" si="6">M20+M21</f>
        <v>938007.5</v>
      </c>
      <c r="P21" s="1045"/>
      <c r="Q21" s="1045"/>
      <c r="R21" s="1088"/>
      <c r="S21" s="1088"/>
      <c r="T21" s="1374"/>
      <c r="U21" s="1370"/>
      <c r="V21" s="1375"/>
      <c r="W21" s="1373"/>
      <c r="X21" s="1375"/>
      <c r="Y21" s="1375"/>
      <c r="Z21" s="1088"/>
      <c r="AA21" s="1088"/>
      <c r="AB21" s="1088"/>
      <c r="AC21" s="1376"/>
      <c r="AD21" s="1088"/>
      <c r="AE21" s="1374"/>
      <c r="AF21" s="1088"/>
      <c r="AG21" s="1088"/>
      <c r="AH21" s="1374"/>
      <c r="AI21" s="1088"/>
      <c r="AJ21" s="1088"/>
      <c r="AK21" s="1088"/>
      <c r="AL21" s="1088"/>
      <c r="AM21" s="1088"/>
      <c r="AN21" s="1088"/>
      <c r="AO21" s="1088"/>
      <c r="AP21" s="1088"/>
      <c r="AQ21" s="1088"/>
      <c r="AR21" s="1088"/>
      <c r="AS21" s="1088"/>
      <c r="AT21" s="1088"/>
      <c r="AU21" s="1088"/>
      <c r="AV21" s="1088"/>
      <c r="AW21" s="1088"/>
    </row>
    <row r="22" spans="1:49" x14ac:dyDescent="0.25">
      <c r="A22" s="1054">
        <f t="shared" si="1"/>
        <v>46204</v>
      </c>
      <c r="B22" s="1052"/>
      <c r="C22" s="1045">
        <f t="shared" si="2"/>
        <v>63185</v>
      </c>
      <c r="D22" s="1045"/>
      <c r="E22" s="1055"/>
      <c r="F22" s="1052"/>
      <c r="G22" s="1061"/>
      <c r="H22" s="1052"/>
      <c r="I22" s="1060">
        <f t="shared" si="3"/>
        <v>938007.5</v>
      </c>
      <c r="J22" s="1060"/>
      <c r="K22" s="1060"/>
      <c r="L22" s="1045"/>
      <c r="M22" s="1060">
        <f t="shared" si="4"/>
        <v>938007.5</v>
      </c>
      <c r="N22" s="1045"/>
      <c r="O22" s="1058"/>
      <c r="P22" s="1045"/>
      <c r="Q22" s="1045"/>
      <c r="R22" s="1088"/>
      <c r="S22" s="1088"/>
      <c r="T22" s="1088"/>
      <c r="U22" s="1088"/>
      <c r="V22" s="1088"/>
      <c r="W22" s="1088"/>
      <c r="X22" s="1375"/>
      <c r="Y22" s="1375"/>
      <c r="Z22" s="1088"/>
      <c r="AA22" s="1088"/>
      <c r="AB22" s="1088"/>
      <c r="AC22" s="1376"/>
      <c r="AD22" s="1088"/>
      <c r="AE22" s="1374"/>
      <c r="AF22" s="1088"/>
      <c r="AG22" s="1088"/>
      <c r="AH22" s="1374"/>
      <c r="AI22" s="1088"/>
      <c r="AJ22" s="1088"/>
      <c r="AK22" s="1088"/>
      <c r="AL22" s="1088"/>
      <c r="AM22" s="1088"/>
      <c r="AN22" s="1088"/>
      <c r="AO22" s="1088"/>
      <c r="AP22" s="1088"/>
      <c r="AQ22" s="1088"/>
      <c r="AR22" s="1088"/>
      <c r="AS22" s="1088"/>
      <c r="AT22" s="1088"/>
      <c r="AU22" s="1088"/>
      <c r="AV22" s="1088"/>
      <c r="AW22" s="1088"/>
    </row>
    <row r="23" spans="1:49" x14ac:dyDescent="0.25">
      <c r="A23" s="1054">
        <f t="shared" si="1"/>
        <v>46388</v>
      </c>
      <c r="B23" s="1052"/>
      <c r="C23" s="1045">
        <f t="shared" si="2"/>
        <v>63185</v>
      </c>
      <c r="D23" s="1045"/>
      <c r="E23" s="1055"/>
      <c r="F23" s="1052"/>
      <c r="G23" s="1062"/>
      <c r="H23" s="1052"/>
      <c r="I23" s="1060">
        <f t="shared" si="3"/>
        <v>938007.5</v>
      </c>
      <c r="J23" s="1060"/>
      <c r="K23" s="1060"/>
      <c r="L23" s="1045"/>
      <c r="M23" s="1060">
        <f t="shared" si="4"/>
        <v>938007.5</v>
      </c>
      <c r="N23" s="1045"/>
      <c r="O23" s="1060">
        <f t="shared" ref="O23" si="7">M22+M23</f>
        <v>1876015</v>
      </c>
      <c r="P23" s="1045"/>
      <c r="Q23" s="1045"/>
      <c r="R23" s="1088"/>
      <c r="S23" s="1088"/>
      <c r="T23" s="1374"/>
      <c r="U23" s="1370"/>
      <c r="V23" s="1375"/>
      <c r="W23" s="1373"/>
      <c r="X23" s="1375"/>
      <c r="Y23" s="1375"/>
      <c r="Z23" s="1088"/>
      <c r="AA23" s="1088"/>
      <c r="AB23" s="1088"/>
      <c r="AC23" s="1376"/>
      <c r="AD23" s="1088"/>
      <c r="AE23" s="1374"/>
      <c r="AF23" s="1088"/>
      <c r="AG23" s="1088"/>
      <c r="AH23" s="1374"/>
      <c r="AI23" s="1088"/>
      <c r="AJ23" s="1088"/>
      <c r="AK23" s="1088"/>
      <c r="AL23" s="1088"/>
      <c r="AM23" s="1088"/>
      <c r="AN23" s="1088"/>
      <c r="AO23" s="1088"/>
      <c r="AP23" s="1088"/>
      <c r="AQ23" s="1088"/>
      <c r="AR23" s="1088"/>
      <c r="AS23" s="1088"/>
      <c r="AT23" s="1088"/>
      <c r="AU23" s="1088"/>
      <c r="AV23" s="1088"/>
      <c r="AW23" s="1088"/>
    </row>
    <row r="24" spans="1:49" x14ac:dyDescent="0.25">
      <c r="A24" s="1054">
        <f t="shared" si="1"/>
        <v>46569</v>
      </c>
      <c r="B24" s="1052"/>
      <c r="C24" s="1045">
        <f t="shared" si="2"/>
        <v>63185</v>
      </c>
      <c r="D24" s="1045"/>
      <c r="E24" s="1055"/>
      <c r="F24" s="1052"/>
      <c r="G24" s="1061"/>
      <c r="H24" s="1052"/>
      <c r="I24" s="1060">
        <f t="shared" si="3"/>
        <v>938007.5</v>
      </c>
      <c r="J24" s="1060"/>
      <c r="K24" s="1060"/>
      <c r="L24" s="1045"/>
      <c r="M24" s="1060">
        <f t="shared" si="4"/>
        <v>938007.5</v>
      </c>
      <c r="N24" s="1045"/>
      <c r="O24" s="1058"/>
      <c r="P24" s="1045"/>
      <c r="Q24" s="1045"/>
      <c r="R24" s="1088"/>
      <c r="S24" s="1088"/>
      <c r="T24" s="1088"/>
      <c r="U24" s="1088"/>
      <c r="V24" s="1088"/>
      <c r="W24" s="1088"/>
      <c r="X24" s="1375"/>
      <c r="Y24" s="1375"/>
      <c r="Z24" s="1088"/>
      <c r="AA24" s="1088"/>
      <c r="AB24" s="1088"/>
      <c r="AC24" s="1376"/>
      <c r="AD24" s="1088"/>
      <c r="AE24" s="1374"/>
      <c r="AF24" s="1088"/>
      <c r="AG24" s="1088"/>
      <c r="AH24" s="1374"/>
      <c r="AI24" s="1088"/>
      <c r="AJ24" s="1088"/>
      <c r="AK24" s="1088"/>
      <c r="AL24" s="1088"/>
      <c r="AM24" s="1088"/>
      <c r="AN24" s="1088"/>
      <c r="AO24" s="1088"/>
      <c r="AP24" s="1088"/>
      <c r="AQ24" s="1088"/>
      <c r="AR24" s="1088"/>
      <c r="AS24" s="1088"/>
      <c r="AT24" s="1088"/>
      <c r="AU24" s="1088"/>
      <c r="AV24" s="1088"/>
      <c r="AW24" s="1088"/>
    </row>
    <row r="25" spans="1:49" x14ac:dyDescent="0.25">
      <c r="A25" s="1054">
        <f t="shared" si="1"/>
        <v>46753</v>
      </c>
      <c r="B25" s="1052"/>
      <c r="C25" s="1045">
        <f t="shared" si="2"/>
        <v>63185</v>
      </c>
      <c r="D25" s="1045"/>
      <c r="E25" s="1055"/>
      <c r="F25" s="1052"/>
      <c r="G25" s="1062"/>
      <c r="H25" s="1052"/>
      <c r="I25" s="1060">
        <f t="shared" si="3"/>
        <v>938007.5</v>
      </c>
      <c r="J25" s="1060"/>
      <c r="K25" s="1060"/>
      <c r="L25" s="1045"/>
      <c r="M25" s="1060">
        <f t="shared" si="4"/>
        <v>938007.5</v>
      </c>
      <c r="N25" s="1045"/>
      <c r="O25" s="1060">
        <f t="shared" ref="O25" si="8">M24+M25</f>
        <v>1876015</v>
      </c>
      <c r="P25" s="1045"/>
      <c r="Q25" s="1045"/>
      <c r="R25" s="1088"/>
      <c r="S25" s="1088"/>
      <c r="T25" s="1374"/>
      <c r="U25" s="1370"/>
      <c r="V25" s="1375"/>
      <c r="W25" s="1373"/>
      <c r="X25" s="1375"/>
      <c r="Y25" s="1375"/>
      <c r="Z25" s="1088"/>
      <c r="AA25" s="1088"/>
      <c r="AB25" s="1088"/>
      <c r="AC25" s="1376"/>
      <c r="AD25" s="1088"/>
      <c r="AE25" s="1374"/>
      <c r="AF25" s="1088"/>
      <c r="AG25" s="1088"/>
      <c r="AH25" s="1374"/>
      <c r="AI25" s="1088"/>
      <c r="AJ25" s="1088"/>
      <c r="AK25" s="1088"/>
      <c r="AL25" s="1088"/>
      <c r="AM25" s="1088"/>
      <c r="AN25" s="1088"/>
      <c r="AO25" s="1088"/>
      <c r="AP25" s="1088"/>
      <c r="AQ25" s="1088"/>
      <c r="AR25" s="1088"/>
      <c r="AS25" s="1088"/>
      <c r="AT25" s="1088"/>
      <c r="AU25" s="1088"/>
      <c r="AV25" s="1088"/>
      <c r="AW25" s="1088"/>
    </row>
    <row r="26" spans="1:49" x14ac:dyDescent="0.25">
      <c r="A26" s="1054">
        <f t="shared" si="1"/>
        <v>46935</v>
      </c>
      <c r="B26" s="1052"/>
      <c r="C26" s="1045">
        <f t="shared" si="2"/>
        <v>63185</v>
      </c>
      <c r="D26" s="1045"/>
      <c r="E26" s="1055"/>
      <c r="F26" s="1052"/>
      <c r="G26" s="1061"/>
      <c r="H26" s="1052"/>
      <c r="I26" s="1060">
        <f t="shared" si="3"/>
        <v>938007.5</v>
      </c>
      <c r="J26" s="1060"/>
      <c r="K26" s="1060"/>
      <c r="L26" s="1045"/>
      <c r="M26" s="1060">
        <f t="shared" si="4"/>
        <v>938007.5</v>
      </c>
      <c r="N26" s="1045"/>
      <c r="O26" s="1058"/>
      <c r="P26" s="1045"/>
      <c r="Q26" s="1045"/>
      <c r="R26" s="1088"/>
      <c r="S26" s="1088"/>
      <c r="T26" s="1088"/>
      <c r="U26" s="1088"/>
      <c r="V26" s="1088"/>
      <c r="W26" s="1088"/>
      <c r="X26" s="1375"/>
      <c r="Y26" s="1375"/>
      <c r="Z26" s="1088"/>
      <c r="AA26" s="1088"/>
      <c r="AB26" s="1088"/>
      <c r="AC26" s="1376"/>
      <c r="AD26" s="1088"/>
      <c r="AE26" s="1374"/>
      <c r="AF26" s="1088"/>
      <c r="AG26" s="1088"/>
      <c r="AH26" s="1374"/>
      <c r="AI26" s="1088"/>
      <c r="AJ26" s="1088"/>
      <c r="AK26" s="1088"/>
      <c r="AL26" s="1088"/>
      <c r="AM26" s="1088"/>
      <c r="AN26" s="1088"/>
      <c r="AO26" s="1088"/>
      <c r="AP26" s="1088"/>
      <c r="AQ26" s="1088"/>
      <c r="AR26" s="1088"/>
      <c r="AS26" s="1088"/>
      <c r="AT26" s="1088"/>
      <c r="AU26" s="1088"/>
      <c r="AV26" s="1088"/>
      <c r="AW26" s="1088"/>
    </row>
    <row r="27" spans="1:49" x14ac:dyDescent="0.25">
      <c r="A27" s="1054">
        <f t="shared" si="1"/>
        <v>47119</v>
      </c>
      <c r="B27" s="1052"/>
      <c r="C27" s="1045">
        <f t="shared" si="2"/>
        <v>63185</v>
      </c>
      <c r="D27" s="1045"/>
      <c r="E27" s="1055"/>
      <c r="F27" s="1052"/>
      <c r="G27" s="1062"/>
      <c r="H27" s="1052"/>
      <c r="I27" s="1060">
        <f t="shared" si="3"/>
        <v>938007.5</v>
      </c>
      <c r="J27" s="1060"/>
      <c r="K27" s="1060"/>
      <c r="L27" s="1045"/>
      <c r="M27" s="1060">
        <f t="shared" si="4"/>
        <v>938007.5</v>
      </c>
      <c r="N27" s="1045"/>
      <c r="O27" s="1060">
        <f t="shared" ref="O27" si="9">M26+M27</f>
        <v>1876015</v>
      </c>
      <c r="P27" s="1045"/>
      <c r="Q27" s="1045"/>
      <c r="R27" s="1088"/>
      <c r="S27" s="1088"/>
      <c r="T27" s="1374"/>
      <c r="U27" s="1370"/>
      <c r="V27" s="1375"/>
      <c r="W27" s="1373"/>
      <c r="X27" s="1375"/>
      <c r="Y27" s="1375"/>
      <c r="Z27" s="1088"/>
      <c r="AA27" s="1088"/>
      <c r="AB27" s="1088"/>
      <c r="AC27" s="1376"/>
      <c r="AD27" s="1088"/>
      <c r="AE27" s="1374"/>
      <c r="AF27" s="1088"/>
      <c r="AG27" s="1088"/>
      <c r="AH27" s="1374"/>
      <c r="AI27" s="1088"/>
      <c r="AJ27" s="1088"/>
      <c r="AK27" s="1088"/>
      <c r="AL27" s="1088"/>
      <c r="AM27" s="1088"/>
      <c r="AN27" s="1088"/>
      <c r="AO27" s="1088"/>
      <c r="AP27" s="1088"/>
      <c r="AQ27" s="1088"/>
      <c r="AR27" s="1088"/>
      <c r="AS27" s="1088"/>
      <c r="AT27" s="1088"/>
      <c r="AU27" s="1088"/>
      <c r="AV27" s="1088"/>
      <c r="AW27" s="1088"/>
    </row>
    <row r="28" spans="1:49" x14ac:dyDescent="0.25">
      <c r="A28" s="1054">
        <f t="shared" si="1"/>
        <v>47300</v>
      </c>
      <c r="B28" s="1052"/>
      <c r="C28" s="1045">
        <f t="shared" si="2"/>
        <v>63185</v>
      </c>
      <c r="D28" s="1045"/>
      <c r="E28" s="1055"/>
      <c r="F28" s="1052"/>
      <c r="G28" s="1061"/>
      <c r="H28" s="1052"/>
      <c r="I28" s="1060">
        <f t="shared" si="3"/>
        <v>938007.5</v>
      </c>
      <c r="J28" s="1060"/>
      <c r="K28" s="1060"/>
      <c r="L28" s="1045"/>
      <c r="M28" s="1060">
        <f t="shared" si="4"/>
        <v>938007.5</v>
      </c>
      <c r="N28" s="1045"/>
      <c r="O28" s="1058"/>
      <c r="P28" s="1045"/>
      <c r="Q28" s="1045"/>
      <c r="R28" s="1088"/>
      <c r="S28" s="1088"/>
      <c r="T28" s="1088"/>
      <c r="U28" s="1088"/>
      <c r="V28" s="1088"/>
      <c r="W28" s="1088"/>
      <c r="X28" s="1375"/>
      <c r="Y28" s="1375"/>
      <c r="Z28" s="1088"/>
      <c r="AA28" s="1088"/>
      <c r="AB28" s="1088"/>
      <c r="AC28" s="1376"/>
      <c r="AD28" s="1088"/>
      <c r="AE28" s="1374"/>
      <c r="AF28" s="1088"/>
      <c r="AG28" s="1088"/>
      <c r="AH28" s="1374"/>
      <c r="AI28" s="1088"/>
      <c r="AJ28" s="1088"/>
      <c r="AK28" s="1088"/>
      <c r="AL28" s="1088"/>
      <c r="AM28" s="1088"/>
      <c r="AN28" s="1088"/>
      <c r="AO28" s="1088"/>
      <c r="AP28" s="1088"/>
      <c r="AQ28" s="1088"/>
      <c r="AR28" s="1088"/>
      <c r="AS28" s="1088"/>
      <c r="AT28" s="1088"/>
      <c r="AU28" s="1088"/>
      <c r="AV28" s="1088"/>
      <c r="AW28" s="1088"/>
    </row>
    <row r="29" spans="1:49" x14ac:dyDescent="0.25">
      <c r="A29" s="1054">
        <f t="shared" si="1"/>
        <v>47484</v>
      </c>
      <c r="B29" s="1052"/>
      <c r="C29" s="1045">
        <f t="shared" si="2"/>
        <v>63185</v>
      </c>
      <c r="D29" s="1045"/>
      <c r="E29" s="1055"/>
      <c r="F29" s="1052"/>
      <c r="G29" s="1062"/>
      <c r="H29" s="1052"/>
      <c r="I29" s="1060">
        <f t="shared" si="3"/>
        <v>938007.5</v>
      </c>
      <c r="J29" s="1060"/>
      <c r="K29" s="1060"/>
      <c r="L29" s="1045"/>
      <c r="M29" s="1060">
        <f t="shared" si="4"/>
        <v>938007.5</v>
      </c>
      <c r="N29" s="1045"/>
      <c r="O29" s="1060">
        <f t="shared" ref="O29" si="10">M28+M29</f>
        <v>1876015</v>
      </c>
      <c r="P29" s="1045"/>
      <c r="Q29" s="1045"/>
      <c r="R29" s="1088"/>
      <c r="S29" s="1088"/>
      <c r="T29" s="1374"/>
      <c r="U29" s="1370"/>
      <c r="V29" s="1375"/>
      <c r="W29" s="1373"/>
      <c r="X29" s="1375"/>
      <c r="Y29" s="1375"/>
      <c r="Z29" s="1088"/>
      <c r="AA29" s="1088"/>
      <c r="AB29" s="1088"/>
      <c r="AC29" s="1376"/>
      <c r="AD29" s="1088"/>
      <c r="AE29" s="1374"/>
      <c r="AF29" s="1088"/>
      <c r="AG29" s="1088"/>
      <c r="AH29" s="1374"/>
      <c r="AI29" s="1088"/>
      <c r="AJ29" s="1088"/>
      <c r="AK29" s="1088"/>
      <c r="AL29" s="1088"/>
      <c r="AM29" s="1088"/>
      <c r="AN29" s="1088"/>
      <c r="AO29" s="1088"/>
      <c r="AP29" s="1088"/>
      <c r="AQ29" s="1088"/>
      <c r="AR29" s="1088"/>
      <c r="AS29" s="1088"/>
      <c r="AT29" s="1088"/>
      <c r="AU29" s="1088"/>
      <c r="AV29" s="1088"/>
      <c r="AW29" s="1088"/>
    </row>
    <row r="30" spans="1:49" x14ac:dyDescent="0.25">
      <c r="A30" s="1054">
        <f t="shared" si="1"/>
        <v>47665</v>
      </c>
      <c r="B30" s="1052"/>
      <c r="C30" s="1045">
        <f t="shared" si="2"/>
        <v>63185</v>
      </c>
      <c r="D30" s="1045"/>
      <c r="E30" s="1055"/>
      <c r="F30" s="1052"/>
      <c r="G30" s="1061"/>
      <c r="H30" s="1052"/>
      <c r="I30" s="1060">
        <f t="shared" si="3"/>
        <v>938007.5</v>
      </c>
      <c r="J30" s="1060"/>
      <c r="K30" s="1060"/>
      <c r="L30" s="1045"/>
      <c r="M30" s="1060">
        <f t="shared" si="4"/>
        <v>938007.5</v>
      </c>
      <c r="N30" s="1045"/>
      <c r="O30" s="1058"/>
      <c r="P30" s="1045"/>
      <c r="Q30" s="1045"/>
      <c r="R30" s="1088"/>
      <c r="S30" s="1088"/>
      <c r="T30" s="1088"/>
      <c r="U30" s="1088"/>
      <c r="V30" s="1088"/>
      <c r="W30" s="1088"/>
      <c r="X30" s="1375"/>
      <c r="Y30" s="1375"/>
      <c r="Z30" s="1088"/>
      <c r="AA30" s="1088"/>
      <c r="AB30" s="1088"/>
      <c r="AC30" s="1376"/>
      <c r="AD30" s="1088"/>
      <c r="AE30" s="1374"/>
      <c r="AF30" s="1088"/>
      <c r="AG30" s="1088"/>
      <c r="AH30" s="1374"/>
      <c r="AI30" s="1088"/>
      <c r="AJ30" s="1088"/>
      <c r="AK30" s="1088"/>
      <c r="AL30" s="1088"/>
      <c r="AM30" s="1088"/>
      <c r="AN30" s="1088"/>
      <c r="AO30" s="1088"/>
      <c r="AP30" s="1088"/>
      <c r="AQ30" s="1088"/>
      <c r="AR30" s="1088"/>
      <c r="AS30" s="1088"/>
      <c r="AT30" s="1088"/>
      <c r="AU30" s="1088"/>
      <c r="AV30" s="1088"/>
      <c r="AW30" s="1088"/>
    </row>
    <row r="31" spans="1:49" x14ac:dyDescent="0.25">
      <c r="A31" s="1054">
        <f t="shared" si="1"/>
        <v>47849</v>
      </c>
      <c r="B31" s="1052"/>
      <c r="C31" s="1045">
        <f t="shared" si="2"/>
        <v>63185</v>
      </c>
      <c r="D31" s="1045"/>
      <c r="E31" s="1055"/>
      <c r="F31" s="1052"/>
      <c r="G31" s="1062"/>
      <c r="H31" s="1052"/>
      <c r="I31" s="1060">
        <f t="shared" si="3"/>
        <v>938007.5</v>
      </c>
      <c r="J31" s="1060"/>
      <c r="K31" s="1060"/>
      <c r="L31" s="1045"/>
      <c r="M31" s="1060">
        <f t="shared" si="4"/>
        <v>938007.5</v>
      </c>
      <c r="N31" s="1045"/>
      <c r="O31" s="1060">
        <f t="shared" ref="O31" si="11">M30+M31</f>
        <v>1876015</v>
      </c>
      <c r="P31" s="1045"/>
      <c r="Q31" s="1045"/>
      <c r="R31" s="1088"/>
      <c r="S31" s="1088"/>
      <c r="T31" s="1374"/>
      <c r="U31" s="1370"/>
      <c r="V31" s="1375"/>
      <c r="W31" s="1373"/>
      <c r="X31" s="1375"/>
      <c r="Y31" s="1375"/>
      <c r="Z31" s="1088"/>
      <c r="AA31" s="1088"/>
      <c r="AB31" s="1088"/>
      <c r="AC31" s="1376"/>
      <c r="AD31" s="1088"/>
      <c r="AE31" s="1374"/>
      <c r="AF31" s="1088"/>
      <c r="AG31" s="1088"/>
      <c r="AH31" s="1374"/>
      <c r="AI31" s="1088"/>
      <c r="AJ31" s="1088"/>
      <c r="AK31" s="1088"/>
      <c r="AL31" s="1088"/>
      <c r="AM31" s="1088"/>
      <c r="AN31" s="1088"/>
      <c r="AO31" s="1088"/>
      <c r="AP31" s="1088"/>
      <c r="AQ31" s="1088"/>
      <c r="AR31" s="1088"/>
      <c r="AS31" s="1088"/>
      <c r="AT31" s="1088"/>
      <c r="AU31" s="1088"/>
      <c r="AV31" s="1088"/>
      <c r="AW31" s="1088"/>
    </row>
    <row r="32" spans="1:49" x14ac:dyDescent="0.25">
      <c r="A32" s="1054">
        <f t="shared" si="1"/>
        <v>48030</v>
      </c>
      <c r="B32" s="1052"/>
      <c r="C32" s="1045">
        <f t="shared" si="2"/>
        <v>63185</v>
      </c>
      <c r="D32" s="1045"/>
      <c r="E32" s="1055"/>
      <c r="F32" s="1052"/>
      <c r="G32" s="1061"/>
      <c r="H32" s="1052"/>
      <c r="I32" s="1060">
        <f t="shared" si="3"/>
        <v>938007.5</v>
      </c>
      <c r="J32" s="1060"/>
      <c r="K32" s="1060"/>
      <c r="L32" s="1045"/>
      <c r="M32" s="1060">
        <f t="shared" si="4"/>
        <v>938007.5</v>
      </c>
      <c r="N32" s="1045"/>
      <c r="O32" s="1058"/>
      <c r="P32" s="1045"/>
      <c r="Q32" s="1045"/>
      <c r="R32" s="1088"/>
      <c r="S32" s="1088"/>
      <c r="T32" s="1088"/>
      <c r="U32" s="1088"/>
      <c r="V32" s="1088"/>
      <c r="W32" s="1088"/>
      <c r="X32" s="1375"/>
      <c r="Y32" s="1375"/>
      <c r="Z32" s="1088"/>
      <c r="AA32" s="1088"/>
      <c r="AB32" s="1088"/>
      <c r="AC32" s="1376"/>
      <c r="AD32" s="1088"/>
      <c r="AE32" s="1374"/>
      <c r="AF32" s="1088"/>
      <c r="AG32" s="1088"/>
      <c r="AH32" s="1374"/>
      <c r="AI32" s="1088"/>
      <c r="AJ32" s="1088"/>
      <c r="AK32" s="1088"/>
      <c r="AL32" s="1088"/>
      <c r="AM32" s="1088"/>
      <c r="AN32" s="1088"/>
      <c r="AO32" s="1088"/>
      <c r="AP32" s="1088"/>
      <c r="AQ32" s="1088"/>
      <c r="AR32" s="1088"/>
      <c r="AS32" s="1088"/>
      <c r="AT32" s="1088"/>
      <c r="AU32" s="1088"/>
      <c r="AV32" s="1088"/>
      <c r="AW32" s="1088"/>
    </row>
    <row r="33" spans="1:49" x14ac:dyDescent="0.25">
      <c r="A33" s="1054">
        <f t="shared" si="1"/>
        <v>48214</v>
      </c>
      <c r="B33" s="1052"/>
      <c r="C33" s="1045">
        <f t="shared" si="2"/>
        <v>63185</v>
      </c>
      <c r="D33" s="1045"/>
      <c r="E33" s="1055"/>
      <c r="F33" s="1052"/>
      <c r="G33" s="1062"/>
      <c r="H33" s="1052"/>
      <c r="I33" s="1060">
        <f t="shared" si="3"/>
        <v>938007.5</v>
      </c>
      <c r="J33" s="1060"/>
      <c r="K33" s="1060"/>
      <c r="L33" s="1045"/>
      <c r="M33" s="1060">
        <f t="shared" si="4"/>
        <v>938007.5</v>
      </c>
      <c r="N33" s="1045"/>
      <c r="O33" s="1060">
        <f t="shared" ref="O33" si="12">M32+M33</f>
        <v>1876015</v>
      </c>
      <c r="P33" s="1045"/>
      <c r="Q33" s="1045"/>
      <c r="R33" s="1088"/>
      <c r="S33" s="1088"/>
      <c r="T33" s="1374"/>
      <c r="U33" s="1370"/>
      <c r="V33" s="1375"/>
      <c r="W33" s="1373"/>
      <c r="X33" s="1375"/>
      <c r="Y33" s="1375"/>
      <c r="Z33" s="1088"/>
      <c r="AA33" s="1088"/>
      <c r="AB33" s="1088"/>
      <c r="AC33" s="1376"/>
      <c r="AD33" s="1088"/>
      <c r="AE33" s="1374"/>
      <c r="AF33" s="1088"/>
      <c r="AG33" s="1088"/>
      <c r="AH33" s="1374"/>
      <c r="AI33" s="1088"/>
      <c r="AJ33" s="1088"/>
      <c r="AK33" s="1088"/>
      <c r="AL33" s="1088"/>
      <c r="AM33" s="1088"/>
      <c r="AN33" s="1088"/>
      <c r="AO33" s="1088"/>
      <c r="AP33" s="1088"/>
      <c r="AQ33" s="1088"/>
      <c r="AR33" s="1088"/>
      <c r="AS33" s="1088"/>
      <c r="AT33" s="1088"/>
      <c r="AU33" s="1088"/>
      <c r="AV33" s="1088"/>
      <c r="AW33" s="1088"/>
    </row>
    <row r="34" spans="1:49" x14ac:dyDescent="0.25">
      <c r="A34" s="1054">
        <f t="shared" si="1"/>
        <v>48396</v>
      </c>
      <c r="B34" s="1052"/>
      <c r="C34" s="1045">
        <f t="shared" si="2"/>
        <v>63185</v>
      </c>
      <c r="D34" s="1045"/>
      <c r="E34" s="1055"/>
      <c r="F34" s="1052"/>
      <c r="G34" s="1061"/>
      <c r="H34" s="1052"/>
      <c r="I34" s="1060">
        <f t="shared" si="3"/>
        <v>938007.5</v>
      </c>
      <c r="J34" s="1060"/>
      <c r="K34" s="1060"/>
      <c r="L34" s="1045"/>
      <c r="M34" s="1060">
        <f t="shared" si="4"/>
        <v>938007.5</v>
      </c>
      <c r="N34" s="1045"/>
      <c r="O34" s="1058"/>
      <c r="P34" s="1045"/>
      <c r="Q34" s="1045"/>
      <c r="R34" s="1088"/>
      <c r="S34" s="1088"/>
      <c r="T34" s="1088"/>
      <c r="U34" s="1088"/>
      <c r="V34" s="1088"/>
      <c r="W34" s="1088"/>
      <c r="X34" s="1375"/>
      <c r="Y34" s="1375"/>
      <c r="Z34" s="1088"/>
      <c r="AA34" s="1088"/>
      <c r="AB34" s="1088"/>
      <c r="AC34" s="1376"/>
      <c r="AD34" s="1088"/>
      <c r="AE34" s="1374"/>
      <c r="AF34" s="1088"/>
      <c r="AG34" s="1088"/>
      <c r="AH34" s="1374"/>
      <c r="AI34" s="1088"/>
      <c r="AJ34" s="1088"/>
      <c r="AK34" s="1088"/>
      <c r="AL34" s="1088"/>
      <c r="AM34" s="1088"/>
      <c r="AN34" s="1088"/>
      <c r="AO34" s="1088"/>
      <c r="AP34" s="1088"/>
      <c r="AQ34" s="1088"/>
      <c r="AR34" s="1088"/>
      <c r="AS34" s="1088"/>
      <c r="AT34" s="1088"/>
      <c r="AU34" s="1088"/>
      <c r="AV34" s="1088"/>
      <c r="AW34" s="1088"/>
    </row>
    <row r="35" spans="1:49" x14ac:dyDescent="0.25">
      <c r="A35" s="1054">
        <f t="shared" si="1"/>
        <v>48580</v>
      </c>
      <c r="B35" s="1052"/>
      <c r="C35" s="1045">
        <f t="shared" si="2"/>
        <v>63185</v>
      </c>
      <c r="D35" s="1045"/>
      <c r="E35" s="1055"/>
      <c r="F35" s="1052"/>
      <c r="G35" s="1062"/>
      <c r="H35" s="1052"/>
      <c r="I35" s="1060">
        <f t="shared" si="3"/>
        <v>938007.5</v>
      </c>
      <c r="J35" s="1060"/>
      <c r="K35" s="1060"/>
      <c r="L35" s="1045"/>
      <c r="M35" s="1060">
        <f t="shared" si="4"/>
        <v>938007.5</v>
      </c>
      <c r="N35" s="1045"/>
      <c r="O35" s="1060">
        <f t="shared" ref="O35" si="13">M34+M35</f>
        <v>1876015</v>
      </c>
      <c r="P35" s="1045"/>
      <c r="Q35" s="1045"/>
      <c r="R35" s="1088"/>
      <c r="S35" s="1088"/>
      <c r="T35" s="1374"/>
      <c r="U35" s="1370"/>
      <c r="V35" s="1375"/>
      <c r="W35" s="1373"/>
      <c r="X35" s="1375"/>
      <c r="Y35" s="1375"/>
      <c r="Z35" s="1088"/>
      <c r="AA35" s="1088"/>
      <c r="AB35" s="1088"/>
      <c r="AC35" s="1376"/>
      <c r="AD35" s="1088"/>
      <c r="AE35" s="1374"/>
      <c r="AF35" s="1088"/>
      <c r="AG35" s="1088"/>
      <c r="AH35" s="1374"/>
      <c r="AI35" s="1088"/>
      <c r="AJ35" s="1088"/>
      <c r="AK35" s="1088"/>
      <c r="AL35" s="1088"/>
      <c r="AM35" s="1088"/>
      <c r="AN35" s="1088"/>
      <c r="AO35" s="1088"/>
      <c r="AP35" s="1088"/>
      <c r="AQ35" s="1088"/>
      <c r="AR35" s="1088"/>
      <c r="AS35" s="1088"/>
      <c r="AT35" s="1088"/>
      <c r="AU35" s="1088"/>
      <c r="AV35" s="1088"/>
      <c r="AW35" s="1088"/>
    </row>
    <row r="36" spans="1:49" x14ac:dyDescent="0.25">
      <c r="A36" s="1054">
        <f t="shared" si="1"/>
        <v>48761</v>
      </c>
      <c r="B36" s="1052"/>
      <c r="C36" s="1045">
        <f t="shared" si="2"/>
        <v>63185</v>
      </c>
      <c r="D36" s="1045"/>
      <c r="E36" s="1055"/>
      <c r="F36" s="1052"/>
      <c r="G36" s="1061"/>
      <c r="H36" s="1052"/>
      <c r="I36" s="1060">
        <f t="shared" si="3"/>
        <v>938007.5</v>
      </c>
      <c r="J36" s="1060"/>
      <c r="K36" s="1060"/>
      <c r="L36" s="1045"/>
      <c r="M36" s="1060">
        <f t="shared" si="4"/>
        <v>938007.5</v>
      </c>
      <c r="N36" s="1045"/>
      <c r="O36" s="1058"/>
      <c r="P36" s="1045"/>
      <c r="Q36" s="1045"/>
      <c r="R36" s="1088"/>
      <c r="S36" s="1088"/>
      <c r="T36" s="1088"/>
      <c r="U36" s="1088"/>
      <c r="V36" s="1088"/>
      <c r="W36" s="1088"/>
      <c r="X36" s="1375"/>
      <c r="Y36" s="1375"/>
      <c r="Z36" s="1088"/>
      <c r="AA36" s="1088"/>
      <c r="AB36" s="1088"/>
      <c r="AC36" s="1376"/>
      <c r="AD36" s="1088"/>
      <c r="AE36" s="1374"/>
      <c r="AF36" s="1088"/>
      <c r="AG36" s="1088"/>
      <c r="AH36" s="1374"/>
      <c r="AI36" s="1088"/>
      <c r="AJ36" s="1088"/>
      <c r="AK36" s="1088"/>
      <c r="AL36" s="1088"/>
      <c r="AM36" s="1088"/>
      <c r="AN36" s="1088"/>
      <c r="AO36" s="1088"/>
      <c r="AP36" s="1088"/>
      <c r="AQ36" s="1088"/>
      <c r="AR36" s="1088"/>
      <c r="AS36" s="1088"/>
      <c r="AT36" s="1088"/>
      <c r="AU36" s="1088"/>
      <c r="AV36" s="1088"/>
      <c r="AW36" s="1088"/>
    </row>
    <row r="37" spans="1:49" x14ac:dyDescent="0.25">
      <c r="A37" s="1054">
        <f t="shared" si="1"/>
        <v>48945</v>
      </c>
      <c r="B37" s="1052"/>
      <c r="C37" s="1045">
        <f t="shared" si="2"/>
        <v>63185</v>
      </c>
      <c r="D37" s="1045"/>
      <c r="E37" s="1055"/>
      <c r="F37" s="1052"/>
      <c r="G37" s="1062"/>
      <c r="H37" s="1052"/>
      <c r="I37" s="1060">
        <f t="shared" si="3"/>
        <v>938007.5</v>
      </c>
      <c r="J37" s="1060"/>
      <c r="K37" s="1060"/>
      <c r="L37" s="1045"/>
      <c r="M37" s="1060">
        <f t="shared" si="4"/>
        <v>938007.5</v>
      </c>
      <c r="N37" s="1045"/>
      <c r="O37" s="1060">
        <f t="shared" ref="O37" si="14">M36+M37</f>
        <v>1876015</v>
      </c>
      <c r="P37" s="1045"/>
      <c r="Q37" s="1045"/>
      <c r="R37" s="1088"/>
      <c r="S37" s="1088"/>
      <c r="T37" s="1374"/>
      <c r="U37" s="1370"/>
      <c r="V37" s="1375"/>
      <c r="W37" s="1373"/>
      <c r="X37" s="1375"/>
      <c r="Y37" s="1375"/>
      <c r="Z37" s="1088"/>
      <c r="AA37" s="1088"/>
      <c r="AB37" s="1088"/>
      <c r="AC37" s="1376"/>
      <c r="AD37" s="1088"/>
      <c r="AE37" s="1374"/>
      <c r="AF37" s="1088"/>
      <c r="AG37" s="1088"/>
      <c r="AH37" s="1374"/>
      <c r="AI37" s="1088"/>
      <c r="AJ37" s="1088"/>
      <c r="AK37" s="1088"/>
      <c r="AL37" s="1088"/>
      <c r="AM37" s="1088"/>
      <c r="AN37" s="1088"/>
      <c r="AO37" s="1088"/>
      <c r="AP37" s="1088"/>
      <c r="AQ37" s="1088"/>
      <c r="AR37" s="1088"/>
      <c r="AS37" s="1088"/>
      <c r="AT37" s="1088"/>
      <c r="AU37" s="1088"/>
      <c r="AV37" s="1088"/>
      <c r="AW37" s="1088"/>
    </row>
    <row r="38" spans="1:49" x14ac:dyDescent="0.25">
      <c r="A38" s="1054">
        <f t="shared" si="1"/>
        <v>49126</v>
      </c>
      <c r="B38" s="1052"/>
      <c r="C38" s="1045">
        <f t="shared" si="2"/>
        <v>63185</v>
      </c>
      <c r="D38" s="1045"/>
      <c r="E38" s="1055"/>
      <c r="F38" s="1052"/>
      <c r="G38" s="1061"/>
      <c r="H38" s="1052"/>
      <c r="I38" s="1060">
        <f t="shared" si="3"/>
        <v>938007.5</v>
      </c>
      <c r="J38" s="1060"/>
      <c r="K38" s="1060"/>
      <c r="L38" s="1045"/>
      <c r="M38" s="1060">
        <f t="shared" si="4"/>
        <v>938007.5</v>
      </c>
      <c r="N38" s="1045"/>
      <c r="O38" s="1058"/>
      <c r="P38" s="1045"/>
      <c r="Q38" s="1045"/>
      <c r="R38" s="1088"/>
      <c r="S38" s="1088"/>
      <c r="T38" s="1088"/>
      <c r="U38" s="1088"/>
      <c r="V38" s="1088"/>
      <c r="W38" s="1088"/>
      <c r="X38" s="1375"/>
      <c r="Y38" s="1375"/>
      <c r="Z38" s="1088"/>
      <c r="AA38" s="1088"/>
      <c r="AB38" s="1088"/>
      <c r="AC38" s="1376"/>
      <c r="AD38" s="1088"/>
      <c r="AE38" s="1221"/>
      <c r="AF38" s="1088"/>
      <c r="AG38" s="1088"/>
      <c r="AH38" s="1221"/>
      <c r="AI38" s="1088"/>
      <c r="AJ38" s="1088"/>
      <c r="AK38" s="1088"/>
      <c r="AL38" s="1088"/>
      <c r="AM38" s="1088"/>
      <c r="AN38" s="1088"/>
      <c r="AO38" s="1088"/>
      <c r="AP38" s="1088"/>
      <c r="AQ38" s="1088"/>
      <c r="AR38" s="1088"/>
      <c r="AS38" s="1088"/>
      <c r="AT38" s="1088"/>
      <c r="AU38" s="1088"/>
      <c r="AV38" s="1088"/>
      <c r="AW38" s="1088"/>
    </row>
    <row r="39" spans="1:49" x14ac:dyDescent="0.25">
      <c r="A39" s="1054">
        <f t="shared" si="1"/>
        <v>49310</v>
      </c>
      <c r="B39" s="1052"/>
      <c r="C39" s="1045">
        <f t="shared" si="2"/>
        <v>63185</v>
      </c>
      <c r="D39" s="1045"/>
      <c r="E39" s="1055"/>
      <c r="F39" s="1052"/>
      <c r="G39" s="1062"/>
      <c r="H39" s="1052"/>
      <c r="I39" s="1060">
        <f t="shared" si="3"/>
        <v>938007.5</v>
      </c>
      <c r="J39" s="1060"/>
      <c r="K39" s="1060"/>
      <c r="L39" s="1045"/>
      <c r="M39" s="1060">
        <f t="shared" si="4"/>
        <v>938007.5</v>
      </c>
      <c r="N39" s="1045"/>
      <c r="O39" s="1060">
        <f t="shared" ref="O39" si="15">M38+M39</f>
        <v>1876015</v>
      </c>
      <c r="P39" s="1045"/>
      <c r="R39" s="1088"/>
      <c r="S39" s="1088"/>
      <c r="T39" s="1374"/>
      <c r="U39" s="1370"/>
      <c r="V39" s="1375"/>
      <c r="W39" s="1373"/>
      <c r="X39" s="1375"/>
      <c r="Y39" s="1375"/>
      <c r="Z39" s="1088"/>
      <c r="AA39" s="1088"/>
      <c r="AB39" s="1088"/>
      <c r="AC39" s="1376"/>
      <c r="AD39" s="1088"/>
      <c r="AE39" s="1374"/>
      <c r="AF39" s="1088"/>
      <c r="AG39" s="1088"/>
      <c r="AH39" s="1370"/>
      <c r="AI39" s="1088"/>
      <c r="AJ39" s="1088"/>
      <c r="AK39" s="1088"/>
      <c r="AL39" s="1088"/>
      <c r="AM39" s="1088"/>
      <c r="AN39" s="1088"/>
      <c r="AO39" s="1088"/>
      <c r="AP39" s="1088"/>
      <c r="AQ39" s="1088"/>
      <c r="AR39" s="1088"/>
      <c r="AS39" s="1088"/>
      <c r="AT39" s="1088"/>
      <c r="AU39" s="1088"/>
      <c r="AV39" s="1088"/>
      <c r="AW39" s="1088"/>
    </row>
    <row r="40" spans="1:49" x14ac:dyDescent="0.25">
      <c r="A40" s="1054">
        <f t="shared" si="1"/>
        <v>49491</v>
      </c>
      <c r="B40" s="1052"/>
      <c r="C40" s="1045">
        <f t="shared" si="2"/>
        <v>63185</v>
      </c>
      <c r="D40" s="1045"/>
      <c r="E40" s="1055"/>
      <c r="F40" s="1052"/>
      <c r="G40" s="1061"/>
      <c r="H40" s="1052"/>
      <c r="I40" s="1060">
        <f t="shared" si="3"/>
        <v>938007.5</v>
      </c>
      <c r="J40" s="1060"/>
      <c r="K40" s="1060"/>
      <c r="L40" s="1045"/>
      <c r="M40" s="1060">
        <f t="shared" si="4"/>
        <v>938007.5</v>
      </c>
      <c r="N40" s="1045"/>
      <c r="O40" s="1058"/>
      <c r="P40" s="1045"/>
      <c r="R40" s="1088"/>
      <c r="S40" s="1088"/>
      <c r="T40" s="1088"/>
      <c r="U40" s="1088"/>
      <c r="V40" s="1088"/>
      <c r="W40" s="1088"/>
      <c r="X40" s="1375"/>
      <c r="Y40" s="1375"/>
      <c r="Z40" s="1088"/>
      <c r="AA40" s="1088"/>
      <c r="AB40" s="1088"/>
      <c r="AC40" s="1376"/>
      <c r="AD40" s="1088"/>
      <c r="AE40" s="1370"/>
      <c r="AF40" s="1088"/>
      <c r="AG40" s="1088"/>
      <c r="AH40" s="1370"/>
      <c r="AI40" s="1088"/>
      <c r="AJ40" s="1088"/>
      <c r="AK40" s="1088"/>
      <c r="AL40" s="1088"/>
      <c r="AM40" s="1088"/>
      <c r="AN40" s="1088"/>
      <c r="AO40" s="1088"/>
      <c r="AP40" s="1088"/>
      <c r="AQ40" s="1088"/>
      <c r="AR40" s="1088"/>
      <c r="AS40" s="1088"/>
      <c r="AT40" s="1088"/>
      <c r="AU40" s="1088"/>
      <c r="AV40" s="1088"/>
      <c r="AW40" s="1088"/>
    </row>
    <row r="41" spans="1:49" x14ac:dyDescent="0.25">
      <c r="A41" s="1054">
        <f t="shared" si="1"/>
        <v>49675</v>
      </c>
      <c r="B41" s="1052"/>
      <c r="C41" s="1045">
        <f t="shared" si="2"/>
        <v>63185</v>
      </c>
      <c r="D41" s="1045"/>
      <c r="E41" s="1055">
        <v>3570</v>
      </c>
      <c r="F41" s="1052"/>
      <c r="G41" s="1060">
        <v>2.2999999999999998</v>
      </c>
      <c r="H41" s="1052"/>
      <c r="I41" s="1060">
        <f t="shared" si="3"/>
        <v>938007.5</v>
      </c>
      <c r="J41" s="1060"/>
      <c r="K41" s="1060"/>
      <c r="L41" s="1045"/>
      <c r="M41" s="1060">
        <f t="shared" si="4"/>
        <v>4508007.5</v>
      </c>
      <c r="N41" s="1045"/>
      <c r="O41" s="1060">
        <f t="shared" ref="O41" si="16">M40+M41</f>
        <v>5446015</v>
      </c>
      <c r="P41" s="1045"/>
      <c r="Q41" s="1045"/>
      <c r="R41" s="1088"/>
      <c r="S41" s="1088"/>
      <c r="T41" s="1374"/>
      <c r="U41" s="1370"/>
      <c r="V41" s="1375"/>
      <c r="W41" s="1373"/>
      <c r="X41" s="1375"/>
      <c r="Y41" s="1375"/>
      <c r="Z41" s="1088"/>
      <c r="AA41" s="1088"/>
      <c r="AB41" s="1088"/>
      <c r="AC41" s="1088"/>
      <c r="AD41" s="1088"/>
      <c r="AE41" s="1088"/>
      <c r="AF41" s="1088"/>
      <c r="AG41" s="1088"/>
      <c r="AH41" s="1088"/>
      <c r="AI41" s="1088"/>
      <c r="AJ41" s="1088"/>
      <c r="AK41" s="1088"/>
      <c r="AL41" s="1088"/>
      <c r="AM41" s="1088"/>
      <c r="AN41" s="1088"/>
      <c r="AO41" s="1088"/>
      <c r="AP41" s="1088"/>
      <c r="AQ41" s="1088"/>
      <c r="AR41" s="1088"/>
      <c r="AS41" s="1088"/>
      <c r="AT41" s="1088"/>
      <c r="AU41" s="1088"/>
      <c r="AV41" s="1088"/>
      <c r="AW41" s="1088"/>
    </row>
    <row r="42" spans="1:49" x14ac:dyDescent="0.25">
      <c r="A42" s="1054">
        <f t="shared" si="1"/>
        <v>49857</v>
      </c>
      <c r="B42" s="1052"/>
      <c r="C42" s="1045">
        <f t="shared" si="2"/>
        <v>59615</v>
      </c>
      <c r="D42" s="1045"/>
      <c r="E42" s="1055"/>
      <c r="F42" s="1052"/>
      <c r="G42" s="1206"/>
      <c r="H42" s="1052"/>
      <c r="I42" s="1060">
        <f t="shared" si="3"/>
        <v>896952.5</v>
      </c>
      <c r="J42" s="1060"/>
      <c r="K42" s="1060"/>
      <c r="L42" s="1045"/>
      <c r="M42" s="1060">
        <f t="shared" si="4"/>
        <v>896952.5</v>
      </c>
      <c r="N42" s="1045"/>
      <c r="O42" s="1058"/>
      <c r="P42" s="1045"/>
      <c r="Q42" s="1045"/>
      <c r="R42" s="1088"/>
      <c r="S42" s="1088"/>
      <c r="T42" s="1088"/>
      <c r="U42" s="1088"/>
      <c r="V42" s="1088"/>
      <c r="W42" s="1088"/>
      <c r="X42" s="1375"/>
      <c r="Y42" s="1375"/>
      <c r="Z42" s="1088"/>
      <c r="AA42" s="1088"/>
      <c r="AB42" s="1088"/>
      <c r="AC42" s="1088"/>
      <c r="AD42" s="1088"/>
      <c r="AE42" s="1088"/>
      <c r="AF42" s="1088"/>
      <c r="AG42" s="1088"/>
      <c r="AH42" s="1088"/>
      <c r="AI42" s="1088"/>
      <c r="AJ42" s="1088"/>
      <c r="AK42" s="1088"/>
      <c r="AL42" s="1088"/>
      <c r="AM42" s="1088"/>
      <c r="AN42" s="1088"/>
      <c r="AO42" s="1088"/>
      <c r="AP42" s="1088"/>
      <c r="AQ42" s="1088"/>
      <c r="AR42" s="1088"/>
      <c r="AS42" s="1088"/>
      <c r="AT42" s="1088"/>
      <c r="AU42" s="1088"/>
      <c r="AV42" s="1088"/>
      <c r="AW42" s="1088"/>
    </row>
    <row r="43" spans="1:49" x14ac:dyDescent="0.25">
      <c r="A43" s="1054">
        <f t="shared" si="1"/>
        <v>50041</v>
      </c>
      <c r="B43" s="1052"/>
      <c r="C43" s="1045">
        <f t="shared" si="2"/>
        <v>59615</v>
      </c>
      <c r="D43" s="1045"/>
      <c r="E43" s="1045">
        <v>3515</v>
      </c>
      <c r="F43" s="1052"/>
      <c r="G43" s="1060">
        <v>2.4</v>
      </c>
      <c r="H43" s="1052"/>
      <c r="I43" s="1060">
        <f t="shared" si="3"/>
        <v>896952.5</v>
      </c>
      <c r="J43" s="1060"/>
      <c r="K43" s="1060"/>
      <c r="L43" s="1045"/>
      <c r="M43" s="1060">
        <f t="shared" si="4"/>
        <v>4411952.5</v>
      </c>
      <c r="N43" s="1045"/>
      <c r="O43" s="1060">
        <f t="shared" ref="O43" si="17">M42+M43</f>
        <v>5308905</v>
      </c>
      <c r="P43" s="1045"/>
      <c r="Q43" s="1045"/>
      <c r="R43" s="1088"/>
      <c r="S43" s="1088"/>
      <c r="T43" s="1374"/>
      <c r="U43" s="1370"/>
      <c r="V43" s="1375"/>
      <c r="W43" s="1373"/>
      <c r="X43" s="1375"/>
      <c r="Y43" s="1375"/>
      <c r="Z43" s="1088"/>
      <c r="AA43" s="1088"/>
      <c r="AB43" s="1088"/>
      <c r="AC43" s="1088"/>
      <c r="AD43" s="1088"/>
      <c r="AE43" s="1088"/>
      <c r="AF43" s="1088"/>
      <c r="AG43" s="1088"/>
      <c r="AH43" s="1088"/>
      <c r="AI43" s="1088"/>
      <c r="AJ43" s="1088"/>
      <c r="AK43" s="1088"/>
      <c r="AL43" s="1088"/>
      <c r="AM43" s="1088"/>
      <c r="AN43" s="1088"/>
      <c r="AO43" s="1088"/>
      <c r="AP43" s="1088"/>
      <c r="AQ43" s="1088"/>
      <c r="AR43" s="1088"/>
      <c r="AS43" s="1088"/>
      <c r="AT43" s="1088"/>
      <c r="AU43" s="1088"/>
      <c r="AV43" s="1088"/>
      <c r="AW43" s="1088"/>
    </row>
    <row r="44" spans="1:49" x14ac:dyDescent="0.25">
      <c r="A44" s="1054">
        <f t="shared" si="1"/>
        <v>50222</v>
      </c>
      <c r="B44" s="1052"/>
      <c r="C44" s="1045">
        <f t="shared" si="2"/>
        <v>56100</v>
      </c>
      <c r="D44" s="1045"/>
      <c r="E44" s="1045"/>
      <c r="F44" s="1052"/>
      <c r="G44" s="1206"/>
      <c r="H44" s="1052"/>
      <c r="I44" s="1060">
        <f t="shared" si="3"/>
        <v>854772.5</v>
      </c>
      <c r="J44" s="1060"/>
      <c r="K44" s="1060"/>
      <c r="L44" s="1045"/>
      <c r="M44" s="1060">
        <f t="shared" si="4"/>
        <v>854772.5</v>
      </c>
      <c r="N44" s="1045"/>
      <c r="O44" s="1058"/>
      <c r="P44" s="1045"/>
      <c r="Q44" s="1045"/>
      <c r="R44" s="1088"/>
      <c r="S44" s="1088"/>
      <c r="T44" s="1088"/>
      <c r="U44" s="1088"/>
      <c r="V44" s="1088"/>
      <c r="W44" s="1088"/>
      <c r="X44" s="1375"/>
      <c r="Y44" s="1375"/>
      <c r="Z44" s="1088"/>
      <c r="AA44" s="1088"/>
      <c r="AB44" s="1088"/>
      <c r="AC44" s="1088"/>
      <c r="AD44" s="1088"/>
      <c r="AE44" s="1088"/>
      <c r="AF44" s="1088"/>
      <c r="AG44" s="1088"/>
      <c r="AH44" s="1088"/>
      <c r="AI44" s="1088"/>
      <c r="AJ44" s="1088"/>
      <c r="AK44" s="1088"/>
      <c r="AL44" s="1088"/>
      <c r="AM44" s="1088"/>
      <c r="AN44" s="1088"/>
      <c r="AO44" s="1088"/>
      <c r="AP44" s="1088"/>
      <c r="AQ44" s="1088"/>
      <c r="AR44" s="1088"/>
      <c r="AS44" s="1088"/>
      <c r="AT44" s="1088"/>
      <c r="AU44" s="1088"/>
      <c r="AV44" s="1088"/>
      <c r="AW44" s="1088"/>
    </row>
    <row r="45" spans="1:49" x14ac:dyDescent="0.25">
      <c r="A45" s="1054">
        <f t="shared" si="1"/>
        <v>50406</v>
      </c>
      <c r="B45" s="1052"/>
      <c r="C45" s="1045">
        <f t="shared" si="2"/>
        <v>56100</v>
      </c>
      <c r="D45" s="1045"/>
      <c r="E45" s="1045">
        <v>3560</v>
      </c>
      <c r="F45" s="1052"/>
      <c r="G45" s="1060">
        <v>2.5</v>
      </c>
      <c r="H45" s="1052"/>
      <c r="I45" s="1060">
        <f t="shared" si="3"/>
        <v>854772.5</v>
      </c>
      <c r="J45" s="1060"/>
      <c r="K45" s="1060"/>
      <c r="L45" s="1045"/>
      <c r="M45" s="1060">
        <f t="shared" si="4"/>
        <v>4414772.5</v>
      </c>
      <c r="N45" s="1045"/>
      <c r="O45" s="1060">
        <f t="shared" ref="O45" si="18">M44+M45</f>
        <v>5269545</v>
      </c>
      <c r="P45" s="1045"/>
      <c r="Q45" s="1045"/>
      <c r="R45" s="1088"/>
      <c r="S45" s="1088"/>
      <c r="T45" s="1374"/>
      <c r="U45" s="1370"/>
      <c r="V45" s="1375"/>
      <c r="W45" s="1373"/>
      <c r="X45" s="1375"/>
      <c r="Y45" s="1375"/>
      <c r="Z45" s="1088"/>
      <c r="AA45" s="1088"/>
      <c r="AB45" s="1088"/>
      <c r="AC45" s="1088"/>
      <c r="AD45" s="1088"/>
      <c r="AE45" s="1088"/>
      <c r="AF45" s="1088"/>
      <c r="AG45" s="1088"/>
      <c r="AH45" s="1088"/>
      <c r="AI45" s="1088"/>
      <c r="AJ45" s="1088"/>
      <c r="AK45" s="1088"/>
      <c r="AL45" s="1088"/>
      <c r="AM45" s="1088"/>
      <c r="AN45" s="1088"/>
      <c r="AO45" s="1088"/>
      <c r="AP45" s="1088"/>
      <c r="AQ45" s="1088"/>
      <c r="AR45" s="1088"/>
      <c r="AS45" s="1088"/>
      <c r="AT45" s="1088"/>
      <c r="AU45" s="1088"/>
      <c r="AV45" s="1088"/>
      <c r="AW45" s="1088"/>
    </row>
    <row r="46" spans="1:49" x14ac:dyDescent="0.25">
      <c r="A46" s="1054">
        <f t="shared" si="1"/>
        <v>50587</v>
      </c>
      <c r="B46" s="1052"/>
      <c r="C46" s="1045">
        <f t="shared" si="2"/>
        <v>52540</v>
      </c>
      <c r="D46" s="1045"/>
      <c r="E46" s="1045">
        <v>1970</v>
      </c>
      <c r="F46" s="1052"/>
      <c r="G46" s="1060">
        <v>2.5</v>
      </c>
      <c r="H46" s="1052"/>
      <c r="I46" s="1060">
        <f t="shared" si="3"/>
        <v>810272.5</v>
      </c>
      <c r="J46" s="1060"/>
      <c r="K46" s="1060"/>
      <c r="L46" s="1045"/>
      <c r="M46" s="1060">
        <f t="shared" si="4"/>
        <v>2780272.5</v>
      </c>
      <c r="N46" s="1045"/>
      <c r="O46" s="1058"/>
      <c r="P46" s="1045"/>
      <c r="Q46" s="1045"/>
      <c r="R46" s="1088"/>
      <c r="S46" s="1088"/>
      <c r="T46" s="1088"/>
      <c r="U46" s="1088"/>
      <c r="V46" s="1088"/>
      <c r="W46" s="1088"/>
      <c r="X46" s="1375"/>
      <c r="Y46" s="1375"/>
      <c r="Z46" s="1088"/>
      <c r="AA46" s="1088"/>
      <c r="AB46" s="1088"/>
      <c r="AC46" s="1088"/>
      <c r="AD46" s="1088"/>
      <c r="AE46" s="1088"/>
      <c r="AF46" s="1088"/>
      <c r="AG46" s="1088"/>
      <c r="AH46" s="1088"/>
      <c r="AI46" s="1088"/>
      <c r="AJ46" s="1088"/>
      <c r="AK46" s="1088"/>
      <c r="AL46" s="1088"/>
      <c r="AM46" s="1088"/>
      <c r="AN46" s="1088"/>
      <c r="AO46" s="1088"/>
      <c r="AP46" s="1088"/>
      <c r="AQ46" s="1088"/>
      <c r="AR46" s="1088"/>
      <c r="AS46" s="1088"/>
      <c r="AT46" s="1088"/>
      <c r="AU46" s="1088"/>
      <c r="AV46" s="1088"/>
      <c r="AW46" s="1088"/>
    </row>
    <row r="47" spans="1:49" x14ac:dyDescent="0.25">
      <c r="A47" s="1054">
        <f t="shared" si="1"/>
        <v>50771</v>
      </c>
      <c r="B47" s="1052"/>
      <c r="C47" s="1045">
        <f t="shared" si="2"/>
        <v>50570</v>
      </c>
      <c r="D47" s="1045"/>
      <c r="E47" s="1045">
        <v>1995</v>
      </c>
      <c r="F47" s="1052"/>
      <c r="G47" s="1060">
        <v>2.6</v>
      </c>
      <c r="H47" s="1052"/>
      <c r="I47" s="1060">
        <f t="shared" si="3"/>
        <v>785647.5</v>
      </c>
      <c r="J47" s="1060"/>
      <c r="K47" s="1060"/>
      <c r="L47" s="1045"/>
      <c r="M47" s="1060">
        <f t="shared" si="4"/>
        <v>2780647.5</v>
      </c>
      <c r="N47" s="1045"/>
      <c r="O47" s="1060">
        <f t="shared" ref="O47" si="19">M46+M47</f>
        <v>5560920</v>
      </c>
      <c r="P47" s="1045"/>
      <c r="Q47" s="1045"/>
      <c r="R47" s="1088"/>
      <c r="S47" s="1088"/>
      <c r="T47" s="1374"/>
      <c r="U47" s="1370"/>
      <c r="V47" s="1375"/>
      <c r="W47" s="1373"/>
      <c r="X47" s="1375"/>
      <c r="Y47" s="1375"/>
      <c r="Z47" s="1088"/>
      <c r="AA47" s="1088"/>
      <c r="AB47" s="1088"/>
      <c r="AC47" s="1088"/>
      <c r="AD47" s="1088"/>
      <c r="AE47" s="1088"/>
      <c r="AF47" s="1088"/>
      <c r="AG47" s="1088"/>
      <c r="AH47" s="1088"/>
      <c r="AI47" s="1088"/>
      <c r="AJ47" s="1088"/>
      <c r="AK47" s="1088"/>
      <c r="AL47" s="1088"/>
      <c r="AM47" s="1088"/>
      <c r="AN47" s="1088"/>
      <c r="AO47" s="1088"/>
      <c r="AP47" s="1088"/>
      <c r="AQ47" s="1088"/>
      <c r="AR47" s="1088"/>
      <c r="AS47" s="1088"/>
      <c r="AT47" s="1088"/>
      <c r="AU47" s="1088"/>
      <c r="AV47" s="1088"/>
      <c r="AW47" s="1088"/>
    </row>
    <row r="48" spans="1:49" x14ac:dyDescent="0.25">
      <c r="A48" s="1054">
        <f t="shared" si="1"/>
        <v>50952</v>
      </c>
      <c r="B48" s="1052"/>
      <c r="C48" s="1045">
        <f t="shared" si="2"/>
        <v>48575</v>
      </c>
      <c r="D48" s="1045"/>
      <c r="E48" s="1045">
        <v>2010</v>
      </c>
      <c r="F48" s="1052"/>
      <c r="G48" s="1060">
        <v>2.6</v>
      </c>
      <c r="H48" s="1052"/>
      <c r="I48" s="1060">
        <f t="shared" si="3"/>
        <v>759712.5</v>
      </c>
      <c r="J48" s="1060"/>
      <c r="K48" s="1060"/>
      <c r="L48" s="1045"/>
      <c r="M48" s="1060">
        <f t="shared" si="4"/>
        <v>2769712.5</v>
      </c>
      <c r="N48" s="1045"/>
      <c r="O48" s="1058"/>
      <c r="P48" s="1045"/>
      <c r="Q48" s="1045"/>
      <c r="R48" s="1088"/>
      <c r="S48" s="1088"/>
      <c r="T48" s="1088"/>
      <c r="U48" s="1088"/>
      <c r="V48" s="1088"/>
      <c r="W48" s="1088"/>
      <c r="X48" s="1375"/>
      <c r="Y48" s="1375"/>
      <c r="Z48" s="1088"/>
      <c r="AA48" s="1088"/>
      <c r="AB48" s="1088"/>
      <c r="AC48" s="1088"/>
      <c r="AD48" s="1088"/>
      <c r="AE48" s="1088"/>
      <c r="AF48" s="1088"/>
      <c r="AG48" s="1088"/>
      <c r="AH48" s="1088"/>
      <c r="AI48" s="1088"/>
      <c r="AJ48" s="1088"/>
      <c r="AK48" s="1088"/>
      <c r="AL48" s="1088"/>
      <c r="AM48" s="1088"/>
      <c r="AN48" s="1088"/>
      <c r="AO48" s="1088"/>
      <c r="AP48" s="1088"/>
      <c r="AQ48" s="1088"/>
      <c r="AR48" s="1088"/>
      <c r="AS48" s="1088"/>
      <c r="AT48" s="1088"/>
      <c r="AU48" s="1088"/>
      <c r="AV48" s="1088"/>
      <c r="AW48" s="1088"/>
    </row>
    <row r="49" spans="1:49" x14ac:dyDescent="0.25">
      <c r="A49" s="1054">
        <f t="shared" si="1"/>
        <v>51136</v>
      </c>
      <c r="B49" s="1052"/>
      <c r="C49" s="1045">
        <f t="shared" si="2"/>
        <v>46565</v>
      </c>
      <c r="D49" s="1045"/>
      <c r="E49" s="1045">
        <v>2040</v>
      </c>
      <c r="F49" s="1052"/>
      <c r="G49" s="1060">
        <v>2.7</v>
      </c>
      <c r="H49" s="1052"/>
      <c r="I49" s="1060">
        <f t="shared" si="3"/>
        <v>733582.5</v>
      </c>
      <c r="J49" s="1060"/>
      <c r="K49" s="1060"/>
      <c r="L49" s="1045"/>
      <c r="M49" s="1060">
        <f t="shared" si="4"/>
        <v>2773582.5</v>
      </c>
      <c r="N49" s="1045"/>
      <c r="O49" s="1060">
        <f t="shared" ref="O49" si="20">M48+M49</f>
        <v>5543295</v>
      </c>
      <c r="P49" s="1045"/>
      <c r="Q49" s="1045"/>
      <c r="R49" s="1088"/>
      <c r="S49" s="1088"/>
      <c r="T49" s="1374"/>
      <c r="U49" s="1370"/>
      <c r="V49" s="1375"/>
      <c r="W49" s="1373"/>
      <c r="X49" s="1375"/>
      <c r="Y49" s="1375"/>
      <c r="Z49" s="1088"/>
      <c r="AA49" s="1088"/>
      <c r="AB49" s="1088"/>
      <c r="AC49" s="1088"/>
      <c r="AD49" s="1088"/>
      <c r="AE49" s="1088"/>
      <c r="AF49" s="1088"/>
      <c r="AG49" s="1088"/>
      <c r="AH49" s="1088"/>
      <c r="AI49" s="1088"/>
      <c r="AJ49" s="1088"/>
      <c r="AK49" s="1088"/>
      <c r="AL49" s="1088"/>
      <c r="AM49" s="1088"/>
      <c r="AN49" s="1088"/>
      <c r="AO49" s="1088"/>
      <c r="AP49" s="1088"/>
      <c r="AQ49" s="1088"/>
      <c r="AR49" s="1088"/>
      <c r="AS49" s="1088"/>
      <c r="AT49" s="1088"/>
      <c r="AU49" s="1088"/>
      <c r="AV49" s="1088"/>
      <c r="AW49" s="1088"/>
    </row>
    <row r="50" spans="1:49" x14ac:dyDescent="0.25">
      <c r="A50" s="1054">
        <f t="shared" si="1"/>
        <v>51318</v>
      </c>
      <c r="B50" s="1052"/>
      <c r="C50" s="1045">
        <f t="shared" si="2"/>
        <v>44525</v>
      </c>
      <c r="D50" s="1045"/>
      <c r="E50" s="1045">
        <v>2175</v>
      </c>
      <c r="F50" s="1052"/>
      <c r="G50" s="1060">
        <v>2.7</v>
      </c>
      <c r="H50" s="1052"/>
      <c r="I50" s="1060">
        <f t="shared" si="3"/>
        <v>706042.5</v>
      </c>
      <c r="J50" s="1060"/>
      <c r="K50" s="1060"/>
      <c r="L50" s="1045"/>
      <c r="M50" s="1060">
        <f t="shared" si="4"/>
        <v>2881042.5</v>
      </c>
      <c r="N50" s="1045"/>
      <c r="O50" s="1058"/>
      <c r="P50" s="1045"/>
      <c r="Q50" s="1045"/>
      <c r="R50" s="1088"/>
      <c r="S50" s="1088"/>
      <c r="T50" s="1088"/>
      <c r="U50" s="1088"/>
      <c r="V50" s="1088"/>
      <c r="W50" s="1088"/>
      <c r="X50" s="1375"/>
      <c r="Y50" s="1375"/>
      <c r="Z50" s="1088"/>
      <c r="AA50" s="1088"/>
      <c r="AB50" s="1088"/>
      <c r="AC50" s="1088"/>
      <c r="AD50" s="1088"/>
      <c r="AE50" s="1088"/>
      <c r="AF50" s="1088"/>
      <c r="AG50" s="1088"/>
      <c r="AH50" s="1088"/>
      <c r="AI50" s="1088"/>
      <c r="AJ50" s="1088"/>
      <c r="AK50" s="1088"/>
      <c r="AL50" s="1088"/>
      <c r="AM50" s="1088"/>
      <c r="AN50" s="1088"/>
      <c r="AO50" s="1088"/>
      <c r="AP50" s="1088"/>
      <c r="AQ50" s="1088"/>
      <c r="AR50" s="1088"/>
      <c r="AS50" s="1088"/>
      <c r="AT50" s="1088"/>
      <c r="AU50" s="1088"/>
      <c r="AV50" s="1088"/>
      <c r="AW50" s="1088"/>
    </row>
    <row r="51" spans="1:49" x14ac:dyDescent="0.25">
      <c r="A51" s="1054">
        <f t="shared" si="1"/>
        <v>51502</v>
      </c>
      <c r="B51" s="1052"/>
      <c r="C51" s="1045">
        <f t="shared" si="2"/>
        <v>42350</v>
      </c>
      <c r="D51" s="1045"/>
      <c r="E51" s="1045">
        <v>2200</v>
      </c>
      <c r="F51" s="1052"/>
      <c r="G51" s="1060">
        <v>2.8</v>
      </c>
      <c r="H51" s="1052"/>
      <c r="I51" s="1060">
        <f t="shared" si="3"/>
        <v>676680</v>
      </c>
      <c r="J51" s="1060"/>
      <c r="K51" s="1060"/>
      <c r="L51" s="1045"/>
      <c r="M51" s="1060">
        <f t="shared" si="4"/>
        <v>2876680</v>
      </c>
      <c r="N51" s="1045"/>
      <c r="O51" s="1060">
        <f t="shared" ref="O51" si="21">M50+M51</f>
        <v>5757722.5</v>
      </c>
      <c r="P51" s="1045"/>
      <c r="Q51" s="1045"/>
      <c r="R51" s="1088"/>
      <c r="S51" s="1088"/>
      <c r="T51" s="1374"/>
      <c r="U51" s="1370"/>
      <c r="V51" s="1375"/>
      <c r="W51" s="1373"/>
      <c r="X51" s="1375"/>
      <c r="Y51" s="1375"/>
      <c r="Z51" s="1088"/>
      <c r="AA51" s="1088"/>
      <c r="AB51" s="1088"/>
      <c r="AC51" s="1088"/>
      <c r="AD51" s="1088"/>
      <c r="AE51" s="1088"/>
      <c r="AF51" s="1088"/>
      <c r="AG51" s="1088"/>
      <c r="AH51" s="1088"/>
      <c r="AI51" s="1088"/>
      <c r="AJ51" s="1088"/>
      <c r="AK51" s="1088"/>
      <c r="AL51" s="1088"/>
      <c r="AM51" s="1088"/>
      <c r="AN51" s="1088"/>
      <c r="AO51" s="1088"/>
      <c r="AP51" s="1088"/>
      <c r="AQ51" s="1088"/>
      <c r="AR51" s="1088"/>
      <c r="AS51" s="1088"/>
      <c r="AT51" s="1088"/>
      <c r="AU51" s="1088"/>
      <c r="AV51" s="1088"/>
      <c r="AW51" s="1088"/>
    </row>
    <row r="52" spans="1:49" x14ac:dyDescent="0.25">
      <c r="A52" s="1054">
        <f t="shared" si="1"/>
        <v>51683</v>
      </c>
      <c r="B52" s="1052"/>
      <c r="C52" s="1045">
        <f t="shared" si="2"/>
        <v>40150</v>
      </c>
      <c r="D52" s="1045"/>
      <c r="E52" s="1045">
        <v>2235</v>
      </c>
      <c r="F52" s="1052"/>
      <c r="G52" s="1060">
        <v>2.8</v>
      </c>
      <c r="H52" s="1052"/>
      <c r="I52" s="1060">
        <f t="shared" si="3"/>
        <v>645880</v>
      </c>
      <c r="J52" s="1060"/>
      <c r="K52" s="1060"/>
      <c r="L52" s="1045"/>
      <c r="M52" s="1060">
        <f t="shared" si="4"/>
        <v>2880880</v>
      </c>
      <c r="N52" s="1045"/>
      <c r="O52" s="1058"/>
      <c r="P52" s="1045"/>
      <c r="Q52" s="1045"/>
      <c r="R52" s="1088"/>
      <c r="S52" s="1088"/>
      <c r="T52" s="1088"/>
      <c r="U52" s="1088"/>
      <c r="V52" s="1088"/>
      <c r="W52" s="1088"/>
      <c r="X52" s="1375"/>
      <c r="Y52" s="1375"/>
      <c r="Z52" s="1088"/>
      <c r="AA52" s="1088"/>
      <c r="AB52" s="1088"/>
      <c r="AC52" s="1088"/>
      <c r="AD52" s="1088"/>
      <c r="AE52" s="1088"/>
      <c r="AF52" s="1088"/>
      <c r="AG52" s="1088"/>
      <c r="AH52" s="1088"/>
      <c r="AI52" s="1088"/>
      <c r="AJ52" s="1088"/>
      <c r="AK52" s="1088"/>
      <c r="AL52" s="1088"/>
      <c r="AM52" s="1088"/>
      <c r="AN52" s="1088"/>
      <c r="AO52" s="1088"/>
      <c r="AP52" s="1088"/>
      <c r="AQ52" s="1088"/>
      <c r="AR52" s="1088"/>
      <c r="AS52" s="1088"/>
      <c r="AT52" s="1088"/>
      <c r="AU52" s="1088"/>
      <c r="AV52" s="1088"/>
      <c r="AW52" s="1088"/>
    </row>
    <row r="53" spans="1:49" x14ac:dyDescent="0.25">
      <c r="A53" s="1054">
        <f t="shared" si="1"/>
        <v>51867</v>
      </c>
      <c r="B53" s="1052"/>
      <c r="C53" s="1045">
        <f t="shared" si="2"/>
        <v>37915</v>
      </c>
      <c r="D53" s="1045"/>
      <c r="E53" s="1045">
        <v>2260</v>
      </c>
      <c r="F53" s="1052"/>
      <c r="G53" s="1060">
        <v>2.9</v>
      </c>
      <c r="H53" s="1052"/>
      <c r="I53" s="1060">
        <f t="shared" si="3"/>
        <v>614590</v>
      </c>
      <c r="J53" s="1060"/>
      <c r="K53" s="1060"/>
      <c r="L53" s="1045"/>
      <c r="M53" s="1060">
        <f t="shared" si="4"/>
        <v>2874590</v>
      </c>
      <c r="N53" s="1045"/>
      <c r="O53" s="1060">
        <f t="shared" ref="O53" si="22">M52+M53</f>
        <v>5755470</v>
      </c>
      <c r="P53" s="1045"/>
      <c r="Q53" s="1045"/>
      <c r="R53" s="1088"/>
      <c r="S53" s="1088"/>
      <c r="T53" s="1374"/>
      <c r="U53" s="1370"/>
      <c r="V53" s="1375"/>
      <c r="W53" s="1373"/>
      <c r="X53" s="1375"/>
      <c r="Y53" s="1375"/>
      <c r="Z53" s="1088"/>
      <c r="AA53" s="1088"/>
      <c r="AB53" s="1088"/>
      <c r="AC53" s="1088"/>
      <c r="AD53" s="1088"/>
      <c r="AE53" s="1088"/>
      <c r="AF53" s="1088"/>
      <c r="AG53" s="1088"/>
      <c r="AH53" s="1088"/>
      <c r="AI53" s="1088"/>
      <c r="AJ53" s="1088"/>
      <c r="AK53" s="1088"/>
      <c r="AL53" s="1088"/>
      <c r="AM53" s="1088"/>
      <c r="AN53" s="1088"/>
      <c r="AO53" s="1088"/>
      <c r="AP53" s="1088"/>
      <c r="AQ53" s="1088"/>
      <c r="AR53" s="1088"/>
      <c r="AS53" s="1088"/>
      <c r="AT53" s="1088"/>
      <c r="AU53" s="1088"/>
      <c r="AV53" s="1088"/>
      <c r="AW53" s="1088"/>
    </row>
    <row r="54" spans="1:49" x14ac:dyDescent="0.25">
      <c r="A54" s="1054">
        <f t="shared" si="1"/>
        <v>52048</v>
      </c>
      <c r="B54" s="1052"/>
      <c r="C54" s="1045">
        <f t="shared" si="2"/>
        <v>35655</v>
      </c>
      <c r="D54" s="1045"/>
      <c r="E54" s="1045">
        <v>2295</v>
      </c>
      <c r="F54" s="1052"/>
      <c r="G54" s="1060">
        <v>2.9</v>
      </c>
      <c r="H54" s="1052"/>
      <c r="I54" s="1060">
        <f t="shared" si="3"/>
        <v>581820</v>
      </c>
      <c r="J54" s="1060"/>
      <c r="K54" s="1060"/>
      <c r="L54" s="1045"/>
      <c r="M54" s="1060">
        <f t="shared" si="4"/>
        <v>2876820</v>
      </c>
      <c r="N54" s="1045"/>
      <c r="O54" s="1058"/>
      <c r="P54" s="1045"/>
      <c r="Q54" s="1045"/>
      <c r="R54" s="1088"/>
      <c r="S54" s="1088"/>
      <c r="T54" s="1088"/>
      <c r="U54" s="1088"/>
      <c r="V54" s="1088"/>
      <c r="W54" s="1088"/>
      <c r="X54" s="1375"/>
      <c r="Y54" s="1375"/>
      <c r="Z54" s="1088"/>
      <c r="AA54" s="1088"/>
      <c r="AB54" s="1088"/>
      <c r="AC54" s="1088"/>
      <c r="AD54" s="1088"/>
      <c r="AE54" s="1088"/>
      <c r="AF54" s="1088"/>
      <c r="AG54" s="1088"/>
      <c r="AH54" s="1088"/>
      <c r="AI54" s="1088"/>
      <c r="AJ54" s="1088"/>
      <c r="AK54" s="1088"/>
      <c r="AL54" s="1088"/>
      <c r="AM54" s="1088"/>
      <c r="AN54" s="1088"/>
      <c r="AO54" s="1088"/>
      <c r="AP54" s="1088"/>
      <c r="AQ54" s="1088"/>
      <c r="AR54" s="1088"/>
      <c r="AS54" s="1088"/>
      <c r="AT54" s="1088"/>
      <c r="AU54" s="1088"/>
      <c r="AV54" s="1088"/>
      <c r="AW54" s="1088"/>
    </row>
    <row r="55" spans="1:49" x14ac:dyDescent="0.25">
      <c r="A55" s="1054">
        <f t="shared" si="1"/>
        <v>52232</v>
      </c>
      <c r="B55" s="1052"/>
      <c r="C55" s="1045">
        <f t="shared" si="2"/>
        <v>33360</v>
      </c>
      <c r="D55" s="1045"/>
      <c r="E55" s="1045">
        <v>2330</v>
      </c>
      <c r="F55" s="1052"/>
      <c r="G55" s="1060">
        <v>3</v>
      </c>
      <c r="H55" s="1052"/>
      <c r="I55" s="1060">
        <f t="shared" si="3"/>
        <v>548542.5</v>
      </c>
      <c r="J55" s="1060"/>
      <c r="K55" s="1060"/>
      <c r="L55" s="1045"/>
      <c r="M55" s="1060">
        <f t="shared" si="4"/>
        <v>2878542.5</v>
      </c>
      <c r="N55" s="1045"/>
      <c r="O55" s="1060">
        <f t="shared" ref="O55" si="23">M54+M55</f>
        <v>5755362.5</v>
      </c>
      <c r="P55" s="1045"/>
      <c r="Q55" s="1045"/>
      <c r="R55" s="1088"/>
      <c r="S55" s="1088"/>
      <c r="T55" s="1374"/>
      <c r="U55" s="1370"/>
      <c r="V55" s="1375"/>
      <c r="W55" s="1373"/>
      <c r="X55" s="1375"/>
      <c r="Y55" s="1375"/>
      <c r="Z55" s="1088"/>
      <c r="AA55" s="1088"/>
      <c r="AB55" s="1088"/>
      <c r="AC55" s="1088"/>
      <c r="AD55" s="1088"/>
      <c r="AE55" s="1088"/>
      <c r="AF55" s="1088"/>
      <c r="AG55" s="1088"/>
      <c r="AH55" s="1088"/>
      <c r="AI55" s="1088"/>
      <c r="AJ55" s="1088"/>
      <c r="AK55" s="1088"/>
      <c r="AL55" s="1088"/>
      <c r="AM55" s="1088"/>
      <c r="AN55" s="1088"/>
      <c r="AO55" s="1088"/>
      <c r="AP55" s="1088"/>
      <c r="AQ55" s="1088"/>
      <c r="AR55" s="1088"/>
      <c r="AS55" s="1088"/>
      <c r="AT55" s="1088"/>
      <c r="AU55" s="1088"/>
      <c r="AV55" s="1088"/>
      <c r="AW55" s="1088"/>
    </row>
    <row r="56" spans="1:49" x14ac:dyDescent="0.25">
      <c r="A56" s="1054">
        <f t="shared" si="1"/>
        <v>52413</v>
      </c>
      <c r="B56" s="1052"/>
      <c r="C56" s="1045">
        <f t="shared" si="2"/>
        <v>31030</v>
      </c>
      <c r="D56" s="1045"/>
      <c r="E56" s="1045">
        <v>2360</v>
      </c>
      <c r="F56" s="1052"/>
      <c r="G56" s="1060">
        <v>3</v>
      </c>
      <c r="H56" s="1052"/>
      <c r="I56" s="1060">
        <f t="shared" si="3"/>
        <v>513592.5</v>
      </c>
      <c r="J56" s="1060"/>
      <c r="K56" s="1060"/>
      <c r="L56" s="1045"/>
      <c r="M56" s="1060">
        <f t="shared" si="4"/>
        <v>2873592.5</v>
      </c>
      <c r="N56" s="1045"/>
      <c r="O56" s="1058"/>
      <c r="P56" s="1045"/>
      <c r="Q56" s="1045"/>
      <c r="R56" s="1088"/>
      <c r="S56" s="1088"/>
      <c r="T56" s="1088"/>
      <c r="U56" s="1088"/>
      <c r="V56" s="1088"/>
      <c r="W56" s="1088"/>
      <c r="X56" s="1375"/>
      <c r="Y56" s="1375"/>
      <c r="Z56" s="1088"/>
      <c r="AA56" s="1088"/>
      <c r="AB56" s="1088"/>
      <c r="AC56" s="1088"/>
      <c r="AD56" s="1088"/>
      <c r="AE56" s="1088"/>
      <c r="AF56" s="1088"/>
      <c r="AG56" s="1088"/>
      <c r="AH56" s="1088"/>
      <c r="AI56" s="1088"/>
      <c r="AJ56" s="1088"/>
      <c r="AK56" s="1088"/>
      <c r="AL56" s="1088"/>
      <c r="AM56" s="1088"/>
      <c r="AN56" s="1088"/>
      <c r="AO56" s="1088"/>
      <c r="AP56" s="1088"/>
      <c r="AQ56" s="1088"/>
      <c r="AR56" s="1088"/>
      <c r="AS56" s="1088"/>
      <c r="AT56" s="1088"/>
      <c r="AU56" s="1088"/>
      <c r="AV56" s="1088"/>
      <c r="AW56" s="1088"/>
    </row>
    <row r="57" spans="1:49" x14ac:dyDescent="0.25">
      <c r="A57" s="1054">
        <f t="shared" si="1"/>
        <v>52597</v>
      </c>
      <c r="B57" s="1052"/>
      <c r="C57" s="1045">
        <f t="shared" si="2"/>
        <v>28670</v>
      </c>
      <c r="D57" s="1045"/>
      <c r="E57" s="1045">
        <v>2395</v>
      </c>
      <c r="F57" s="1052"/>
      <c r="G57" s="1060">
        <v>3.1</v>
      </c>
      <c r="H57" s="1052"/>
      <c r="I57" s="1060">
        <f t="shared" si="3"/>
        <v>478192.5</v>
      </c>
      <c r="J57" s="1060"/>
      <c r="K57" s="1060"/>
      <c r="L57" s="1045"/>
      <c r="M57" s="1060">
        <f t="shared" si="4"/>
        <v>2873192.5</v>
      </c>
      <c r="N57" s="1045"/>
      <c r="O57" s="1060">
        <f t="shared" ref="O57" si="24">M56+M57</f>
        <v>5746785</v>
      </c>
      <c r="P57" s="1045"/>
      <c r="Q57" s="1045"/>
      <c r="R57" s="1088"/>
      <c r="S57" s="1088"/>
      <c r="T57" s="1374"/>
      <c r="U57" s="1370"/>
      <c r="V57" s="1375"/>
      <c r="W57" s="1373"/>
      <c r="X57" s="1375"/>
      <c r="Y57" s="1375"/>
      <c r="Z57" s="1088"/>
      <c r="AA57" s="1088"/>
      <c r="AB57" s="1088"/>
      <c r="AC57" s="1088"/>
      <c r="AD57" s="1088"/>
      <c r="AE57" s="1088"/>
      <c r="AF57" s="1088"/>
      <c r="AG57" s="1088"/>
      <c r="AH57" s="1088"/>
      <c r="AI57" s="1088"/>
      <c r="AJ57" s="1088"/>
      <c r="AK57" s="1088"/>
      <c r="AL57" s="1088"/>
      <c r="AM57" s="1088"/>
      <c r="AN57" s="1088"/>
      <c r="AO57" s="1088"/>
      <c r="AP57" s="1088"/>
      <c r="AQ57" s="1088"/>
      <c r="AR57" s="1088"/>
      <c r="AS57" s="1088"/>
      <c r="AT57" s="1088"/>
      <c r="AU57" s="1088"/>
      <c r="AV57" s="1088"/>
      <c r="AW57" s="1088"/>
    </row>
    <row r="58" spans="1:49" x14ac:dyDescent="0.25">
      <c r="A58" s="1054">
        <f t="shared" si="1"/>
        <v>52779</v>
      </c>
      <c r="B58" s="1052"/>
      <c r="C58" s="1045">
        <f t="shared" si="2"/>
        <v>26275</v>
      </c>
      <c r="D58" s="1045"/>
      <c r="E58" s="1045">
        <v>2435</v>
      </c>
      <c r="F58" s="1052"/>
      <c r="G58" s="1060">
        <v>3.1</v>
      </c>
      <c r="H58" s="1052"/>
      <c r="I58" s="1060">
        <f t="shared" si="3"/>
        <v>441070</v>
      </c>
      <c r="J58" s="1060"/>
      <c r="K58" s="1060"/>
      <c r="L58" s="1045"/>
      <c r="M58" s="1060">
        <f t="shared" si="4"/>
        <v>2876070</v>
      </c>
      <c r="N58" s="1045"/>
      <c r="O58" s="1058"/>
      <c r="P58" s="1045"/>
      <c r="Q58" s="1045"/>
      <c r="R58" s="1088"/>
      <c r="S58" s="1088"/>
      <c r="T58" s="1088"/>
      <c r="U58" s="1088"/>
      <c r="V58" s="1088"/>
      <c r="W58" s="1088"/>
      <c r="X58" s="1375"/>
      <c r="Y58" s="1375"/>
      <c r="Z58" s="1088"/>
      <c r="AA58" s="1088"/>
      <c r="AB58" s="1088"/>
      <c r="AC58" s="1088"/>
      <c r="AD58" s="1088"/>
      <c r="AE58" s="1088"/>
      <c r="AF58" s="1088"/>
      <c r="AG58" s="1088"/>
      <c r="AH58" s="1088"/>
      <c r="AI58" s="1088"/>
      <c r="AJ58" s="1088"/>
      <c r="AK58" s="1088"/>
      <c r="AL58" s="1088"/>
      <c r="AM58" s="1088"/>
      <c r="AN58" s="1088"/>
      <c r="AO58" s="1088"/>
      <c r="AP58" s="1088"/>
      <c r="AQ58" s="1088"/>
      <c r="AR58" s="1088"/>
      <c r="AS58" s="1088"/>
      <c r="AT58" s="1088"/>
      <c r="AU58" s="1088"/>
      <c r="AV58" s="1088"/>
      <c r="AW58" s="1088"/>
    </row>
    <row r="59" spans="1:49" x14ac:dyDescent="0.25">
      <c r="A59" s="1054">
        <f t="shared" si="1"/>
        <v>52963</v>
      </c>
      <c r="B59" s="1052"/>
      <c r="C59" s="1045">
        <f t="shared" si="2"/>
        <v>23840</v>
      </c>
      <c r="D59" s="1045"/>
      <c r="E59" s="1045">
        <v>2470</v>
      </c>
      <c r="F59" s="1052"/>
      <c r="G59" s="1060">
        <v>3.2</v>
      </c>
      <c r="H59" s="1052"/>
      <c r="I59" s="1060">
        <f t="shared" si="3"/>
        <v>403327.5</v>
      </c>
      <c r="J59" s="1060"/>
      <c r="K59" s="1060"/>
      <c r="L59" s="1045"/>
      <c r="M59" s="1060">
        <f t="shared" si="4"/>
        <v>2873327.5</v>
      </c>
      <c r="N59" s="1045"/>
      <c r="O59" s="1060">
        <f t="shared" ref="O59" si="25">M58+M59</f>
        <v>5749397.5</v>
      </c>
      <c r="P59" s="1045"/>
      <c r="Q59" s="1045"/>
      <c r="R59" s="1088"/>
      <c r="S59" s="1088"/>
      <c r="T59" s="1374"/>
      <c r="U59" s="1370"/>
      <c r="V59" s="1375"/>
      <c r="W59" s="1373"/>
      <c r="X59" s="1375"/>
      <c r="Y59" s="1375"/>
      <c r="Z59" s="1088"/>
      <c r="AA59" s="1088"/>
      <c r="AB59" s="1088"/>
      <c r="AC59" s="1088"/>
      <c r="AD59" s="1088"/>
      <c r="AE59" s="1088"/>
      <c r="AF59" s="1088"/>
      <c r="AG59" s="1088"/>
      <c r="AH59" s="1088"/>
      <c r="AI59" s="1088"/>
      <c r="AJ59" s="1088"/>
      <c r="AK59" s="1088"/>
      <c r="AL59" s="1088"/>
      <c r="AM59" s="1088"/>
      <c r="AN59" s="1088"/>
      <c r="AO59" s="1088"/>
      <c r="AP59" s="1088"/>
      <c r="AQ59" s="1088"/>
      <c r="AR59" s="1088"/>
      <c r="AS59" s="1088"/>
      <c r="AT59" s="1088"/>
      <c r="AU59" s="1088"/>
      <c r="AV59" s="1088"/>
      <c r="AW59" s="1088"/>
    </row>
    <row r="60" spans="1:49" x14ac:dyDescent="0.25">
      <c r="A60" s="1054">
        <f t="shared" si="1"/>
        <v>53144</v>
      </c>
      <c r="B60" s="1052"/>
      <c r="C60" s="1045">
        <f t="shared" si="2"/>
        <v>21370</v>
      </c>
      <c r="D60" s="1045"/>
      <c r="E60" s="1045">
        <v>2510</v>
      </c>
      <c r="F60" s="1052"/>
      <c r="G60" s="1060">
        <v>3.2</v>
      </c>
      <c r="H60" s="1052"/>
      <c r="I60" s="1060">
        <f t="shared" si="3"/>
        <v>363807.5</v>
      </c>
      <c r="J60" s="1060"/>
      <c r="K60" s="1060"/>
      <c r="L60" s="1045"/>
      <c r="M60" s="1060">
        <f t="shared" si="4"/>
        <v>2873807.5</v>
      </c>
      <c r="N60" s="1045"/>
      <c r="O60" s="1058"/>
      <c r="P60" s="1045"/>
      <c r="Q60" s="1045"/>
      <c r="R60" s="1088"/>
      <c r="S60" s="1088"/>
      <c r="T60" s="1088"/>
      <c r="U60" s="1088"/>
      <c r="V60" s="1088"/>
      <c r="W60" s="1088"/>
      <c r="X60" s="1375"/>
      <c r="Y60" s="1375"/>
      <c r="Z60" s="1088"/>
      <c r="AA60" s="1088"/>
      <c r="AB60" s="1088"/>
      <c r="AC60" s="1088"/>
      <c r="AD60" s="1088"/>
      <c r="AE60" s="1088"/>
      <c r="AF60" s="1088"/>
      <c r="AG60" s="1088"/>
      <c r="AH60" s="1088"/>
      <c r="AI60" s="1088"/>
      <c r="AJ60" s="1088"/>
      <c r="AK60" s="1088"/>
      <c r="AL60" s="1088"/>
      <c r="AM60" s="1088"/>
      <c r="AN60" s="1088"/>
      <c r="AO60" s="1088"/>
      <c r="AP60" s="1088"/>
      <c r="AQ60" s="1088"/>
      <c r="AR60" s="1088"/>
      <c r="AS60" s="1088"/>
      <c r="AT60" s="1088"/>
      <c r="AU60" s="1088"/>
      <c r="AV60" s="1088"/>
      <c r="AW60" s="1088"/>
    </row>
    <row r="61" spans="1:49" x14ac:dyDescent="0.25">
      <c r="A61" s="1054">
        <f t="shared" si="1"/>
        <v>53328</v>
      </c>
      <c r="B61" s="1052"/>
      <c r="C61" s="1045">
        <f t="shared" si="2"/>
        <v>18860</v>
      </c>
      <c r="D61" s="1045"/>
      <c r="E61" s="1045">
        <v>2555</v>
      </c>
      <c r="F61" s="1052"/>
      <c r="G61" s="1060">
        <v>3.3</v>
      </c>
      <c r="H61" s="1052"/>
      <c r="I61" s="1060">
        <f t="shared" si="3"/>
        <v>323647.5</v>
      </c>
      <c r="J61" s="1060"/>
      <c r="K61" s="1060"/>
      <c r="L61" s="1045"/>
      <c r="M61" s="1060">
        <f t="shared" si="4"/>
        <v>2878647.5</v>
      </c>
      <c r="N61" s="1045"/>
      <c r="O61" s="1060">
        <f t="shared" ref="O61" si="26">M60+M61</f>
        <v>5752455</v>
      </c>
      <c r="P61" s="1045"/>
      <c r="Q61" s="1045"/>
      <c r="R61" s="1088"/>
      <c r="S61" s="1088"/>
      <c r="T61" s="1374"/>
      <c r="U61" s="1370"/>
      <c r="V61" s="1375"/>
      <c r="W61" s="1373"/>
      <c r="X61" s="1375"/>
      <c r="Y61" s="1375"/>
      <c r="Z61" s="1088"/>
      <c r="AA61" s="1088"/>
      <c r="AB61" s="1088"/>
      <c r="AC61" s="1088"/>
      <c r="AD61" s="1088"/>
      <c r="AE61" s="1088"/>
      <c r="AF61" s="1088"/>
      <c r="AG61" s="1088"/>
      <c r="AH61" s="1088"/>
      <c r="AI61" s="1088"/>
      <c r="AJ61" s="1088"/>
      <c r="AK61" s="1088"/>
      <c r="AL61" s="1088"/>
      <c r="AM61" s="1088"/>
      <c r="AN61" s="1088"/>
      <c r="AO61" s="1088"/>
      <c r="AP61" s="1088"/>
      <c r="AQ61" s="1088"/>
      <c r="AR61" s="1088"/>
      <c r="AS61" s="1088"/>
      <c r="AT61" s="1088"/>
      <c r="AU61" s="1088"/>
      <c r="AV61" s="1088"/>
      <c r="AW61" s="1088"/>
    </row>
    <row r="62" spans="1:49" x14ac:dyDescent="0.25">
      <c r="A62" s="1054">
        <f t="shared" si="1"/>
        <v>53509</v>
      </c>
      <c r="B62" s="1052"/>
      <c r="C62" s="1045">
        <f t="shared" si="2"/>
        <v>16305</v>
      </c>
      <c r="D62" s="1045"/>
      <c r="E62" s="1045">
        <v>2600</v>
      </c>
      <c r="F62" s="1052"/>
      <c r="G62" s="1060">
        <v>3.3</v>
      </c>
      <c r="H62" s="1052"/>
      <c r="I62" s="1060">
        <f t="shared" si="3"/>
        <v>281490</v>
      </c>
      <c r="J62" s="1060"/>
      <c r="K62" s="1060"/>
      <c r="L62" s="1045"/>
      <c r="M62" s="1060">
        <f t="shared" si="4"/>
        <v>2881490</v>
      </c>
      <c r="N62" s="1045"/>
      <c r="O62" s="1058"/>
      <c r="P62" s="1045"/>
      <c r="Q62" s="1045"/>
      <c r="R62" s="1088"/>
      <c r="S62" s="1088"/>
      <c r="T62" s="1088"/>
      <c r="U62" s="1088"/>
      <c r="V62" s="1088"/>
      <c r="W62" s="1088"/>
      <c r="X62" s="1375"/>
      <c r="Y62" s="1375"/>
      <c r="Z62" s="1088"/>
      <c r="AA62" s="1088"/>
      <c r="AB62" s="1088"/>
      <c r="AC62" s="1088"/>
      <c r="AD62" s="1088"/>
      <c r="AE62" s="1088"/>
      <c r="AF62" s="1088"/>
      <c r="AG62" s="1088"/>
      <c r="AH62" s="1088"/>
      <c r="AI62" s="1088"/>
      <c r="AJ62" s="1088"/>
      <c r="AK62" s="1088"/>
      <c r="AL62" s="1088"/>
      <c r="AM62" s="1088"/>
      <c r="AN62" s="1088"/>
      <c r="AO62" s="1088"/>
      <c r="AP62" s="1088"/>
      <c r="AQ62" s="1088"/>
      <c r="AR62" s="1088"/>
      <c r="AS62" s="1088"/>
      <c r="AT62" s="1088"/>
      <c r="AU62" s="1088"/>
      <c r="AV62" s="1088"/>
      <c r="AW62" s="1088"/>
    </row>
    <row r="63" spans="1:49" x14ac:dyDescent="0.25">
      <c r="A63" s="1054">
        <f t="shared" si="1"/>
        <v>53693</v>
      </c>
      <c r="B63" s="1052"/>
      <c r="C63" s="1045">
        <f t="shared" si="2"/>
        <v>13705</v>
      </c>
      <c r="D63" s="1045"/>
      <c r="E63" s="1045">
        <v>2645</v>
      </c>
      <c r="F63" s="1052"/>
      <c r="G63" s="1060">
        <v>3.4</v>
      </c>
      <c r="H63" s="1052"/>
      <c r="I63" s="1060">
        <f t="shared" si="3"/>
        <v>238590</v>
      </c>
      <c r="J63" s="1060"/>
      <c r="K63" s="1060"/>
      <c r="L63" s="1045"/>
      <c r="M63" s="1060">
        <f t="shared" si="4"/>
        <v>2883590</v>
      </c>
      <c r="N63" s="1045"/>
      <c r="O63" s="1060">
        <f t="shared" ref="O63" si="27">M62+M63</f>
        <v>5765080</v>
      </c>
      <c r="P63" s="1045"/>
      <c r="Q63" s="1045"/>
      <c r="R63" s="1088"/>
      <c r="S63" s="1088"/>
      <c r="T63" s="1374"/>
      <c r="U63" s="1370"/>
      <c r="V63" s="1375"/>
      <c r="W63" s="1373"/>
      <c r="X63" s="1375"/>
      <c r="Y63" s="1375"/>
      <c r="Z63" s="1088"/>
      <c r="AA63" s="1088"/>
      <c r="AB63" s="1088"/>
      <c r="AC63" s="1088"/>
      <c r="AD63" s="1088"/>
      <c r="AE63" s="1088"/>
      <c r="AF63" s="1088"/>
      <c r="AG63" s="1088"/>
      <c r="AH63" s="1088"/>
      <c r="AI63" s="1088"/>
      <c r="AJ63" s="1088"/>
      <c r="AK63" s="1088"/>
      <c r="AL63" s="1088"/>
      <c r="AM63" s="1088"/>
      <c r="AN63" s="1088"/>
      <c r="AO63" s="1088"/>
      <c r="AP63" s="1088"/>
      <c r="AQ63" s="1088"/>
      <c r="AR63" s="1088"/>
      <c r="AS63" s="1088"/>
      <c r="AT63" s="1088"/>
      <c r="AU63" s="1088"/>
      <c r="AV63" s="1088"/>
      <c r="AW63" s="1088"/>
    </row>
    <row r="64" spans="1:49" x14ac:dyDescent="0.25">
      <c r="A64" s="1054">
        <f t="shared" si="1"/>
        <v>53874</v>
      </c>
      <c r="B64" s="1052"/>
      <c r="C64" s="1045">
        <f t="shared" si="2"/>
        <v>11060</v>
      </c>
      <c r="D64" s="1045"/>
      <c r="E64" s="1045">
        <v>2690</v>
      </c>
      <c r="F64" s="1052"/>
      <c r="G64" s="1060">
        <v>3.4</v>
      </c>
      <c r="H64" s="1052"/>
      <c r="I64" s="1060">
        <f t="shared" si="3"/>
        <v>193625</v>
      </c>
      <c r="J64" s="1060"/>
      <c r="K64" s="1060"/>
      <c r="L64" s="1045"/>
      <c r="M64" s="1060">
        <f t="shared" si="4"/>
        <v>2883625</v>
      </c>
      <c r="N64" s="1045"/>
      <c r="O64" s="1058"/>
      <c r="P64" s="1045"/>
      <c r="Q64" s="1045"/>
      <c r="R64" s="1088"/>
      <c r="S64" s="1088"/>
      <c r="T64" s="1088"/>
      <c r="U64" s="1088"/>
      <c r="V64" s="1088"/>
      <c r="W64" s="1088"/>
      <c r="X64" s="1375"/>
      <c r="Y64" s="1375"/>
      <c r="Z64" s="1088"/>
      <c r="AA64" s="1088"/>
      <c r="AB64" s="1088"/>
    </row>
    <row r="65" spans="1:28" x14ac:dyDescent="0.25">
      <c r="A65" s="1054">
        <f t="shared" si="1"/>
        <v>54058</v>
      </c>
      <c r="B65" s="1052"/>
      <c r="C65" s="1045">
        <f t="shared" si="2"/>
        <v>8370</v>
      </c>
      <c r="D65" s="1045"/>
      <c r="E65" s="1045">
        <v>2740</v>
      </c>
      <c r="F65" s="1052"/>
      <c r="G65" s="1060">
        <v>3.5</v>
      </c>
      <c r="H65" s="1052"/>
      <c r="I65" s="1060">
        <f t="shared" si="3"/>
        <v>147895</v>
      </c>
      <c r="J65" s="1060"/>
      <c r="K65" s="1060"/>
      <c r="L65" s="1045"/>
      <c r="M65" s="1060">
        <f t="shared" si="4"/>
        <v>2887895</v>
      </c>
      <c r="N65" s="1045"/>
      <c r="O65" s="1060">
        <f t="shared" ref="O65" si="28">M64+M65</f>
        <v>5771520</v>
      </c>
      <c r="P65" s="1045"/>
      <c r="Q65" s="1045"/>
      <c r="R65" s="1088"/>
      <c r="S65" s="1088"/>
      <c r="T65" s="1374"/>
      <c r="U65" s="1370"/>
      <c r="V65" s="1375"/>
      <c r="W65" s="1373"/>
      <c r="X65" s="1375"/>
      <c r="Y65" s="1375"/>
      <c r="Z65" s="1088"/>
      <c r="AA65" s="1088"/>
      <c r="AB65" s="1088"/>
    </row>
    <row r="66" spans="1:28" x14ac:dyDescent="0.25">
      <c r="A66" s="1054">
        <f t="shared" si="1"/>
        <v>54240</v>
      </c>
      <c r="B66" s="1052"/>
      <c r="C66" s="1045">
        <f t="shared" si="2"/>
        <v>5630</v>
      </c>
      <c r="D66" s="1045"/>
      <c r="E66" s="1045">
        <v>2790</v>
      </c>
      <c r="F66" s="1052"/>
      <c r="G66" s="1060">
        <v>3.5</v>
      </c>
      <c r="H66" s="1052"/>
      <c r="I66" s="1060">
        <f>((E66*1000)*G66/100/2)+I67</f>
        <v>99945</v>
      </c>
      <c r="J66" s="1060"/>
      <c r="K66" s="1060"/>
      <c r="L66" s="1045"/>
      <c r="M66" s="1060">
        <f t="shared" si="4"/>
        <v>2889945</v>
      </c>
      <c r="N66" s="1045"/>
      <c r="O66" s="1058"/>
      <c r="P66" s="1045"/>
      <c r="Q66" s="1045"/>
      <c r="R66" s="1088"/>
      <c r="S66" s="1088"/>
      <c r="T66" s="1088"/>
      <c r="U66" s="1088"/>
      <c r="V66" s="1088"/>
      <c r="W66" s="1088"/>
      <c r="X66" s="1375"/>
      <c r="Y66" s="1375"/>
      <c r="Z66" s="1088"/>
      <c r="AA66" s="1088"/>
      <c r="AB66" s="1088"/>
    </row>
    <row r="67" spans="1:28" x14ac:dyDescent="0.25">
      <c r="A67" s="1054">
        <f t="shared" si="1"/>
        <v>54424</v>
      </c>
      <c r="B67" s="1052"/>
      <c r="C67" s="1045">
        <f t="shared" si="2"/>
        <v>2840</v>
      </c>
      <c r="D67" s="1045"/>
      <c r="E67" s="1045">
        <v>2840</v>
      </c>
      <c r="F67" s="1052"/>
      <c r="G67" s="1060">
        <v>3.6</v>
      </c>
      <c r="H67" s="1052"/>
      <c r="I67" s="1060">
        <f>((E67*1000)*G67/100/2)+I68</f>
        <v>51120</v>
      </c>
      <c r="J67" s="1060"/>
      <c r="K67" s="1063"/>
      <c r="L67" s="1045"/>
      <c r="M67" s="1060">
        <f t="shared" si="4"/>
        <v>2891120</v>
      </c>
      <c r="N67" s="1045"/>
      <c r="O67" s="1060">
        <f t="shared" ref="O67" si="29">M66+M67</f>
        <v>5781065</v>
      </c>
      <c r="P67" s="1045"/>
      <c r="Q67" s="1045"/>
      <c r="R67" s="1088"/>
      <c r="S67" s="1088"/>
      <c r="T67" s="1374"/>
      <c r="U67" s="1370"/>
      <c r="V67" s="1375"/>
      <c r="W67" s="1373"/>
      <c r="X67" s="1375"/>
      <c r="Y67" s="1375"/>
      <c r="Z67" s="1088"/>
      <c r="AA67" s="1088"/>
      <c r="AB67" s="1088"/>
    </row>
    <row r="68" spans="1:28" ht="17.25" x14ac:dyDescent="0.4">
      <c r="A68" s="1064"/>
      <c r="B68" s="1052"/>
      <c r="C68" s="1056"/>
      <c r="D68" s="1056"/>
      <c r="E68" s="1065"/>
      <c r="F68" s="1052"/>
      <c r="G68" s="1066"/>
      <c r="H68" s="1052"/>
      <c r="I68" s="1065"/>
      <c r="J68" s="1218"/>
      <c r="K68" s="1218"/>
      <c r="L68" s="1067"/>
      <c r="M68" s="1065"/>
      <c r="N68" s="1067"/>
      <c r="O68" s="1065"/>
      <c r="P68" s="1052"/>
      <c r="Q68" s="1056"/>
      <c r="R68" s="1088"/>
      <c r="S68" s="1088"/>
      <c r="T68" s="1088"/>
      <c r="U68" s="1088"/>
      <c r="V68" s="1375"/>
      <c r="W68" s="1088"/>
      <c r="X68" s="1375"/>
      <c r="Y68" s="1375"/>
      <c r="Z68" s="1088"/>
      <c r="AA68" s="1088"/>
      <c r="AB68" s="1088"/>
    </row>
    <row r="69" spans="1:28" ht="18" thickBot="1" x14ac:dyDescent="0.3">
      <c r="A69" s="1068" t="s">
        <v>27</v>
      </c>
      <c r="B69" s="1069"/>
      <c r="C69" s="1069"/>
      <c r="D69" s="1069"/>
      <c r="E69" s="1070">
        <f>SUM(E15:E68)</f>
        <v>63185</v>
      </c>
      <c r="F69" s="1071"/>
      <c r="G69" s="1071"/>
      <c r="H69" s="1071"/>
      <c r="I69" s="1072">
        <f>SUM(I15:I67)</f>
        <v>39228725</v>
      </c>
      <c r="J69" s="1219"/>
      <c r="K69" s="1072">
        <f>SUM(K15:K67)</f>
        <v>-5628045</v>
      </c>
      <c r="L69" s="1073"/>
      <c r="M69" s="1072">
        <f>SUM(M15:M67)</f>
        <v>96785680</v>
      </c>
      <c r="N69" s="1073"/>
      <c r="O69" s="1072">
        <f>SUM(O15:O67)</f>
        <v>96785680</v>
      </c>
      <c r="P69" s="1074"/>
      <c r="Q69" s="1074"/>
      <c r="R69" s="1088"/>
      <c r="S69" s="1088"/>
      <c r="T69" s="1088"/>
      <c r="U69" s="1088"/>
      <c r="V69" s="1088"/>
      <c r="W69" s="1088"/>
      <c r="X69" s="1088"/>
      <c r="Y69" s="1088"/>
      <c r="Z69" s="1088"/>
      <c r="AA69" s="1088"/>
      <c r="AB69" s="1088"/>
    </row>
    <row r="70" spans="1:28" ht="15.75" thickTop="1" x14ac:dyDescent="0.25">
      <c r="A70" s="1064"/>
      <c r="B70" s="1052"/>
      <c r="C70" s="1052"/>
      <c r="D70" s="1052"/>
      <c r="E70" s="1052"/>
      <c r="F70" s="1052"/>
      <c r="G70" s="1052"/>
      <c r="H70" s="1052"/>
      <c r="I70" s="1052"/>
      <c r="J70" s="1052"/>
      <c r="K70" s="1052"/>
      <c r="L70" s="1052"/>
      <c r="M70" s="1052"/>
      <c r="N70" s="1052"/>
      <c r="O70" s="1075"/>
      <c r="P70" s="1052"/>
      <c r="Q70" s="1052"/>
      <c r="R70" s="1088"/>
      <c r="S70" s="1088"/>
      <c r="T70" s="1088"/>
      <c r="U70" s="1088"/>
      <c r="V70" s="1088"/>
      <c r="W70" s="1088"/>
      <c r="X70" s="1370"/>
      <c r="Y70" s="1088"/>
      <c r="Z70" s="1088"/>
      <c r="AA70" s="1088"/>
      <c r="AB70" s="1088"/>
    </row>
    <row r="71" spans="1:28" x14ac:dyDescent="0.25">
      <c r="A71" s="1064"/>
      <c r="B71" s="1052"/>
      <c r="C71" s="1052"/>
      <c r="D71" s="1052"/>
      <c r="E71" s="1052"/>
      <c r="F71" s="1052"/>
      <c r="G71" s="1052"/>
      <c r="H71" s="1052"/>
      <c r="I71" s="1052"/>
      <c r="J71" s="1052"/>
      <c r="K71" s="1052"/>
      <c r="L71" s="1052"/>
      <c r="M71" s="1052"/>
      <c r="N71" s="1052"/>
      <c r="O71" s="1075"/>
      <c r="P71" s="1052"/>
      <c r="Q71" s="1052"/>
      <c r="R71" s="1088"/>
      <c r="S71" s="1088"/>
      <c r="T71" s="1088"/>
      <c r="U71" s="1088"/>
      <c r="V71" s="1088"/>
      <c r="W71" s="1088"/>
      <c r="X71" s="1370"/>
      <c r="Y71" s="1088"/>
      <c r="Z71" s="1088"/>
      <c r="AA71" s="1088"/>
      <c r="AB71" s="1088"/>
    </row>
    <row r="72" spans="1:28" x14ac:dyDescent="0.25">
      <c r="A72" s="1427"/>
      <c r="B72" s="1427"/>
      <c r="C72" s="1427"/>
      <c r="D72" s="1427"/>
      <c r="E72" s="1427"/>
      <c r="F72" s="1427"/>
      <c r="G72" s="1427"/>
      <c r="H72" s="1427"/>
      <c r="I72" s="1427"/>
      <c r="J72" s="1427"/>
      <c r="K72" s="1427"/>
      <c r="L72" s="1427"/>
      <c r="M72" s="1427"/>
      <c r="N72" s="1427"/>
      <c r="O72" s="1427"/>
      <c r="P72" s="1427"/>
      <c r="Q72" s="1064"/>
      <c r="R72" s="1088"/>
      <c r="S72" s="1088"/>
      <c r="T72" s="1088"/>
      <c r="U72" s="1088"/>
      <c r="V72" s="1088"/>
      <c r="W72" s="1088"/>
      <c r="X72" s="1088"/>
      <c r="Y72" s="1088"/>
      <c r="Z72" s="1088"/>
      <c r="AA72" s="1088"/>
      <c r="AB72" s="1088"/>
    </row>
    <row r="73" spans="1:28" x14ac:dyDescent="0.25">
      <c r="A73" s="1427"/>
      <c r="B73" s="1427"/>
      <c r="C73" s="1427"/>
      <c r="D73" s="1427"/>
      <c r="E73" s="1427"/>
      <c r="F73" s="1427"/>
      <c r="G73" s="1427"/>
      <c r="H73" s="1427"/>
      <c r="I73" s="1427"/>
      <c r="J73" s="1427"/>
      <c r="K73" s="1427"/>
      <c r="L73" s="1427"/>
      <c r="M73" s="1427"/>
      <c r="N73" s="1427"/>
      <c r="O73" s="1427"/>
      <c r="P73" s="1427"/>
      <c r="Q73" s="1064"/>
      <c r="R73" s="1088"/>
      <c r="S73" s="1088"/>
      <c r="T73" s="1088"/>
      <c r="U73" s="1088"/>
      <c r="V73" s="1088"/>
      <c r="W73" s="1088"/>
      <c r="X73" s="1088"/>
      <c r="Y73" s="1088"/>
      <c r="Z73" s="1088"/>
      <c r="AA73" s="1088"/>
      <c r="AB73" s="1088"/>
    </row>
    <row r="74" spans="1:28" x14ac:dyDescent="0.25">
      <c r="A74" s="1427" t="str">
        <f>INFO!A26</f>
        <v>(See Accountants' Report)</v>
      </c>
      <c r="B74" s="1427"/>
      <c r="C74" s="1427"/>
      <c r="D74" s="1427"/>
      <c r="E74" s="1427"/>
      <c r="F74" s="1427"/>
      <c r="G74" s="1427"/>
      <c r="H74" s="1427"/>
      <c r="I74" s="1427"/>
      <c r="J74" s="1427"/>
      <c r="K74" s="1427"/>
      <c r="L74" s="1427"/>
      <c r="M74" s="1427"/>
      <c r="N74" s="1427"/>
      <c r="O74" s="1427"/>
      <c r="P74" s="1427"/>
      <c r="Q74" s="1064"/>
    </row>
    <row r="75" spans="1:28" x14ac:dyDescent="0.25">
      <c r="A75" s="1064"/>
      <c r="B75" s="1052"/>
      <c r="C75" s="1052"/>
      <c r="D75" s="1052"/>
      <c r="E75" s="1052"/>
      <c r="F75" s="1052"/>
      <c r="G75" s="1052"/>
      <c r="H75" s="1052"/>
      <c r="I75" s="1052"/>
      <c r="J75" s="1052"/>
      <c r="K75" s="1052"/>
      <c r="L75" s="1052"/>
      <c r="M75" s="1052"/>
      <c r="N75" s="1052"/>
      <c r="O75" s="1075"/>
      <c r="P75" s="1052"/>
      <c r="Q75" s="1052"/>
    </row>
    <row r="76" spans="1:28" x14ac:dyDescent="0.25">
      <c r="A76" s="1076">
        <v>7</v>
      </c>
      <c r="B76" s="1077"/>
      <c r="C76" s="1077"/>
      <c r="D76" s="1077"/>
      <c r="E76" s="1077"/>
      <c r="F76" s="1077"/>
      <c r="G76" s="1077"/>
      <c r="H76" s="1077"/>
      <c r="I76" s="1077"/>
      <c r="J76" s="1077"/>
      <c r="K76" s="1077"/>
      <c r="L76" s="1077"/>
      <c r="M76" s="1077"/>
      <c r="N76" s="1077"/>
      <c r="O76" s="1077"/>
      <c r="P76" s="1077"/>
      <c r="Q76" s="1078"/>
    </row>
    <row r="77" spans="1:28" x14ac:dyDescent="0.25">
      <c r="A77" s="1064"/>
      <c r="B77" s="1052"/>
      <c r="C77" s="1052"/>
      <c r="D77" s="1052"/>
      <c r="E77" s="1055"/>
      <c r="F77" s="1052"/>
      <c r="G77" s="1052"/>
      <c r="H77" s="1052"/>
      <c r="I77" s="1052"/>
      <c r="J77" s="1052"/>
      <c r="K77" s="1052"/>
      <c r="L77" s="1052"/>
      <c r="M77" s="1052"/>
      <c r="N77" s="1052"/>
      <c r="O77" s="1075"/>
      <c r="P77" s="1052"/>
      <c r="Q77" s="1052"/>
    </row>
    <row r="78" spans="1:28" x14ac:dyDescent="0.25">
      <c r="A78" s="1064"/>
      <c r="B78" s="1052"/>
      <c r="C78" s="1052"/>
      <c r="D78" s="1052"/>
      <c r="E78" s="1055"/>
      <c r="F78" s="1052"/>
      <c r="G78" s="1052"/>
      <c r="H78" s="1052"/>
      <c r="I78" s="1052"/>
      <c r="J78" s="1052"/>
      <c r="K78" s="1052"/>
      <c r="L78" s="1052"/>
      <c r="M78" s="1052"/>
      <c r="N78" s="1052"/>
      <c r="O78" s="1075"/>
      <c r="P78" s="1052"/>
      <c r="Q78" s="1052"/>
    </row>
    <row r="79" spans="1:28" x14ac:dyDescent="0.25">
      <c r="A79" s="1064"/>
      <c r="B79" s="1052"/>
      <c r="C79" s="1052"/>
      <c r="D79" s="1052"/>
      <c r="E79" s="1058"/>
      <c r="F79" s="1052"/>
      <c r="G79" s="1052"/>
      <c r="H79" s="1052"/>
      <c r="I79" s="1052"/>
      <c r="J79" s="1052"/>
      <c r="K79" s="1052"/>
      <c r="L79" s="1052"/>
      <c r="M79" s="1052"/>
      <c r="N79" s="1052"/>
      <c r="O79" s="1075"/>
      <c r="P79" s="1052"/>
      <c r="Q79" s="1052"/>
    </row>
    <row r="80" spans="1:28" x14ac:dyDescent="0.25">
      <c r="A80" s="1064"/>
      <c r="B80" s="1052"/>
      <c r="C80" s="1052"/>
      <c r="D80" s="1052"/>
      <c r="E80" s="1052"/>
      <c r="F80" s="1052"/>
      <c r="G80" s="1052"/>
      <c r="H80" s="1052"/>
      <c r="I80" s="1052"/>
      <c r="J80" s="1052"/>
      <c r="K80" s="1052"/>
      <c r="L80" s="1052"/>
      <c r="M80" s="1052"/>
      <c r="N80" s="1052"/>
      <c r="O80" s="1075"/>
      <c r="P80" s="1052"/>
      <c r="Q80" s="1052"/>
    </row>
    <row r="81" spans="1:17" x14ac:dyDescent="0.25">
      <c r="A81" s="1064"/>
      <c r="B81" s="1052"/>
      <c r="C81" s="1052"/>
      <c r="D81" s="1052"/>
      <c r="E81" s="1052"/>
      <c r="F81" s="1052"/>
      <c r="G81" s="1052"/>
      <c r="H81" s="1052"/>
      <c r="I81" s="1052"/>
      <c r="J81" s="1052"/>
      <c r="K81" s="1052"/>
      <c r="L81" s="1052"/>
      <c r="M81" s="1052"/>
      <c r="N81" s="1052"/>
      <c r="O81" s="1075"/>
      <c r="P81" s="1052"/>
      <c r="Q81" s="1052"/>
    </row>
    <row r="82" spans="1:17" x14ac:dyDescent="0.25">
      <c r="A82" s="1064"/>
      <c r="B82" s="1052"/>
      <c r="C82" s="1052"/>
      <c r="D82" s="1052"/>
      <c r="E82" s="1052"/>
      <c r="F82" s="1052"/>
      <c r="G82" s="1052"/>
      <c r="H82" s="1052"/>
      <c r="I82" s="1052"/>
      <c r="J82" s="1052"/>
      <c r="K82" s="1052"/>
      <c r="L82" s="1052"/>
      <c r="M82" s="1052"/>
      <c r="N82" s="1052"/>
      <c r="O82" s="1075"/>
      <c r="P82" s="1052"/>
      <c r="Q82" s="1052"/>
    </row>
    <row r="83" spans="1:17" x14ac:dyDescent="0.25">
      <c r="A83" s="1064"/>
      <c r="B83" s="1052"/>
      <c r="C83" s="1052"/>
      <c r="D83" s="1052"/>
      <c r="E83" s="1052"/>
      <c r="F83" s="1052"/>
      <c r="G83" s="1052"/>
      <c r="H83" s="1052"/>
      <c r="I83" s="1052"/>
      <c r="J83" s="1052"/>
      <c r="K83" s="1052"/>
      <c r="L83" s="1052"/>
      <c r="M83" s="1052"/>
      <c r="N83" s="1052"/>
      <c r="O83" s="1075"/>
      <c r="P83" s="1052"/>
      <c r="Q83" s="1052"/>
    </row>
  </sheetData>
  <mergeCells count="5">
    <mergeCell ref="C13:E13"/>
    <mergeCell ref="I13:O13"/>
    <mergeCell ref="A72:P72"/>
    <mergeCell ref="A73:P73"/>
    <mergeCell ref="A74:P74"/>
  </mergeCells>
  <phoneticPr fontId="18" type="noConversion"/>
  <printOptions horizontalCentered="1"/>
  <pageMargins left="0.5" right="0.5" top="0.75" bottom="0.5" header="0.3" footer="0.3"/>
  <pageSetup scale="6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51"/>
  <sheetViews>
    <sheetView view="pageBreakPreview" zoomScale="90" zoomScaleNormal="100" zoomScaleSheetLayoutView="90" workbookViewId="0">
      <selection activeCell="Y70" sqref="Y70"/>
    </sheetView>
  </sheetViews>
  <sheetFormatPr defaultColWidth="9.28515625" defaultRowHeight="15" x14ac:dyDescent="0.25"/>
  <cols>
    <col min="1" max="1" width="11.42578125" style="1038" customWidth="1"/>
    <col min="2" max="2" width="1.85546875" style="1038" customWidth="1"/>
    <col min="3" max="3" width="11" style="1038" customWidth="1"/>
    <col min="4" max="4" width="1.85546875" style="1038" customWidth="1"/>
    <col min="5" max="5" width="11" style="1038" customWidth="1"/>
    <col min="6" max="6" width="1.85546875" style="1038" customWidth="1"/>
    <col min="7" max="7" width="9.140625" style="1038" customWidth="1"/>
    <col min="8" max="8" width="1.85546875" style="1038" customWidth="1"/>
    <col min="9" max="9" width="15" style="1038" customWidth="1"/>
    <col min="10" max="10" width="1.85546875" style="1038" customWidth="1"/>
    <col min="11" max="11" width="15" style="1038" customWidth="1"/>
    <col min="12" max="12" width="1.85546875" style="1038" customWidth="1"/>
    <col min="13" max="13" width="15" style="1038" customWidth="1"/>
    <col min="14" max="14" width="1.85546875" style="1038" customWidth="1"/>
    <col min="15" max="15" width="15" style="1038" customWidth="1"/>
    <col min="16" max="16" width="1.7109375" style="1038" customWidth="1"/>
    <col min="17" max="18" width="21.42578125" style="1038" customWidth="1"/>
    <col min="19" max="19" width="13.5703125" style="1038" bestFit="1" customWidth="1"/>
    <col min="20" max="20" width="16.7109375" style="1038" customWidth="1"/>
    <col min="21" max="21" width="14.28515625" style="1038" customWidth="1"/>
    <col min="22" max="22" width="14.42578125" style="1038" customWidth="1"/>
    <col min="23" max="23" width="9.28515625" style="1038"/>
    <col min="24" max="24" width="12.7109375" style="1038" customWidth="1"/>
    <col min="25" max="25" width="14.28515625" style="1038" customWidth="1"/>
    <col min="26" max="16384" width="9.28515625" style="1038"/>
  </cols>
  <sheetData>
    <row r="1" spans="1:26" x14ac:dyDescent="0.25">
      <c r="A1" s="1428" t="str">
        <f>'OM 25 YR Alt II'!A1</f>
        <v>EVANSVILLE (INDIANA) WATERWORKS DISTRICT</v>
      </c>
      <c r="B1" s="1428"/>
      <c r="C1" s="1428"/>
      <c r="D1" s="1428"/>
      <c r="E1" s="1428"/>
      <c r="F1" s="1428"/>
      <c r="G1" s="1428"/>
      <c r="H1" s="1428"/>
      <c r="I1" s="1428"/>
      <c r="J1" s="1428"/>
      <c r="K1" s="1428"/>
      <c r="L1" s="1428"/>
      <c r="M1" s="1428"/>
      <c r="N1" s="1428"/>
      <c r="O1" s="1428"/>
      <c r="P1" s="1428"/>
      <c r="Q1" s="1377" t="s">
        <v>831</v>
      </c>
      <c r="R1" s="1378">
        <v>44835</v>
      </c>
      <c r="S1" s="1377"/>
    </row>
    <row r="2" spans="1:26" x14ac:dyDescent="0.25">
      <c r="A2" s="1037"/>
      <c r="B2" s="1037"/>
      <c r="C2" s="1037"/>
      <c r="D2" s="1037"/>
      <c r="E2" s="1037"/>
      <c r="F2" s="1037"/>
      <c r="G2" s="1037"/>
      <c r="H2" s="1037"/>
      <c r="I2" s="1037"/>
      <c r="J2" s="1037"/>
      <c r="K2" s="1037"/>
      <c r="L2" s="1037"/>
      <c r="M2" s="1037"/>
      <c r="N2" s="1037"/>
      <c r="O2" s="1224" t="s">
        <v>942</v>
      </c>
      <c r="P2" s="1180"/>
      <c r="Q2" s="1377" t="s">
        <v>832</v>
      </c>
      <c r="R2" s="1378">
        <v>44927</v>
      </c>
      <c r="S2" s="1377"/>
    </row>
    <row r="3" spans="1:26" x14ac:dyDescent="0.25">
      <c r="A3" s="1429" t="str">
        <f>"SCHEDULE OF AMORTIZATION OF "&amp;TEXT(E99*1000,"$#,###,###,###")&amp;" PRINCIPAL AMOUNT OF"</f>
        <v>SCHEDULE OF AMORTIZATION OF $174,980,000 PRINCIPAL AMOUNT OF</v>
      </c>
      <c r="B3" s="1429"/>
      <c r="C3" s="1429"/>
      <c r="D3" s="1429"/>
      <c r="E3" s="1429"/>
      <c r="F3" s="1429"/>
      <c r="G3" s="1429"/>
      <c r="H3" s="1429"/>
      <c r="I3" s="1429"/>
      <c r="J3" s="1429"/>
      <c r="K3" s="1429"/>
      <c r="L3" s="1429"/>
      <c r="M3" s="1429"/>
      <c r="N3" s="1429"/>
      <c r="O3" s="1429"/>
      <c r="P3" s="1429"/>
      <c r="Q3" s="1377"/>
      <c r="R3" s="1379">
        <f>-(R1-A51)</f>
        <v>6667</v>
      </c>
      <c r="S3" s="1377" t="s">
        <v>833</v>
      </c>
    </row>
    <row r="4" spans="1:26" x14ac:dyDescent="0.25">
      <c r="A4" s="1429" t="s">
        <v>781</v>
      </c>
      <c r="B4" s="1429"/>
      <c r="C4" s="1429"/>
      <c r="D4" s="1429"/>
      <c r="E4" s="1429"/>
      <c r="F4" s="1429"/>
      <c r="G4" s="1429"/>
      <c r="H4" s="1429"/>
      <c r="I4" s="1429"/>
      <c r="J4" s="1429"/>
      <c r="K4" s="1429"/>
      <c r="L4" s="1429"/>
      <c r="M4" s="1429"/>
      <c r="N4" s="1429"/>
      <c r="O4" s="1429"/>
      <c r="P4" s="1429"/>
      <c r="Q4" s="1377"/>
      <c r="R4" s="1379">
        <f>R3/365</f>
        <v>18.265753424657536</v>
      </c>
      <c r="S4" s="1377" t="s">
        <v>834</v>
      </c>
    </row>
    <row r="5" spans="1:26" x14ac:dyDescent="0.25">
      <c r="A5" s="1428" t="s">
        <v>840</v>
      </c>
      <c r="B5" s="1428"/>
      <c r="C5" s="1428"/>
      <c r="D5" s="1428"/>
      <c r="E5" s="1428"/>
      <c r="F5" s="1428"/>
      <c r="G5" s="1428"/>
      <c r="H5" s="1428"/>
      <c r="I5" s="1428"/>
      <c r="J5" s="1428"/>
      <c r="K5" s="1428"/>
      <c r="L5" s="1428"/>
      <c r="M5" s="1428"/>
      <c r="N5" s="1428"/>
      <c r="O5" s="1428"/>
      <c r="P5" s="1428"/>
      <c r="Q5" s="1377"/>
      <c r="R5" s="1379">
        <f>R4</f>
        <v>18.265753424657536</v>
      </c>
      <c r="S5" s="1377"/>
    </row>
    <row r="6" spans="1:26" x14ac:dyDescent="0.25">
      <c r="A6" s="1428" t="s">
        <v>841</v>
      </c>
      <c r="B6" s="1428"/>
      <c r="C6" s="1428"/>
      <c r="D6" s="1428"/>
      <c r="E6" s="1428"/>
      <c r="F6" s="1428"/>
      <c r="G6" s="1428"/>
      <c r="H6" s="1428"/>
      <c r="I6" s="1428"/>
      <c r="J6" s="1428"/>
      <c r="K6" s="1428"/>
      <c r="L6" s="1428"/>
      <c r="M6" s="1428"/>
      <c r="N6" s="1428"/>
      <c r="O6" s="1428"/>
      <c r="P6" s="1428"/>
      <c r="Q6" s="1377"/>
      <c r="R6" s="1379">
        <f>12*R5</f>
        <v>219.18904109589045</v>
      </c>
      <c r="S6" s="1377" t="s">
        <v>836</v>
      </c>
    </row>
    <row r="7" spans="1:26" x14ac:dyDescent="0.25">
      <c r="A7" s="1428" t="str">
        <f>"Assumes Bonds dated "&amp;TEXT(R1,"mmmm d, yyyy") &amp;"."</f>
        <v>Assumes Bonds dated October 1, 2022.</v>
      </c>
      <c r="B7" s="1428"/>
      <c r="C7" s="1428"/>
      <c r="D7" s="1428"/>
      <c r="E7" s="1428"/>
      <c r="F7" s="1428"/>
      <c r="G7" s="1428"/>
      <c r="H7" s="1428"/>
      <c r="I7" s="1428"/>
      <c r="J7" s="1428"/>
      <c r="K7" s="1428"/>
      <c r="L7" s="1428"/>
      <c r="M7" s="1428"/>
      <c r="N7" s="1428"/>
      <c r="O7" s="1428"/>
      <c r="P7" s="1428"/>
      <c r="Q7" s="1377"/>
      <c r="R7" s="1377"/>
      <c r="S7" s="1377"/>
    </row>
    <row r="8" spans="1:26" x14ac:dyDescent="0.25">
      <c r="A8" s="1430" t="s">
        <v>842</v>
      </c>
      <c r="B8" s="1430"/>
      <c r="C8" s="1430"/>
      <c r="D8" s="1430"/>
      <c r="E8" s="1430"/>
      <c r="F8" s="1430"/>
      <c r="G8" s="1430"/>
      <c r="H8" s="1430"/>
      <c r="I8" s="1430"/>
      <c r="J8" s="1430"/>
      <c r="K8" s="1430"/>
      <c r="L8" s="1430"/>
      <c r="M8" s="1430"/>
      <c r="N8" s="1430"/>
      <c r="O8" s="1430"/>
      <c r="P8" s="1430"/>
      <c r="Q8" s="1044"/>
      <c r="R8" s="1044"/>
    </row>
    <row r="9" spans="1:26" x14ac:dyDescent="0.25">
      <c r="A9" s="1080"/>
      <c r="B9" s="1080"/>
      <c r="C9" s="1080"/>
      <c r="D9" s="1080"/>
      <c r="E9" s="1080"/>
      <c r="F9" s="1080"/>
      <c r="G9" s="1080"/>
      <c r="H9" s="1080"/>
      <c r="I9" s="1080"/>
      <c r="J9" s="1212"/>
      <c r="K9" s="1212"/>
      <c r="L9" s="1080"/>
      <c r="M9" s="1080"/>
      <c r="N9" s="1080"/>
      <c r="O9" s="1080"/>
      <c r="P9" s="1080"/>
      <c r="Q9" s="1088"/>
    </row>
    <row r="10" spans="1:26" x14ac:dyDescent="0.25">
      <c r="A10" s="1046"/>
      <c r="B10" s="1046"/>
      <c r="C10" s="1046"/>
      <c r="D10" s="1046"/>
      <c r="E10" s="1046"/>
      <c r="F10" s="1047"/>
      <c r="G10" s="1046" t="s">
        <v>423</v>
      </c>
      <c r="H10" s="1046"/>
      <c r="I10" s="1046"/>
      <c r="J10" s="1211"/>
      <c r="K10" s="1211"/>
      <c r="L10" s="1046"/>
      <c r="M10" s="1046"/>
      <c r="N10" s="1046"/>
      <c r="O10" s="1046"/>
      <c r="P10" s="1046"/>
      <c r="Q10" s="1370"/>
      <c r="R10" s="1088"/>
      <c r="S10" s="1088"/>
      <c r="T10" s="1088"/>
      <c r="U10" s="1088"/>
      <c r="V10" s="1088"/>
      <c r="W10" s="1088"/>
      <c r="X10" s="1088"/>
      <c r="Y10" s="1088"/>
      <c r="Z10" s="1088"/>
    </row>
    <row r="11" spans="1:26" x14ac:dyDescent="0.25">
      <c r="A11" s="1046" t="s">
        <v>29</v>
      </c>
      <c r="B11" s="1046"/>
      <c r="C11" s="1046" t="s">
        <v>30</v>
      </c>
      <c r="D11" s="1046"/>
      <c r="E11" s="1046"/>
      <c r="F11" s="1046"/>
      <c r="G11" s="1046" t="s">
        <v>31</v>
      </c>
      <c r="H11" s="1046"/>
      <c r="I11" s="1046"/>
      <c r="J11" s="1211"/>
      <c r="K11" s="1211" t="s">
        <v>980</v>
      </c>
      <c r="L11" s="1046"/>
      <c r="M11" s="1048"/>
      <c r="N11" s="1046"/>
      <c r="O11" s="1046" t="s">
        <v>33</v>
      </c>
      <c r="P11" s="1046"/>
      <c r="Q11" s="1088"/>
      <c r="R11" s="1088"/>
      <c r="S11" s="1088"/>
      <c r="T11" s="1088"/>
      <c r="U11" s="1088"/>
      <c r="V11" s="1088"/>
      <c r="W11" s="1088"/>
      <c r="X11" s="1088"/>
      <c r="Y11" s="1088"/>
      <c r="Z11" s="1088"/>
    </row>
    <row r="12" spans="1:26" x14ac:dyDescent="0.25">
      <c r="A12" s="1049" t="s">
        <v>9</v>
      </c>
      <c r="B12" s="1046"/>
      <c r="C12" s="1049" t="s">
        <v>34</v>
      </c>
      <c r="D12" s="1047"/>
      <c r="E12" s="1049" t="s">
        <v>30</v>
      </c>
      <c r="F12" s="1047"/>
      <c r="G12" s="1049" t="s">
        <v>843</v>
      </c>
      <c r="H12" s="1046"/>
      <c r="I12" s="1049" t="s">
        <v>31</v>
      </c>
      <c r="J12" s="1217"/>
      <c r="K12" s="1049" t="s">
        <v>31</v>
      </c>
      <c r="L12" s="1047"/>
      <c r="M12" s="1050" t="s">
        <v>35</v>
      </c>
      <c r="N12" s="1047"/>
      <c r="O12" s="1049" t="s">
        <v>35</v>
      </c>
      <c r="P12" s="1047"/>
      <c r="Q12" s="1374"/>
      <c r="R12" s="1088"/>
      <c r="S12" s="1088"/>
      <c r="T12" s="1088"/>
      <c r="U12" s="1088"/>
      <c r="V12" s="1088"/>
      <c r="W12" s="1088"/>
      <c r="X12" s="1088"/>
      <c r="Y12" s="1088"/>
      <c r="Z12" s="1088"/>
    </row>
    <row r="13" spans="1:26" x14ac:dyDescent="0.25">
      <c r="A13" s="1052"/>
      <c r="B13" s="1052"/>
      <c r="C13" s="1426" t="s">
        <v>838</v>
      </c>
      <c r="D13" s="1426"/>
      <c r="E13" s="1426"/>
      <c r="F13" s="1052"/>
      <c r="G13" s="1053" t="s">
        <v>36</v>
      </c>
      <c r="H13" s="1052"/>
      <c r="I13" s="1426" t="s">
        <v>981</v>
      </c>
      <c r="J13" s="1426"/>
      <c r="K13" s="1426"/>
      <c r="L13" s="1426"/>
      <c r="M13" s="1426"/>
      <c r="N13" s="1426"/>
      <c r="O13" s="1426"/>
      <c r="P13" s="1052"/>
      <c r="Q13" s="1088"/>
      <c r="R13" s="1088"/>
      <c r="S13" s="1088"/>
      <c r="T13" s="1372"/>
      <c r="U13" s="1088"/>
      <c r="V13" s="1088"/>
      <c r="W13" s="1088"/>
      <c r="X13" s="1088"/>
      <c r="Y13" s="1088"/>
      <c r="Z13" s="1088"/>
    </row>
    <row r="14" spans="1:26" x14ac:dyDescent="0.25">
      <c r="A14" s="1052"/>
      <c r="B14" s="1052"/>
      <c r="C14" s="1046"/>
      <c r="D14" s="1046"/>
      <c r="E14" s="1046"/>
      <c r="F14" s="1052"/>
      <c r="G14" s="1053"/>
      <c r="H14" s="1052"/>
      <c r="I14" s="1052"/>
      <c r="J14" s="1052"/>
      <c r="K14" s="1052"/>
      <c r="L14" s="1052"/>
      <c r="M14" s="1053"/>
      <c r="N14" s="1052"/>
      <c r="O14" s="1052"/>
      <c r="P14" s="1052"/>
      <c r="Q14" s="1370"/>
      <c r="R14" s="1088"/>
      <c r="S14" s="1088"/>
      <c r="T14" s="1088"/>
      <c r="U14" s="1088"/>
      <c r="V14" s="1088"/>
      <c r="W14" s="1088"/>
      <c r="X14" s="1088"/>
      <c r="Y14" s="1088"/>
      <c r="Z14" s="1088"/>
    </row>
    <row r="15" spans="1:26" x14ac:dyDescent="0.25">
      <c r="A15" s="1054">
        <v>44927</v>
      </c>
      <c r="B15" s="1052"/>
      <c r="C15" s="1055">
        <f>E99</f>
        <v>174980</v>
      </c>
      <c r="D15" s="1056"/>
      <c r="E15" s="1045"/>
      <c r="F15" s="1052"/>
      <c r="G15" s="1057"/>
      <c r="H15" s="1052"/>
      <c r="I15" s="1058">
        <f>(DAYS360($R$1,A15)/180)*((E15*1000*G15/2)+I16)</f>
        <v>1246732.5</v>
      </c>
      <c r="J15" s="1058"/>
      <c r="K15" s="1058">
        <f>-I15</f>
        <v>-1246732.5</v>
      </c>
      <c r="L15" s="1058"/>
      <c r="M15" s="1220">
        <f>SUM(E15*1000+I15+K15)</f>
        <v>0</v>
      </c>
      <c r="N15" s="1045"/>
      <c r="O15" s="1220">
        <f>M15</f>
        <v>0</v>
      </c>
      <c r="P15" s="1045"/>
      <c r="Q15" s="1088"/>
      <c r="R15" s="1088"/>
      <c r="S15" s="1088"/>
      <c r="T15" s="1374"/>
      <c r="U15" s="1088"/>
      <c r="V15" s="1088"/>
      <c r="W15" s="1088"/>
      <c r="X15" s="1375"/>
      <c r="Y15" s="1375"/>
      <c r="Z15" s="1088"/>
    </row>
    <row r="16" spans="1:26" x14ac:dyDescent="0.25">
      <c r="A16" s="1054">
        <f t="shared" ref="A16:A59" si="0">EDATE(A15,6)</f>
        <v>45108</v>
      </c>
      <c r="B16" s="1052"/>
      <c r="C16" s="1045">
        <f t="shared" ref="C16:C59" si="1">C15-E15</f>
        <v>174980</v>
      </c>
      <c r="D16" s="1056"/>
      <c r="E16" s="1055"/>
      <c r="F16" s="1052"/>
      <c r="G16" s="1057"/>
      <c r="H16" s="1052"/>
      <c r="I16" s="1060">
        <f t="shared" ref="I16:I58" si="2">((E16*1000)*G16/100/2)+I17</f>
        <v>2493465</v>
      </c>
      <c r="J16" s="1060"/>
      <c r="K16" s="1060">
        <f>-I16</f>
        <v>-2493465</v>
      </c>
      <c r="L16" s="1045"/>
      <c r="M16" s="742">
        <f>SUM(E16*1000+I16+K16)</f>
        <v>0</v>
      </c>
      <c r="N16" s="1045"/>
      <c r="O16" s="1058"/>
      <c r="P16" s="1045"/>
      <c r="Q16" s="1382"/>
      <c r="R16" s="1382"/>
      <c r="S16" s="1088"/>
      <c r="T16" s="1088"/>
      <c r="U16" s="1088"/>
      <c r="V16" s="1088"/>
      <c r="W16" s="1088"/>
      <c r="X16" s="1375"/>
      <c r="Y16" s="1375"/>
      <c r="Z16" s="1088"/>
    </row>
    <row r="17" spans="1:26" x14ac:dyDescent="0.25">
      <c r="A17" s="1054">
        <f t="shared" si="0"/>
        <v>45292</v>
      </c>
      <c r="B17" s="1052"/>
      <c r="C17" s="1045">
        <f t="shared" si="1"/>
        <v>174980</v>
      </c>
      <c r="D17" s="1045"/>
      <c r="E17" s="1045"/>
      <c r="F17" s="1052"/>
      <c r="G17" s="1057"/>
      <c r="H17" s="1052"/>
      <c r="I17" s="1060">
        <f t="shared" si="2"/>
        <v>2493465</v>
      </c>
      <c r="J17" s="1060"/>
      <c r="K17" s="1060">
        <f>-I17</f>
        <v>-2493465</v>
      </c>
      <c r="L17" s="1045"/>
      <c r="M17" s="742">
        <f t="shared" ref="M17:M60" si="3">SUM(E17*1000+I17+K17)</f>
        <v>0</v>
      </c>
      <c r="N17" s="1045"/>
      <c r="O17" s="742">
        <f>M16+M17</f>
        <v>0</v>
      </c>
      <c r="P17" s="1045"/>
      <c r="Q17" s="1382"/>
      <c r="R17" s="1382"/>
      <c r="S17" s="1088"/>
      <c r="T17" s="1374"/>
      <c r="U17" s="1088"/>
      <c r="V17" s="1088"/>
      <c r="W17" s="1088"/>
      <c r="X17" s="1375"/>
      <c r="Y17" s="1375"/>
      <c r="Z17" s="1088"/>
    </row>
    <row r="18" spans="1:26" x14ac:dyDescent="0.25">
      <c r="A18" s="1054">
        <f t="shared" si="0"/>
        <v>45474</v>
      </c>
      <c r="B18" s="1052"/>
      <c r="C18" s="1045">
        <f t="shared" si="1"/>
        <v>174980</v>
      </c>
      <c r="D18" s="1045"/>
      <c r="E18" s="1055"/>
      <c r="F18" s="1052"/>
      <c r="G18" s="1057"/>
      <c r="H18" s="1052"/>
      <c r="I18" s="1060">
        <f t="shared" si="2"/>
        <v>2493465</v>
      </c>
      <c r="J18" s="1060"/>
      <c r="K18" s="1060">
        <f>-I18</f>
        <v>-2493465</v>
      </c>
      <c r="L18" s="1045"/>
      <c r="M18" s="742">
        <f t="shared" si="3"/>
        <v>0</v>
      </c>
      <c r="N18" s="1045"/>
      <c r="O18" s="1060"/>
      <c r="P18" s="1045"/>
      <c r="Q18" s="1382"/>
      <c r="R18" s="1382"/>
      <c r="S18" s="1088"/>
      <c r="T18" s="1088"/>
      <c r="U18" s="1088"/>
      <c r="V18" s="1088"/>
      <c r="W18" s="1088"/>
      <c r="X18" s="1375"/>
      <c r="Y18" s="1375"/>
      <c r="Z18" s="1088"/>
    </row>
    <row r="19" spans="1:26" x14ac:dyDescent="0.25">
      <c r="A19" s="1054">
        <f t="shared" si="0"/>
        <v>45658</v>
      </c>
      <c r="B19" s="1052"/>
      <c r="C19" s="1045">
        <f t="shared" si="1"/>
        <v>174980</v>
      </c>
      <c r="D19" s="1045"/>
      <c r="E19" s="1045"/>
      <c r="F19" s="1052"/>
      <c r="G19" s="1057"/>
      <c r="H19" s="1052"/>
      <c r="I19" s="1060">
        <f t="shared" si="2"/>
        <v>2493465</v>
      </c>
      <c r="J19" s="1060"/>
      <c r="K19" s="1060"/>
      <c r="L19" s="1045"/>
      <c r="M19" s="1060">
        <f t="shared" si="3"/>
        <v>2493465</v>
      </c>
      <c r="N19" s="1045"/>
      <c r="O19" s="1060">
        <f t="shared" ref="O19" si="4">M18+M19</f>
        <v>2493465</v>
      </c>
      <c r="P19" s="1045"/>
      <c r="Q19" s="1382"/>
      <c r="R19" s="1382"/>
      <c r="S19" s="1088"/>
      <c r="T19" s="1374"/>
      <c r="U19" s="1088"/>
      <c r="V19" s="1088"/>
      <c r="W19" s="1088"/>
      <c r="X19" s="1375"/>
      <c r="Y19" s="1375"/>
      <c r="Z19" s="1088"/>
    </row>
    <row r="20" spans="1:26" x14ac:dyDescent="0.25">
      <c r="A20" s="1054">
        <f t="shared" si="0"/>
        <v>45839</v>
      </c>
      <c r="B20" s="1052"/>
      <c r="C20" s="1045">
        <f t="shared" si="1"/>
        <v>174980</v>
      </c>
      <c r="D20" s="1045"/>
      <c r="E20" s="1055"/>
      <c r="F20" s="1052"/>
      <c r="G20" s="1057"/>
      <c r="H20" s="1052"/>
      <c r="I20" s="1060">
        <f t="shared" si="2"/>
        <v>2493465</v>
      </c>
      <c r="J20" s="1060"/>
      <c r="K20" s="1060"/>
      <c r="L20" s="1045"/>
      <c r="M20" s="1060">
        <f t="shared" si="3"/>
        <v>2493465</v>
      </c>
      <c r="N20" s="1045"/>
      <c r="O20" s="1060"/>
      <c r="P20" s="1045"/>
      <c r="Q20" s="1382"/>
      <c r="R20" s="1382"/>
      <c r="S20" s="1088"/>
      <c r="T20" s="1088"/>
      <c r="U20" s="1088"/>
      <c r="V20" s="1088"/>
      <c r="W20" s="1088"/>
      <c r="X20" s="1375"/>
      <c r="Y20" s="1375"/>
      <c r="Z20" s="1088"/>
    </row>
    <row r="21" spans="1:26" x14ac:dyDescent="0.25">
      <c r="A21" s="1054">
        <f t="shared" si="0"/>
        <v>46023</v>
      </c>
      <c r="B21" s="1052"/>
      <c r="C21" s="1045">
        <f t="shared" si="1"/>
        <v>174980</v>
      </c>
      <c r="D21" s="1045"/>
      <c r="E21" s="1055">
        <v>1</v>
      </c>
      <c r="F21" s="1052"/>
      <c r="G21" s="1207">
        <v>2.85</v>
      </c>
      <c r="H21" s="1052"/>
      <c r="I21" s="1060">
        <f t="shared" si="2"/>
        <v>2493465</v>
      </c>
      <c r="J21" s="1060"/>
      <c r="K21" s="1060"/>
      <c r="L21" s="1045"/>
      <c r="M21" s="1060">
        <f t="shared" si="3"/>
        <v>2494465</v>
      </c>
      <c r="N21" s="1045"/>
      <c r="O21" s="1060">
        <f t="shared" ref="O21" si="5">M20+M21</f>
        <v>4987930</v>
      </c>
      <c r="P21" s="1045"/>
      <c r="Q21" s="1382"/>
      <c r="R21" s="1382"/>
      <c r="S21" s="1088"/>
      <c r="T21" s="1374"/>
      <c r="U21" s="1370"/>
      <c r="V21" s="1375"/>
      <c r="W21" s="1373"/>
      <c r="X21" s="1375"/>
      <c r="Y21" s="1375"/>
      <c r="Z21" s="1088"/>
    </row>
    <row r="22" spans="1:26" x14ac:dyDescent="0.25">
      <c r="A22" s="1054">
        <f t="shared" si="0"/>
        <v>46204</v>
      </c>
      <c r="B22" s="1052"/>
      <c r="C22" s="1045">
        <f t="shared" si="1"/>
        <v>174979</v>
      </c>
      <c r="D22" s="1045"/>
      <c r="E22" s="1055"/>
      <c r="F22" s="1052"/>
      <c r="G22" s="1207"/>
      <c r="H22" s="1052"/>
      <c r="I22" s="1060">
        <f t="shared" si="2"/>
        <v>2493450.75</v>
      </c>
      <c r="J22" s="1060"/>
      <c r="K22" s="1060"/>
      <c r="L22" s="1045"/>
      <c r="M22" s="1060">
        <f t="shared" si="3"/>
        <v>2493450.75</v>
      </c>
      <c r="N22" s="1045"/>
      <c r="O22" s="1060"/>
      <c r="P22" s="1045"/>
      <c r="Q22" s="1382"/>
      <c r="R22" s="1382"/>
      <c r="S22" s="1088"/>
      <c r="T22" s="1088"/>
      <c r="U22" s="1088"/>
      <c r="V22" s="1088"/>
      <c r="W22" s="1088"/>
      <c r="X22" s="1375"/>
      <c r="Y22" s="1375"/>
      <c r="Z22" s="1088"/>
    </row>
    <row r="23" spans="1:26" x14ac:dyDescent="0.25">
      <c r="A23" s="1054">
        <f t="shared" si="0"/>
        <v>46388</v>
      </c>
      <c r="B23" s="1052"/>
      <c r="C23" s="1045">
        <f t="shared" si="1"/>
        <v>174979</v>
      </c>
      <c r="D23" s="1045"/>
      <c r="E23" s="1045">
        <v>1</v>
      </c>
      <c r="F23" s="1052"/>
      <c r="G23" s="1207">
        <f>G21</f>
        <v>2.85</v>
      </c>
      <c r="H23" s="1052"/>
      <c r="I23" s="1060">
        <f t="shared" si="2"/>
        <v>2493450.75</v>
      </c>
      <c r="J23" s="1060"/>
      <c r="K23" s="1060"/>
      <c r="L23" s="1045"/>
      <c r="M23" s="1060">
        <f t="shared" si="3"/>
        <v>2494450.75</v>
      </c>
      <c r="N23" s="1045"/>
      <c r="O23" s="1060">
        <f t="shared" ref="O23" si="6">M22+M23</f>
        <v>4987901.5</v>
      </c>
      <c r="P23" s="1045"/>
      <c r="Q23" s="1382"/>
      <c r="R23" s="1382"/>
      <c r="S23" s="1088"/>
      <c r="T23" s="1374"/>
      <c r="U23" s="1370"/>
      <c r="V23" s="1375"/>
      <c r="W23" s="1373"/>
      <c r="X23" s="1375"/>
      <c r="Y23" s="1375"/>
      <c r="Z23" s="1088"/>
    </row>
    <row r="24" spans="1:26" x14ac:dyDescent="0.25">
      <c r="A24" s="1054">
        <f t="shared" si="0"/>
        <v>46569</v>
      </c>
      <c r="B24" s="1052"/>
      <c r="C24" s="1045">
        <f t="shared" si="1"/>
        <v>174978</v>
      </c>
      <c r="D24" s="1045"/>
      <c r="E24" s="1055"/>
      <c r="F24" s="1052"/>
      <c r="G24" s="1207"/>
      <c r="H24" s="1052"/>
      <c r="I24" s="1060">
        <f t="shared" si="2"/>
        <v>2493436.5</v>
      </c>
      <c r="J24" s="1060"/>
      <c r="K24" s="1060"/>
      <c r="L24" s="1045"/>
      <c r="M24" s="1060">
        <f t="shared" si="3"/>
        <v>2493436.5</v>
      </c>
      <c r="N24" s="1045"/>
      <c r="O24" s="1060"/>
      <c r="P24" s="1045"/>
      <c r="Q24" s="1382"/>
      <c r="R24" s="1382"/>
      <c r="S24" s="1088"/>
      <c r="T24" s="1088"/>
      <c r="U24" s="1088"/>
      <c r="V24" s="1088"/>
      <c r="W24" s="1088"/>
      <c r="X24" s="1375"/>
      <c r="Y24" s="1375"/>
      <c r="Z24" s="1088"/>
    </row>
    <row r="25" spans="1:26" x14ac:dyDescent="0.25">
      <c r="A25" s="1054">
        <f t="shared" si="0"/>
        <v>46753</v>
      </c>
      <c r="B25" s="1052"/>
      <c r="C25" s="1045">
        <f t="shared" si="1"/>
        <v>174978</v>
      </c>
      <c r="D25" s="1045"/>
      <c r="E25" s="1045">
        <v>1</v>
      </c>
      <c r="F25" s="1052"/>
      <c r="G25" s="1207">
        <f>G23</f>
        <v>2.85</v>
      </c>
      <c r="H25" s="1052"/>
      <c r="I25" s="1060">
        <f t="shared" si="2"/>
        <v>2493436.5</v>
      </c>
      <c r="J25" s="1060"/>
      <c r="K25" s="1060"/>
      <c r="L25" s="1045"/>
      <c r="M25" s="1060">
        <f t="shared" si="3"/>
        <v>2494436.5</v>
      </c>
      <c r="N25" s="1045"/>
      <c r="O25" s="1060">
        <f t="shared" ref="O25" si="7">M24+M25</f>
        <v>4987873</v>
      </c>
      <c r="P25" s="1045"/>
      <c r="Q25" s="1382"/>
      <c r="R25" s="1382"/>
      <c r="S25" s="1088"/>
      <c r="T25" s="1374"/>
      <c r="U25" s="1370"/>
      <c r="V25" s="1375"/>
      <c r="W25" s="1373"/>
      <c r="X25" s="1375"/>
      <c r="Y25" s="1375"/>
      <c r="Z25" s="1088"/>
    </row>
    <row r="26" spans="1:26" x14ac:dyDescent="0.25">
      <c r="A26" s="1054">
        <f t="shared" si="0"/>
        <v>46935</v>
      </c>
      <c r="B26" s="1052"/>
      <c r="C26" s="1045">
        <f t="shared" si="1"/>
        <v>174977</v>
      </c>
      <c r="D26" s="1045"/>
      <c r="E26" s="1055"/>
      <c r="F26" s="1052"/>
      <c r="G26" s="1207"/>
      <c r="H26" s="1052"/>
      <c r="I26" s="1060">
        <f t="shared" si="2"/>
        <v>2493422.25</v>
      </c>
      <c r="J26" s="1060"/>
      <c r="K26" s="1060"/>
      <c r="L26" s="1045"/>
      <c r="M26" s="1060">
        <f t="shared" si="3"/>
        <v>2493422.25</v>
      </c>
      <c r="N26" s="1045"/>
      <c r="O26" s="1060"/>
      <c r="P26" s="1045"/>
      <c r="Q26" s="1382"/>
      <c r="R26" s="1382"/>
      <c r="S26" s="1088"/>
      <c r="T26" s="1088"/>
      <c r="U26" s="1088"/>
      <c r="V26" s="1088"/>
      <c r="W26" s="1088"/>
      <c r="X26" s="1375"/>
      <c r="Y26" s="1375"/>
      <c r="Z26" s="1088"/>
    </row>
    <row r="27" spans="1:26" x14ac:dyDescent="0.25">
      <c r="A27" s="1054">
        <f t="shared" si="0"/>
        <v>47119</v>
      </c>
      <c r="B27" s="1052"/>
      <c r="C27" s="1045">
        <f t="shared" si="1"/>
        <v>174977</v>
      </c>
      <c r="D27" s="1045"/>
      <c r="E27" s="1045">
        <v>1</v>
      </c>
      <c r="F27" s="1052"/>
      <c r="G27" s="1207">
        <f>G25</f>
        <v>2.85</v>
      </c>
      <c r="H27" s="1052"/>
      <c r="I27" s="1060">
        <f t="shared" si="2"/>
        <v>2493422.25</v>
      </c>
      <c r="J27" s="1060"/>
      <c r="K27" s="1060"/>
      <c r="L27" s="1045"/>
      <c r="M27" s="1060">
        <f t="shared" si="3"/>
        <v>2494422.25</v>
      </c>
      <c r="N27" s="1045"/>
      <c r="O27" s="1060">
        <f t="shared" ref="O27" si="8">M26+M27</f>
        <v>4987844.5</v>
      </c>
      <c r="P27" s="1045"/>
      <c r="Q27" s="1382"/>
      <c r="R27" s="1382"/>
      <c r="S27" s="1088"/>
      <c r="T27" s="1374"/>
      <c r="U27" s="1370"/>
      <c r="V27" s="1375"/>
      <c r="W27" s="1373"/>
      <c r="X27" s="1375"/>
      <c r="Y27" s="1375"/>
      <c r="Z27" s="1088"/>
    </row>
    <row r="28" spans="1:26" x14ac:dyDescent="0.25">
      <c r="A28" s="1054">
        <f t="shared" si="0"/>
        <v>47300</v>
      </c>
      <c r="B28" s="1052"/>
      <c r="C28" s="1045">
        <f t="shared" si="1"/>
        <v>174976</v>
      </c>
      <c r="D28" s="1045"/>
      <c r="E28" s="1055"/>
      <c r="F28" s="1052"/>
      <c r="G28" s="1207"/>
      <c r="H28" s="1052"/>
      <c r="I28" s="1060">
        <f t="shared" si="2"/>
        <v>2493408</v>
      </c>
      <c r="J28" s="1060"/>
      <c r="K28" s="1060"/>
      <c r="L28" s="1045"/>
      <c r="M28" s="1060">
        <f t="shared" si="3"/>
        <v>2493408</v>
      </c>
      <c r="N28" s="1045"/>
      <c r="O28" s="1060"/>
      <c r="P28" s="1045"/>
      <c r="Q28" s="1382"/>
      <c r="R28" s="1382"/>
      <c r="S28" s="1088"/>
      <c r="T28" s="1088"/>
      <c r="U28" s="1088"/>
      <c r="V28" s="1088"/>
      <c r="W28" s="1088"/>
      <c r="X28" s="1375"/>
      <c r="Y28" s="1375"/>
      <c r="Z28" s="1088"/>
    </row>
    <row r="29" spans="1:26" x14ac:dyDescent="0.25">
      <c r="A29" s="1054">
        <f t="shared" si="0"/>
        <v>47484</v>
      </c>
      <c r="B29" s="1052"/>
      <c r="C29" s="1045">
        <f t="shared" si="1"/>
        <v>174976</v>
      </c>
      <c r="D29" s="1045"/>
      <c r="E29" s="1045">
        <v>1</v>
      </c>
      <c r="F29" s="1052"/>
      <c r="G29" s="1207">
        <f>G27</f>
        <v>2.85</v>
      </c>
      <c r="H29" s="1052"/>
      <c r="I29" s="1060">
        <f t="shared" si="2"/>
        <v>2493408</v>
      </c>
      <c r="J29" s="1060"/>
      <c r="K29" s="1060"/>
      <c r="L29" s="1045"/>
      <c r="M29" s="1060">
        <f t="shared" si="3"/>
        <v>2494408</v>
      </c>
      <c r="N29" s="1045"/>
      <c r="O29" s="1060">
        <f t="shared" ref="O29" si="9">M28+M29</f>
        <v>4987816</v>
      </c>
      <c r="P29" s="1045"/>
      <c r="Q29" s="1382"/>
      <c r="R29" s="1382"/>
      <c r="S29" s="1088"/>
      <c r="T29" s="1374"/>
      <c r="U29" s="1370"/>
      <c r="V29" s="1375"/>
      <c r="W29" s="1373"/>
      <c r="X29" s="1375"/>
      <c r="Y29" s="1375"/>
      <c r="Z29" s="1088"/>
    </row>
    <row r="30" spans="1:26" x14ac:dyDescent="0.25">
      <c r="A30" s="1054">
        <f t="shared" si="0"/>
        <v>47665</v>
      </c>
      <c r="B30" s="1052"/>
      <c r="C30" s="1045">
        <f t="shared" si="1"/>
        <v>174975</v>
      </c>
      <c r="D30" s="1045"/>
      <c r="E30" s="1055"/>
      <c r="F30" s="1052"/>
      <c r="G30" s="1207"/>
      <c r="H30" s="1052"/>
      <c r="I30" s="1060">
        <f t="shared" si="2"/>
        <v>2493393.75</v>
      </c>
      <c r="J30" s="1060"/>
      <c r="K30" s="1060"/>
      <c r="L30" s="1045"/>
      <c r="M30" s="1060">
        <f t="shared" si="3"/>
        <v>2493393.75</v>
      </c>
      <c r="N30" s="1045"/>
      <c r="O30" s="1060"/>
      <c r="P30" s="1045"/>
      <c r="Q30" s="1382"/>
      <c r="R30" s="1382"/>
      <c r="S30" s="1088"/>
      <c r="T30" s="1088"/>
      <c r="U30" s="1088"/>
      <c r="V30" s="1088"/>
      <c r="W30" s="1088"/>
      <c r="X30" s="1375"/>
      <c r="Y30" s="1375"/>
      <c r="Z30" s="1088"/>
    </row>
    <row r="31" spans="1:26" x14ac:dyDescent="0.25">
      <c r="A31" s="1054">
        <f t="shared" si="0"/>
        <v>47849</v>
      </c>
      <c r="B31" s="1052"/>
      <c r="C31" s="1045">
        <f t="shared" si="1"/>
        <v>174975</v>
      </c>
      <c r="D31" s="1045"/>
      <c r="E31" s="1045">
        <v>1</v>
      </c>
      <c r="F31" s="1052"/>
      <c r="G31" s="1207">
        <f>G29</f>
        <v>2.85</v>
      </c>
      <c r="H31" s="1052"/>
      <c r="I31" s="1060">
        <f t="shared" si="2"/>
        <v>2493393.75</v>
      </c>
      <c r="J31" s="1060"/>
      <c r="K31" s="1060"/>
      <c r="L31" s="1045"/>
      <c r="M31" s="1060">
        <f t="shared" si="3"/>
        <v>2494393.75</v>
      </c>
      <c r="N31" s="1045"/>
      <c r="O31" s="1060">
        <f t="shared" ref="O31" si="10">M30+M31</f>
        <v>4987787.5</v>
      </c>
      <c r="P31" s="1045"/>
      <c r="Q31" s="1382"/>
      <c r="R31" s="1382"/>
      <c r="S31" s="1088"/>
      <c r="T31" s="1374"/>
      <c r="U31" s="1370"/>
      <c r="V31" s="1375"/>
      <c r="W31" s="1373"/>
      <c r="X31" s="1375"/>
      <c r="Y31" s="1375"/>
      <c r="Z31" s="1088"/>
    </row>
    <row r="32" spans="1:26" x14ac:dyDescent="0.25">
      <c r="A32" s="1054">
        <f t="shared" si="0"/>
        <v>48030</v>
      </c>
      <c r="B32" s="1052"/>
      <c r="C32" s="1045">
        <f t="shared" si="1"/>
        <v>174974</v>
      </c>
      <c r="D32" s="1045"/>
      <c r="E32" s="1055"/>
      <c r="F32" s="1052"/>
      <c r="G32" s="1207"/>
      <c r="H32" s="1052"/>
      <c r="I32" s="1060">
        <f t="shared" si="2"/>
        <v>2493379.5</v>
      </c>
      <c r="J32" s="1060"/>
      <c r="K32" s="1060"/>
      <c r="L32" s="1045"/>
      <c r="M32" s="1060">
        <f t="shared" si="3"/>
        <v>2493379.5</v>
      </c>
      <c r="N32" s="1045"/>
      <c r="O32" s="1060"/>
      <c r="P32" s="1045"/>
      <c r="Q32" s="1382"/>
      <c r="R32" s="1382"/>
      <c r="S32" s="1088"/>
      <c r="T32" s="1088"/>
      <c r="U32" s="1088"/>
      <c r="V32" s="1088"/>
      <c r="W32" s="1088"/>
      <c r="X32" s="1375"/>
      <c r="Y32" s="1375"/>
      <c r="Z32" s="1088"/>
    </row>
    <row r="33" spans="1:26" x14ac:dyDescent="0.25">
      <c r="A33" s="1054">
        <f t="shared" si="0"/>
        <v>48214</v>
      </c>
      <c r="B33" s="1052"/>
      <c r="C33" s="1045">
        <f t="shared" si="1"/>
        <v>174974</v>
      </c>
      <c r="D33" s="1045"/>
      <c r="E33" s="1045">
        <v>1</v>
      </c>
      <c r="F33" s="1052"/>
      <c r="G33" s="1207">
        <f>G31</f>
        <v>2.85</v>
      </c>
      <c r="H33" s="1052"/>
      <c r="I33" s="1060">
        <f t="shared" si="2"/>
        <v>2493379.5</v>
      </c>
      <c r="J33" s="1060"/>
      <c r="K33" s="1060"/>
      <c r="L33" s="1045"/>
      <c r="M33" s="1060">
        <f t="shared" si="3"/>
        <v>2494379.5</v>
      </c>
      <c r="N33" s="1045"/>
      <c r="O33" s="1060">
        <f t="shared" ref="O33" si="11">M32+M33</f>
        <v>4987759</v>
      </c>
      <c r="P33" s="1045"/>
      <c r="Q33" s="1382"/>
      <c r="R33" s="1382"/>
      <c r="S33" s="1088"/>
      <c r="T33" s="1374"/>
      <c r="U33" s="1370"/>
      <c r="V33" s="1375"/>
      <c r="W33" s="1373"/>
      <c r="X33" s="1375"/>
      <c r="Y33" s="1375"/>
      <c r="Z33" s="1088"/>
    </row>
    <row r="34" spans="1:26" x14ac:dyDescent="0.25">
      <c r="A34" s="1054">
        <f t="shared" si="0"/>
        <v>48396</v>
      </c>
      <c r="B34" s="1052"/>
      <c r="C34" s="1045">
        <f t="shared" si="1"/>
        <v>174973</v>
      </c>
      <c r="D34" s="1045"/>
      <c r="E34" s="1055"/>
      <c r="F34" s="1052"/>
      <c r="G34" s="1207"/>
      <c r="H34" s="1052"/>
      <c r="I34" s="1060">
        <f t="shared" si="2"/>
        <v>2493365.25</v>
      </c>
      <c r="J34" s="1060"/>
      <c r="K34" s="1060"/>
      <c r="L34" s="1045"/>
      <c r="M34" s="1060">
        <f t="shared" si="3"/>
        <v>2493365.25</v>
      </c>
      <c r="N34" s="1045"/>
      <c r="O34" s="1060"/>
      <c r="P34" s="1045"/>
      <c r="Q34" s="1382"/>
      <c r="R34" s="1382"/>
      <c r="S34" s="1088"/>
      <c r="T34" s="1088"/>
      <c r="U34" s="1088"/>
      <c r="V34" s="1088"/>
      <c r="W34" s="1088"/>
      <c r="X34" s="1375"/>
      <c r="Y34" s="1375"/>
      <c r="Z34" s="1088"/>
    </row>
    <row r="35" spans="1:26" x14ac:dyDescent="0.25">
      <c r="A35" s="1054">
        <f t="shared" si="0"/>
        <v>48580</v>
      </c>
      <c r="B35" s="1052"/>
      <c r="C35" s="1045">
        <f t="shared" si="1"/>
        <v>174973</v>
      </c>
      <c r="D35" s="1045"/>
      <c r="E35" s="1045">
        <v>1</v>
      </c>
      <c r="F35" s="1052"/>
      <c r="G35" s="1207">
        <f>G33</f>
        <v>2.85</v>
      </c>
      <c r="H35" s="1052"/>
      <c r="I35" s="1060">
        <f t="shared" si="2"/>
        <v>2493365.25</v>
      </c>
      <c r="J35" s="1060"/>
      <c r="K35" s="1060"/>
      <c r="L35" s="1045"/>
      <c r="M35" s="1060">
        <f t="shared" si="3"/>
        <v>2494365.25</v>
      </c>
      <c r="N35" s="1045"/>
      <c r="O35" s="1060">
        <f t="shared" ref="O35" si="12">M34+M35</f>
        <v>4987730.5</v>
      </c>
      <c r="P35" s="1045"/>
      <c r="Q35" s="1382"/>
      <c r="R35" s="1382"/>
      <c r="S35" s="1088"/>
      <c r="T35" s="1374"/>
      <c r="U35" s="1370"/>
      <c r="V35" s="1375"/>
      <c r="W35" s="1373"/>
      <c r="X35" s="1375"/>
      <c r="Y35" s="1375"/>
      <c r="Z35" s="1088"/>
    </row>
    <row r="36" spans="1:26" x14ac:dyDescent="0.25">
      <c r="A36" s="1054">
        <f t="shared" si="0"/>
        <v>48761</v>
      </c>
      <c r="B36" s="1052"/>
      <c r="C36" s="1045">
        <f t="shared" si="1"/>
        <v>174972</v>
      </c>
      <c r="D36" s="1045"/>
      <c r="E36" s="1055"/>
      <c r="F36" s="1052"/>
      <c r="G36" s="1207"/>
      <c r="H36" s="1052"/>
      <c r="I36" s="1060">
        <f t="shared" si="2"/>
        <v>2493351</v>
      </c>
      <c r="J36" s="1060"/>
      <c r="K36" s="1060"/>
      <c r="L36" s="1045"/>
      <c r="M36" s="1060">
        <f t="shared" si="3"/>
        <v>2493351</v>
      </c>
      <c r="N36" s="1045"/>
      <c r="O36" s="1060"/>
      <c r="P36" s="1045"/>
      <c r="Q36" s="1382"/>
      <c r="R36" s="1382"/>
      <c r="S36" s="1088"/>
      <c r="T36" s="1088"/>
      <c r="U36" s="1088"/>
      <c r="V36" s="1088"/>
      <c r="W36" s="1088"/>
      <c r="X36" s="1375"/>
      <c r="Y36" s="1375"/>
      <c r="Z36" s="1088"/>
    </row>
    <row r="37" spans="1:26" x14ac:dyDescent="0.25">
      <c r="A37" s="1054">
        <f t="shared" si="0"/>
        <v>48945</v>
      </c>
      <c r="B37" s="1052"/>
      <c r="C37" s="1045">
        <f t="shared" si="1"/>
        <v>174972</v>
      </c>
      <c r="D37" s="1045"/>
      <c r="E37" s="1045">
        <v>1</v>
      </c>
      <c r="F37" s="1052"/>
      <c r="G37" s="1207">
        <f>G35</f>
        <v>2.85</v>
      </c>
      <c r="H37" s="1052"/>
      <c r="I37" s="1060">
        <f t="shared" si="2"/>
        <v>2493351</v>
      </c>
      <c r="J37" s="1060"/>
      <c r="K37" s="1060"/>
      <c r="L37" s="1045"/>
      <c r="M37" s="1060">
        <f t="shared" si="3"/>
        <v>2494351</v>
      </c>
      <c r="N37" s="1045"/>
      <c r="O37" s="1060">
        <f t="shared" ref="O37" si="13">M36+M37</f>
        <v>4987702</v>
      </c>
      <c r="P37" s="1045"/>
      <c r="Q37" s="1382"/>
      <c r="R37" s="1382"/>
      <c r="S37" s="1088"/>
      <c r="T37" s="1374"/>
      <c r="U37" s="1370"/>
      <c r="V37" s="1375"/>
      <c r="W37" s="1373"/>
      <c r="X37" s="1375"/>
      <c r="Y37" s="1375"/>
      <c r="Z37" s="1088"/>
    </row>
    <row r="38" spans="1:26" x14ac:dyDescent="0.25">
      <c r="A38" s="1054">
        <f t="shared" si="0"/>
        <v>49126</v>
      </c>
      <c r="B38" s="1052"/>
      <c r="C38" s="1045">
        <f t="shared" si="1"/>
        <v>174971</v>
      </c>
      <c r="D38" s="1045"/>
      <c r="E38" s="1055"/>
      <c r="F38" s="1052"/>
      <c r="G38" s="1207"/>
      <c r="H38" s="1052"/>
      <c r="I38" s="1060">
        <f t="shared" si="2"/>
        <v>2493336.75</v>
      </c>
      <c r="J38" s="1060"/>
      <c r="K38" s="1060"/>
      <c r="L38" s="1045"/>
      <c r="M38" s="1060">
        <f t="shared" si="3"/>
        <v>2493336.75</v>
      </c>
      <c r="N38" s="1045"/>
      <c r="O38" s="1060"/>
      <c r="P38" s="1045"/>
      <c r="Q38" s="1382"/>
      <c r="R38" s="1382"/>
      <c r="S38" s="1088"/>
      <c r="T38" s="1088"/>
      <c r="U38" s="1088"/>
      <c r="V38" s="1088"/>
      <c r="W38" s="1088"/>
      <c r="X38" s="1375"/>
      <c r="Y38" s="1375"/>
      <c r="Z38" s="1088"/>
    </row>
    <row r="39" spans="1:26" x14ac:dyDescent="0.25">
      <c r="A39" s="1054">
        <f t="shared" si="0"/>
        <v>49310</v>
      </c>
      <c r="B39" s="1052"/>
      <c r="C39" s="1045">
        <f t="shared" si="1"/>
        <v>174971</v>
      </c>
      <c r="D39" s="1045"/>
      <c r="E39" s="1045">
        <v>1</v>
      </c>
      <c r="F39" s="1052"/>
      <c r="G39" s="1207">
        <f>G37</f>
        <v>2.85</v>
      </c>
      <c r="H39" s="1052"/>
      <c r="I39" s="1060">
        <f t="shared" si="2"/>
        <v>2493336.75</v>
      </c>
      <c r="J39" s="1060"/>
      <c r="K39" s="1060"/>
      <c r="L39" s="1045"/>
      <c r="M39" s="1060">
        <f t="shared" si="3"/>
        <v>2494336.75</v>
      </c>
      <c r="N39" s="1045"/>
      <c r="O39" s="1060">
        <f t="shared" ref="O39" si="14">M38+M39</f>
        <v>4987673.5</v>
      </c>
      <c r="P39" s="1045"/>
      <c r="Q39" s="1382"/>
      <c r="R39" s="1382"/>
      <c r="S39" s="1088"/>
      <c r="T39" s="1374"/>
      <c r="U39" s="1370"/>
      <c r="V39" s="1375"/>
      <c r="W39" s="1373"/>
      <c r="X39" s="1375"/>
      <c r="Y39" s="1375"/>
      <c r="Z39" s="1088"/>
    </row>
    <row r="40" spans="1:26" x14ac:dyDescent="0.25">
      <c r="A40" s="1054">
        <f t="shared" si="0"/>
        <v>49491</v>
      </c>
      <c r="B40" s="1052"/>
      <c r="C40" s="1045">
        <f t="shared" si="1"/>
        <v>174970</v>
      </c>
      <c r="D40" s="1045"/>
      <c r="E40" s="1055"/>
      <c r="F40" s="1052"/>
      <c r="G40" s="1207"/>
      <c r="H40" s="1052"/>
      <c r="I40" s="1060">
        <f t="shared" si="2"/>
        <v>2493322.5</v>
      </c>
      <c r="J40" s="1060"/>
      <c r="K40" s="1060"/>
      <c r="L40" s="1045"/>
      <c r="M40" s="1060">
        <f t="shared" si="3"/>
        <v>2493322.5</v>
      </c>
      <c r="N40" s="1045"/>
      <c r="O40" s="1060"/>
      <c r="P40" s="1045"/>
      <c r="Q40" s="1382"/>
      <c r="R40" s="1382"/>
      <c r="S40" s="1088"/>
      <c r="T40" s="1088"/>
      <c r="U40" s="1088"/>
      <c r="V40" s="1088"/>
      <c r="W40" s="1088"/>
      <c r="X40" s="1375"/>
      <c r="Y40" s="1375"/>
      <c r="Z40" s="1088"/>
    </row>
    <row r="41" spans="1:26" x14ac:dyDescent="0.25">
      <c r="A41" s="1054">
        <f t="shared" si="0"/>
        <v>49675</v>
      </c>
      <c r="B41" s="1052"/>
      <c r="C41" s="1045">
        <f t="shared" si="1"/>
        <v>174970</v>
      </c>
      <c r="D41" s="1045"/>
      <c r="E41" s="1045">
        <v>430</v>
      </c>
      <c r="F41" s="1052"/>
      <c r="G41" s="1207">
        <f>G39</f>
        <v>2.85</v>
      </c>
      <c r="H41" s="1052"/>
      <c r="I41" s="1060">
        <f t="shared" si="2"/>
        <v>2493322.5</v>
      </c>
      <c r="J41" s="1060"/>
      <c r="K41" s="1060"/>
      <c r="L41" s="1045"/>
      <c r="M41" s="1060">
        <f t="shared" si="3"/>
        <v>2923322.5</v>
      </c>
      <c r="N41" s="1045"/>
      <c r="O41" s="1060">
        <f t="shared" ref="O41" si="15">M40+M41</f>
        <v>5416645</v>
      </c>
      <c r="P41" s="1045"/>
      <c r="Q41" s="1382"/>
      <c r="R41" s="1382"/>
      <c r="S41" s="1088"/>
      <c r="T41" s="1374"/>
      <c r="U41" s="1370"/>
      <c r="V41" s="1375"/>
      <c r="W41" s="1373"/>
      <c r="X41" s="1375"/>
      <c r="Y41" s="1375"/>
      <c r="Z41" s="1088"/>
    </row>
    <row r="42" spans="1:26" x14ac:dyDescent="0.25">
      <c r="A42" s="1054">
        <f t="shared" si="0"/>
        <v>49857</v>
      </c>
      <c r="B42" s="1052"/>
      <c r="C42" s="1045">
        <f t="shared" si="1"/>
        <v>174540</v>
      </c>
      <c r="D42" s="1045"/>
      <c r="E42" s="1055"/>
      <c r="F42" s="1052"/>
      <c r="G42" s="1207"/>
      <c r="H42" s="1052"/>
      <c r="I42" s="1060">
        <f t="shared" si="2"/>
        <v>2487195</v>
      </c>
      <c r="J42" s="1060"/>
      <c r="K42" s="1060"/>
      <c r="L42" s="1045"/>
      <c r="M42" s="1060">
        <f t="shared" si="3"/>
        <v>2487195</v>
      </c>
      <c r="N42" s="1045"/>
      <c r="O42" s="1060"/>
      <c r="P42" s="1045"/>
      <c r="Q42" s="1382"/>
      <c r="R42" s="1382"/>
      <c r="S42" s="1088"/>
      <c r="T42" s="1088"/>
      <c r="U42" s="1088"/>
      <c r="V42" s="1088"/>
      <c r="W42" s="1088"/>
      <c r="X42" s="1375"/>
      <c r="Y42" s="1375"/>
      <c r="Z42" s="1088"/>
    </row>
    <row r="43" spans="1:26" x14ac:dyDescent="0.25">
      <c r="A43" s="1054">
        <f t="shared" si="0"/>
        <v>50041</v>
      </c>
      <c r="B43" s="1052"/>
      <c r="C43" s="1045">
        <f t="shared" si="1"/>
        <v>174540</v>
      </c>
      <c r="D43" s="1045"/>
      <c r="E43" s="1045">
        <v>454</v>
      </c>
      <c r="F43" s="1052"/>
      <c r="G43" s="1207">
        <f>G41</f>
        <v>2.85</v>
      </c>
      <c r="H43" s="1052"/>
      <c r="I43" s="1060">
        <f t="shared" si="2"/>
        <v>2487195</v>
      </c>
      <c r="J43" s="1060"/>
      <c r="K43" s="1060"/>
      <c r="L43" s="1045"/>
      <c r="M43" s="1060">
        <f t="shared" si="3"/>
        <v>2941195</v>
      </c>
      <c r="N43" s="1045"/>
      <c r="O43" s="1060">
        <f t="shared" ref="O43" si="16">M42+M43</f>
        <v>5428390</v>
      </c>
      <c r="P43" s="1045"/>
      <c r="Q43" s="1382"/>
      <c r="R43" s="1382"/>
      <c r="S43" s="1088"/>
      <c r="T43" s="1374"/>
      <c r="U43" s="1370"/>
      <c r="V43" s="1375"/>
      <c r="W43" s="1373"/>
      <c r="X43" s="1375"/>
      <c r="Y43" s="1375"/>
      <c r="Z43" s="1088"/>
    </row>
    <row r="44" spans="1:26" x14ac:dyDescent="0.25">
      <c r="A44" s="1054">
        <f t="shared" si="0"/>
        <v>50222</v>
      </c>
      <c r="B44" s="1052"/>
      <c r="C44" s="1045">
        <f t="shared" si="1"/>
        <v>174086</v>
      </c>
      <c r="D44" s="1045"/>
      <c r="E44" s="1055"/>
      <c r="F44" s="1052"/>
      <c r="G44" s="1207"/>
      <c r="H44" s="1052"/>
      <c r="I44" s="1060">
        <f t="shared" si="2"/>
        <v>2480725.5</v>
      </c>
      <c r="J44" s="1060"/>
      <c r="K44" s="1060"/>
      <c r="L44" s="1045"/>
      <c r="M44" s="1060">
        <f t="shared" si="3"/>
        <v>2480725.5</v>
      </c>
      <c r="N44" s="1045"/>
      <c r="O44" s="1060"/>
      <c r="P44" s="1045"/>
      <c r="Q44" s="1382"/>
      <c r="R44" s="1382"/>
      <c r="S44" s="1088"/>
      <c r="T44" s="1088"/>
      <c r="U44" s="1088"/>
      <c r="V44" s="1088"/>
      <c r="W44" s="1088"/>
      <c r="X44" s="1375"/>
      <c r="Y44" s="1375"/>
      <c r="Z44" s="1088"/>
    </row>
    <row r="45" spans="1:26" x14ac:dyDescent="0.25">
      <c r="A45" s="1054">
        <f t="shared" si="0"/>
        <v>50406</v>
      </c>
      <c r="B45" s="1052"/>
      <c r="C45" s="1045">
        <f t="shared" si="1"/>
        <v>174086</v>
      </c>
      <c r="D45" s="1045"/>
      <c r="E45" s="1045">
        <v>477</v>
      </c>
      <c r="F45" s="1052"/>
      <c r="G45" s="1207">
        <f>G43</f>
        <v>2.85</v>
      </c>
      <c r="H45" s="1052"/>
      <c r="I45" s="1060">
        <f t="shared" si="2"/>
        <v>2480725.5</v>
      </c>
      <c r="J45" s="1060"/>
      <c r="K45" s="1060"/>
      <c r="L45" s="1045"/>
      <c r="M45" s="1060">
        <f t="shared" si="3"/>
        <v>2957725.5</v>
      </c>
      <c r="N45" s="1045"/>
      <c r="O45" s="1060">
        <f t="shared" ref="O45" si="17">M44+M45</f>
        <v>5438451</v>
      </c>
      <c r="P45" s="1045"/>
      <c r="Q45" s="1382"/>
      <c r="R45" s="1382"/>
      <c r="S45" s="1088"/>
      <c r="T45" s="1374"/>
      <c r="U45" s="1370"/>
      <c r="V45" s="1375"/>
      <c r="W45" s="1373"/>
      <c r="X45" s="1375"/>
      <c r="Y45" s="1375"/>
      <c r="Z45" s="1088"/>
    </row>
    <row r="46" spans="1:26" x14ac:dyDescent="0.25">
      <c r="A46" s="1054">
        <f t="shared" si="0"/>
        <v>50587</v>
      </c>
      <c r="B46" s="1052"/>
      <c r="C46" s="1045">
        <f t="shared" si="1"/>
        <v>173609</v>
      </c>
      <c r="D46" s="1045"/>
      <c r="E46" s="1045">
        <v>2758</v>
      </c>
      <c r="F46" s="1052"/>
      <c r="G46" s="1207">
        <f>G45</f>
        <v>2.85</v>
      </c>
      <c r="H46" s="1052"/>
      <c r="I46" s="1060">
        <f t="shared" si="2"/>
        <v>2473928.25</v>
      </c>
      <c r="J46" s="1060"/>
      <c r="K46" s="1060"/>
      <c r="L46" s="1045"/>
      <c r="M46" s="1060">
        <f t="shared" si="3"/>
        <v>5231928.25</v>
      </c>
      <c r="N46" s="1045"/>
      <c r="O46" s="1060"/>
      <c r="P46" s="1045"/>
      <c r="Q46" s="1382"/>
      <c r="R46" s="1382"/>
      <c r="S46" s="1088"/>
      <c r="T46" s="1088"/>
      <c r="U46" s="1088"/>
      <c r="V46" s="1088"/>
      <c r="W46" s="1088"/>
      <c r="X46" s="1375"/>
      <c r="Y46" s="1375"/>
      <c r="Z46" s="1088"/>
    </row>
    <row r="47" spans="1:26" x14ac:dyDescent="0.25">
      <c r="A47" s="1054">
        <f t="shared" si="0"/>
        <v>50771</v>
      </c>
      <c r="B47" s="1052"/>
      <c r="C47" s="1045">
        <f t="shared" si="1"/>
        <v>170851</v>
      </c>
      <c r="D47" s="1045"/>
      <c r="E47" s="1045">
        <v>2794</v>
      </c>
      <c r="F47" s="1052"/>
      <c r="G47" s="1207">
        <f t="shared" ref="G47:G60" si="18">G46</f>
        <v>2.85</v>
      </c>
      <c r="H47" s="1052"/>
      <c r="I47" s="1060">
        <f t="shared" si="2"/>
        <v>2434626.75</v>
      </c>
      <c r="J47" s="1060"/>
      <c r="K47" s="1060"/>
      <c r="L47" s="1045"/>
      <c r="M47" s="1060">
        <f t="shared" si="3"/>
        <v>5228626.75</v>
      </c>
      <c r="N47" s="1045"/>
      <c r="O47" s="1060">
        <f t="shared" ref="O47" si="19">M46+M47</f>
        <v>10460555</v>
      </c>
      <c r="P47" s="1045"/>
      <c r="Q47" s="1382"/>
      <c r="R47" s="1382"/>
      <c r="S47" s="1088"/>
      <c r="T47" s="1374"/>
      <c r="U47" s="1370"/>
      <c r="V47" s="1375"/>
      <c r="W47" s="1373"/>
      <c r="X47" s="1375"/>
      <c r="Y47" s="1375"/>
      <c r="Z47" s="1088"/>
    </row>
    <row r="48" spans="1:26" x14ac:dyDescent="0.25">
      <c r="A48" s="1054">
        <f t="shared" si="0"/>
        <v>50952</v>
      </c>
      <c r="B48" s="1052"/>
      <c r="C48" s="1045">
        <f t="shared" si="1"/>
        <v>168057</v>
      </c>
      <c r="D48" s="1045"/>
      <c r="E48" s="1045">
        <v>2831</v>
      </c>
      <c r="F48" s="1052"/>
      <c r="G48" s="1207">
        <f t="shared" si="18"/>
        <v>2.85</v>
      </c>
      <c r="H48" s="1052"/>
      <c r="I48" s="1060">
        <f t="shared" si="2"/>
        <v>2394812.25</v>
      </c>
      <c r="J48" s="1060"/>
      <c r="K48" s="1060"/>
      <c r="L48" s="1045"/>
      <c r="M48" s="1060">
        <f t="shared" si="3"/>
        <v>5225812.25</v>
      </c>
      <c r="N48" s="1045"/>
      <c r="O48" s="1060"/>
      <c r="P48" s="1045"/>
      <c r="Q48" s="1382"/>
      <c r="R48" s="1382"/>
      <c r="S48" s="1088"/>
      <c r="T48" s="1088"/>
      <c r="U48" s="1088"/>
      <c r="V48" s="1088"/>
      <c r="W48" s="1088"/>
      <c r="X48" s="1375"/>
      <c r="Y48" s="1375"/>
      <c r="Z48" s="1088"/>
    </row>
    <row r="49" spans="1:26" x14ac:dyDescent="0.25">
      <c r="A49" s="1054">
        <f t="shared" si="0"/>
        <v>51136</v>
      </c>
      <c r="B49" s="1052"/>
      <c r="C49" s="1045">
        <f t="shared" si="1"/>
        <v>165226</v>
      </c>
      <c r="D49" s="1045"/>
      <c r="E49" s="1045">
        <v>2868</v>
      </c>
      <c r="F49" s="1052"/>
      <c r="G49" s="1207">
        <f t="shared" si="18"/>
        <v>2.85</v>
      </c>
      <c r="H49" s="1052"/>
      <c r="I49" s="1060">
        <f t="shared" si="2"/>
        <v>2354470.5</v>
      </c>
      <c r="J49" s="1060"/>
      <c r="K49" s="1060"/>
      <c r="L49" s="1045"/>
      <c r="M49" s="1060">
        <f t="shared" si="3"/>
        <v>5222470.5</v>
      </c>
      <c r="N49" s="1045"/>
      <c r="O49" s="1060">
        <f t="shared" ref="O49" si="20">M48+M49</f>
        <v>10448282.75</v>
      </c>
      <c r="P49" s="1045"/>
      <c r="Q49" s="1382"/>
      <c r="R49" s="1382"/>
      <c r="S49" s="1088"/>
      <c r="T49" s="1374"/>
      <c r="U49" s="1370"/>
      <c r="V49" s="1375"/>
      <c r="W49" s="1373"/>
      <c r="X49" s="1375"/>
      <c r="Y49" s="1375"/>
      <c r="Z49" s="1088"/>
    </row>
    <row r="50" spans="1:26" x14ac:dyDescent="0.25">
      <c r="A50" s="1054">
        <f t="shared" si="0"/>
        <v>51318</v>
      </c>
      <c r="B50" s="1052"/>
      <c r="C50" s="1045">
        <f t="shared" si="1"/>
        <v>162358</v>
      </c>
      <c r="D50" s="1045"/>
      <c r="E50" s="1045">
        <v>6853</v>
      </c>
      <c r="F50" s="1052"/>
      <c r="G50" s="1207">
        <f t="shared" si="18"/>
        <v>2.85</v>
      </c>
      <c r="H50" s="1052"/>
      <c r="I50" s="1060">
        <f t="shared" si="2"/>
        <v>2313601.5</v>
      </c>
      <c r="J50" s="1060"/>
      <c r="K50" s="1060"/>
      <c r="L50" s="1045"/>
      <c r="M50" s="1060">
        <f t="shared" si="3"/>
        <v>9166601.5</v>
      </c>
      <c r="N50" s="1045"/>
      <c r="O50" s="1060"/>
      <c r="P50" s="1045"/>
      <c r="Q50" s="1382"/>
      <c r="R50" s="1382"/>
      <c r="S50" s="1088"/>
      <c r="T50" s="1088"/>
      <c r="U50" s="1088"/>
      <c r="V50" s="1088"/>
      <c r="W50" s="1088"/>
      <c r="X50" s="1375"/>
      <c r="Y50" s="1375"/>
      <c r="Z50" s="1088"/>
    </row>
    <row r="51" spans="1:26" x14ac:dyDescent="0.25">
      <c r="A51" s="1054">
        <f t="shared" si="0"/>
        <v>51502</v>
      </c>
      <c r="B51" s="1052"/>
      <c r="C51" s="1045">
        <f t="shared" si="1"/>
        <v>155505</v>
      </c>
      <c r="D51" s="1045"/>
      <c r="E51" s="1045">
        <v>6948</v>
      </c>
      <c r="F51" s="1052"/>
      <c r="G51" s="1207">
        <f t="shared" si="18"/>
        <v>2.85</v>
      </c>
      <c r="H51" s="1052"/>
      <c r="I51" s="1060">
        <f t="shared" si="2"/>
        <v>2215946.25</v>
      </c>
      <c r="J51" s="1060"/>
      <c r="K51" s="1060"/>
      <c r="L51" s="1045"/>
      <c r="M51" s="1060">
        <f t="shared" si="3"/>
        <v>9163946.25</v>
      </c>
      <c r="N51" s="1045"/>
      <c r="O51" s="1060">
        <f t="shared" ref="O51" si="21">M50+M51</f>
        <v>18330547.75</v>
      </c>
      <c r="P51" s="1045"/>
      <c r="Q51" s="1382"/>
      <c r="R51" s="1382"/>
      <c r="S51" s="1088"/>
      <c r="T51" s="1374"/>
      <c r="U51" s="1370"/>
      <c r="V51" s="1375"/>
      <c r="W51" s="1373"/>
      <c r="X51" s="1375"/>
      <c r="Y51" s="1375"/>
      <c r="Z51" s="1088"/>
    </row>
    <row r="52" spans="1:26" x14ac:dyDescent="0.25">
      <c r="A52" s="1054">
        <f t="shared" si="0"/>
        <v>51683</v>
      </c>
      <c r="B52" s="1052"/>
      <c r="C52" s="1045">
        <f t="shared" si="1"/>
        <v>148557</v>
      </c>
      <c r="D52" s="1045"/>
      <c r="E52" s="1045">
        <v>7043</v>
      </c>
      <c r="F52" s="1052"/>
      <c r="G52" s="1207">
        <f t="shared" si="18"/>
        <v>2.85</v>
      </c>
      <c r="H52" s="1052"/>
      <c r="I52" s="1060">
        <f t="shared" si="2"/>
        <v>2116937.25</v>
      </c>
      <c r="J52" s="1060"/>
      <c r="K52" s="1060"/>
      <c r="L52" s="1045"/>
      <c r="M52" s="1060">
        <f t="shared" si="3"/>
        <v>9159937.25</v>
      </c>
      <c r="N52" s="1045"/>
      <c r="O52" s="1060"/>
      <c r="P52" s="1045"/>
      <c r="Q52" s="1382"/>
      <c r="R52" s="1382"/>
      <c r="S52" s="1088"/>
      <c r="T52" s="1088"/>
      <c r="U52" s="1088"/>
      <c r="V52" s="1088"/>
      <c r="W52" s="1088"/>
      <c r="X52" s="1375"/>
      <c r="Y52" s="1375"/>
      <c r="Z52" s="1088"/>
    </row>
    <row r="53" spans="1:26" x14ac:dyDescent="0.25">
      <c r="A53" s="1054">
        <f t="shared" si="0"/>
        <v>51867</v>
      </c>
      <c r="B53" s="1052"/>
      <c r="C53" s="1045">
        <f t="shared" si="1"/>
        <v>141514</v>
      </c>
      <c r="D53" s="1045"/>
      <c r="E53" s="1045">
        <v>7144</v>
      </c>
      <c r="F53" s="1052"/>
      <c r="G53" s="1207">
        <f t="shared" si="18"/>
        <v>2.85</v>
      </c>
      <c r="H53" s="1052"/>
      <c r="I53" s="1060">
        <f t="shared" si="2"/>
        <v>2016574.5</v>
      </c>
      <c r="J53" s="1060"/>
      <c r="K53" s="1060"/>
      <c r="L53" s="1045"/>
      <c r="M53" s="1060">
        <f t="shared" si="3"/>
        <v>9160574.5</v>
      </c>
      <c r="N53" s="1045"/>
      <c r="O53" s="1060">
        <f t="shared" ref="O53" si="22">M52+M53</f>
        <v>18320511.75</v>
      </c>
      <c r="P53" s="1045"/>
      <c r="Q53" s="1382"/>
      <c r="R53" s="1382"/>
      <c r="S53" s="1088"/>
      <c r="T53" s="1374"/>
      <c r="U53" s="1370"/>
      <c r="V53" s="1375"/>
      <c r="W53" s="1373"/>
      <c r="X53" s="1375"/>
      <c r="Y53" s="1375"/>
      <c r="Z53" s="1088"/>
    </row>
    <row r="54" spans="1:26" x14ac:dyDescent="0.25">
      <c r="A54" s="1054">
        <f t="shared" si="0"/>
        <v>52048</v>
      </c>
      <c r="B54" s="1052"/>
      <c r="C54" s="1045">
        <f t="shared" si="1"/>
        <v>134370</v>
      </c>
      <c r="D54" s="1045"/>
      <c r="E54" s="1045">
        <v>7241</v>
      </c>
      <c r="F54" s="1052"/>
      <c r="G54" s="1207">
        <f t="shared" si="18"/>
        <v>2.85</v>
      </c>
      <c r="H54" s="1052"/>
      <c r="I54" s="1060">
        <f t="shared" si="2"/>
        <v>1914772.5</v>
      </c>
      <c r="J54" s="1060"/>
      <c r="K54" s="1060"/>
      <c r="L54" s="1045"/>
      <c r="M54" s="1060">
        <f t="shared" si="3"/>
        <v>9155772.5</v>
      </c>
      <c r="N54" s="1045"/>
      <c r="O54" s="1060"/>
      <c r="P54" s="1045"/>
      <c r="Q54" s="1382"/>
      <c r="R54" s="1382"/>
      <c r="S54" s="1088"/>
      <c r="T54" s="1088"/>
      <c r="U54" s="1088"/>
      <c r="V54" s="1088"/>
      <c r="W54" s="1088"/>
      <c r="X54" s="1375"/>
      <c r="Y54" s="1375"/>
      <c r="Z54" s="1088"/>
    </row>
    <row r="55" spans="1:26" x14ac:dyDescent="0.25">
      <c r="A55" s="1054">
        <f t="shared" si="0"/>
        <v>52232</v>
      </c>
      <c r="B55" s="1052"/>
      <c r="C55" s="1045">
        <f t="shared" si="1"/>
        <v>127129</v>
      </c>
      <c r="D55" s="1045"/>
      <c r="E55" s="1045">
        <v>7341</v>
      </c>
      <c r="F55" s="1052"/>
      <c r="G55" s="1207">
        <f t="shared" si="18"/>
        <v>2.85</v>
      </c>
      <c r="H55" s="1052"/>
      <c r="I55" s="1060">
        <f t="shared" si="2"/>
        <v>1811588.25</v>
      </c>
      <c r="J55" s="1060"/>
      <c r="K55" s="1060"/>
      <c r="L55" s="1045"/>
      <c r="M55" s="1060">
        <f t="shared" si="3"/>
        <v>9152588.25</v>
      </c>
      <c r="N55" s="1045"/>
      <c r="O55" s="1060">
        <f t="shared" ref="O55" si="23">M54+M55</f>
        <v>18308360.75</v>
      </c>
      <c r="P55" s="1045"/>
      <c r="Q55" s="1382"/>
      <c r="R55" s="1382"/>
      <c r="S55" s="1088"/>
      <c r="T55" s="1374"/>
      <c r="U55" s="1370"/>
      <c r="V55" s="1375"/>
      <c r="W55" s="1373"/>
      <c r="X55" s="1375"/>
      <c r="Y55" s="1375"/>
      <c r="Z55" s="1088"/>
    </row>
    <row r="56" spans="1:26" x14ac:dyDescent="0.25">
      <c r="A56" s="1054">
        <f t="shared" si="0"/>
        <v>52413</v>
      </c>
      <c r="B56" s="1052"/>
      <c r="C56" s="1045">
        <f t="shared" si="1"/>
        <v>119788</v>
      </c>
      <c r="D56" s="1045"/>
      <c r="E56" s="1045">
        <v>7441</v>
      </c>
      <c r="F56" s="1052"/>
      <c r="G56" s="1207">
        <f t="shared" si="18"/>
        <v>2.85</v>
      </c>
      <c r="H56" s="1052"/>
      <c r="I56" s="1060">
        <f t="shared" si="2"/>
        <v>1706979</v>
      </c>
      <c r="J56" s="1060"/>
      <c r="K56" s="1060"/>
      <c r="L56" s="1045"/>
      <c r="M56" s="1060">
        <f t="shared" si="3"/>
        <v>9147979</v>
      </c>
      <c r="N56" s="1045"/>
      <c r="O56" s="1060"/>
      <c r="P56" s="1045"/>
      <c r="Q56" s="1382"/>
      <c r="R56" s="1382"/>
      <c r="S56" s="1088"/>
      <c r="T56" s="1088"/>
      <c r="U56" s="1088"/>
      <c r="V56" s="1088"/>
      <c r="W56" s="1088"/>
      <c r="X56" s="1375"/>
      <c r="Y56" s="1375"/>
      <c r="Z56" s="1088"/>
    </row>
    <row r="57" spans="1:26" x14ac:dyDescent="0.25">
      <c r="A57" s="1054">
        <f t="shared" si="0"/>
        <v>52597</v>
      </c>
      <c r="B57" s="1052"/>
      <c r="C57" s="1045">
        <f t="shared" si="1"/>
        <v>112347</v>
      </c>
      <c r="D57" s="1045"/>
      <c r="E57" s="1045">
        <v>7545</v>
      </c>
      <c r="F57" s="1052"/>
      <c r="G57" s="1207">
        <f t="shared" si="18"/>
        <v>2.85</v>
      </c>
      <c r="H57" s="1052"/>
      <c r="I57" s="1060">
        <f t="shared" si="2"/>
        <v>1600944.75</v>
      </c>
      <c r="J57" s="1060"/>
      <c r="K57" s="1060"/>
      <c r="L57" s="1045"/>
      <c r="M57" s="1060">
        <f t="shared" si="3"/>
        <v>9145944.75</v>
      </c>
      <c r="N57" s="1045"/>
      <c r="O57" s="1060">
        <f t="shared" ref="O57" si="24">M56+M57</f>
        <v>18293923.75</v>
      </c>
      <c r="P57" s="1045"/>
      <c r="Q57" s="1382"/>
      <c r="R57" s="1382"/>
      <c r="S57" s="1088"/>
      <c r="T57" s="1374"/>
      <c r="U57" s="1370"/>
      <c r="V57" s="1375"/>
      <c r="W57" s="1373"/>
      <c r="X57" s="1375"/>
      <c r="Y57" s="1375"/>
      <c r="Z57" s="1088"/>
    </row>
    <row r="58" spans="1:26" x14ac:dyDescent="0.25">
      <c r="A58" s="1054">
        <f t="shared" si="0"/>
        <v>52779</v>
      </c>
      <c r="B58" s="1052"/>
      <c r="C58" s="1045">
        <f t="shared" si="1"/>
        <v>104802</v>
      </c>
      <c r="D58" s="1045"/>
      <c r="E58" s="1045">
        <v>7648</v>
      </c>
      <c r="F58" s="1052"/>
      <c r="G58" s="1207">
        <f t="shared" si="18"/>
        <v>2.85</v>
      </c>
      <c r="H58" s="1052"/>
      <c r="I58" s="1060">
        <f t="shared" si="2"/>
        <v>1493428.5</v>
      </c>
      <c r="J58" s="1060"/>
      <c r="K58" s="1060"/>
      <c r="L58" s="1045"/>
      <c r="M58" s="1060">
        <f t="shared" si="3"/>
        <v>9141428.5</v>
      </c>
      <c r="N58" s="1045"/>
      <c r="O58" s="1060"/>
      <c r="P58" s="1045"/>
      <c r="Q58" s="1382"/>
      <c r="R58" s="1382"/>
      <c r="S58" s="1088"/>
      <c r="T58" s="1088"/>
      <c r="U58" s="1088"/>
      <c r="V58" s="1088"/>
      <c r="W58" s="1088"/>
      <c r="X58" s="1375"/>
      <c r="Y58" s="1375"/>
      <c r="Z58" s="1088"/>
    </row>
    <row r="59" spans="1:26" x14ac:dyDescent="0.25">
      <c r="A59" s="1054">
        <f t="shared" si="0"/>
        <v>52963</v>
      </c>
      <c r="B59" s="1052"/>
      <c r="C59" s="1045">
        <f t="shared" si="1"/>
        <v>97154</v>
      </c>
      <c r="D59" s="1045"/>
      <c r="E59" s="1045">
        <v>7755</v>
      </c>
      <c r="F59" s="1052"/>
      <c r="G59" s="1207">
        <f t="shared" si="18"/>
        <v>2.85</v>
      </c>
      <c r="H59" s="1052"/>
      <c r="I59" s="1060">
        <f>((E59*1000)*G59/100/2)+I60</f>
        <v>1384444.5</v>
      </c>
      <c r="J59" s="1060"/>
      <c r="K59" s="1060"/>
      <c r="L59" s="1045"/>
      <c r="M59" s="1060">
        <f t="shared" si="3"/>
        <v>9139444.5</v>
      </c>
      <c r="N59" s="1045"/>
      <c r="O59" s="1060">
        <f t="shared" ref="O59" si="25">M58+M59</f>
        <v>18280873</v>
      </c>
      <c r="P59" s="1045"/>
      <c r="Q59" s="1382"/>
      <c r="R59" s="1382"/>
      <c r="S59" s="1088"/>
      <c r="T59" s="1374"/>
      <c r="U59" s="1370"/>
      <c r="V59" s="1375"/>
      <c r="W59" s="1373"/>
      <c r="X59" s="1375"/>
      <c r="Y59" s="1375"/>
      <c r="Z59" s="1088"/>
    </row>
    <row r="60" spans="1:26" x14ac:dyDescent="0.25">
      <c r="A60" s="1054">
        <f>EDATE(A59,6)</f>
        <v>53144</v>
      </c>
      <c r="B60" s="1052"/>
      <c r="C60" s="1045">
        <f>C59-E59</f>
        <v>89399</v>
      </c>
      <c r="D60" s="1045"/>
      <c r="E60" s="1096">
        <v>7864</v>
      </c>
      <c r="F60" s="1052"/>
      <c r="G60" s="1207">
        <f t="shared" si="18"/>
        <v>2.85</v>
      </c>
      <c r="H60" s="1052"/>
      <c r="I60" s="1063">
        <f>((E60*1000)*G60/100/2)+I89</f>
        <v>1273935.75</v>
      </c>
      <c r="J60" s="1221"/>
      <c r="K60" s="1063"/>
      <c r="L60" s="1045"/>
      <c r="M60" s="1063">
        <f t="shared" si="3"/>
        <v>9137935.75</v>
      </c>
      <c r="N60" s="1045"/>
      <c r="O60" s="1063"/>
      <c r="P60" s="1045"/>
      <c r="Q60" s="1382"/>
      <c r="R60" s="1382"/>
      <c r="S60" s="1088"/>
      <c r="T60" s="1088"/>
      <c r="U60" s="1088"/>
      <c r="V60" s="1088"/>
      <c r="W60" s="1088"/>
      <c r="X60" s="1088"/>
      <c r="Y60" s="1088"/>
      <c r="Z60" s="1088"/>
    </row>
    <row r="61" spans="1:26" x14ac:dyDescent="0.25">
      <c r="P61" s="1045"/>
      <c r="Q61" s="1383"/>
      <c r="R61" s="1382"/>
      <c r="S61" s="1088"/>
      <c r="T61" s="1374"/>
      <c r="U61" s="1088"/>
      <c r="V61" s="1375"/>
      <c r="W61" s="1373"/>
      <c r="X61" s="1088"/>
      <c r="Y61" s="1088"/>
      <c r="Z61" s="1088"/>
    </row>
    <row r="62" spans="1:26" x14ac:dyDescent="0.25">
      <c r="E62" s="1081">
        <f>SUM(E15:E60)</f>
        <v>93445</v>
      </c>
      <c r="I62" s="1081">
        <f>SUM(I15:I60)</f>
        <v>105518086.5</v>
      </c>
      <c r="J62" s="1222"/>
      <c r="K62" s="1081">
        <f>SUM(K15:K60)</f>
        <v>-8727127.5</v>
      </c>
      <c r="M62" s="1081">
        <f>SUM(M15:M60)</f>
        <v>190235959</v>
      </c>
      <c r="O62" s="1081">
        <f>SUM(O15:O60)</f>
        <v>181098023.25</v>
      </c>
      <c r="P62" s="1045"/>
      <c r="Q62" s="1383"/>
      <c r="R62" s="1382"/>
      <c r="S62" s="1088"/>
      <c r="T62" s="1088"/>
      <c r="U62" s="1088"/>
      <c r="V62" s="1088"/>
      <c r="W62" s="1088"/>
      <c r="X62" s="1088"/>
      <c r="Y62" s="1088"/>
      <c r="Z62" s="1088"/>
    </row>
    <row r="63" spans="1:26" x14ac:dyDescent="0.25">
      <c r="Q63" s="1088"/>
      <c r="R63" s="1382"/>
      <c r="S63" s="1088"/>
      <c r="T63" s="1374"/>
      <c r="U63" s="1088"/>
      <c r="V63" s="1375"/>
      <c r="W63" s="1373"/>
      <c r="X63" s="1088"/>
      <c r="Y63" s="1088"/>
      <c r="Z63" s="1088"/>
    </row>
    <row r="64" spans="1:26" x14ac:dyDescent="0.25">
      <c r="A64" s="1064" t="s">
        <v>1001</v>
      </c>
      <c r="I64" s="1055"/>
      <c r="J64" s="1055"/>
      <c r="K64" s="1055"/>
      <c r="M64" s="1055"/>
      <c r="O64" s="1055"/>
      <c r="Q64" s="1384"/>
      <c r="R64" s="1382"/>
      <c r="S64" s="1088"/>
      <c r="T64" s="1088"/>
      <c r="U64" s="1088"/>
      <c r="V64" s="1088"/>
      <c r="W64" s="1088"/>
      <c r="X64" s="1088"/>
      <c r="Y64" s="1088"/>
      <c r="Z64" s="1088"/>
    </row>
    <row r="65" spans="1:26" x14ac:dyDescent="0.25">
      <c r="Q65" s="1385"/>
      <c r="R65" s="1088"/>
      <c r="S65" s="1088"/>
      <c r="T65" s="1374"/>
      <c r="U65" s="1088"/>
      <c r="V65" s="1375"/>
      <c r="W65" s="1373"/>
      <c r="X65" s="1088"/>
      <c r="Y65" s="1088"/>
      <c r="Z65" s="1088"/>
    </row>
    <row r="66" spans="1:26" x14ac:dyDescent="0.25">
      <c r="Q66" s="1383"/>
      <c r="R66" s="1382"/>
      <c r="S66" s="1088"/>
      <c r="T66" s="1088"/>
      <c r="U66" s="1088"/>
      <c r="V66" s="1088"/>
      <c r="W66" s="1088"/>
      <c r="X66" s="1088"/>
      <c r="Y66" s="1088"/>
      <c r="Z66" s="1088"/>
    </row>
    <row r="67" spans="1:26" x14ac:dyDescent="0.25">
      <c r="A67" s="1064"/>
      <c r="B67" s="1052"/>
      <c r="C67" s="1052"/>
      <c r="D67" s="1052"/>
      <c r="E67" s="1052"/>
      <c r="F67" s="1052"/>
      <c r="G67" s="1052"/>
      <c r="H67" s="1052"/>
      <c r="I67" s="1052"/>
      <c r="J67" s="1052"/>
      <c r="K67" s="1052"/>
      <c r="L67" s="1052"/>
      <c r="M67" s="1052"/>
      <c r="N67" s="1052"/>
      <c r="O67" s="1075"/>
      <c r="P67" s="1052"/>
      <c r="Q67" s="1383"/>
      <c r="R67" s="1382"/>
      <c r="S67" s="1088"/>
      <c r="T67" s="1374"/>
      <c r="U67" s="1088"/>
      <c r="V67" s="1375"/>
      <c r="W67" s="1373"/>
      <c r="X67" s="1088"/>
      <c r="Y67" s="1088"/>
      <c r="Z67" s="1088"/>
    </row>
    <row r="68" spans="1:26" x14ac:dyDescent="0.25">
      <c r="A68" s="1431" t="s">
        <v>16</v>
      </c>
      <c r="B68" s="1431"/>
      <c r="C68" s="1431"/>
      <c r="D68" s="1431"/>
      <c r="E68" s="1431"/>
      <c r="F68" s="1431"/>
      <c r="G68" s="1431"/>
      <c r="H68" s="1431"/>
      <c r="I68" s="1431"/>
      <c r="J68" s="1431"/>
      <c r="K68" s="1431"/>
      <c r="L68" s="1431"/>
      <c r="M68" s="1431"/>
      <c r="N68" s="1431"/>
      <c r="O68" s="1431"/>
      <c r="P68" s="1431"/>
      <c r="Q68" s="1383"/>
      <c r="R68" s="1382"/>
      <c r="S68" s="1088"/>
      <c r="T68" s="1088"/>
      <c r="U68" s="1088"/>
      <c r="V68" s="1088"/>
      <c r="W68" s="1088"/>
      <c r="X68" s="1088"/>
      <c r="Y68" s="1088"/>
      <c r="Z68" s="1088"/>
    </row>
    <row r="69" spans="1:26" x14ac:dyDescent="0.25">
      <c r="A69" s="1427"/>
      <c r="B69" s="1427"/>
      <c r="C69" s="1427"/>
      <c r="D69" s="1427"/>
      <c r="E69" s="1427"/>
      <c r="F69" s="1427"/>
      <c r="G69" s="1427"/>
      <c r="H69" s="1427"/>
      <c r="I69" s="1427"/>
      <c r="J69" s="1427"/>
      <c r="K69" s="1427"/>
      <c r="L69" s="1427"/>
      <c r="M69" s="1427"/>
      <c r="N69" s="1427"/>
      <c r="O69" s="1427"/>
      <c r="P69" s="1427"/>
      <c r="Q69" s="1383"/>
      <c r="R69" s="1382"/>
      <c r="S69" s="1088"/>
      <c r="T69" s="1374"/>
      <c r="U69" s="1088"/>
      <c r="V69" s="1375"/>
      <c r="W69" s="1373"/>
      <c r="X69" s="1088"/>
      <c r="Y69" s="1088"/>
      <c r="Z69" s="1088"/>
    </row>
    <row r="70" spans="1:26" x14ac:dyDescent="0.25">
      <c r="A70" s="1427" t="str">
        <f>INFO!A26</f>
        <v>(See Accountants' Report)</v>
      </c>
      <c r="B70" s="1427"/>
      <c r="C70" s="1427"/>
      <c r="D70" s="1427"/>
      <c r="E70" s="1427"/>
      <c r="F70" s="1427"/>
      <c r="G70" s="1427"/>
      <c r="H70" s="1427"/>
      <c r="I70" s="1427"/>
      <c r="J70" s="1427"/>
      <c r="K70" s="1427"/>
      <c r="L70" s="1427"/>
      <c r="M70" s="1427"/>
      <c r="N70" s="1427"/>
      <c r="O70" s="1427"/>
      <c r="P70" s="1427"/>
      <c r="Q70" s="1383"/>
      <c r="R70" s="1382"/>
      <c r="S70" s="1088"/>
      <c r="T70" s="1088"/>
      <c r="U70" s="1088"/>
      <c r="V70" s="1088"/>
      <c r="W70" s="1088"/>
      <c r="X70" s="1088"/>
      <c r="Y70" s="1088"/>
      <c r="Z70" s="1088"/>
    </row>
    <row r="71" spans="1:26" x14ac:dyDescent="0.25">
      <c r="A71" s="1064"/>
      <c r="B71" s="1052"/>
      <c r="C71" s="1052"/>
      <c r="D71" s="1052"/>
      <c r="E71" s="1052"/>
      <c r="F71" s="1052"/>
      <c r="G71" s="1052"/>
      <c r="H71" s="1052"/>
      <c r="I71" s="1052"/>
      <c r="J71" s="1052"/>
      <c r="K71" s="1052"/>
      <c r="L71" s="1052"/>
      <c r="M71" s="1052"/>
      <c r="N71" s="1052"/>
      <c r="O71" s="1075"/>
      <c r="P71" s="1052"/>
      <c r="Q71" s="1383"/>
      <c r="R71" s="1382"/>
      <c r="S71" s="1088"/>
      <c r="T71" s="1374"/>
      <c r="U71" s="1088"/>
      <c r="V71" s="1375"/>
      <c r="W71" s="1373"/>
      <c r="X71" s="1088"/>
      <c r="Y71" s="1088"/>
      <c r="Z71" s="1088"/>
    </row>
    <row r="72" spans="1:26" x14ac:dyDescent="0.25">
      <c r="A72" s="1076">
        <f>'OM 25 YR Alt II'!A76+1</f>
        <v>8</v>
      </c>
      <c r="B72" s="1077"/>
      <c r="C72" s="1077"/>
      <c r="D72" s="1077"/>
      <c r="E72" s="1077"/>
      <c r="F72" s="1077"/>
      <c r="G72" s="1077"/>
      <c r="H72" s="1077"/>
      <c r="I72" s="1077"/>
      <c r="J72" s="1077"/>
      <c r="K72" s="1077"/>
      <c r="L72" s="1077"/>
      <c r="M72" s="1077"/>
      <c r="N72" s="1077"/>
      <c r="O72" s="1077"/>
      <c r="P72" s="1077"/>
      <c r="Q72" s="1383"/>
      <c r="R72" s="1382"/>
      <c r="S72" s="1088"/>
      <c r="T72" s="1088"/>
      <c r="U72" s="1088"/>
      <c r="V72" s="1088"/>
      <c r="W72" s="1088"/>
      <c r="X72" s="1088"/>
      <c r="Y72" s="1088"/>
      <c r="Z72" s="1088"/>
    </row>
    <row r="73" spans="1:26" x14ac:dyDescent="0.25">
      <c r="A73" s="1428" t="str">
        <f>A1</f>
        <v>EVANSVILLE (INDIANA) WATERWORKS DISTRICT</v>
      </c>
      <c r="B73" s="1428"/>
      <c r="C73" s="1428"/>
      <c r="D73" s="1428"/>
      <c r="E73" s="1428"/>
      <c r="F73" s="1428"/>
      <c r="G73" s="1428"/>
      <c r="H73" s="1428"/>
      <c r="I73" s="1428"/>
      <c r="J73" s="1428"/>
      <c r="K73" s="1428"/>
      <c r="L73" s="1428"/>
      <c r="M73" s="1428"/>
      <c r="N73" s="1428"/>
      <c r="O73" s="1428"/>
      <c r="P73" s="1428"/>
      <c r="Q73" s="1383"/>
      <c r="R73" s="1382"/>
      <c r="S73" s="1088"/>
      <c r="T73" s="1374"/>
      <c r="U73" s="1088"/>
      <c r="V73" s="1375"/>
      <c r="W73" s="1373"/>
      <c r="X73" s="1088"/>
      <c r="Y73" s="1088"/>
      <c r="Z73" s="1088"/>
    </row>
    <row r="74" spans="1:26" x14ac:dyDescent="0.25">
      <c r="A74" s="1037"/>
      <c r="B74" s="1037"/>
      <c r="C74" s="1037"/>
      <c r="D74" s="1037"/>
      <c r="E74" s="1037"/>
      <c r="F74" s="1037"/>
      <c r="G74" s="1037"/>
      <c r="H74" s="1037"/>
      <c r="I74" s="1037"/>
      <c r="J74" s="1037"/>
      <c r="K74" s="1037"/>
      <c r="L74" s="1037"/>
      <c r="M74" s="1037"/>
      <c r="N74" s="1037"/>
      <c r="O74" s="1082" t="s">
        <v>17</v>
      </c>
      <c r="P74" s="1079"/>
      <c r="Q74" s="1383"/>
      <c r="R74" s="1382"/>
      <c r="S74" s="1088"/>
      <c r="T74" s="1088"/>
      <c r="U74" s="1088"/>
      <c r="V74" s="1088"/>
      <c r="W74" s="1088"/>
      <c r="X74" s="1088"/>
      <c r="Y74" s="1088"/>
      <c r="Z74" s="1088"/>
    </row>
    <row r="75" spans="1:26" x14ac:dyDescent="0.25">
      <c r="A75" s="1429" t="str">
        <f>A3</f>
        <v>SCHEDULE OF AMORTIZATION OF $174,980,000 PRINCIPAL AMOUNT OF</v>
      </c>
      <c r="B75" s="1429"/>
      <c r="C75" s="1429"/>
      <c r="D75" s="1429"/>
      <c r="E75" s="1429"/>
      <c r="F75" s="1429"/>
      <c r="G75" s="1429"/>
      <c r="H75" s="1429"/>
      <c r="I75" s="1429"/>
      <c r="J75" s="1429"/>
      <c r="K75" s="1429"/>
      <c r="L75" s="1429"/>
      <c r="M75" s="1429"/>
      <c r="N75" s="1429"/>
      <c r="O75" s="1429"/>
      <c r="P75" s="1429"/>
      <c r="Q75" s="1383"/>
      <c r="R75" s="1382"/>
      <c r="S75" s="1088"/>
      <c r="T75" s="1374"/>
      <c r="U75" s="1088"/>
      <c r="V75" s="1375"/>
      <c r="W75" s="1373"/>
      <c r="X75" s="1088"/>
      <c r="Y75" s="1088"/>
      <c r="Z75" s="1088"/>
    </row>
    <row r="76" spans="1:26" x14ac:dyDescent="0.25">
      <c r="A76" s="1429" t="s">
        <v>781</v>
      </c>
      <c r="B76" s="1429"/>
      <c r="C76" s="1429"/>
      <c r="D76" s="1429"/>
      <c r="E76" s="1429"/>
      <c r="F76" s="1429"/>
      <c r="G76" s="1429"/>
      <c r="H76" s="1429"/>
      <c r="I76" s="1429"/>
      <c r="J76" s="1429"/>
      <c r="K76" s="1429"/>
      <c r="L76" s="1429"/>
      <c r="M76" s="1429"/>
      <c r="N76" s="1429"/>
      <c r="O76" s="1429"/>
      <c r="P76" s="1429"/>
      <c r="Q76" s="1383"/>
      <c r="R76" s="1382"/>
      <c r="S76" s="1088"/>
      <c r="T76" s="1088"/>
      <c r="U76" s="1088"/>
      <c r="V76" s="1088"/>
      <c r="W76" s="1088"/>
      <c r="X76" s="1088"/>
      <c r="Y76" s="1088"/>
      <c r="Z76" s="1088"/>
    </row>
    <row r="77" spans="1:26" x14ac:dyDescent="0.25">
      <c r="A77" s="1428" t="s">
        <v>840</v>
      </c>
      <c r="B77" s="1428"/>
      <c r="C77" s="1428"/>
      <c r="D77" s="1428"/>
      <c r="E77" s="1428"/>
      <c r="F77" s="1428"/>
      <c r="G77" s="1428"/>
      <c r="H77" s="1428"/>
      <c r="I77" s="1428"/>
      <c r="J77" s="1428"/>
      <c r="K77" s="1428"/>
      <c r="L77" s="1428"/>
      <c r="M77" s="1428"/>
      <c r="N77" s="1428"/>
      <c r="O77" s="1428"/>
      <c r="P77" s="1428"/>
      <c r="Q77" s="1383"/>
      <c r="R77" s="1382"/>
      <c r="S77" s="1088"/>
      <c r="T77" s="1374"/>
      <c r="U77" s="1088"/>
      <c r="V77" s="1375"/>
      <c r="W77" s="1373"/>
      <c r="X77" s="1088"/>
      <c r="Y77" s="1088"/>
      <c r="Z77" s="1088"/>
    </row>
    <row r="78" spans="1:26" x14ac:dyDescent="0.25">
      <c r="A78" s="1428" t="s">
        <v>841</v>
      </c>
      <c r="B78" s="1428"/>
      <c r="C78" s="1428"/>
      <c r="D78" s="1428"/>
      <c r="E78" s="1428"/>
      <c r="F78" s="1428"/>
      <c r="G78" s="1428"/>
      <c r="H78" s="1428"/>
      <c r="I78" s="1428"/>
      <c r="J78" s="1428"/>
      <c r="K78" s="1428"/>
      <c r="L78" s="1428"/>
      <c r="M78" s="1428"/>
      <c r="N78" s="1428"/>
      <c r="O78" s="1428"/>
      <c r="P78" s="1428"/>
      <c r="Q78" s="1383"/>
      <c r="R78" s="1382"/>
      <c r="S78" s="1088"/>
      <c r="T78" s="1088"/>
      <c r="U78" s="1088"/>
      <c r="V78" s="1088"/>
      <c r="W78" s="1088"/>
      <c r="X78" s="1088"/>
      <c r="Y78" s="1088"/>
      <c r="Z78" s="1088"/>
    </row>
    <row r="79" spans="1:26" x14ac:dyDescent="0.25">
      <c r="A79" s="1428" t="str">
        <f>"Assumes Bonds dated "&amp;TEXT(R1,"mmmm d, yyyy") &amp;"."</f>
        <v>Assumes Bonds dated October 1, 2022.</v>
      </c>
      <c r="B79" s="1428"/>
      <c r="C79" s="1428"/>
      <c r="D79" s="1428"/>
      <c r="E79" s="1428"/>
      <c r="F79" s="1428"/>
      <c r="G79" s="1428"/>
      <c r="H79" s="1428"/>
      <c r="I79" s="1428"/>
      <c r="J79" s="1428"/>
      <c r="K79" s="1428"/>
      <c r="L79" s="1428"/>
      <c r="M79" s="1428"/>
      <c r="N79" s="1428"/>
      <c r="O79" s="1428"/>
      <c r="P79" s="1428"/>
      <c r="Q79" s="1383"/>
      <c r="R79" s="1382"/>
      <c r="S79" s="1088"/>
      <c r="T79" s="1374"/>
      <c r="U79" s="1088"/>
      <c r="V79" s="1375"/>
      <c r="W79" s="1373"/>
      <c r="X79" s="1088"/>
      <c r="Y79" s="1088"/>
      <c r="Z79" s="1088"/>
    </row>
    <row r="80" spans="1:26" x14ac:dyDescent="0.25">
      <c r="A80" s="1430" t="s">
        <v>842</v>
      </c>
      <c r="B80" s="1430"/>
      <c r="C80" s="1430"/>
      <c r="D80" s="1430"/>
      <c r="E80" s="1430"/>
      <c r="F80" s="1430"/>
      <c r="G80" s="1430"/>
      <c r="H80" s="1430"/>
      <c r="I80" s="1430"/>
      <c r="J80" s="1430"/>
      <c r="K80" s="1430"/>
      <c r="L80" s="1430"/>
      <c r="M80" s="1430"/>
      <c r="N80" s="1430"/>
      <c r="O80" s="1430"/>
      <c r="P80" s="1430"/>
      <c r="Q80" s="1218"/>
      <c r="R80" s="1382"/>
      <c r="S80" s="1088"/>
      <c r="T80" s="1088"/>
      <c r="U80" s="1088"/>
      <c r="V80" s="1375"/>
      <c r="W80" s="1088"/>
      <c r="X80" s="1375"/>
      <c r="Y80" s="1375"/>
      <c r="Z80" s="1088"/>
    </row>
    <row r="81" spans="1:26" x14ac:dyDescent="0.25">
      <c r="A81" s="1080"/>
      <c r="B81" s="1080"/>
      <c r="C81" s="1080"/>
      <c r="D81" s="1080"/>
      <c r="E81" s="1080"/>
      <c r="F81" s="1080"/>
      <c r="G81" s="1080"/>
      <c r="H81" s="1080"/>
      <c r="I81" s="1080"/>
      <c r="J81" s="1212"/>
      <c r="K81" s="1212"/>
      <c r="L81" s="1080"/>
      <c r="M81" s="1080"/>
      <c r="N81" s="1080"/>
      <c r="O81" s="1080"/>
      <c r="P81" s="1080"/>
      <c r="Q81" s="1218"/>
      <c r="R81" s="1382"/>
      <c r="S81" s="1088"/>
      <c r="T81" s="1374"/>
      <c r="U81" s="1088"/>
      <c r="V81" s="1088"/>
      <c r="W81" s="1088"/>
      <c r="X81" s="1088"/>
      <c r="Y81" s="1088"/>
      <c r="Z81" s="1088"/>
    </row>
    <row r="82" spans="1:26" x14ac:dyDescent="0.25">
      <c r="A82" s="1046"/>
      <c r="B82" s="1046"/>
      <c r="C82" s="1046"/>
      <c r="D82" s="1046"/>
      <c r="E82" s="1046"/>
      <c r="F82" s="1047"/>
      <c r="G82" s="1046" t="s">
        <v>423</v>
      </c>
      <c r="H82" s="1046"/>
      <c r="I82" s="1046"/>
      <c r="J82" s="1211"/>
      <c r="K82" s="1211"/>
      <c r="L82" s="1046"/>
      <c r="M82" s="1046"/>
      <c r="N82" s="1046"/>
      <c r="O82" s="1046"/>
      <c r="P82" s="1046"/>
      <c r="Q82" s="1218"/>
      <c r="R82" s="1382"/>
      <c r="S82" s="1088"/>
      <c r="T82" s="1088"/>
      <c r="U82" s="1088"/>
      <c r="V82" s="1088"/>
      <c r="W82" s="1088"/>
      <c r="X82" s="1370"/>
      <c r="Y82" s="1088"/>
      <c r="Z82" s="1088"/>
    </row>
    <row r="83" spans="1:26" x14ac:dyDescent="0.25">
      <c r="A83" s="1046" t="s">
        <v>29</v>
      </c>
      <c r="B83" s="1046"/>
      <c r="C83" s="1046" t="s">
        <v>30</v>
      </c>
      <c r="D83" s="1046"/>
      <c r="E83" s="1046"/>
      <c r="F83" s="1046"/>
      <c r="G83" s="1046" t="s">
        <v>31</v>
      </c>
      <c r="H83" s="1046"/>
      <c r="I83" s="1046"/>
      <c r="J83" s="1211"/>
      <c r="K83" s="1211"/>
      <c r="L83" s="1046"/>
      <c r="M83" s="1048"/>
      <c r="N83" s="1046"/>
      <c r="O83" s="1046" t="s">
        <v>33</v>
      </c>
      <c r="P83" s="1046"/>
      <c r="Q83" s="1218"/>
      <c r="R83" s="1382"/>
      <c r="S83" s="1088"/>
      <c r="T83" s="1374"/>
      <c r="U83" s="1088"/>
      <c r="V83" s="1088"/>
      <c r="W83" s="1088"/>
      <c r="X83" s="1088"/>
      <c r="Y83" s="1088"/>
      <c r="Z83" s="1088"/>
    </row>
    <row r="84" spans="1:26" x14ac:dyDescent="0.25">
      <c r="A84" s="1049" t="s">
        <v>9</v>
      </c>
      <c r="B84" s="1046"/>
      <c r="C84" s="1049" t="s">
        <v>34</v>
      </c>
      <c r="D84" s="1047"/>
      <c r="E84" s="1049" t="s">
        <v>30</v>
      </c>
      <c r="F84" s="1047"/>
      <c r="G84" s="1049" t="s">
        <v>843</v>
      </c>
      <c r="H84" s="1046"/>
      <c r="I84" s="1049" t="s">
        <v>31</v>
      </c>
      <c r="J84" s="1217"/>
      <c r="K84" s="1217"/>
      <c r="L84" s="1047"/>
      <c r="M84" s="1050" t="s">
        <v>35</v>
      </c>
      <c r="N84" s="1047"/>
      <c r="O84" s="1049" t="s">
        <v>35</v>
      </c>
      <c r="P84" s="1047"/>
      <c r="Q84" s="1383"/>
      <c r="R84" s="1382"/>
      <c r="S84" s="1088"/>
      <c r="T84" s="1088"/>
      <c r="U84" s="1088"/>
      <c r="V84" s="1088"/>
      <c r="W84" s="1088"/>
      <c r="X84" s="1088"/>
      <c r="Y84" s="1088"/>
      <c r="Z84" s="1088"/>
    </row>
    <row r="85" spans="1:26" x14ac:dyDescent="0.25">
      <c r="A85" s="1052"/>
      <c r="B85" s="1052"/>
      <c r="C85" s="1426" t="s">
        <v>838</v>
      </c>
      <c r="D85" s="1426"/>
      <c r="E85" s="1426"/>
      <c r="F85" s="1052"/>
      <c r="G85" s="1053" t="s">
        <v>36</v>
      </c>
      <c r="H85" s="1052"/>
      <c r="I85" s="1426" t="s">
        <v>839</v>
      </c>
      <c r="J85" s="1426"/>
      <c r="K85" s="1426"/>
      <c r="L85" s="1426"/>
      <c r="M85" s="1426"/>
      <c r="N85" s="1426"/>
      <c r="O85" s="1426"/>
      <c r="P85" s="1052"/>
      <c r="Q85" s="1383"/>
      <c r="R85" s="1382"/>
      <c r="S85" s="1088"/>
      <c r="T85" s="1374"/>
      <c r="U85" s="1088"/>
      <c r="V85" s="1088"/>
      <c r="W85" s="1088"/>
      <c r="X85" s="1088"/>
      <c r="Y85" s="1088"/>
      <c r="Z85" s="1088"/>
    </row>
    <row r="86" spans="1:26" x14ac:dyDescent="0.25">
      <c r="Q86" s="1218"/>
      <c r="R86" s="1382"/>
      <c r="S86" s="1088"/>
      <c r="T86" s="1088"/>
      <c r="U86" s="1088"/>
      <c r="V86" s="1088"/>
      <c r="W86" s="1088"/>
      <c r="X86" s="1088"/>
      <c r="Y86" s="1088"/>
      <c r="Z86" s="1088"/>
    </row>
    <row r="87" spans="1:26" x14ac:dyDescent="0.25">
      <c r="A87" s="1038" t="s">
        <v>844</v>
      </c>
      <c r="E87" s="1055">
        <f>E62</f>
        <v>93445</v>
      </c>
      <c r="I87" s="1058">
        <f>I62</f>
        <v>105518086.5</v>
      </c>
      <c r="J87" s="1058"/>
      <c r="K87" s="1058">
        <f>K62</f>
        <v>-8727127.5</v>
      </c>
      <c r="L87" s="1051"/>
      <c r="M87" s="1058">
        <f>M62</f>
        <v>190235959</v>
      </c>
      <c r="N87" s="1051"/>
      <c r="O87" s="1058">
        <f>O62</f>
        <v>181098023.25</v>
      </c>
      <c r="Q87" s="1218"/>
      <c r="R87" s="1382"/>
      <c r="S87" s="1088"/>
      <c r="T87" s="1088"/>
      <c r="U87" s="1088"/>
      <c r="V87" s="1088"/>
      <c r="W87" s="1088"/>
      <c r="X87" s="1088"/>
      <c r="Y87" s="1088"/>
      <c r="Z87" s="1088"/>
    </row>
    <row r="88" spans="1:26" ht="14.45" customHeight="1" x14ac:dyDescent="0.25">
      <c r="Q88" s="1218"/>
      <c r="R88" s="1382"/>
      <c r="S88" s="1088"/>
      <c r="T88" s="1374"/>
      <c r="U88" s="1088"/>
      <c r="V88" s="1088"/>
      <c r="W88" s="1088"/>
      <c r="X88" s="1088"/>
      <c r="Y88" s="1088"/>
      <c r="Z88" s="1088"/>
    </row>
    <row r="89" spans="1:26" x14ac:dyDescent="0.25">
      <c r="A89" s="1054">
        <f>EDATE(A60,6)</f>
        <v>53328</v>
      </c>
      <c r="B89" s="1052"/>
      <c r="C89" s="1055">
        <f>C60-E60</f>
        <v>81535</v>
      </c>
      <c r="D89" s="1045"/>
      <c r="E89" s="1045">
        <v>7973</v>
      </c>
      <c r="F89" s="1052"/>
      <c r="G89" s="1208">
        <f>G60</f>
        <v>2.85</v>
      </c>
      <c r="H89" s="1052"/>
      <c r="I89" s="1060">
        <f t="shared" ref="I89:I96" si="26">((E89*1000)*G89/100/2)+I90</f>
        <v>1161873.75</v>
      </c>
      <c r="J89" s="1060"/>
      <c r="K89" s="1060"/>
      <c r="L89" s="1045"/>
      <c r="M89" s="1060">
        <f t="shared" ref="M89:M97" si="27">SUM(E89*1000+I89)</f>
        <v>9134873.75</v>
      </c>
      <c r="N89" s="1045"/>
      <c r="O89" s="1060">
        <f>M60+M89</f>
        <v>18272809.5</v>
      </c>
      <c r="Q89" s="1382"/>
      <c r="R89" s="1382"/>
      <c r="S89" s="1088"/>
      <c r="T89" s="1088"/>
      <c r="U89" s="1088"/>
      <c r="V89" s="1088"/>
      <c r="W89" s="1088"/>
      <c r="X89" s="1088"/>
      <c r="Y89" s="1088"/>
      <c r="Z89" s="1088"/>
    </row>
    <row r="90" spans="1:26" x14ac:dyDescent="0.25">
      <c r="A90" s="1054">
        <f>EDATE(A89,6)</f>
        <v>53509</v>
      </c>
      <c r="B90" s="1052"/>
      <c r="C90" s="1045">
        <f>C89-E89</f>
        <v>73562</v>
      </c>
      <c r="D90" s="1045"/>
      <c r="E90" s="1045">
        <v>8084</v>
      </c>
      <c r="F90" s="1052"/>
      <c r="G90" s="1208">
        <f>G89</f>
        <v>2.85</v>
      </c>
      <c r="H90" s="1052"/>
      <c r="I90" s="1060">
        <f t="shared" si="26"/>
        <v>1048258.5</v>
      </c>
      <c r="J90" s="1060"/>
      <c r="K90" s="1060"/>
      <c r="L90" s="1045"/>
      <c r="M90" s="1060">
        <f t="shared" si="27"/>
        <v>9132258.5</v>
      </c>
      <c r="N90" s="1045"/>
      <c r="O90" s="1060"/>
      <c r="P90" s="1052"/>
      <c r="Q90" s="1382"/>
      <c r="R90" s="1382"/>
      <c r="S90" s="1088"/>
      <c r="T90" s="1374"/>
      <c r="U90" s="1088"/>
      <c r="V90" s="1088"/>
      <c r="W90" s="1088"/>
      <c r="X90" s="1088"/>
      <c r="Y90" s="1088"/>
      <c r="Z90" s="1088"/>
    </row>
    <row r="91" spans="1:26" x14ac:dyDescent="0.25">
      <c r="A91" s="1054">
        <f>EDATE(A90,6)</f>
        <v>53693</v>
      </c>
      <c r="B91" s="1052"/>
      <c r="C91" s="1045">
        <f>C90-E90</f>
        <v>65478</v>
      </c>
      <c r="D91" s="1045"/>
      <c r="E91" s="1045">
        <v>8197</v>
      </c>
      <c r="F91" s="1052"/>
      <c r="G91" s="1208">
        <f t="shared" ref="G91:G97" si="28">G90</f>
        <v>2.85</v>
      </c>
      <c r="H91" s="1052"/>
      <c r="I91" s="1060">
        <f t="shared" si="26"/>
        <v>933061.5</v>
      </c>
      <c r="J91" s="1060"/>
      <c r="K91" s="1060"/>
      <c r="L91" s="1045"/>
      <c r="M91" s="1060">
        <f t="shared" si="27"/>
        <v>9130061.5</v>
      </c>
      <c r="N91" s="1045"/>
      <c r="O91" s="1060">
        <f>M90+M91</f>
        <v>18262320</v>
      </c>
      <c r="P91" s="1052"/>
      <c r="Q91" s="1382"/>
      <c r="R91" s="1382"/>
      <c r="S91" s="1088"/>
      <c r="T91" s="1088"/>
      <c r="U91" s="1088"/>
      <c r="V91" s="1088"/>
      <c r="W91" s="1088"/>
      <c r="X91" s="1088"/>
      <c r="Y91" s="1088"/>
      <c r="Z91" s="1088"/>
    </row>
    <row r="92" spans="1:26" x14ac:dyDescent="0.25">
      <c r="A92" s="1054">
        <f t="shared" ref="A92:A97" si="29">EDATE(A91,6)</f>
        <v>53874</v>
      </c>
      <c r="B92" s="1052"/>
      <c r="C92" s="1045">
        <f t="shared" ref="C92:C97" si="30">C91-E91</f>
        <v>57281</v>
      </c>
      <c r="D92" s="1045"/>
      <c r="E92" s="1045">
        <v>8310</v>
      </c>
      <c r="F92" s="1052"/>
      <c r="G92" s="1208">
        <f t="shared" si="28"/>
        <v>2.85</v>
      </c>
      <c r="H92" s="1052"/>
      <c r="I92" s="1060">
        <f t="shared" si="26"/>
        <v>816254.25</v>
      </c>
      <c r="J92" s="1060"/>
      <c r="K92" s="1060"/>
      <c r="L92" s="1045"/>
      <c r="M92" s="1060">
        <f t="shared" si="27"/>
        <v>9126254.25</v>
      </c>
      <c r="N92" s="1045"/>
      <c r="O92" s="1060"/>
      <c r="Q92" s="1382"/>
      <c r="R92" s="1382"/>
      <c r="S92" s="1088"/>
      <c r="T92" s="1088"/>
      <c r="U92" s="1088"/>
      <c r="V92" s="1088"/>
      <c r="W92" s="1088"/>
      <c r="X92" s="1088"/>
      <c r="Y92" s="1088"/>
      <c r="Z92" s="1088"/>
    </row>
    <row r="93" spans="1:26" x14ac:dyDescent="0.25">
      <c r="A93" s="1054">
        <f t="shared" si="29"/>
        <v>54058</v>
      </c>
      <c r="B93" s="1052"/>
      <c r="C93" s="1045">
        <f t="shared" si="30"/>
        <v>48971</v>
      </c>
      <c r="D93" s="1045"/>
      <c r="E93" s="1045">
        <v>8426</v>
      </c>
      <c r="F93" s="1052"/>
      <c r="G93" s="1208">
        <f t="shared" si="28"/>
        <v>2.85</v>
      </c>
      <c r="H93" s="1052"/>
      <c r="I93" s="1060">
        <f t="shared" si="26"/>
        <v>697836.75</v>
      </c>
      <c r="J93" s="1060"/>
      <c r="K93" s="1060"/>
      <c r="L93" s="1045"/>
      <c r="M93" s="1060">
        <f t="shared" si="27"/>
        <v>9123836.75</v>
      </c>
      <c r="N93" s="1045"/>
      <c r="O93" s="1060">
        <f>M92+M93</f>
        <v>18250091</v>
      </c>
      <c r="Q93" s="1382"/>
      <c r="R93" s="1382"/>
      <c r="S93" s="1088"/>
      <c r="T93" s="1088"/>
      <c r="U93" s="1088"/>
      <c r="V93" s="1088"/>
      <c r="W93" s="1088"/>
      <c r="X93" s="1088"/>
      <c r="Y93" s="1088"/>
      <c r="Z93" s="1088"/>
    </row>
    <row r="94" spans="1:26" x14ac:dyDescent="0.25">
      <c r="A94" s="1054">
        <f t="shared" si="29"/>
        <v>54240</v>
      </c>
      <c r="B94" s="1052"/>
      <c r="C94" s="1045">
        <f t="shared" si="30"/>
        <v>40545</v>
      </c>
      <c r="D94" s="1045"/>
      <c r="E94" s="1045">
        <v>8541</v>
      </c>
      <c r="F94" s="1052"/>
      <c r="G94" s="1208">
        <f t="shared" si="28"/>
        <v>2.85</v>
      </c>
      <c r="H94" s="1052"/>
      <c r="I94" s="1060">
        <f t="shared" si="26"/>
        <v>577766.25</v>
      </c>
      <c r="J94" s="1060"/>
      <c r="K94" s="1060"/>
      <c r="L94" s="1045"/>
      <c r="M94" s="1060">
        <f t="shared" si="27"/>
        <v>9118766.25</v>
      </c>
      <c r="N94" s="1045"/>
      <c r="O94" s="1060"/>
      <c r="Q94" s="1382"/>
      <c r="R94" s="1382"/>
      <c r="S94" s="1088"/>
      <c r="T94" s="1088"/>
      <c r="U94" s="1088"/>
      <c r="V94" s="1088"/>
      <c r="W94" s="1088"/>
      <c r="X94" s="1088"/>
      <c r="Y94" s="1088"/>
      <c r="Z94" s="1088"/>
    </row>
    <row r="95" spans="1:26" x14ac:dyDescent="0.25">
      <c r="A95" s="1054">
        <f t="shared" si="29"/>
        <v>54424</v>
      </c>
      <c r="B95" s="1052"/>
      <c r="C95" s="1045">
        <f t="shared" si="30"/>
        <v>32004</v>
      </c>
      <c r="D95" s="1045"/>
      <c r="E95" s="1045">
        <v>8661</v>
      </c>
      <c r="F95" s="1052"/>
      <c r="G95" s="1208">
        <f t="shared" si="28"/>
        <v>2.85</v>
      </c>
      <c r="H95" s="1052"/>
      <c r="I95" s="1060">
        <f t="shared" si="26"/>
        <v>456057</v>
      </c>
      <c r="J95" s="1060"/>
      <c r="K95" s="1060"/>
      <c r="L95" s="1045"/>
      <c r="M95" s="1060">
        <f t="shared" si="27"/>
        <v>9117057</v>
      </c>
      <c r="N95" s="1045"/>
      <c r="O95" s="1060">
        <f>M94+M95</f>
        <v>18235823.25</v>
      </c>
      <c r="Q95" s="1382"/>
      <c r="R95" s="1382"/>
      <c r="S95" s="1088"/>
      <c r="T95" s="1088"/>
      <c r="U95" s="1088"/>
      <c r="V95" s="1088"/>
      <c r="W95" s="1088"/>
      <c r="X95" s="1088"/>
      <c r="Y95" s="1088"/>
      <c r="Z95" s="1088"/>
    </row>
    <row r="96" spans="1:26" x14ac:dyDescent="0.25">
      <c r="A96" s="1054">
        <f t="shared" si="29"/>
        <v>54605</v>
      </c>
      <c r="B96" s="1052"/>
      <c r="C96" s="1045">
        <f t="shared" si="30"/>
        <v>23343</v>
      </c>
      <c r="D96" s="1045"/>
      <c r="E96" s="1045">
        <v>11589</v>
      </c>
      <c r="F96" s="1052"/>
      <c r="G96" s="1208">
        <f t="shared" si="28"/>
        <v>2.85</v>
      </c>
      <c r="H96" s="1052"/>
      <c r="I96" s="1060">
        <f t="shared" si="26"/>
        <v>332637.75</v>
      </c>
      <c r="J96" s="1060"/>
      <c r="K96" s="1060"/>
      <c r="L96" s="1045"/>
      <c r="M96" s="1060">
        <f t="shared" si="27"/>
        <v>11921637.75</v>
      </c>
      <c r="N96" s="1045"/>
      <c r="O96" s="1060"/>
      <c r="Q96" s="1382"/>
      <c r="R96" s="1382"/>
      <c r="S96" s="1088"/>
      <c r="T96" s="1088"/>
      <c r="U96" s="1088"/>
      <c r="V96" s="1088"/>
      <c r="W96" s="1088"/>
      <c r="X96" s="1088"/>
      <c r="Y96" s="1088"/>
      <c r="Z96" s="1088"/>
    </row>
    <row r="97" spans="1:26" x14ac:dyDescent="0.25">
      <c r="A97" s="1054">
        <f t="shared" si="29"/>
        <v>54789</v>
      </c>
      <c r="B97" s="1052"/>
      <c r="C97" s="1045">
        <f t="shared" si="30"/>
        <v>11754</v>
      </c>
      <c r="D97" s="1045"/>
      <c r="E97" s="1045">
        <v>11754</v>
      </c>
      <c r="F97" s="1052"/>
      <c r="G97" s="1208">
        <f t="shared" si="28"/>
        <v>2.85</v>
      </c>
      <c r="H97" s="1052"/>
      <c r="I97" s="1060">
        <f>((E97*1000)*G97/100/2)+I98</f>
        <v>167494.5</v>
      </c>
      <c r="J97" s="1060"/>
      <c r="K97" s="1063"/>
      <c r="L97" s="1045"/>
      <c r="M97" s="1060">
        <f t="shared" si="27"/>
        <v>11921494.5</v>
      </c>
      <c r="N97" s="1045"/>
      <c r="O97" s="1060">
        <f>M96+M97</f>
        <v>23843132.25</v>
      </c>
      <c r="Q97" s="1382"/>
      <c r="R97" s="1382"/>
      <c r="S97" s="1088"/>
      <c r="T97" s="1088"/>
      <c r="U97" s="1088"/>
      <c r="V97" s="1088"/>
      <c r="W97" s="1088"/>
      <c r="X97" s="1088"/>
      <c r="Y97" s="1088"/>
      <c r="Z97" s="1088"/>
    </row>
    <row r="98" spans="1:26" ht="17.25" x14ac:dyDescent="0.4">
      <c r="A98" s="1064"/>
      <c r="B98" s="1052"/>
      <c r="C98" s="1056"/>
      <c r="D98" s="1056"/>
      <c r="E98" s="1065"/>
      <c r="F98" s="1052"/>
      <c r="G98" s="1066"/>
      <c r="H98" s="1052"/>
      <c r="I98" s="1065"/>
      <c r="J98" s="1218"/>
      <c r="K98" s="1218"/>
      <c r="L98" s="1067"/>
      <c r="M98" s="1065"/>
      <c r="N98" s="1067"/>
      <c r="O98" s="1065"/>
      <c r="P98" s="1045"/>
      <c r="Q98" s="1218"/>
      <c r="R98" s="1382"/>
      <c r="S98" s="1088"/>
      <c r="T98" s="1088"/>
      <c r="U98" s="1088"/>
      <c r="V98" s="1088"/>
      <c r="W98" s="1088"/>
      <c r="X98" s="1088"/>
      <c r="Y98" s="1088"/>
      <c r="Z98" s="1088"/>
    </row>
    <row r="99" spans="1:26" ht="18" thickBot="1" x14ac:dyDescent="0.3">
      <c r="A99" s="1068" t="s">
        <v>27</v>
      </c>
      <c r="B99" s="1069"/>
      <c r="C99" s="1069"/>
      <c r="D99" s="1069"/>
      <c r="E99" s="1070">
        <f>SUM(E87:E98)</f>
        <v>174980</v>
      </c>
      <c r="F99" s="1071"/>
      <c r="G99" s="1071"/>
      <c r="H99" s="1071"/>
      <c r="I99" s="1072">
        <f>SUM(I87:I97)</f>
        <v>111709326.75</v>
      </c>
      <c r="J99" s="1219"/>
      <c r="K99" s="1072">
        <f>SUM(K87:K97)</f>
        <v>-8727127.5</v>
      </c>
      <c r="L99" s="1073"/>
      <c r="M99" s="1072">
        <f>SUM(M87:M97)</f>
        <v>277962199.25</v>
      </c>
      <c r="N99" s="1073"/>
      <c r="O99" s="1072">
        <f>SUM(O87:O97)</f>
        <v>277962199.25</v>
      </c>
      <c r="P99" s="1052"/>
      <c r="Q99" s="1218"/>
      <c r="R99" s="1382"/>
      <c r="S99" s="1088"/>
      <c r="T99" s="1088"/>
      <c r="U99" s="1088"/>
      <c r="V99" s="1088"/>
      <c r="W99" s="1088"/>
      <c r="X99" s="1088"/>
      <c r="Y99" s="1088"/>
      <c r="Z99" s="1088"/>
    </row>
    <row r="100" spans="1:26" ht="15.75" thickTop="1" x14ac:dyDescent="0.25">
      <c r="P100" s="1052"/>
      <c r="Q100" s="1218"/>
      <c r="R100" s="1382"/>
      <c r="S100" s="1088"/>
      <c r="T100" s="1088"/>
      <c r="U100" s="1088"/>
      <c r="V100" s="1088"/>
      <c r="W100" s="1088"/>
      <c r="X100" s="1088"/>
      <c r="Y100" s="1088"/>
      <c r="Z100" s="1088"/>
    </row>
    <row r="101" spans="1:26" x14ac:dyDescent="0.25">
      <c r="A101" s="1064" t="str">
        <f>A64</f>
        <v>* Assumed based on NIC of SRF OM Issuance (October 2022).</v>
      </c>
      <c r="B101" s="1052"/>
      <c r="C101" s="1052"/>
      <c r="D101" s="1052"/>
      <c r="E101" s="1052"/>
      <c r="F101" s="1052"/>
      <c r="G101" s="1052"/>
      <c r="H101" s="1052"/>
      <c r="I101" s="1052"/>
      <c r="J101" s="1052"/>
      <c r="K101" s="1052"/>
      <c r="L101" s="1052"/>
      <c r="M101" s="1052"/>
      <c r="N101" s="1052"/>
      <c r="O101" s="1075"/>
      <c r="Q101" s="1218"/>
      <c r="R101" s="1382"/>
      <c r="S101" s="1088"/>
      <c r="T101" s="1088"/>
      <c r="U101" s="1088"/>
      <c r="V101" s="1088"/>
      <c r="W101" s="1088"/>
      <c r="X101" s="1088"/>
      <c r="Y101" s="1088"/>
      <c r="Z101" s="1088"/>
    </row>
    <row r="102" spans="1:26" x14ac:dyDescent="0.25">
      <c r="Q102" s="1056"/>
    </row>
    <row r="103" spans="1:26" x14ac:dyDescent="0.25">
      <c r="Q103" s="1056"/>
    </row>
    <row r="104" spans="1:26" x14ac:dyDescent="0.25">
      <c r="Q104" s="1056"/>
    </row>
    <row r="105" spans="1:26" x14ac:dyDescent="0.25">
      <c r="Q105" s="1056"/>
    </row>
    <row r="106" spans="1:26" x14ac:dyDescent="0.25">
      <c r="P106" s="1052"/>
      <c r="Q106" s="1056"/>
    </row>
    <row r="107" spans="1:26" x14ac:dyDescent="0.25">
      <c r="P107" s="1074"/>
      <c r="Q107" s="1056"/>
    </row>
    <row r="108" spans="1:26" x14ac:dyDescent="0.25">
      <c r="Q108" s="1056"/>
    </row>
    <row r="109" spans="1:26" x14ac:dyDescent="0.25">
      <c r="Q109" s="1056"/>
    </row>
    <row r="110" spans="1:26" x14ac:dyDescent="0.25">
      <c r="Q110" s="1056"/>
    </row>
    <row r="111" spans="1:26" x14ac:dyDescent="0.25">
      <c r="Q111" s="1056"/>
    </row>
    <row r="112" spans="1:26" x14ac:dyDescent="0.25">
      <c r="Q112" s="1056"/>
    </row>
    <row r="113" spans="17:17" x14ac:dyDescent="0.25">
      <c r="Q113" s="1056"/>
    </row>
    <row r="114" spans="17:17" x14ac:dyDescent="0.25">
      <c r="Q114" s="1056"/>
    </row>
    <row r="115" spans="17:17" x14ac:dyDescent="0.25">
      <c r="Q115" s="1056"/>
    </row>
    <row r="116" spans="17:17" x14ac:dyDescent="0.25">
      <c r="Q116" s="1056"/>
    </row>
    <row r="117" spans="17:17" x14ac:dyDescent="0.25">
      <c r="Q117" s="1056"/>
    </row>
    <row r="118" spans="17:17" x14ac:dyDescent="0.25">
      <c r="Q118" s="1056"/>
    </row>
    <row r="119" spans="17:17" x14ac:dyDescent="0.25">
      <c r="Q119" s="1056"/>
    </row>
    <row r="120" spans="17:17" x14ac:dyDescent="0.25">
      <c r="Q120" s="1056"/>
    </row>
    <row r="121" spans="17:17" x14ac:dyDescent="0.25">
      <c r="Q121" s="1056"/>
    </row>
    <row r="122" spans="17:17" x14ac:dyDescent="0.25">
      <c r="Q122" s="1056"/>
    </row>
    <row r="123" spans="17:17" x14ac:dyDescent="0.25">
      <c r="Q123" s="1056"/>
    </row>
    <row r="124" spans="17:17" x14ac:dyDescent="0.25">
      <c r="Q124" s="1056"/>
    </row>
    <row r="125" spans="17:17" x14ac:dyDescent="0.25">
      <c r="Q125" s="1056"/>
    </row>
    <row r="126" spans="17:17" x14ac:dyDescent="0.25">
      <c r="Q126" s="1056"/>
    </row>
    <row r="127" spans="17:17" x14ac:dyDescent="0.25">
      <c r="Q127" s="1056"/>
    </row>
    <row r="128" spans="17:17" x14ac:dyDescent="0.25">
      <c r="Q128" s="1056"/>
    </row>
    <row r="140" spans="1:16" x14ac:dyDescent="0.25">
      <c r="A140" s="1427"/>
      <c r="B140" s="1427"/>
      <c r="C140" s="1427"/>
      <c r="D140" s="1427"/>
      <c r="E140" s="1427"/>
      <c r="F140" s="1427"/>
      <c r="G140" s="1427"/>
      <c r="H140" s="1427"/>
      <c r="I140" s="1427"/>
      <c r="J140" s="1427"/>
      <c r="K140" s="1427"/>
      <c r="L140" s="1427"/>
      <c r="M140" s="1427"/>
      <c r="N140" s="1427"/>
      <c r="O140" s="1427"/>
      <c r="P140" s="1427"/>
    </row>
    <row r="141" spans="1:16" x14ac:dyDescent="0.25">
      <c r="A141" s="1427"/>
      <c r="B141" s="1427"/>
      <c r="C141" s="1427"/>
      <c r="D141" s="1427"/>
      <c r="E141" s="1427"/>
      <c r="F141" s="1427"/>
      <c r="G141" s="1427"/>
      <c r="H141" s="1427"/>
      <c r="I141" s="1427"/>
      <c r="J141" s="1427"/>
      <c r="K141" s="1427"/>
      <c r="L141" s="1427"/>
      <c r="M141" s="1427"/>
      <c r="N141" s="1427"/>
      <c r="O141" s="1427"/>
      <c r="P141" s="1427"/>
    </row>
    <row r="142" spans="1:16" x14ac:dyDescent="0.25">
      <c r="A142" s="1427" t="str">
        <f>A70</f>
        <v>(See Accountants' Report)</v>
      </c>
      <c r="B142" s="1427"/>
      <c r="C142" s="1427"/>
      <c r="D142" s="1427"/>
      <c r="E142" s="1427"/>
      <c r="F142" s="1427"/>
      <c r="G142" s="1427"/>
      <c r="H142" s="1427"/>
      <c r="I142" s="1427"/>
      <c r="J142" s="1427"/>
      <c r="K142" s="1427"/>
      <c r="L142" s="1427"/>
      <c r="M142" s="1427"/>
      <c r="N142" s="1427"/>
      <c r="O142" s="1427"/>
      <c r="P142" s="1427"/>
    </row>
    <row r="143" spans="1:16" x14ac:dyDescent="0.25">
      <c r="A143" s="1064"/>
      <c r="B143" s="1052"/>
      <c r="C143" s="1052"/>
      <c r="D143" s="1052"/>
      <c r="E143" s="1052"/>
      <c r="F143" s="1052"/>
      <c r="G143" s="1052"/>
      <c r="H143" s="1052"/>
      <c r="I143" s="1052"/>
      <c r="J143" s="1052"/>
      <c r="K143" s="1052"/>
      <c r="L143" s="1052"/>
      <c r="M143" s="1052"/>
      <c r="N143" s="1052"/>
      <c r="O143" s="1075"/>
      <c r="P143" s="1052"/>
    </row>
    <row r="144" spans="1:16" x14ac:dyDescent="0.25">
      <c r="A144" s="1076">
        <f>A72+1</f>
        <v>9</v>
      </c>
      <c r="B144" s="1077"/>
      <c r="C144" s="1077"/>
      <c r="D144" s="1077"/>
      <c r="E144" s="1077"/>
      <c r="F144" s="1077"/>
      <c r="G144" s="1077"/>
      <c r="H144" s="1077"/>
      <c r="I144" s="1077"/>
      <c r="J144" s="1077"/>
      <c r="K144" s="1077"/>
      <c r="L144" s="1077"/>
      <c r="M144" s="1077"/>
      <c r="N144" s="1077"/>
      <c r="O144" s="1077"/>
      <c r="P144" s="1077"/>
    </row>
    <row r="148" spans="5:5" x14ac:dyDescent="0.25">
      <c r="E148" s="1075"/>
    </row>
    <row r="149" spans="5:5" x14ac:dyDescent="0.25">
      <c r="E149" s="1075"/>
    </row>
    <row r="151" spans="5:5" x14ac:dyDescent="0.25">
      <c r="E151" s="1083"/>
    </row>
  </sheetData>
  <mergeCells count="24">
    <mergeCell ref="A142:P142"/>
    <mergeCell ref="A79:P79"/>
    <mergeCell ref="A80:P80"/>
    <mergeCell ref="C85:E85"/>
    <mergeCell ref="I85:O85"/>
    <mergeCell ref="A140:P140"/>
    <mergeCell ref="A141:P141"/>
    <mergeCell ref="A78:P78"/>
    <mergeCell ref="A8:P8"/>
    <mergeCell ref="C13:E13"/>
    <mergeCell ref="I13:O13"/>
    <mergeCell ref="A68:P68"/>
    <mergeCell ref="A69:P69"/>
    <mergeCell ref="A70:P70"/>
    <mergeCell ref="A73:P73"/>
    <mergeCell ref="A75:P75"/>
    <mergeCell ref="A76:P76"/>
    <mergeCell ref="A77:P77"/>
    <mergeCell ref="A7:P7"/>
    <mergeCell ref="A1:P1"/>
    <mergeCell ref="A3:P3"/>
    <mergeCell ref="A4:P4"/>
    <mergeCell ref="A5:P5"/>
    <mergeCell ref="A6:P6"/>
  </mergeCells>
  <printOptions horizontalCentered="1"/>
  <pageMargins left="0.75" right="0.75" top="0.75" bottom="0.5" header="0.3" footer="0.3"/>
  <pageSetup scale="75" orientation="portrait" r:id="rId1"/>
  <rowBreaks count="1" manualBreakCount="1">
    <brk id="72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8">
    <pageSetUpPr fitToPage="1"/>
  </sheetPr>
  <dimension ref="A1:AW149"/>
  <sheetViews>
    <sheetView view="pageBreakPreview" zoomScale="80" zoomScaleNormal="100" zoomScaleSheetLayoutView="80" workbookViewId="0">
      <selection activeCell="Y70" sqref="Y70"/>
    </sheetView>
  </sheetViews>
  <sheetFormatPr defaultColWidth="8" defaultRowHeight="15.75" x14ac:dyDescent="0.25"/>
  <cols>
    <col min="1" max="1" width="11.140625" style="411" customWidth="1"/>
    <col min="2" max="2" width="2.28515625" style="411" customWidth="1"/>
    <col min="3" max="3" width="16.28515625" style="411" customWidth="1"/>
    <col min="4" max="4" width="2.28515625" style="411" customWidth="1"/>
    <col min="5" max="5" width="16.28515625" style="411" customWidth="1"/>
    <col min="6" max="6" width="2.28515625" style="411" customWidth="1"/>
    <col min="7" max="7" width="16.28515625" style="411" customWidth="1"/>
    <col min="8" max="8" width="2.28515625" style="411" customWidth="1"/>
    <col min="9" max="9" width="16.28515625" style="411" customWidth="1"/>
    <col min="10" max="10" width="2.28515625" style="411" customWidth="1"/>
    <col min="11" max="11" width="16.28515625" style="411" customWidth="1"/>
    <col min="12" max="12" width="2.28515625" style="411" customWidth="1"/>
    <col min="13" max="13" width="16.28515625" style="411" customWidth="1"/>
    <col min="14" max="14" width="2.28515625" style="411" customWidth="1"/>
    <col min="15" max="15" width="16.28515625" style="411" customWidth="1"/>
    <col min="16" max="16" width="2.28515625" style="411" customWidth="1"/>
    <col min="17" max="17" width="17.140625" style="390" customWidth="1"/>
    <col min="18" max="18" width="2.28515625" style="996" customWidth="1"/>
    <col min="19" max="19" width="17.140625" style="996" customWidth="1"/>
    <col min="20" max="20" width="2.28515625" style="411" customWidth="1"/>
    <col min="21" max="21" width="17.42578125" style="411" bestFit="1" customWidth="1"/>
    <col min="22" max="22" width="2.28515625" style="411" customWidth="1"/>
    <col min="23" max="23" width="17.42578125" style="411" customWidth="1"/>
    <col min="24" max="24" width="15.7109375" style="411" bestFit="1" customWidth="1"/>
    <col min="25" max="25" width="16.5703125" style="411" bestFit="1" customWidth="1"/>
    <col min="26" max="26" width="15.28515625" style="411" customWidth="1"/>
    <col min="27" max="27" width="3" style="411" customWidth="1"/>
    <col min="28" max="28" width="17.85546875" style="411" customWidth="1"/>
    <col min="29" max="29" width="15.7109375" style="411" bestFit="1" customWidth="1"/>
    <col min="30" max="30" width="3" style="411" customWidth="1"/>
    <col min="31" max="31" width="17.140625" style="411" customWidth="1"/>
    <col min="32" max="32" width="21.140625" style="411" customWidth="1"/>
    <col min="33" max="33" width="7.28515625" style="411" customWidth="1"/>
    <col min="34" max="34" width="22" style="411" customWidth="1"/>
    <col min="35" max="35" width="16.5703125" style="411" bestFit="1" customWidth="1"/>
    <col min="36" max="36" width="4.7109375" style="411" customWidth="1"/>
    <col min="37" max="37" width="17.42578125" style="411" customWidth="1"/>
    <col min="38" max="38" width="7" style="411" customWidth="1"/>
    <col min="39" max="39" width="17.42578125" style="411" customWidth="1"/>
    <col min="40" max="40" width="4.28515625" style="411" customWidth="1"/>
    <col min="41" max="41" width="21.28515625" style="411" customWidth="1"/>
    <col min="42" max="43" width="8" style="411"/>
    <col min="44" max="44" width="18.42578125" style="411" bestFit="1" customWidth="1"/>
    <col min="45" max="16384" width="8" style="411"/>
  </cols>
  <sheetData>
    <row r="1" spans="1:49" x14ac:dyDescent="0.25">
      <c r="A1" s="30" t="str">
        <f>INFO!B1</f>
        <v>EVANSVILLE (INDIANA) WATERWORKS DISTRICT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174"/>
      <c r="R1" s="174"/>
      <c r="S1" s="174"/>
      <c r="T1" s="412"/>
      <c r="U1" s="412"/>
      <c r="V1" s="412"/>
      <c r="W1" s="412"/>
    </row>
    <row r="2" spans="1:49" x14ac:dyDescent="0.25">
      <c r="A2" s="30"/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174"/>
      <c r="R2" s="174"/>
      <c r="S2" s="174"/>
      <c r="T2" s="412"/>
      <c r="U2" s="412"/>
      <c r="V2" s="412"/>
      <c r="W2" s="30"/>
    </row>
    <row r="3" spans="1:49" x14ac:dyDescent="0.25">
      <c r="A3" s="218" t="s">
        <v>943</v>
      </c>
      <c r="B3" s="412"/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174"/>
      <c r="R3" s="174"/>
      <c r="S3" s="174"/>
      <c r="T3" s="412"/>
      <c r="U3" s="412"/>
      <c r="V3" s="412"/>
      <c r="W3" s="412"/>
    </row>
    <row r="4" spans="1:49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T4" s="19"/>
      <c r="U4" s="19"/>
      <c r="V4" s="19"/>
      <c r="W4" s="19"/>
      <c r="AE4" s="388"/>
      <c r="AF4" s="457"/>
      <c r="AH4" s="405"/>
      <c r="AL4" s="405"/>
    </row>
    <row r="5" spans="1:49" x14ac:dyDescent="0.25">
      <c r="B5" s="36"/>
      <c r="C5" s="1432" t="s">
        <v>422</v>
      </c>
      <c r="D5" s="1432"/>
      <c r="E5" s="1432"/>
      <c r="F5" s="1432"/>
      <c r="G5" s="1432"/>
      <c r="H5" s="1432"/>
      <c r="I5" s="1432"/>
      <c r="J5" s="1432"/>
      <c r="K5" s="1432"/>
      <c r="L5" s="1432"/>
      <c r="M5" s="1432"/>
      <c r="N5" s="1432"/>
      <c r="O5" s="1432"/>
      <c r="P5" s="414"/>
      <c r="Q5" s="1433" t="s">
        <v>256</v>
      </c>
      <c r="R5" s="1433"/>
      <c r="S5" s="1433"/>
      <c r="Y5" s="424"/>
      <c r="Z5" s="424"/>
      <c r="AA5" s="424"/>
      <c r="AB5" s="424"/>
      <c r="AC5" s="424"/>
      <c r="AD5" s="424"/>
      <c r="AE5" s="426"/>
      <c r="AF5" s="426"/>
      <c r="AG5" s="424"/>
      <c r="AH5" s="393"/>
      <c r="AI5" s="424"/>
      <c r="AJ5" s="424"/>
      <c r="AK5" s="424"/>
      <c r="AL5" s="393"/>
      <c r="AM5" s="424"/>
      <c r="AN5" s="424"/>
      <c r="AO5" s="424"/>
      <c r="AP5" s="424"/>
      <c r="AQ5" s="424"/>
      <c r="AR5" s="424"/>
      <c r="AS5" s="424"/>
      <c r="AT5" s="424"/>
      <c r="AU5" s="424"/>
      <c r="AV5" s="424"/>
      <c r="AW5" s="424"/>
    </row>
    <row r="6" spans="1:49" x14ac:dyDescent="0.25">
      <c r="A6" s="428" t="s">
        <v>29</v>
      </c>
      <c r="B6" s="399"/>
      <c r="C6" s="586" t="str">
        <f>Combined!C6</f>
        <v>Series 2016A</v>
      </c>
      <c r="D6" s="1000"/>
      <c r="E6" s="1000" t="str">
        <f>Combined!E6</f>
        <v>Series 2016B</v>
      </c>
      <c r="F6" s="1000"/>
      <c r="G6" s="1000" t="str">
        <f>Combined!G6</f>
        <v>Series 2018A-1</v>
      </c>
      <c r="H6" s="1000"/>
      <c r="I6" s="1000" t="str">
        <f>Combined!I6</f>
        <v>Series 2018A-2</v>
      </c>
      <c r="J6" s="1000"/>
      <c r="K6" s="1000" t="str">
        <f>Combined!K6</f>
        <v>Series 2019</v>
      </c>
      <c r="L6" s="1000"/>
      <c r="M6" s="1000" t="str">
        <f>Combined!M6</f>
        <v>Series 2020</v>
      </c>
      <c r="N6" s="1000"/>
      <c r="O6" s="1000" t="str">
        <f>Combined!O6</f>
        <v>Series 2021</v>
      </c>
      <c r="P6" s="399"/>
      <c r="Q6" s="183" t="s">
        <v>899</v>
      </c>
      <c r="R6" s="1014"/>
      <c r="S6" s="183" t="s">
        <v>899</v>
      </c>
      <c r="T6" s="399"/>
      <c r="U6" s="428"/>
      <c r="V6" s="428"/>
      <c r="W6" s="428" t="s">
        <v>33</v>
      </c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  <c r="AO6" s="424"/>
      <c r="AP6" s="424"/>
      <c r="AQ6" s="424"/>
      <c r="AR6" s="424"/>
      <c r="AS6" s="424"/>
      <c r="AT6" s="424"/>
      <c r="AU6" s="424"/>
      <c r="AV6" s="424"/>
      <c r="AW6" s="424"/>
    </row>
    <row r="7" spans="1:49" x14ac:dyDescent="0.25">
      <c r="A7" s="427" t="s">
        <v>9</v>
      </c>
      <c r="B7" s="413"/>
      <c r="C7" s="999" t="str">
        <f>Combined!C7</f>
        <v>Bonds</v>
      </c>
      <c r="D7" s="1000"/>
      <c r="E7" s="999" t="str">
        <f>Combined!E7</f>
        <v>Bonds</v>
      </c>
      <c r="F7" s="1000"/>
      <c r="G7" s="999" t="str">
        <f>Combined!G7</f>
        <v>Bonds</v>
      </c>
      <c r="H7" s="1000"/>
      <c r="I7" s="999" t="str">
        <f>Combined!I7</f>
        <v>Bonds</v>
      </c>
      <c r="J7" s="1000"/>
      <c r="K7" s="999" t="str">
        <f>Combined!K7</f>
        <v>Bonds</v>
      </c>
      <c r="L7" s="1000"/>
      <c r="M7" s="999" t="str">
        <f>Combined!M7</f>
        <v>Bonds</v>
      </c>
      <c r="N7" s="1000"/>
      <c r="O7" s="999" t="str">
        <f>Combined!O7</f>
        <v>Bonds</v>
      </c>
      <c r="P7" s="413"/>
      <c r="Q7" s="1015" t="s">
        <v>37</v>
      </c>
      <c r="R7" s="61"/>
      <c r="S7" s="1015" t="s">
        <v>37</v>
      </c>
      <c r="T7" s="413"/>
      <c r="U7" s="427" t="s">
        <v>35</v>
      </c>
      <c r="V7" s="428"/>
      <c r="W7" s="427" t="s">
        <v>35</v>
      </c>
      <c r="X7" s="405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  <c r="AO7" s="424"/>
      <c r="AP7" s="424"/>
      <c r="AQ7" s="424"/>
      <c r="AR7" s="424"/>
      <c r="AS7" s="424"/>
      <c r="AT7" s="424"/>
      <c r="AU7" s="424"/>
      <c r="AV7" s="424"/>
      <c r="AW7" s="424"/>
    </row>
    <row r="8" spans="1:49" x14ac:dyDescent="0.25">
      <c r="A8" s="428"/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61" t="s">
        <v>837</v>
      </c>
      <c r="R8" s="61"/>
      <c r="S8" s="61" t="s">
        <v>900</v>
      </c>
      <c r="T8" s="413"/>
      <c r="U8" s="428"/>
      <c r="V8" s="428"/>
      <c r="W8" s="428"/>
      <c r="X8" s="381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  <c r="AO8" s="424"/>
      <c r="AP8" s="424"/>
      <c r="AQ8" s="424"/>
      <c r="AR8" s="424"/>
      <c r="AS8" s="424"/>
      <c r="AT8" s="424"/>
      <c r="AU8" s="424"/>
      <c r="AV8" s="424"/>
      <c r="AW8" s="424"/>
    </row>
    <row r="9" spans="1:49" x14ac:dyDescent="0.25">
      <c r="A9" s="1016"/>
      <c r="B9" s="413"/>
      <c r="C9" s="413"/>
      <c r="D9" s="413"/>
      <c r="E9" s="413"/>
      <c r="F9" s="413"/>
      <c r="G9" s="413"/>
      <c r="H9" s="413"/>
      <c r="I9" s="413"/>
      <c r="J9" s="413"/>
      <c r="K9" s="413"/>
      <c r="L9" s="413"/>
      <c r="M9" s="413"/>
      <c r="N9" s="413"/>
      <c r="O9" s="413"/>
      <c r="P9" s="413"/>
      <c r="Q9" s="61"/>
      <c r="R9" s="61"/>
      <c r="S9" s="61"/>
      <c r="T9" s="413"/>
      <c r="U9" s="1016"/>
      <c r="V9" s="1016"/>
      <c r="W9" s="1016"/>
      <c r="Y9" s="1434"/>
      <c r="Z9" s="1434"/>
      <c r="AA9" s="424"/>
      <c r="AB9" s="1434"/>
      <c r="AC9" s="1434"/>
      <c r="AD9" s="424"/>
      <c r="AE9" s="1434"/>
      <c r="AF9" s="143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4"/>
      <c r="AR9" s="424"/>
      <c r="AS9" s="424"/>
      <c r="AT9" s="424"/>
      <c r="AU9" s="424"/>
      <c r="AV9" s="424"/>
      <c r="AW9" s="424"/>
    </row>
    <row r="10" spans="1:49" ht="15.75" customHeight="1" x14ac:dyDescent="0.25">
      <c r="A10" s="371">
        <v>44378</v>
      </c>
      <c r="B10" s="381"/>
      <c r="C10" s="1009">
        <f>Combined!C36</f>
        <v>697200</v>
      </c>
      <c r="D10" s="1001"/>
      <c r="E10" s="1009">
        <f>Combined!E36</f>
        <v>455371.88</v>
      </c>
      <c r="F10" s="1001"/>
      <c r="G10" s="1009">
        <f>Combined!G36</f>
        <v>40782.58</v>
      </c>
      <c r="H10" s="1001"/>
      <c r="I10" s="1009">
        <f>Combined!I36</f>
        <v>1168570</v>
      </c>
      <c r="J10" s="1001"/>
      <c r="K10" s="1009">
        <f>Combined!K36</f>
        <v>560596.88</v>
      </c>
      <c r="L10" s="1001"/>
      <c r="M10" s="1009">
        <f>Combined!M36</f>
        <v>377701.3</v>
      </c>
      <c r="N10" s="1001"/>
      <c r="O10" s="1223">
        <f>Combined!O36</f>
        <v>0</v>
      </c>
      <c r="P10" s="1001"/>
      <c r="Q10" s="1002"/>
      <c r="R10" s="1002"/>
      <c r="S10" s="1002"/>
      <c r="T10" s="381"/>
      <c r="U10" s="381">
        <f>SUM(C10:S10)</f>
        <v>3300222.6399999997</v>
      </c>
      <c r="V10" s="405"/>
      <c r="W10" s="405"/>
      <c r="Y10" s="362"/>
      <c r="Z10" s="424"/>
      <c r="AA10" s="424"/>
      <c r="AB10" s="362"/>
      <c r="AC10" s="424"/>
      <c r="AD10" s="424"/>
      <c r="AE10" s="362"/>
      <c r="AF10" s="393"/>
      <c r="AG10" s="424"/>
      <c r="AH10" s="1088"/>
      <c r="AI10" s="424"/>
      <c r="AJ10" s="424"/>
      <c r="AK10" s="424"/>
      <c r="AL10" s="424"/>
      <c r="AM10" s="424"/>
      <c r="AN10" s="424"/>
      <c r="AO10" s="424"/>
      <c r="AP10" s="424"/>
      <c r="AQ10" s="424"/>
      <c r="AR10" s="424"/>
      <c r="AS10" s="424"/>
      <c r="AT10" s="424"/>
      <c r="AU10" s="424"/>
      <c r="AV10" s="424"/>
      <c r="AW10" s="424"/>
    </row>
    <row r="11" spans="1:49" ht="15.75" customHeight="1" x14ac:dyDescent="0.25">
      <c r="A11" s="371">
        <v>44562</v>
      </c>
      <c r="B11" s="381"/>
      <c r="C11" s="1001">
        <f>Combined!C37</f>
        <v>2302200</v>
      </c>
      <c r="D11" s="1001"/>
      <c r="E11" s="1001">
        <f>Combined!E37</f>
        <v>1670371.88</v>
      </c>
      <c r="F11" s="1001"/>
      <c r="G11" s="1001">
        <f>Combined!G37</f>
        <v>2550479.58</v>
      </c>
      <c r="H11" s="1001"/>
      <c r="I11" s="1001">
        <f>Combined!I37</f>
        <v>1548120</v>
      </c>
      <c r="J11" s="1001"/>
      <c r="K11" s="1001">
        <f>Combined!K37</f>
        <v>2065596.88</v>
      </c>
      <c r="L11" s="1001"/>
      <c r="M11" s="1001">
        <f>Combined!M37</f>
        <v>617701.30000000005</v>
      </c>
      <c r="N11" s="1001"/>
      <c r="O11" s="1001">
        <f>Combined!O37</f>
        <v>2810534.25</v>
      </c>
      <c r="P11" s="1001"/>
      <c r="Q11" s="1002"/>
      <c r="R11" s="1002"/>
      <c r="S11" s="1002"/>
      <c r="T11" s="381"/>
      <c r="U11" s="359">
        <f>SUM(C11:S11)</f>
        <v>13565003.890000001</v>
      </c>
      <c r="V11" s="405"/>
      <c r="W11" s="381">
        <f>U10+U11</f>
        <v>16865226.530000001</v>
      </c>
      <c r="Y11" s="393"/>
      <c r="Z11" s="362"/>
      <c r="AA11" s="424"/>
      <c r="AB11" s="393"/>
      <c r="AC11" s="362"/>
      <c r="AD11" s="424"/>
      <c r="AE11" s="393"/>
      <c r="AF11" s="362"/>
      <c r="AG11" s="424"/>
      <c r="AH11" s="1088"/>
      <c r="AI11" s="424"/>
      <c r="AJ11" s="424"/>
      <c r="AK11" s="424"/>
      <c r="AL11" s="424"/>
      <c r="AM11" s="424"/>
      <c r="AN11" s="424"/>
      <c r="AO11" s="424"/>
      <c r="AP11" s="424"/>
      <c r="AQ11" s="424"/>
      <c r="AR11" s="424"/>
      <c r="AS11" s="424"/>
      <c r="AT11" s="424"/>
      <c r="AU11" s="424"/>
      <c r="AV11" s="424"/>
      <c r="AW11" s="424"/>
    </row>
    <row r="12" spans="1:49" ht="15.75" customHeight="1" x14ac:dyDescent="0.25">
      <c r="A12" s="371">
        <v>44743</v>
      </c>
      <c r="B12" s="381"/>
      <c r="C12" s="1001">
        <f>Combined!C38</f>
        <v>665100</v>
      </c>
      <c r="D12" s="1001"/>
      <c r="E12" s="1001">
        <f>Combined!E38</f>
        <v>437146.88</v>
      </c>
      <c r="F12" s="1001"/>
      <c r="G12" s="1005"/>
      <c r="H12" s="1001"/>
      <c r="I12" s="1001">
        <f>Combined!I38</f>
        <v>1162402.31</v>
      </c>
      <c r="J12" s="1001"/>
      <c r="K12" s="1001">
        <f>Combined!K38</f>
        <v>545546.88</v>
      </c>
      <c r="L12" s="1001"/>
      <c r="M12" s="1001">
        <f>Combined!M38</f>
        <v>375703.3</v>
      </c>
      <c r="N12" s="1001"/>
      <c r="O12" s="1001">
        <f>Combined!O38</f>
        <v>116499.25</v>
      </c>
      <c r="P12" s="1001"/>
      <c r="Q12" s="1002"/>
      <c r="R12" s="1002"/>
      <c r="S12" s="1002"/>
      <c r="T12" s="381"/>
      <c r="U12" s="359">
        <f t="shared" ref="U12:U67" si="0">SUM(C12:S12)</f>
        <v>3302398.6199999996</v>
      </c>
      <c r="V12" s="405"/>
      <c r="W12" s="405"/>
      <c r="Y12" s="393"/>
      <c r="Z12" s="424"/>
      <c r="AA12" s="424"/>
      <c r="AB12" s="393"/>
      <c r="AC12" s="424"/>
      <c r="AD12" s="424"/>
      <c r="AE12" s="393"/>
      <c r="AF12" s="424"/>
      <c r="AG12" s="424"/>
      <c r="AH12" s="1088"/>
      <c r="AI12" s="424"/>
      <c r="AJ12" s="424"/>
      <c r="AK12" s="424"/>
      <c r="AL12" s="424"/>
      <c r="AM12" s="424"/>
      <c r="AN12" s="424"/>
      <c r="AO12" s="424"/>
      <c r="AP12" s="424"/>
      <c r="AQ12" s="424"/>
      <c r="AR12" s="424"/>
      <c r="AS12" s="424"/>
      <c r="AT12" s="424"/>
      <c r="AU12" s="424"/>
      <c r="AV12" s="424"/>
      <c r="AW12" s="424"/>
    </row>
    <row r="13" spans="1:49" ht="15.75" customHeight="1" x14ac:dyDescent="0.25">
      <c r="A13" s="371">
        <v>44927</v>
      </c>
      <c r="B13" s="405"/>
      <c r="C13" s="1001">
        <f>Combined!C39</f>
        <v>2285100</v>
      </c>
      <c r="D13" s="1001"/>
      <c r="E13" s="1001">
        <f>Combined!E39</f>
        <v>1677146.88</v>
      </c>
      <c r="F13" s="1001"/>
      <c r="G13" s="1005"/>
      <c r="H13" s="1001"/>
      <c r="I13" s="1001">
        <f>Combined!I39</f>
        <v>4145550.31</v>
      </c>
      <c r="J13" s="1001"/>
      <c r="K13" s="1001">
        <f>Combined!K39</f>
        <v>2095546.88</v>
      </c>
      <c r="L13" s="1001"/>
      <c r="M13" s="1001">
        <f>Combined!M39</f>
        <v>620703.30000000005</v>
      </c>
      <c r="N13" s="1001"/>
      <c r="O13" s="1001">
        <f>Combined!O39</f>
        <v>3401499.25</v>
      </c>
      <c r="P13" s="1001"/>
      <c r="Q13" s="1223">
        <f>'OM 25 YR Alt II'!M15</f>
        <v>0</v>
      </c>
      <c r="R13" s="1002"/>
      <c r="S13" s="1223">
        <f>'SRF 30 YR Pooled Alt II'!M15</f>
        <v>0</v>
      </c>
      <c r="T13" s="405"/>
      <c r="U13" s="359">
        <f t="shared" si="0"/>
        <v>14225546.620000001</v>
      </c>
      <c r="V13" s="405"/>
      <c r="W13" s="405">
        <f>U12+U13</f>
        <v>17527945.240000002</v>
      </c>
      <c r="Y13" s="393"/>
      <c r="Z13" s="393"/>
      <c r="AA13" s="424"/>
      <c r="AB13" s="393"/>
      <c r="AC13" s="393"/>
      <c r="AD13" s="424"/>
      <c r="AE13" s="393"/>
      <c r="AF13" s="393"/>
      <c r="AG13" s="424"/>
      <c r="AH13" s="1088"/>
      <c r="AI13" s="424"/>
      <c r="AJ13" s="424"/>
      <c r="AK13" s="424"/>
      <c r="AL13" s="424"/>
      <c r="AM13" s="424"/>
      <c r="AN13" s="424"/>
      <c r="AO13" s="424"/>
      <c r="AP13" s="424"/>
      <c r="AQ13" s="424"/>
      <c r="AR13" s="424"/>
      <c r="AS13" s="424"/>
      <c r="AT13" s="424"/>
      <c r="AU13" s="424"/>
      <c r="AV13" s="424"/>
      <c r="AW13" s="424"/>
    </row>
    <row r="14" spans="1:49" ht="15.75" customHeight="1" x14ac:dyDescent="0.25">
      <c r="A14" s="371">
        <v>45108</v>
      </c>
      <c r="B14" s="405"/>
      <c r="C14" s="1001">
        <f>Combined!C40</f>
        <v>632700</v>
      </c>
      <c r="D14" s="1001"/>
      <c r="E14" s="1001">
        <f>Combined!E40</f>
        <v>418546.88</v>
      </c>
      <c r="F14" s="1001"/>
      <c r="G14" s="1005"/>
      <c r="H14" s="1001"/>
      <c r="I14" s="1001">
        <f>Combined!I40</f>
        <v>1113926.1599999999</v>
      </c>
      <c r="J14" s="1001"/>
      <c r="K14" s="1001">
        <f>Combined!K40</f>
        <v>530046.88</v>
      </c>
      <c r="L14" s="1001"/>
      <c r="M14" s="1001">
        <f>Combined!M40</f>
        <v>373633.05</v>
      </c>
      <c r="N14" s="1001"/>
      <c r="O14" s="1001">
        <f>Combined!O40</f>
        <v>110750.5</v>
      </c>
      <c r="P14" s="1001"/>
      <c r="Q14" s="1008">
        <f>'OM 25 YR Alt II'!M16</f>
        <v>0</v>
      </c>
      <c r="R14" s="1002"/>
      <c r="S14" s="1008">
        <f>'SRF 30 YR Pooled Alt II'!M16</f>
        <v>0</v>
      </c>
      <c r="T14" s="405"/>
      <c r="U14" s="359">
        <f t="shared" si="0"/>
        <v>3179603.4699999997</v>
      </c>
      <c r="V14" s="405"/>
      <c r="W14" s="405"/>
      <c r="Y14" s="393"/>
      <c r="Z14" s="424"/>
      <c r="AA14" s="424"/>
      <c r="AB14" s="393"/>
      <c r="AC14" s="424"/>
      <c r="AD14" s="424"/>
      <c r="AE14" s="393"/>
      <c r="AF14" s="424"/>
      <c r="AG14" s="424"/>
      <c r="AH14" s="1088"/>
      <c r="AI14" s="424"/>
      <c r="AJ14" s="424"/>
      <c r="AK14" s="424"/>
      <c r="AL14" s="424"/>
      <c r="AM14" s="424"/>
      <c r="AN14" s="424"/>
      <c r="AO14" s="424"/>
      <c r="AP14" s="424"/>
      <c r="AQ14" s="424"/>
      <c r="AR14" s="424"/>
      <c r="AS14" s="424"/>
      <c r="AT14" s="424"/>
      <c r="AU14" s="424"/>
      <c r="AV14" s="424"/>
      <c r="AW14" s="424"/>
    </row>
    <row r="15" spans="1:49" ht="15.75" customHeight="1" x14ac:dyDescent="0.25">
      <c r="A15" s="371">
        <v>45292</v>
      </c>
      <c r="B15" s="405"/>
      <c r="C15" s="1001">
        <f>Combined!C41</f>
        <v>2322700</v>
      </c>
      <c r="D15" s="1001"/>
      <c r="E15" s="1001">
        <f>Combined!E41</f>
        <v>1678546.88</v>
      </c>
      <c r="F15" s="1001"/>
      <c r="G15" s="1005"/>
      <c r="H15" s="1001"/>
      <c r="I15" s="1001">
        <f>Combined!I41</f>
        <v>4194026.16</v>
      </c>
      <c r="J15" s="1001"/>
      <c r="K15" s="1001">
        <f>Combined!K41</f>
        <v>2125046.88</v>
      </c>
      <c r="L15" s="1001"/>
      <c r="M15" s="1001">
        <f>Combined!M41</f>
        <v>623633.05000000005</v>
      </c>
      <c r="N15" s="1001"/>
      <c r="O15" s="1001">
        <f>Combined!O41</f>
        <v>3405750.5</v>
      </c>
      <c r="P15" s="1001"/>
      <c r="Q15" s="1008">
        <f>'OM 25 YR Alt II'!M17</f>
        <v>0</v>
      </c>
      <c r="R15" s="1002"/>
      <c r="S15" s="1008">
        <f>'SRF 30 YR Pooled Alt II'!M17</f>
        <v>0</v>
      </c>
      <c r="T15" s="405"/>
      <c r="U15" s="359">
        <f t="shared" si="0"/>
        <v>14349703.470000001</v>
      </c>
      <c r="V15" s="405"/>
      <c r="W15" s="405">
        <f t="shared" ref="W15" si="1">U14+U15</f>
        <v>17529306.940000001</v>
      </c>
      <c r="Y15" s="393"/>
      <c r="Z15" s="393"/>
      <c r="AA15" s="424"/>
      <c r="AB15" s="393"/>
      <c r="AC15" s="393"/>
      <c r="AD15" s="424"/>
      <c r="AE15" s="393"/>
      <c r="AF15" s="393"/>
      <c r="AG15" s="424"/>
      <c r="AH15" s="1088"/>
      <c r="AI15" s="424"/>
      <c r="AJ15" s="424"/>
      <c r="AK15" s="413"/>
      <c r="AL15" s="424"/>
      <c r="AM15" s="413"/>
      <c r="AN15" s="424"/>
      <c r="AO15" s="424"/>
      <c r="AP15" s="424"/>
      <c r="AQ15" s="424"/>
      <c r="AR15" s="424"/>
      <c r="AS15" s="424"/>
      <c r="AT15" s="424"/>
      <c r="AU15" s="424"/>
      <c r="AV15" s="424"/>
      <c r="AW15" s="424"/>
    </row>
    <row r="16" spans="1:49" x14ac:dyDescent="0.25">
      <c r="A16" s="371">
        <v>45474</v>
      </c>
      <c r="B16" s="405"/>
      <c r="C16" s="1001">
        <f>Combined!C42</f>
        <v>598900</v>
      </c>
      <c r="D16" s="1001"/>
      <c r="E16" s="1001">
        <f>Combined!E42</f>
        <v>399646.88</v>
      </c>
      <c r="F16" s="1001"/>
      <c r="G16" s="1005"/>
      <c r="H16" s="1001"/>
      <c r="I16" s="1001">
        <f>Combined!I42</f>
        <v>1063874.53</v>
      </c>
      <c r="J16" s="1001"/>
      <c r="K16" s="1001">
        <f>Combined!K42</f>
        <v>514096.88</v>
      </c>
      <c r="L16" s="1001"/>
      <c r="M16" s="1001">
        <f>Combined!M42</f>
        <v>371378.05</v>
      </c>
      <c r="N16" s="1001"/>
      <c r="O16" s="1001">
        <f>Combined!O42</f>
        <v>103336.75</v>
      </c>
      <c r="P16" s="1001"/>
      <c r="Q16" s="1008">
        <f>'OM 25 YR Alt II'!M18</f>
        <v>0</v>
      </c>
      <c r="R16" s="1002"/>
      <c r="S16" s="1008">
        <f>'SRF 30 YR Pooled Alt II'!M18</f>
        <v>0</v>
      </c>
      <c r="T16" s="405"/>
      <c r="U16" s="359">
        <f t="shared" si="0"/>
        <v>3051233.09</v>
      </c>
      <c r="V16" s="405"/>
      <c r="W16" s="405"/>
      <c r="Y16" s="393"/>
      <c r="Z16" s="424"/>
      <c r="AA16" s="424"/>
      <c r="AB16" s="393"/>
      <c r="AC16" s="424"/>
      <c r="AD16" s="424"/>
      <c r="AE16" s="393"/>
      <c r="AF16" s="424"/>
      <c r="AG16" s="424"/>
      <c r="AH16" s="1088"/>
      <c r="AI16" s="424"/>
      <c r="AJ16" s="424"/>
      <c r="AK16" s="424"/>
      <c r="AL16" s="424"/>
      <c r="AM16" s="424"/>
      <c r="AN16" s="424"/>
      <c r="AO16" s="424"/>
      <c r="AP16" s="424"/>
      <c r="AQ16" s="424"/>
      <c r="AR16" s="424"/>
      <c r="AS16" s="424"/>
      <c r="AT16" s="424"/>
      <c r="AU16" s="424"/>
      <c r="AV16" s="424"/>
      <c r="AW16" s="424"/>
    </row>
    <row r="17" spans="1:49" s="119" customFormat="1" ht="15.75" customHeight="1" x14ac:dyDescent="0.25">
      <c r="A17" s="371">
        <v>45658</v>
      </c>
      <c r="B17" s="213"/>
      <c r="C17" s="1002">
        <f>Combined!C43</f>
        <v>2303900</v>
      </c>
      <c r="D17" s="1002"/>
      <c r="E17" s="1002">
        <f>Combined!E43</f>
        <v>1694646.88</v>
      </c>
      <c r="F17" s="1002"/>
      <c r="G17" s="1008"/>
      <c r="H17" s="1002"/>
      <c r="I17" s="1002">
        <f>Combined!I43</f>
        <v>4244078.53</v>
      </c>
      <c r="J17" s="1002"/>
      <c r="K17" s="1002">
        <f>Combined!K43</f>
        <v>2159096.88</v>
      </c>
      <c r="L17" s="1002"/>
      <c r="M17" s="1002">
        <f>Combined!M43</f>
        <v>626378.05000000005</v>
      </c>
      <c r="N17" s="1002"/>
      <c r="O17" s="1002">
        <f>Combined!O43</f>
        <v>3448336.75</v>
      </c>
      <c r="P17" s="1002"/>
      <c r="Q17" s="1008">
        <f>'OM 25 YR Alt II'!M19</f>
        <v>0</v>
      </c>
      <c r="R17" s="1002"/>
      <c r="S17" s="1002">
        <f>'SRF 30 YR Pooled Alt II'!M19</f>
        <v>2493465</v>
      </c>
      <c r="T17" s="213"/>
      <c r="U17" s="359">
        <f t="shared" si="0"/>
        <v>16969902.09</v>
      </c>
      <c r="V17" s="358"/>
      <c r="W17" s="405">
        <f t="shared" ref="W17" si="2">U16+U17</f>
        <v>20021135.18</v>
      </c>
      <c r="Y17" s="393"/>
      <c r="Z17" s="393"/>
      <c r="AA17" s="392"/>
      <c r="AB17" s="393"/>
      <c r="AC17" s="393"/>
      <c r="AD17" s="392"/>
      <c r="AE17" s="393"/>
      <c r="AF17" s="393"/>
      <c r="AG17" s="392"/>
      <c r="AH17" s="1088"/>
      <c r="AI17" s="392"/>
      <c r="AJ17" s="392"/>
      <c r="AK17" s="1099"/>
      <c r="AL17" s="392"/>
      <c r="AM17" s="1099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</row>
    <row r="18" spans="1:49" ht="15.75" customHeight="1" x14ac:dyDescent="0.25">
      <c r="A18" s="371">
        <v>45839</v>
      </c>
      <c r="B18" s="213"/>
      <c r="C18" s="1002">
        <f>Combined!C44</f>
        <v>564800</v>
      </c>
      <c r="D18" s="1002"/>
      <c r="E18" s="1002">
        <f>Combined!E44</f>
        <v>380221.88</v>
      </c>
      <c r="F18" s="1002"/>
      <c r="G18" s="1008"/>
      <c r="H18" s="1002"/>
      <c r="I18" s="1002">
        <f>Combined!I44</f>
        <v>1012196.22</v>
      </c>
      <c r="J18" s="1002"/>
      <c r="K18" s="1002">
        <f>Combined!K44</f>
        <v>489421.88</v>
      </c>
      <c r="L18" s="1002"/>
      <c r="M18" s="1002">
        <f>Combined!M44</f>
        <v>369014.2</v>
      </c>
      <c r="N18" s="1002"/>
      <c r="O18" s="1002">
        <f>Combined!O44</f>
        <v>91963.75</v>
      </c>
      <c r="P18" s="1002"/>
      <c r="Q18" s="1008">
        <f>'OM 25 YR Alt II'!M20</f>
        <v>0</v>
      </c>
      <c r="R18" s="1002"/>
      <c r="S18" s="1002">
        <f>'SRF 30 YR Pooled Alt II'!M20</f>
        <v>2493465</v>
      </c>
      <c r="T18" s="213"/>
      <c r="U18" s="359">
        <f t="shared" si="0"/>
        <v>5401082.9299999997</v>
      </c>
      <c r="V18" s="358"/>
      <c r="W18" s="405"/>
      <c r="Y18" s="393"/>
      <c r="Z18" s="424"/>
      <c r="AA18" s="424"/>
      <c r="AB18" s="393"/>
      <c r="AC18" s="424"/>
      <c r="AD18" s="424"/>
      <c r="AE18" s="393"/>
      <c r="AF18" s="424"/>
      <c r="AG18" s="424"/>
      <c r="AH18" s="424"/>
      <c r="AI18" s="424"/>
      <c r="AJ18" s="424"/>
      <c r="AK18" s="393"/>
      <c r="AL18" s="424"/>
      <c r="AM18" s="393"/>
      <c r="AN18" s="424"/>
      <c r="AO18" s="424"/>
      <c r="AP18" s="424"/>
      <c r="AQ18" s="424"/>
      <c r="AR18" s="424"/>
      <c r="AS18" s="424"/>
      <c r="AT18" s="424"/>
      <c r="AU18" s="424"/>
      <c r="AV18" s="424"/>
      <c r="AW18" s="424"/>
    </row>
    <row r="19" spans="1:49" ht="15.75" customHeight="1" x14ac:dyDescent="0.25">
      <c r="A19" s="371">
        <v>46023</v>
      </c>
      <c r="B19" s="358"/>
      <c r="C19" s="1002">
        <f>Combined!C45</f>
        <v>2159800</v>
      </c>
      <c r="D19" s="1002"/>
      <c r="E19" s="1002">
        <f>Combined!E45</f>
        <v>4465221.88</v>
      </c>
      <c r="F19" s="1002"/>
      <c r="G19" s="1008"/>
      <c r="H19" s="1002"/>
      <c r="I19" s="1002">
        <f>Combined!I45</f>
        <v>4295756.22</v>
      </c>
      <c r="J19" s="1002"/>
      <c r="K19" s="1002">
        <f>Combined!K45</f>
        <v>2179421.88</v>
      </c>
      <c r="L19" s="1002"/>
      <c r="M19" s="1002">
        <f>Combined!M45</f>
        <v>624014.19999999995</v>
      </c>
      <c r="N19" s="1002"/>
      <c r="O19" s="1002">
        <f>Combined!O45</f>
        <v>896963.75</v>
      </c>
      <c r="P19" s="1002"/>
      <c r="Q19" s="1002">
        <f>'OM 25 YR Alt II'!M21</f>
        <v>938007.5</v>
      </c>
      <c r="R19" s="1002"/>
      <c r="S19" s="1002">
        <f>'SRF 30 YR Pooled Alt II'!M21</f>
        <v>2494465</v>
      </c>
      <c r="T19" s="358"/>
      <c r="U19" s="359">
        <f t="shared" si="0"/>
        <v>18053650.43</v>
      </c>
      <c r="V19" s="358"/>
      <c r="W19" s="405">
        <f t="shared" ref="W19" si="3">U18+U19</f>
        <v>23454733.359999999</v>
      </c>
      <c r="Y19" s="393"/>
      <c r="Z19" s="393"/>
      <c r="AA19" s="424"/>
      <c r="AB19" s="393"/>
      <c r="AC19" s="393"/>
      <c r="AD19" s="424"/>
      <c r="AE19" s="393"/>
      <c r="AF19" s="393"/>
      <c r="AG19" s="424"/>
      <c r="AH19" s="393"/>
      <c r="AI19" s="424"/>
      <c r="AJ19" s="424"/>
      <c r="AK19" s="393"/>
      <c r="AL19" s="424"/>
      <c r="AM19" s="393"/>
      <c r="AN19" s="424"/>
      <c r="AO19" s="424"/>
      <c r="AP19" s="424"/>
      <c r="AQ19" s="424"/>
      <c r="AR19" s="424"/>
      <c r="AS19" s="424"/>
      <c r="AT19" s="424"/>
      <c r="AU19" s="424"/>
      <c r="AV19" s="424"/>
      <c r="AW19" s="424"/>
    </row>
    <row r="20" spans="1:49" ht="15.75" customHeight="1" x14ac:dyDescent="0.25">
      <c r="A20" s="371">
        <v>46204</v>
      </c>
      <c r="B20" s="213"/>
      <c r="C20" s="1002">
        <f>Combined!C46</f>
        <v>532900</v>
      </c>
      <c r="D20" s="1002"/>
      <c r="E20" s="1002">
        <f>Combined!E46</f>
        <v>318946.88</v>
      </c>
      <c r="F20" s="1002"/>
      <c r="G20" s="1008"/>
      <c r="H20" s="1002"/>
      <c r="I20" s="1002">
        <f>Combined!I46</f>
        <v>958838.37</v>
      </c>
      <c r="J20" s="1002"/>
      <c r="K20" s="1002">
        <f>Combined!K46</f>
        <v>464071.88</v>
      </c>
      <c r="L20" s="1002"/>
      <c r="M20" s="1002">
        <f>Combined!M46</f>
        <v>366462.93</v>
      </c>
      <c r="N20" s="1002"/>
      <c r="O20" s="1002">
        <f>Combined!O46</f>
        <v>87938.75</v>
      </c>
      <c r="P20" s="1002"/>
      <c r="Q20" s="1002">
        <f>'OM 25 YR Alt II'!M22</f>
        <v>938007.5</v>
      </c>
      <c r="R20" s="1002"/>
      <c r="S20" s="1002">
        <f>'SRF 30 YR Pooled Alt II'!M22</f>
        <v>2493450.75</v>
      </c>
      <c r="T20" s="213"/>
      <c r="U20" s="359">
        <f t="shared" si="0"/>
        <v>6160617.0600000005</v>
      </c>
      <c r="V20" s="358"/>
      <c r="W20" s="405"/>
      <c r="Y20" s="393"/>
      <c r="Z20" s="424"/>
      <c r="AA20" s="424"/>
      <c r="AB20" s="393"/>
      <c r="AC20" s="424"/>
      <c r="AD20" s="424"/>
      <c r="AE20" s="393"/>
      <c r="AF20" s="424"/>
      <c r="AG20" s="424"/>
      <c r="AH20" s="424"/>
      <c r="AI20" s="424"/>
      <c r="AJ20" s="424"/>
      <c r="AK20" s="393"/>
      <c r="AL20" s="424"/>
      <c r="AM20" s="393"/>
      <c r="AN20" s="424"/>
      <c r="AO20" s="424"/>
      <c r="AP20" s="424"/>
      <c r="AQ20" s="424"/>
      <c r="AR20" s="424"/>
      <c r="AS20" s="424"/>
      <c r="AT20" s="424"/>
      <c r="AU20" s="424"/>
      <c r="AV20" s="424"/>
      <c r="AW20" s="424"/>
    </row>
    <row r="21" spans="1:49" x14ac:dyDescent="0.25">
      <c r="A21" s="371">
        <v>46388</v>
      </c>
      <c r="B21" s="213"/>
      <c r="C21" s="1002">
        <f>Combined!C47</f>
        <v>2192900</v>
      </c>
      <c r="D21" s="1002"/>
      <c r="E21" s="1002">
        <f>Combined!E47</f>
        <v>4523946.88</v>
      </c>
      <c r="F21" s="1002"/>
      <c r="G21" s="1008"/>
      <c r="H21" s="1002"/>
      <c r="I21" s="1002">
        <f>Combined!I47</f>
        <v>4349114.37</v>
      </c>
      <c r="J21" s="1002"/>
      <c r="K21" s="1002">
        <f>Combined!K47</f>
        <v>2209071.88</v>
      </c>
      <c r="L21" s="1002"/>
      <c r="M21" s="1002">
        <f>Combined!M47</f>
        <v>631462.92999999993</v>
      </c>
      <c r="N21" s="1002"/>
      <c r="O21" s="1002">
        <f>Combined!O47</f>
        <v>892938.75</v>
      </c>
      <c r="P21" s="1002"/>
      <c r="Q21" s="1002">
        <f>'OM 25 YR Alt II'!M23</f>
        <v>938007.5</v>
      </c>
      <c r="R21" s="1002"/>
      <c r="S21" s="1002">
        <f>'SRF 30 YR Pooled Alt II'!M23</f>
        <v>2494450.75</v>
      </c>
      <c r="T21" s="213"/>
      <c r="U21" s="359">
        <f t="shared" si="0"/>
        <v>18231893.059999999</v>
      </c>
      <c r="V21" s="358"/>
      <c r="W21" s="405">
        <f t="shared" ref="W21" si="4">U20+U21</f>
        <v>24392510.119999997</v>
      </c>
      <c r="Y21" s="393"/>
      <c r="Z21" s="393"/>
      <c r="AA21" s="424"/>
      <c r="AB21" s="393"/>
      <c r="AC21" s="393"/>
      <c r="AD21" s="424"/>
      <c r="AE21" s="393"/>
      <c r="AF21" s="393"/>
      <c r="AG21" s="424"/>
      <c r="AH21" s="393"/>
      <c r="AI21" s="424"/>
      <c r="AJ21" s="424"/>
      <c r="AK21" s="393"/>
      <c r="AL21" s="424"/>
      <c r="AM21" s="393"/>
      <c r="AN21" s="424"/>
      <c r="AO21" s="424"/>
      <c r="AP21" s="424"/>
      <c r="AQ21" s="424"/>
      <c r="AR21" s="424"/>
      <c r="AS21" s="424"/>
      <c r="AT21" s="424"/>
      <c r="AU21" s="424"/>
      <c r="AV21" s="424"/>
      <c r="AW21" s="424"/>
    </row>
    <row r="22" spans="1:49" x14ac:dyDescent="0.25">
      <c r="A22" s="371">
        <v>46569</v>
      </c>
      <c r="B22" s="213"/>
      <c r="C22" s="1002">
        <f>Combined!C48</f>
        <v>499700</v>
      </c>
      <c r="D22" s="1002"/>
      <c r="E22" s="1002">
        <f>Combined!E48</f>
        <v>253243.75</v>
      </c>
      <c r="F22" s="1002"/>
      <c r="G22" s="1008"/>
      <c r="H22" s="1002"/>
      <c r="I22" s="1002">
        <f>Combined!I48</f>
        <v>903746.38</v>
      </c>
      <c r="J22" s="1002"/>
      <c r="K22" s="1002">
        <f>Combined!K48</f>
        <v>437896.88</v>
      </c>
      <c r="L22" s="1002"/>
      <c r="M22" s="1002">
        <f>Combined!M48</f>
        <v>363679.1</v>
      </c>
      <c r="N22" s="1002"/>
      <c r="O22" s="1002">
        <f>Combined!O48</f>
        <v>79888.75</v>
      </c>
      <c r="P22" s="1002"/>
      <c r="Q22" s="1002">
        <f>'OM 25 YR Alt II'!M24</f>
        <v>938007.5</v>
      </c>
      <c r="R22" s="1002"/>
      <c r="S22" s="1002">
        <f>'SRF 30 YR Pooled Alt II'!M24</f>
        <v>2493436.5</v>
      </c>
      <c r="T22" s="213"/>
      <c r="U22" s="359">
        <f t="shared" si="0"/>
        <v>5969598.8599999994</v>
      </c>
      <c r="V22" s="358"/>
      <c r="W22" s="405"/>
      <c r="Y22" s="393"/>
      <c r="Z22" s="424"/>
      <c r="AA22" s="424"/>
      <c r="AB22" s="393"/>
      <c r="AC22" s="424"/>
      <c r="AD22" s="424"/>
      <c r="AE22" s="393"/>
      <c r="AF22" s="424"/>
      <c r="AG22" s="424"/>
      <c r="AH22" s="424"/>
      <c r="AI22" s="424"/>
      <c r="AJ22" s="424"/>
      <c r="AK22" s="393"/>
      <c r="AL22" s="424"/>
      <c r="AM22" s="393"/>
      <c r="AN22" s="424"/>
      <c r="AO22" s="424"/>
      <c r="AP22" s="424"/>
      <c r="AQ22" s="424"/>
      <c r="AR22" s="424"/>
      <c r="AS22" s="424"/>
      <c r="AT22" s="424"/>
      <c r="AU22" s="424"/>
      <c r="AV22" s="424"/>
      <c r="AW22" s="424"/>
    </row>
    <row r="23" spans="1:49" x14ac:dyDescent="0.25">
      <c r="A23" s="371">
        <v>46753</v>
      </c>
      <c r="B23" s="213"/>
      <c r="C23" s="1002">
        <f>Combined!C49</f>
        <v>2149700</v>
      </c>
      <c r="D23" s="1002"/>
      <c r="E23" s="1002">
        <f>Combined!E49</f>
        <v>4588243.75</v>
      </c>
      <c r="F23" s="1002"/>
      <c r="G23" s="1008"/>
      <c r="H23" s="1002"/>
      <c r="I23" s="1002">
        <f>Combined!I49</f>
        <v>4404206.38</v>
      </c>
      <c r="J23" s="1002"/>
      <c r="K23" s="1002">
        <f>Combined!K49</f>
        <v>2232896.88</v>
      </c>
      <c r="L23" s="1002"/>
      <c r="M23" s="1002">
        <f>Combined!M49</f>
        <v>633679.1</v>
      </c>
      <c r="N23" s="1002"/>
      <c r="O23" s="1002">
        <f>Combined!O49</f>
        <v>984888.75</v>
      </c>
      <c r="P23" s="1002"/>
      <c r="Q23" s="1002">
        <f>'OM 25 YR Alt II'!M25</f>
        <v>938007.5</v>
      </c>
      <c r="R23" s="1002"/>
      <c r="S23" s="1002">
        <f>'SRF 30 YR Pooled Alt II'!M25</f>
        <v>2494436.5</v>
      </c>
      <c r="T23" s="358"/>
      <c r="U23" s="359">
        <f t="shared" si="0"/>
        <v>18426058.859999999</v>
      </c>
      <c r="V23" s="358"/>
      <c r="W23" s="405">
        <f t="shared" ref="W23" si="5">U22+U23</f>
        <v>24395657.719999999</v>
      </c>
      <c r="Y23" s="393"/>
      <c r="Z23" s="393"/>
      <c r="AA23" s="424"/>
      <c r="AB23" s="393"/>
      <c r="AC23" s="393"/>
      <c r="AD23" s="424"/>
      <c r="AE23" s="393"/>
      <c r="AF23" s="393"/>
      <c r="AG23" s="424"/>
      <c r="AH23" s="424"/>
      <c r="AI23" s="424"/>
      <c r="AJ23" s="424"/>
      <c r="AK23" s="362"/>
      <c r="AL23" s="424"/>
      <c r="AM23" s="362"/>
      <c r="AN23" s="424"/>
      <c r="AO23" s="424"/>
      <c r="AP23" s="424"/>
      <c r="AQ23" s="424"/>
      <c r="AR23" s="424"/>
      <c r="AS23" s="424"/>
      <c r="AT23" s="424"/>
      <c r="AU23" s="424"/>
      <c r="AV23" s="424"/>
      <c r="AW23" s="424"/>
    </row>
    <row r="24" spans="1:49" s="119" customFormat="1" x14ac:dyDescent="0.25">
      <c r="A24" s="371">
        <v>46935</v>
      </c>
      <c r="B24" s="213"/>
      <c r="C24" s="1002">
        <f>Combined!C50</f>
        <v>466700</v>
      </c>
      <c r="D24" s="1002"/>
      <c r="E24" s="1002">
        <f>Combined!E50</f>
        <v>182800</v>
      </c>
      <c r="F24" s="1002"/>
      <c r="G24" s="1008"/>
      <c r="H24" s="1002"/>
      <c r="I24" s="1002">
        <f>Combined!I50</f>
        <v>846863.91</v>
      </c>
      <c r="J24" s="1002"/>
      <c r="K24" s="1002">
        <f>Combined!K50</f>
        <v>410971.88</v>
      </c>
      <c r="L24" s="1002"/>
      <c r="M24" s="1002">
        <f>Combined!M50</f>
        <v>360725.3</v>
      </c>
      <c r="N24" s="1002"/>
      <c r="O24" s="1002">
        <f>Combined!O50</f>
        <v>73101.25</v>
      </c>
      <c r="P24" s="1002"/>
      <c r="Q24" s="1002">
        <f>'OM 25 YR Alt II'!M26</f>
        <v>938007.5</v>
      </c>
      <c r="R24" s="1002"/>
      <c r="S24" s="1002">
        <f>'SRF 30 YR Pooled Alt II'!M26</f>
        <v>2493422.25</v>
      </c>
      <c r="T24" s="358"/>
      <c r="U24" s="359">
        <f t="shared" si="0"/>
        <v>5772592.0899999999</v>
      </c>
      <c r="V24" s="358"/>
      <c r="W24" s="405"/>
      <c r="Y24" s="393"/>
      <c r="Z24" s="424"/>
      <c r="AA24" s="392"/>
      <c r="AB24" s="393"/>
      <c r="AC24" s="424"/>
      <c r="AD24" s="392"/>
      <c r="AE24" s="393"/>
      <c r="AF24" s="424"/>
      <c r="AG24" s="392"/>
      <c r="AH24" s="392"/>
      <c r="AI24" s="392"/>
      <c r="AJ24" s="392"/>
      <c r="AK24" s="392"/>
      <c r="AL24" s="392"/>
      <c r="AM24" s="392"/>
      <c r="AN24" s="392"/>
      <c r="AO24" s="392"/>
      <c r="AP24" s="392"/>
      <c r="AQ24" s="392"/>
      <c r="AR24" s="153"/>
      <c r="AS24" s="392"/>
      <c r="AT24" s="392"/>
      <c r="AU24" s="392"/>
      <c r="AV24" s="392"/>
      <c r="AW24" s="392"/>
    </row>
    <row r="25" spans="1:49" s="119" customFormat="1" x14ac:dyDescent="0.25">
      <c r="A25" s="371">
        <v>47119</v>
      </c>
      <c r="B25" s="358"/>
      <c r="C25" s="1002">
        <f>Combined!C51</f>
        <v>2116700</v>
      </c>
      <c r="D25" s="1003"/>
      <c r="E25" s="1002">
        <f>Combined!E51</f>
        <v>4662800</v>
      </c>
      <c r="F25" s="1003"/>
      <c r="G25" s="1008"/>
      <c r="H25" s="1003"/>
      <c r="I25" s="1002">
        <f>Combined!I51</f>
        <v>4461088.91</v>
      </c>
      <c r="J25" s="1003"/>
      <c r="K25" s="1002">
        <f>Combined!K51</f>
        <v>2260971.88</v>
      </c>
      <c r="L25" s="1003"/>
      <c r="M25" s="1002">
        <f>Combined!M51</f>
        <v>635725.30000000005</v>
      </c>
      <c r="N25" s="1003"/>
      <c r="O25" s="1002">
        <f>Combined!O51</f>
        <v>1053101.25</v>
      </c>
      <c r="P25" s="1002"/>
      <c r="Q25" s="1002">
        <f>'OM 25 YR Alt II'!M27</f>
        <v>938007.5</v>
      </c>
      <c r="R25" s="1003"/>
      <c r="S25" s="1002">
        <f>'SRF 30 YR Pooled Alt II'!M27</f>
        <v>2494422.25</v>
      </c>
      <c r="T25" s="358"/>
      <c r="U25" s="359">
        <f t="shared" si="0"/>
        <v>18622817.09</v>
      </c>
      <c r="V25" s="358"/>
      <c r="W25" s="405">
        <f t="shared" ref="W25" si="6">U24+U25</f>
        <v>24395409.18</v>
      </c>
      <c r="Y25" s="393"/>
      <c r="Z25" s="393"/>
      <c r="AA25" s="392"/>
      <c r="AB25" s="393"/>
      <c r="AC25" s="393"/>
      <c r="AD25" s="392"/>
      <c r="AE25" s="393"/>
      <c r="AF25" s="393"/>
      <c r="AG25" s="392"/>
      <c r="AH25" s="392"/>
      <c r="AI25" s="60"/>
      <c r="AJ25" s="392"/>
      <c r="AK25" s="392"/>
      <c r="AL25" s="392"/>
      <c r="AM25" s="60"/>
      <c r="AN25" s="392"/>
      <c r="AO25" s="60"/>
      <c r="AP25" s="392"/>
      <c r="AQ25" s="392"/>
      <c r="AR25" s="219"/>
      <c r="AS25" s="392"/>
      <c r="AT25" s="392"/>
      <c r="AU25" s="392"/>
      <c r="AV25" s="392"/>
      <c r="AW25" s="392"/>
    </row>
    <row r="26" spans="1:49" x14ac:dyDescent="0.25">
      <c r="A26" s="371">
        <v>47300</v>
      </c>
      <c r="B26" s="213"/>
      <c r="C26" s="1002">
        <f>Combined!C52</f>
        <v>433700</v>
      </c>
      <c r="D26" s="1002"/>
      <c r="E26" s="1002">
        <f>Combined!E52</f>
        <v>93200</v>
      </c>
      <c r="F26" s="1002"/>
      <c r="G26" s="1008"/>
      <c r="H26" s="1002"/>
      <c r="I26" s="1002">
        <f>Combined!I52</f>
        <v>788132.75</v>
      </c>
      <c r="J26" s="1002"/>
      <c r="K26" s="1002">
        <f>Combined!K52</f>
        <v>383221.88</v>
      </c>
      <c r="L26" s="1002"/>
      <c r="M26" s="1002">
        <f>Combined!M52</f>
        <v>357579.3</v>
      </c>
      <c r="N26" s="1002"/>
      <c r="O26" s="1002">
        <f>Combined!O52</f>
        <v>66731.25</v>
      </c>
      <c r="P26" s="1002"/>
      <c r="Q26" s="1002">
        <f>'OM 25 YR Alt II'!M28</f>
        <v>938007.5</v>
      </c>
      <c r="R26" s="1003"/>
      <c r="S26" s="1002">
        <f>'SRF 30 YR Pooled Alt II'!M28</f>
        <v>2493408</v>
      </c>
      <c r="T26" s="358"/>
      <c r="U26" s="359">
        <f t="shared" si="0"/>
        <v>5553980.6799999997</v>
      </c>
      <c r="V26" s="358"/>
      <c r="W26" s="405"/>
      <c r="Y26" s="393"/>
      <c r="Z26" s="424"/>
      <c r="AA26" s="424"/>
      <c r="AB26" s="393"/>
      <c r="AC26" s="424"/>
      <c r="AD26" s="424"/>
      <c r="AE26" s="393"/>
      <c r="AF26" s="424"/>
      <c r="AG26" s="424"/>
      <c r="AH26" s="424"/>
      <c r="AI26" s="424"/>
      <c r="AJ26" s="392"/>
      <c r="AK26" s="424"/>
      <c r="AL26" s="393"/>
      <c r="AM26" s="392"/>
      <c r="AN26" s="424"/>
      <c r="AO26" s="424"/>
      <c r="AP26" s="424"/>
      <c r="AQ26" s="424"/>
      <c r="AR26" s="424"/>
      <c r="AS26" s="424"/>
      <c r="AT26" s="424"/>
      <c r="AU26" s="424"/>
      <c r="AV26" s="424"/>
      <c r="AW26" s="424"/>
    </row>
    <row r="27" spans="1:49" x14ac:dyDescent="0.25">
      <c r="A27" s="371">
        <v>47484</v>
      </c>
      <c r="B27" s="358"/>
      <c r="C27" s="1002">
        <f>Combined!C53</f>
        <v>2103700</v>
      </c>
      <c r="D27" s="1003"/>
      <c r="E27" s="1002">
        <f>Combined!E53</f>
        <v>4753200</v>
      </c>
      <c r="F27" s="1003"/>
      <c r="G27" s="1008"/>
      <c r="H27" s="1003"/>
      <c r="I27" s="1002">
        <f>Combined!I53</f>
        <v>4519819.75</v>
      </c>
      <c r="J27" s="1003"/>
      <c r="K27" s="1002">
        <f>Combined!K53</f>
        <v>2288221.88</v>
      </c>
      <c r="L27" s="1003"/>
      <c r="M27" s="1002">
        <f>Combined!M53</f>
        <v>637579.30000000005</v>
      </c>
      <c r="N27" s="1003"/>
      <c r="O27" s="1002">
        <f>Combined!O53</f>
        <v>1106731.25</v>
      </c>
      <c r="P27" s="1002"/>
      <c r="Q27" s="1002">
        <f>'OM 25 YR Alt II'!M29</f>
        <v>938007.5</v>
      </c>
      <c r="R27" s="1003"/>
      <c r="S27" s="1002">
        <f>'SRF 30 YR Pooled Alt II'!M29</f>
        <v>2494408</v>
      </c>
      <c r="T27" s="358"/>
      <c r="U27" s="359">
        <f t="shared" si="0"/>
        <v>18841667.68</v>
      </c>
      <c r="V27" s="358"/>
      <c r="W27" s="405">
        <f t="shared" ref="W27" si="7">U26+U27</f>
        <v>24395648.359999999</v>
      </c>
      <c r="Y27" s="393"/>
      <c r="Z27" s="393"/>
      <c r="AA27" s="424"/>
      <c r="AB27" s="393"/>
      <c r="AC27" s="393"/>
      <c r="AD27" s="424"/>
      <c r="AE27" s="393"/>
      <c r="AF27" s="393"/>
      <c r="AG27" s="424"/>
      <c r="AH27" s="393"/>
      <c r="AI27" s="1099"/>
      <c r="AJ27" s="424"/>
      <c r="AK27" s="393"/>
      <c r="AL27" s="393"/>
      <c r="AM27" s="1099"/>
      <c r="AN27" s="424"/>
      <c r="AO27" s="1099"/>
      <c r="AP27" s="424"/>
      <c r="AQ27" s="424"/>
      <c r="AR27" s="393"/>
      <c r="AS27" s="424"/>
      <c r="AT27" s="424"/>
      <c r="AU27" s="424"/>
      <c r="AV27" s="424"/>
      <c r="AW27" s="424"/>
    </row>
    <row r="28" spans="1:49" x14ac:dyDescent="0.25">
      <c r="A28" s="371">
        <v>47665</v>
      </c>
      <c r="B28" s="358"/>
      <c r="C28" s="1002">
        <f>Combined!C54</f>
        <v>400300</v>
      </c>
      <c r="D28" s="1003"/>
      <c r="E28" s="1008"/>
      <c r="F28" s="1003"/>
      <c r="G28" s="1008"/>
      <c r="H28" s="1003"/>
      <c r="I28" s="1002">
        <f>Combined!I54</f>
        <v>727492.84</v>
      </c>
      <c r="J28" s="1003"/>
      <c r="K28" s="1002">
        <f>Combined!K54</f>
        <v>354646.88</v>
      </c>
      <c r="L28" s="1003"/>
      <c r="M28" s="1002">
        <f>Combined!M54</f>
        <v>354306.1</v>
      </c>
      <c r="N28" s="1003"/>
      <c r="O28" s="1002">
        <f>Combined!O54</f>
        <v>59971.25</v>
      </c>
      <c r="P28" s="1002"/>
      <c r="Q28" s="1002">
        <f>'OM 25 YR Alt II'!M30</f>
        <v>938007.5</v>
      </c>
      <c r="R28" s="1002"/>
      <c r="S28" s="1002">
        <f>'SRF 30 YR Pooled Alt II'!M30</f>
        <v>2493393.75</v>
      </c>
      <c r="T28" s="358"/>
      <c r="U28" s="359">
        <f t="shared" si="0"/>
        <v>5328118.32</v>
      </c>
      <c r="V28" s="358"/>
      <c r="W28" s="405"/>
      <c r="Y28" s="393"/>
      <c r="Z28" s="424"/>
      <c r="AA28" s="424"/>
      <c r="AB28" s="393"/>
      <c r="AC28" s="424"/>
      <c r="AD28" s="424"/>
      <c r="AE28" s="393"/>
      <c r="AF28" s="424"/>
      <c r="AG28" s="424"/>
      <c r="AH28" s="393"/>
      <c r="AI28" s="393"/>
      <c r="AJ28" s="424"/>
      <c r="AK28" s="393"/>
      <c r="AL28" s="393"/>
      <c r="AM28" s="393"/>
      <c r="AN28" s="424"/>
      <c r="AO28" s="393"/>
      <c r="AP28" s="424"/>
      <c r="AQ28" s="424"/>
      <c r="AR28" s="393"/>
      <c r="AS28" s="424"/>
      <c r="AT28" s="424"/>
      <c r="AU28" s="424"/>
      <c r="AV28" s="424"/>
      <c r="AW28" s="424"/>
    </row>
    <row r="29" spans="1:49" x14ac:dyDescent="0.25">
      <c r="A29" s="371">
        <v>47849</v>
      </c>
      <c r="B29" s="358"/>
      <c r="C29" s="1002">
        <f>Combined!C55</f>
        <v>1755300</v>
      </c>
      <c r="D29" s="1003"/>
      <c r="E29" s="1008"/>
      <c r="F29" s="1003"/>
      <c r="G29" s="1008"/>
      <c r="H29" s="1003"/>
      <c r="I29" s="1002">
        <f>Combined!I55</f>
        <v>4580459.84</v>
      </c>
      <c r="J29" s="1003"/>
      <c r="K29" s="1002">
        <f>Combined!K55</f>
        <v>2314646.88</v>
      </c>
      <c r="L29" s="1003"/>
      <c r="M29" s="1002">
        <f>Combined!M55</f>
        <v>5629306.0999999996</v>
      </c>
      <c r="N29" s="1003"/>
      <c r="O29" s="1002">
        <f>Combined!O55</f>
        <v>1164971.25</v>
      </c>
      <c r="P29" s="1002"/>
      <c r="Q29" s="1002">
        <f>'OM 25 YR Alt II'!M31</f>
        <v>938007.5</v>
      </c>
      <c r="R29" s="1003"/>
      <c r="S29" s="1002">
        <f>'SRF 30 YR Pooled Alt II'!M31</f>
        <v>2494393.75</v>
      </c>
      <c r="T29" s="358"/>
      <c r="U29" s="359">
        <f t="shared" si="0"/>
        <v>18877085.32</v>
      </c>
      <c r="V29" s="358"/>
      <c r="W29" s="405">
        <f t="shared" ref="W29" si="8">U28+U29</f>
        <v>24205203.640000001</v>
      </c>
      <c r="Y29" s="393"/>
      <c r="Z29" s="393"/>
      <c r="AA29" s="424"/>
      <c r="AB29" s="393"/>
      <c r="AC29" s="393"/>
      <c r="AD29" s="424"/>
      <c r="AE29" s="393"/>
      <c r="AF29" s="393"/>
      <c r="AG29" s="424"/>
      <c r="AH29" s="393"/>
      <c r="AI29" s="393"/>
      <c r="AJ29" s="424"/>
      <c r="AK29" s="393"/>
      <c r="AL29" s="393"/>
      <c r="AM29" s="393"/>
      <c r="AN29" s="424"/>
      <c r="AO29" s="393"/>
      <c r="AP29" s="424"/>
      <c r="AQ29" s="424"/>
      <c r="AR29" s="393"/>
      <c r="AS29" s="424"/>
      <c r="AT29" s="424"/>
      <c r="AU29" s="424"/>
      <c r="AV29" s="424"/>
      <c r="AW29" s="424"/>
    </row>
    <row r="30" spans="1:49" x14ac:dyDescent="0.25">
      <c r="A30" s="371">
        <v>48030</v>
      </c>
      <c r="B30" s="358"/>
      <c r="C30" s="1002">
        <f>Combined!C56</f>
        <v>373200</v>
      </c>
      <c r="D30" s="1003"/>
      <c r="E30" s="1008"/>
      <c r="F30" s="1002"/>
      <c r="G30" s="1008"/>
      <c r="H30" s="1002"/>
      <c r="I30" s="1002">
        <f>Combined!I56</f>
        <v>664882.12</v>
      </c>
      <c r="J30" s="1002"/>
      <c r="K30" s="1002">
        <f>Combined!K56</f>
        <v>325246.88</v>
      </c>
      <c r="L30" s="1002"/>
      <c r="M30" s="1002">
        <f>Combined!M56</f>
        <v>292113.84999999998</v>
      </c>
      <c r="N30" s="1002"/>
      <c r="O30" s="1002">
        <f>Combined!O56</f>
        <v>52236.25</v>
      </c>
      <c r="P30" s="1002"/>
      <c r="Q30" s="1002">
        <f>'OM 25 YR Alt II'!M32</f>
        <v>938007.5</v>
      </c>
      <c r="R30" s="1002"/>
      <c r="S30" s="1002">
        <f>'SRF 30 YR Pooled Alt II'!M32</f>
        <v>2493379.5</v>
      </c>
      <c r="T30" s="358"/>
      <c r="U30" s="359">
        <f t="shared" si="0"/>
        <v>5139066.0999999996</v>
      </c>
      <c r="V30" s="358"/>
      <c r="W30" s="405"/>
      <c r="Y30" s="393"/>
      <c r="Z30" s="424"/>
      <c r="AA30" s="424"/>
      <c r="AB30" s="393"/>
      <c r="AC30" s="424"/>
      <c r="AD30" s="424"/>
      <c r="AE30" s="393"/>
      <c r="AF30" s="424"/>
      <c r="AG30" s="424"/>
      <c r="AH30" s="393"/>
      <c r="AI30" s="393"/>
      <c r="AJ30" s="424"/>
      <c r="AK30" s="393"/>
      <c r="AL30" s="393"/>
      <c r="AM30" s="393"/>
      <c r="AN30" s="424"/>
      <c r="AO30" s="393"/>
      <c r="AP30" s="424"/>
      <c r="AQ30" s="424"/>
      <c r="AR30" s="383"/>
      <c r="AS30" s="424"/>
      <c r="AT30" s="424"/>
      <c r="AU30" s="424"/>
      <c r="AV30" s="424"/>
      <c r="AW30" s="424"/>
    </row>
    <row r="31" spans="1:49" x14ac:dyDescent="0.25">
      <c r="A31" s="371">
        <v>48214</v>
      </c>
      <c r="B31" s="358"/>
      <c r="C31" s="1002">
        <f>Combined!C57</f>
        <v>1623200</v>
      </c>
      <c r="D31" s="1003"/>
      <c r="E31" s="1008"/>
      <c r="F31" s="1003"/>
      <c r="G31" s="1008"/>
      <c r="H31" s="1003"/>
      <c r="I31" s="1002">
        <f>Combined!I57</f>
        <v>4643070.12</v>
      </c>
      <c r="J31" s="1003"/>
      <c r="K31" s="1002">
        <f>Combined!K57</f>
        <v>2350246.88</v>
      </c>
      <c r="L31" s="1003"/>
      <c r="M31" s="1002">
        <f>Combined!M57</f>
        <v>5727113.8499999996</v>
      </c>
      <c r="N31" s="1003"/>
      <c r="O31" s="1002">
        <f>Combined!O57</f>
        <v>1287236.25</v>
      </c>
      <c r="P31" s="1002"/>
      <c r="Q31" s="1002">
        <f>'OM 25 YR Alt II'!M33</f>
        <v>938007.5</v>
      </c>
      <c r="R31" s="1003"/>
      <c r="S31" s="1002">
        <f>'SRF 30 YR Pooled Alt II'!M33</f>
        <v>2494379.5</v>
      </c>
      <c r="T31" s="358"/>
      <c r="U31" s="359">
        <f t="shared" si="0"/>
        <v>19063254.100000001</v>
      </c>
      <c r="V31" s="358"/>
      <c r="W31" s="405">
        <f t="shared" ref="W31" si="9">U30+U31</f>
        <v>24202320.200000003</v>
      </c>
      <c r="Y31" s="393"/>
      <c r="Z31" s="393"/>
      <c r="AA31" s="424"/>
      <c r="AB31" s="393"/>
      <c r="AC31" s="393"/>
      <c r="AD31" s="424"/>
      <c r="AE31" s="393"/>
      <c r="AF31" s="393"/>
      <c r="AG31" s="424"/>
      <c r="AH31" s="393"/>
      <c r="AI31" s="393"/>
      <c r="AJ31" s="424"/>
      <c r="AK31" s="393"/>
      <c r="AL31" s="393"/>
      <c r="AM31" s="393"/>
      <c r="AN31" s="424"/>
      <c r="AO31" s="393"/>
      <c r="AP31" s="424"/>
      <c r="AQ31" s="424"/>
      <c r="AR31" s="26"/>
      <c r="AS31" s="424"/>
      <c r="AT31" s="424"/>
      <c r="AU31" s="424"/>
      <c r="AV31" s="424"/>
      <c r="AW31" s="424"/>
    </row>
    <row r="32" spans="1:49" x14ac:dyDescent="0.25">
      <c r="A32" s="371">
        <v>48396</v>
      </c>
      <c r="B32" s="358"/>
      <c r="C32" s="1002">
        <f>Combined!C58</f>
        <v>348200</v>
      </c>
      <c r="D32" s="1003"/>
      <c r="E32" s="1008"/>
      <c r="F32" s="1003"/>
      <c r="G32" s="1008"/>
      <c r="H32" s="1003"/>
      <c r="I32" s="1002">
        <f>Combined!I58</f>
        <v>600236.56999999995</v>
      </c>
      <c r="J32" s="1003"/>
      <c r="K32" s="1002">
        <f>Combined!K58</f>
        <v>294871.88</v>
      </c>
      <c r="L32" s="1003"/>
      <c r="M32" s="1002">
        <f>Combined!M58</f>
        <v>225317.7</v>
      </c>
      <c r="N32" s="1003"/>
      <c r="O32" s="1002">
        <f>Combined!O58</f>
        <v>42973.75</v>
      </c>
      <c r="P32" s="1002"/>
      <c r="Q32" s="1002">
        <f>'OM 25 YR Alt II'!M34</f>
        <v>938007.5</v>
      </c>
      <c r="R32" s="1002"/>
      <c r="S32" s="1002">
        <f>'SRF 30 YR Pooled Alt II'!M34</f>
        <v>2493365.25</v>
      </c>
      <c r="T32" s="358"/>
      <c r="U32" s="359">
        <f t="shared" si="0"/>
        <v>4942972.6500000004</v>
      </c>
      <c r="V32" s="358"/>
      <c r="W32" s="405"/>
      <c r="Y32" s="393"/>
      <c r="Z32" s="424"/>
      <c r="AA32" s="424"/>
      <c r="AB32" s="393"/>
      <c r="AC32" s="424"/>
      <c r="AD32" s="424"/>
      <c r="AE32" s="393"/>
      <c r="AF32" s="424"/>
      <c r="AG32" s="424"/>
      <c r="AH32" s="393"/>
      <c r="AI32" s="393"/>
      <c r="AJ32" s="424"/>
      <c r="AK32" s="393"/>
      <c r="AL32" s="424"/>
      <c r="AM32" s="393"/>
      <c r="AN32" s="424"/>
      <c r="AO32" s="393"/>
      <c r="AP32" s="424"/>
      <c r="AQ32" s="424"/>
      <c r="AR32" s="424"/>
      <c r="AS32" s="424"/>
      <c r="AT32" s="424"/>
      <c r="AU32" s="424"/>
      <c r="AV32" s="424"/>
      <c r="AW32" s="424"/>
    </row>
    <row r="33" spans="1:49" x14ac:dyDescent="0.25">
      <c r="A33" s="371">
        <v>48580</v>
      </c>
      <c r="B33" s="358"/>
      <c r="C33" s="1002">
        <f>Combined!C59</f>
        <v>1598200</v>
      </c>
      <c r="D33" s="1003"/>
      <c r="E33" s="1008"/>
      <c r="F33" s="1003"/>
      <c r="G33" s="1008"/>
      <c r="H33" s="1003"/>
      <c r="I33" s="1002">
        <f>Combined!I59</f>
        <v>4707715.57</v>
      </c>
      <c r="J33" s="1003"/>
      <c r="K33" s="1002">
        <f>Combined!K59</f>
        <v>2384871.88</v>
      </c>
      <c r="L33" s="1003"/>
      <c r="M33" s="1002">
        <f>Combined!M59</f>
        <v>5840317.7000000002</v>
      </c>
      <c r="N33" s="1003"/>
      <c r="O33" s="1002">
        <f>Combined!O59</f>
        <v>1297973.75</v>
      </c>
      <c r="P33" s="1002"/>
      <c r="Q33" s="1002">
        <f>'OM 25 YR Alt II'!M35</f>
        <v>938007.5</v>
      </c>
      <c r="R33" s="1003"/>
      <c r="S33" s="1002">
        <f>'SRF 30 YR Pooled Alt II'!M35</f>
        <v>2494365.25</v>
      </c>
      <c r="T33" s="358"/>
      <c r="U33" s="359">
        <f t="shared" si="0"/>
        <v>19261451.649999999</v>
      </c>
      <c r="V33" s="996"/>
      <c r="W33" s="405">
        <f t="shared" ref="W33" si="10">U32+U33</f>
        <v>24204424.299999997</v>
      </c>
      <c r="Y33" s="393"/>
      <c r="Z33" s="393"/>
      <c r="AA33" s="424"/>
      <c r="AB33" s="393"/>
      <c r="AC33" s="393"/>
      <c r="AD33" s="424"/>
      <c r="AE33" s="393"/>
      <c r="AF33" s="393"/>
      <c r="AG33" s="424"/>
      <c r="AH33" s="1088"/>
      <c r="AI33" s="392"/>
      <c r="AJ33" s="392"/>
      <c r="AK33" s="1088"/>
      <c r="AL33" s="1099"/>
      <c r="AM33" s="392"/>
      <c r="AN33" s="424"/>
      <c r="AO33" s="392"/>
      <c r="AP33" s="424"/>
      <c r="AQ33" s="424"/>
      <c r="AR33" s="424"/>
      <c r="AS33" s="424"/>
      <c r="AT33" s="424"/>
      <c r="AU33" s="424"/>
      <c r="AV33" s="424"/>
      <c r="AW33" s="424"/>
    </row>
    <row r="34" spans="1:49" x14ac:dyDescent="0.25">
      <c r="A34" s="371">
        <v>48761</v>
      </c>
      <c r="B34" s="358"/>
      <c r="C34" s="1002">
        <f>Combined!C60</f>
        <v>323200</v>
      </c>
      <c r="D34" s="1003"/>
      <c r="E34" s="1008"/>
      <c r="F34" s="1003"/>
      <c r="G34" s="1008"/>
      <c r="H34" s="1003"/>
      <c r="I34" s="1002">
        <f>Combined!I60</f>
        <v>533490.04</v>
      </c>
      <c r="J34" s="1003"/>
      <c r="K34" s="1002">
        <f>Combined!K60</f>
        <v>263521.88</v>
      </c>
      <c r="L34" s="1003"/>
      <c r="M34" s="1002">
        <f>Combined!M60</f>
        <v>154905.60000000001</v>
      </c>
      <c r="N34" s="1003"/>
      <c r="O34" s="1002">
        <f>Combined!O60</f>
        <v>33247.5</v>
      </c>
      <c r="P34" s="1002"/>
      <c r="Q34" s="1002">
        <f>'OM 25 YR Alt II'!M36</f>
        <v>938007.5</v>
      </c>
      <c r="R34" s="1003"/>
      <c r="S34" s="1002">
        <f>'SRF 30 YR Pooled Alt II'!M36</f>
        <v>2493351</v>
      </c>
      <c r="T34" s="358"/>
      <c r="U34" s="359">
        <f t="shared" si="0"/>
        <v>4739723.5199999996</v>
      </c>
      <c r="V34" s="996"/>
      <c r="W34" s="405"/>
      <c r="Y34" s="393"/>
      <c r="Z34" s="424"/>
      <c r="AA34" s="424"/>
      <c r="AB34" s="393"/>
      <c r="AC34" s="424"/>
      <c r="AD34" s="424"/>
      <c r="AE34" s="393"/>
      <c r="AF34" s="424"/>
      <c r="AG34" s="424"/>
      <c r="AH34" s="424"/>
      <c r="AI34" s="362"/>
      <c r="AJ34" s="424"/>
      <c r="AK34" s="424"/>
      <c r="AL34" s="393"/>
      <c r="AM34" s="362"/>
      <c r="AN34" s="424"/>
      <c r="AO34" s="362"/>
      <c r="AP34" s="424"/>
      <c r="AQ34" s="424"/>
      <c r="AR34" s="424"/>
      <c r="AS34" s="424"/>
      <c r="AT34" s="424"/>
      <c r="AU34" s="424"/>
      <c r="AV34" s="424"/>
      <c r="AW34" s="424"/>
    </row>
    <row r="35" spans="1:49" x14ac:dyDescent="0.25">
      <c r="A35" s="371">
        <v>48945</v>
      </c>
      <c r="B35" s="358"/>
      <c r="C35" s="1002">
        <f>Combined!C61</f>
        <v>1583200</v>
      </c>
      <c r="D35" s="1003"/>
      <c r="E35" s="1008"/>
      <c r="F35" s="1003"/>
      <c r="G35" s="1008"/>
      <c r="H35" s="1003"/>
      <c r="I35" s="1002">
        <f>Combined!I61</f>
        <v>4774463.04</v>
      </c>
      <c r="J35" s="1003"/>
      <c r="K35" s="1002">
        <f>Combined!K61</f>
        <v>2428521.88</v>
      </c>
      <c r="L35" s="1003"/>
      <c r="M35" s="1002">
        <f>Combined!M61</f>
        <v>5959905.5999999996</v>
      </c>
      <c r="N35" s="1003"/>
      <c r="O35" s="1002">
        <f>Combined!O61</f>
        <v>1288247.5</v>
      </c>
      <c r="P35" s="1002"/>
      <c r="Q35" s="1002">
        <f>'OM 25 YR Alt II'!M37</f>
        <v>938007.5</v>
      </c>
      <c r="R35" s="1003"/>
      <c r="S35" s="1002">
        <f>'SRF 30 YR Pooled Alt II'!M37</f>
        <v>2494351</v>
      </c>
      <c r="T35" s="358"/>
      <c r="U35" s="359">
        <f t="shared" si="0"/>
        <v>19466696.52</v>
      </c>
      <c r="V35" s="996"/>
      <c r="W35" s="405">
        <f t="shared" ref="W35" si="11">U34+U35</f>
        <v>24206420.039999999</v>
      </c>
      <c r="Y35" s="393"/>
      <c r="Z35" s="393"/>
      <c r="AA35" s="424"/>
      <c r="AB35" s="393"/>
      <c r="AC35" s="393"/>
      <c r="AD35" s="424"/>
      <c r="AE35" s="393"/>
      <c r="AF35" s="393"/>
      <c r="AG35" s="424"/>
      <c r="AH35" s="393"/>
      <c r="AI35" s="424"/>
      <c r="AJ35" s="424"/>
      <c r="AK35" s="424"/>
      <c r="AL35" s="393"/>
      <c r="AM35" s="424"/>
      <c r="AN35" s="424"/>
      <c r="AO35" s="424"/>
      <c r="AP35" s="424"/>
      <c r="AQ35" s="424"/>
      <c r="AR35" s="424"/>
      <c r="AS35" s="424"/>
      <c r="AT35" s="424"/>
      <c r="AU35" s="424"/>
      <c r="AV35" s="424"/>
      <c r="AW35" s="424"/>
    </row>
    <row r="36" spans="1:49" x14ac:dyDescent="0.25">
      <c r="A36" s="371">
        <v>49126</v>
      </c>
      <c r="B36" s="405"/>
      <c r="C36" s="1001">
        <f>Combined!C62</f>
        <v>298000</v>
      </c>
      <c r="D36" s="1003"/>
      <c r="E36" s="1005"/>
      <c r="F36" s="1003"/>
      <c r="G36" s="1005"/>
      <c r="H36" s="1003"/>
      <c r="I36" s="1001">
        <f>Combined!I62</f>
        <v>464574.22</v>
      </c>
      <c r="J36" s="1003"/>
      <c r="K36" s="1001">
        <f>Combined!K62</f>
        <v>231046.88</v>
      </c>
      <c r="L36" s="1003"/>
      <c r="M36" s="1001">
        <f>Combined!M62</f>
        <v>79208.399999999994</v>
      </c>
      <c r="N36" s="1003"/>
      <c r="O36" s="1001">
        <f>Combined!O62</f>
        <v>22893.75</v>
      </c>
      <c r="P36" s="1002"/>
      <c r="Q36" s="1002">
        <f>'OM 25 YR Alt II'!M38</f>
        <v>938007.5</v>
      </c>
      <c r="R36" s="1003"/>
      <c r="S36" s="1002">
        <f>'SRF 30 YR Pooled Alt II'!M38</f>
        <v>2493336.75</v>
      </c>
      <c r="T36" s="358"/>
      <c r="U36" s="359">
        <f t="shared" si="0"/>
        <v>4527067.5</v>
      </c>
      <c r="V36" s="390"/>
      <c r="W36" s="405"/>
      <c r="Y36" s="393"/>
      <c r="Z36" s="424"/>
      <c r="AA36" s="424"/>
      <c r="AB36" s="393"/>
      <c r="AC36" s="424"/>
      <c r="AD36" s="424"/>
      <c r="AE36" s="393"/>
      <c r="AF36" s="424"/>
      <c r="AG36" s="424"/>
      <c r="AH36" s="424"/>
      <c r="AI36" s="424"/>
      <c r="AJ36" s="424"/>
      <c r="AK36" s="424"/>
      <c r="AL36" s="393"/>
      <c r="AM36" s="424"/>
      <c r="AN36" s="424"/>
      <c r="AO36" s="424"/>
      <c r="AP36" s="424"/>
      <c r="AQ36" s="424"/>
      <c r="AR36" s="424"/>
      <c r="AS36" s="424"/>
      <c r="AT36" s="424"/>
      <c r="AU36" s="424"/>
      <c r="AV36" s="424"/>
      <c r="AW36" s="424"/>
    </row>
    <row r="37" spans="1:49" x14ac:dyDescent="0.25">
      <c r="A37" s="371">
        <v>49310</v>
      </c>
      <c r="B37" s="405"/>
      <c r="C37" s="1001">
        <f>Combined!C63</f>
        <v>1593000</v>
      </c>
      <c r="D37" s="1003"/>
      <c r="E37" s="1005"/>
      <c r="F37" s="1003"/>
      <c r="G37" s="1005"/>
      <c r="H37" s="1003"/>
      <c r="I37" s="1001">
        <f>Combined!I63</f>
        <v>4843378.22</v>
      </c>
      <c r="J37" s="1003"/>
      <c r="K37" s="1001">
        <f>Combined!K63</f>
        <v>2471046.88</v>
      </c>
      <c r="L37" s="1003"/>
      <c r="M37" s="1001">
        <f>Combined!M63</f>
        <v>6039208.4000000004</v>
      </c>
      <c r="N37" s="1003"/>
      <c r="O37" s="1001">
        <f>Combined!O63</f>
        <v>1297893.75</v>
      </c>
      <c r="P37" s="1002"/>
      <c r="Q37" s="1002">
        <f>'OM 25 YR Alt II'!M39</f>
        <v>938007.5</v>
      </c>
      <c r="R37" s="1003"/>
      <c r="S37" s="1002">
        <f>'SRF 30 YR Pooled Alt II'!M39</f>
        <v>2494336.75</v>
      </c>
      <c r="T37" s="358"/>
      <c r="U37" s="359">
        <f t="shared" si="0"/>
        <v>19676871.5</v>
      </c>
      <c r="V37" s="390"/>
      <c r="W37" s="405">
        <f t="shared" ref="W37" si="12">U36+U37</f>
        <v>24203939</v>
      </c>
      <c r="Y37" s="393"/>
      <c r="Z37" s="393"/>
      <c r="AA37" s="424"/>
      <c r="AB37" s="393"/>
      <c r="AC37" s="393"/>
      <c r="AD37" s="424"/>
      <c r="AE37" s="393"/>
      <c r="AF37" s="393"/>
      <c r="AG37" s="424"/>
      <c r="AH37" s="393"/>
      <c r="AI37" s="424"/>
      <c r="AJ37" s="424"/>
      <c r="AK37" s="424"/>
      <c r="AL37" s="393"/>
      <c r="AM37" s="424"/>
      <c r="AN37" s="424"/>
      <c r="AO37" s="424"/>
      <c r="AP37" s="424"/>
      <c r="AQ37" s="424"/>
      <c r="AR37" s="424"/>
      <c r="AS37" s="424"/>
      <c r="AT37" s="424"/>
      <c r="AU37" s="424"/>
      <c r="AV37" s="424"/>
      <c r="AW37" s="424"/>
    </row>
    <row r="38" spans="1:49" x14ac:dyDescent="0.25">
      <c r="A38" s="371">
        <v>49491</v>
      </c>
      <c r="B38" s="405"/>
      <c r="C38" s="1001">
        <f>Combined!C64</f>
        <v>272100</v>
      </c>
      <c r="D38" s="1003"/>
      <c r="E38" s="1005"/>
      <c r="F38" s="1003"/>
      <c r="G38" s="1005"/>
      <c r="H38" s="1003"/>
      <c r="I38" s="1001">
        <f>Combined!I64</f>
        <v>393418.66</v>
      </c>
      <c r="J38" s="1003"/>
      <c r="K38" s="1001">
        <f>Combined!K64</f>
        <v>197446.88</v>
      </c>
      <c r="L38" s="1003"/>
      <c r="M38" s="1005"/>
      <c r="N38" s="1003"/>
      <c r="O38" s="1001">
        <f>Combined!O64</f>
        <v>12375</v>
      </c>
      <c r="P38" s="1002"/>
      <c r="Q38" s="1002">
        <f>'OM 25 YR Alt II'!M40</f>
        <v>938007.5</v>
      </c>
      <c r="R38" s="1003"/>
      <c r="S38" s="1002">
        <f>'SRF 30 YR Pooled Alt II'!M40</f>
        <v>2493322.5</v>
      </c>
      <c r="T38" s="358"/>
      <c r="U38" s="359">
        <f t="shared" si="0"/>
        <v>4306670.54</v>
      </c>
      <c r="V38" s="390"/>
      <c r="W38" s="405"/>
      <c r="Y38" s="393"/>
      <c r="Z38" s="424"/>
      <c r="AA38" s="424"/>
      <c r="AB38" s="393"/>
      <c r="AC38" s="424"/>
      <c r="AD38" s="424"/>
      <c r="AE38" s="393"/>
      <c r="AF38" s="424"/>
      <c r="AG38" s="424"/>
      <c r="AH38" s="424"/>
      <c r="AI38" s="424"/>
      <c r="AJ38" s="424"/>
      <c r="AK38" s="424"/>
      <c r="AL38" s="393"/>
      <c r="AM38" s="424"/>
      <c r="AN38" s="424"/>
      <c r="AO38" s="424"/>
      <c r="AP38" s="424"/>
      <c r="AQ38" s="424"/>
      <c r="AR38" s="424"/>
      <c r="AS38" s="424"/>
      <c r="AT38" s="424"/>
      <c r="AU38" s="424"/>
      <c r="AV38" s="424"/>
      <c r="AW38" s="424"/>
    </row>
    <row r="39" spans="1:49" x14ac:dyDescent="0.25">
      <c r="A39" s="371">
        <v>49675</v>
      </c>
      <c r="B39" s="405"/>
      <c r="C39" s="1001">
        <f>Combined!C65</f>
        <v>3642100</v>
      </c>
      <c r="D39" s="1003"/>
      <c r="E39" s="1005"/>
      <c r="F39" s="1003"/>
      <c r="G39" s="1005"/>
      <c r="H39" s="1003"/>
      <c r="I39" s="1001">
        <f>Combined!I65</f>
        <v>4914533.66</v>
      </c>
      <c r="J39" s="1003"/>
      <c r="K39" s="1001">
        <f>Combined!K65</f>
        <v>2522446.88</v>
      </c>
      <c r="L39" s="1003"/>
      <c r="M39" s="1005"/>
      <c r="N39" s="1003"/>
      <c r="O39" s="1001">
        <f>Combined!O65</f>
        <v>1387375</v>
      </c>
      <c r="P39" s="1002"/>
      <c r="Q39" s="1002">
        <f>'OM 25 YR Alt II'!M41</f>
        <v>4508007.5</v>
      </c>
      <c r="R39" s="1003"/>
      <c r="S39" s="1002">
        <f>'SRF 30 YR Pooled Alt II'!M41</f>
        <v>2923322.5</v>
      </c>
      <c r="T39" s="358"/>
      <c r="U39" s="359">
        <f t="shared" si="0"/>
        <v>19897785.539999999</v>
      </c>
      <c r="V39" s="390"/>
      <c r="W39" s="405">
        <f t="shared" ref="W39" si="13">U38+U39</f>
        <v>24204456.079999998</v>
      </c>
      <c r="Y39" s="393"/>
      <c r="Z39" s="393"/>
      <c r="AA39" s="424"/>
      <c r="AB39" s="393"/>
      <c r="AC39" s="393"/>
      <c r="AD39" s="424"/>
      <c r="AE39" s="393"/>
      <c r="AF39" s="393"/>
      <c r="AG39" s="424"/>
      <c r="AH39" s="424"/>
      <c r="AI39" s="424"/>
      <c r="AJ39" s="424"/>
      <c r="AK39" s="424"/>
      <c r="AL39" s="362"/>
      <c r="AM39" s="424"/>
      <c r="AN39" s="424"/>
      <c r="AO39" s="424"/>
      <c r="AP39" s="424"/>
      <c r="AQ39" s="424"/>
      <c r="AR39" s="424"/>
      <c r="AS39" s="424"/>
      <c r="AT39" s="424"/>
      <c r="AU39" s="424"/>
      <c r="AV39" s="424"/>
      <c r="AW39" s="424"/>
    </row>
    <row r="40" spans="1:49" x14ac:dyDescent="0.25">
      <c r="A40" s="371">
        <v>49857</v>
      </c>
      <c r="B40" s="405"/>
      <c r="C40" s="1001">
        <f>Combined!C66</f>
        <v>204700</v>
      </c>
      <c r="D40" s="1003"/>
      <c r="E40" s="1005"/>
      <c r="F40" s="1003"/>
      <c r="G40" s="1005"/>
      <c r="H40" s="1003"/>
      <c r="I40" s="1001">
        <f>Combined!I66</f>
        <v>319950.53999999998</v>
      </c>
      <c r="J40" s="1003"/>
      <c r="K40" s="1001">
        <f>Combined!K66</f>
        <v>162571.88</v>
      </c>
      <c r="L40" s="1003"/>
      <c r="M40" s="1005"/>
      <c r="N40" s="1006"/>
      <c r="O40" s="1005"/>
      <c r="P40" s="1002"/>
      <c r="Q40" s="1002">
        <f>'OM 25 YR Alt II'!M42</f>
        <v>896952.5</v>
      </c>
      <c r="R40" s="1003"/>
      <c r="S40" s="1002">
        <f>'SRF 30 YR Pooled Alt II'!M42</f>
        <v>2487195</v>
      </c>
      <c r="T40" s="358"/>
      <c r="U40" s="359">
        <f t="shared" si="0"/>
        <v>4071369.92</v>
      </c>
      <c r="V40" s="390"/>
      <c r="W40" s="405"/>
      <c r="Y40" s="393"/>
      <c r="Z40" s="424"/>
      <c r="AA40" s="424"/>
      <c r="AB40" s="393"/>
      <c r="AC40" s="424"/>
      <c r="AD40" s="424"/>
      <c r="AE40" s="393"/>
      <c r="AF40" s="424"/>
      <c r="AG40" s="424"/>
      <c r="AH40" s="424"/>
      <c r="AI40" s="424"/>
      <c r="AJ40" s="424"/>
      <c r="AK40" s="424"/>
      <c r="AL40" s="424"/>
      <c r="AM40" s="424"/>
      <c r="AN40" s="424"/>
      <c r="AO40" s="424"/>
      <c r="AP40" s="424"/>
      <c r="AQ40" s="424"/>
      <c r="AR40" s="424"/>
      <c r="AS40" s="424"/>
      <c r="AT40" s="424"/>
      <c r="AU40" s="424"/>
      <c r="AV40" s="424"/>
      <c r="AW40" s="424"/>
    </row>
    <row r="41" spans="1:49" x14ac:dyDescent="0.25">
      <c r="A41" s="371">
        <v>50041</v>
      </c>
      <c r="B41" s="405"/>
      <c r="C41" s="1001">
        <f>Combined!C67</f>
        <v>5219700</v>
      </c>
      <c r="D41" s="1003"/>
      <c r="E41" s="1005"/>
      <c r="F41" s="1003"/>
      <c r="G41" s="1005"/>
      <c r="H41" s="1003"/>
      <c r="I41" s="1001">
        <f>Combined!I67</f>
        <v>4988002.54</v>
      </c>
      <c r="J41" s="1003"/>
      <c r="K41" s="1001">
        <f>Combined!K67</f>
        <v>2572571.88</v>
      </c>
      <c r="L41" s="1003"/>
      <c r="M41" s="1005"/>
      <c r="N41" s="1006"/>
      <c r="O41" s="1005"/>
      <c r="P41" s="1002"/>
      <c r="Q41" s="1002">
        <f>'OM 25 YR Alt II'!M43</f>
        <v>4411952.5</v>
      </c>
      <c r="R41" s="1003"/>
      <c r="S41" s="1002">
        <f>'SRF 30 YR Pooled Alt II'!M43</f>
        <v>2941195</v>
      </c>
      <c r="T41" s="358"/>
      <c r="U41" s="359">
        <f t="shared" si="0"/>
        <v>20133421.919999998</v>
      </c>
      <c r="V41" s="390"/>
      <c r="W41" s="405">
        <f t="shared" ref="W41" si="14">U40+U41</f>
        <v>24204791.839999996</v>
      </c>
      <c r="Y41" s="393"/>
      <c r="Z41" s="393"/>
      <c r="AA41" s="424"/>
      <c r="AB41" s="393"/>
      <c r="AC41" s="393"/>
      <c r="AD41" s="424"/>
      <c r="AE41" s="393"/>
      <c r="AF41" s="393"/>
      <c r="AG41" s="424"/>
      <c r="AH41" s="424"/>
      <c r="AI41" s="424"/>
      <c r="AJ41" s="424"/>
      <c r="AK41" s="424"/>
      <c r="AL41" s="424"/>
      <c r="AM41" s="424"/>
      <c r="AN41" s="424"/>
      <c r="AO41" s="424"/>
      <c r="AP41" s="424"/>
      <c r="AQ41" s="424"/>
      <c r="AR41" s="424"/>
      <c r="AS41" s="424"/>
      <c r="AT41" s="424"/>
      <c r="AU41" s="424"/>
      <c r="AV41" s="424"/>
      <c r="AW41" s="424"/>
    </row>
    <row r="42" spans="1:49" x14ac:dyDescent="0.25">
      <c r="A42" s="371">
        <v>50222</v>
      </c>
      <c r="B42" s="405"/>
      <c r="C42" s="1001">
        <f>Combined!C68</f>
        <v>104400</v>
      </c>
      <c r="D42" s="1003"/>
      <c r="E42" s="1005"/>
      <c r="F42" s="1003"/>
      <c r="G42" s="1005"/>
      <c r="H42" s="1003"/>
      <c r="I42" s="1001">
        <f>Combined!I68</f>
        <v>244094.7</v>
      </c>
      <c r="J42" s="1003"/>
      <c r="K42" s="1001">
        <f>Combined!K68</f>
        <v>124915.63</v>
      </c>
      <c r="L42" s="1003"/>
      <c r="M42" s="1005"/>
      <c r="N42" s="1006"/>
      <c r="O42" s="1005"/>
      <c r="P42" s="1002"/>
      <c r="Q42" s="1002">
        <f>'OM 25 YR Alt II'!M44</f>
        <v>854772.5</v>
      </c>
      <c r="R42" s="1003"/>
      <c r="S42" s="1002">
        <f>'SRF 30 YR Pooled Alt II'!M44</f>
        <v>2480725.5</v>
      </c>
      <c r="T42" s="358"/>
      <c r="U42" s="359">
        <f t="shared" si="0"/>
        <v>3808908.33</v>
      </c>
      <c r="V42" s="390"/>
      <c r="W42" s="405"/>
      <c r="Y42" s="393"/>
      <c r="Z42" s="424"/>
      <c r="AA42" s="424"/>
      <c r="AB42" s="393"/>
      <c r="AC42" s="424"/>
      <c r="AD42" s="424"/>
      <c r="AE42" s="393"/>
      <c r="AF42" s="424"/>
      <c r="AG42" s="424"/>
      <c r="AH42" s="424"/>
      <c r="AI42" s="424"/>
      <c r="AJ42" s="424"/>
      <c r="AK42" s="424"/>
      <c r="AL42" s="424"/>
      <c r="AM42" s="424"/>
      <c r="AN42" s="424"/>
      <c r="AO42" s="424"/>
      <c r="AP42" s="424"/>
      <c r="AQ42" s="424"/>
      <c r="AR42" s="424"/>
      <c r="AS42" s="424"/>
      <c r="AT42" s="424"/>
      <c r="AU42" s="424"/>
      <c r="AV42" s="424"/>
      <c r="AW42" s="424"/>
    </row>
    <row r="43" spans="1:49" x14ac:dyDescent="0.25">
      <c r="A43" s="371">
        <v>50406</v>
      </c>
      <c r="B43" s="393"/>
      <c r="C43" s="1001">
        <f>Combined!C69</f>
        <v>5324400</v>
      </c>
      <c r="D43" s="1003"/>
      <c r="E43" s="1005"/>
      <c r="F43" s="1003"/>
      <c r="G43" s="1005"/>
      <c r="H43" s="1003"/>
      <c r="I43" s="1001">
        <f>Combined!I69</f>
        <v>5063857.7</v>
      </c>
      <c r="J43" s="1003"/>
      <c r="K43" s="1001">
        <f>Combined!K69</f>
        <v>2634915.63</v>
      </c>
      <c r="L43" s="1003"/>
      <c r="M43" s="1005"/>
      <c r="N43" s="1006"/>
      <c r="O43" s="1005"/>
      <c r="P43" s="1003"/>
      <c r="Q43" s="1002">
        <f>'OM 25 YR Alt II'!M45</f>
        <v>4414772.5</v>
      </c>
      <c r="R43" s="1003"/>
      <c r="S43" s="1002">
        <f>'SRF 30 YR Pooled Alt II'!M45</f>
        <v>2957725.5</v>
      </c>
      <c r="T43" s="359"/>
      <c r="U43" s="359">
        <f t="shared" si="0"/>
        <v>20395671.329999998</v>
      </c>
      <c r="V43" s="390"/>
      <c r="W43" s="405">
        <f t="shared" ref="W43" si="15">U42+U43</f>
        <v>24204579.659999996</v>
      </c>
      <c r="Y43" s="393"/>
      <c r="Z43" s="393"/>
      <c r="AA43" s="424"/>
      <c r="AB43" s="393"/>
      <c r="AC43" s="393"/>
      <c r="AD43" s="424"/>
      <c r="AE43" s="393"/>
      <c r="AF43" s="393"/>
      <c r="AG43" s="424"/>
      <c r="AH43" s="424"/>
      <c r="AI43" s="424"/>
      <c r="AJ43" s="424"/>
      <c r="AK43" s="424"/>
      <c r="AL43" s="424"/>
      <c r="AM43" s="424"/>
      <c r="AN43" s="424"/>
      <c r="AO43" s="424"/>
      <c r="AP43" s="424"/>
      <c r="AQ43" s="424"/>
      <c r="AR43" s="424"/>
      <c r="AS43" s="424"/>
      <c r="AT43" s="424"/>
      <c r="AU43" s="424"/>
      <c r="AV43" s="424"/>
      <c r="AW43" s="424"/>
    </row>
    <row r="44" spans="1:49" x14ac:dyDescent="0.25">
      <c r="A44" s="371">
        <v>50587</v>
      </c>
      <c r="B44" s="393"/>
      <c r="C44" s="1005"/>
      <c r="D44" s="1003"/>
      <c r="E44" s="1005"/>
      <c r="F44" s="1003"/>
      <c r="G44" s="1005"/>
      <c r="H44" s="1003"/>
      <c r="I44" s="1001">
        <f>Combined!I70</f>
        <v>2753999.55</v>
      </c>
      <c r="J44" s="1003"/>
      <c r="K44" s="1001">
        <f>Combined!K70</f>
        <v>1390696.88</v>
      </c>
      <c r="L44" s="1003"/>
      <c r="M44" s="1005"/>
      <c r="N44" s="1006"/>
      <c r="O44" s="1005"/>
      <c r="P44" s="1003"/>
      <c r="Q44" s="1002">
        <f>'OM 25 YR Alt II'!M46</f>
        <v>2780272.5</v>
      </c>
      <c r="R44" s="1003"/>
      <c r="S44" s="1002">
        <f>'SRF 30 YR Pooled Alt II'!M46</f>
        <v>5231928.25</v>
      </c>
      <c r="T44" s="359"/>
      <c r="U44" s="359">
        <f t="shared" si="0"/>
        <v>12156897.18</v>
      </c>
      <c r="V44" s="390"/>
      <c r="W44" s="405"/>
      <c r="Y44" s="393"/>
      <c r="Z44" s="424"/>
      <c r="AA44" s="424"/>
      <c r="AB44" s="393"/>
      <c r="AC44" s="424"/>
      <c r="AD44" s="424"/>
      <c r="AE44" s="393"/>
      <c r="AF44" s="424"/>
      <c r="AG44" s="424"/>
      <c r="AH44" s="424"/>
      <c r="AI44" s="424"/>
      <c r="AJ44" s="424"/>
      <c r="AK44" s="424"/>
      <c r="AL44" s="424"/>
      <c r="AM44" s="424"/>
      <c r="AN44" s="424"/>
      <c r="AO44" s="424"/>
      <c r="AP44" s="424"/>
      <c r="AQ44" s="424"/>
      <c r="AR44" s="424"/>
      <c r="AS44" s="424"/>
      <c r="AT44" s="424"/>
      <c r="AU44" s="424"/>
      <c r="AV44" s="424"/>
      <c r="AW44" s="424"/>
    </row>
    <row r="45" spans="1:49" x14ac:dyDescent="0.25">
      <c r="A45" s="371">
        <v>50771</v>
      </c>
      <c r="B45" s="393"/>
      <c r="C45" s="1005"/>
      <c r="D45" s="1003"/>
      <c r="E45" s="1005"/>
      <c r="F45" s="1003"/>
      <c r="G45" s="1005"/>
      <c r="H45" s="1003"/>
      <c r="I45" s="1001">
        <f>Combined!I71</f>
        <v>2553999.87</v>
      </c>
      <c r="J45" s="1003"/>
      <c r="K45" s="1001">
        <f>Combined!K71</f>
        <v>1395306.25</v>
      </c>
      <c r="L45" s="1003"/>
      <c r="M45" s="1005"/>
      <c r="N45" s="1006"/>
      <c r="O45" s="1005"/>
      <c r="P45" s="1003"/>
      <c r="Q45" s="1002">
        <f>'OM 25 YR Alt II'!M47</f>
        <v>2780647.5</v>
      </c>
      <c r="R45" s="1003"/>
      <c r="S45" s="1002">
        <f>'SRF 30 YR Pooled Alt II'!M47</f>
        <v>5228626.75</v>
      </c>
      <c r="T45" s="359"/>
      <c r="U45" s="359">
        <f t="shared" si="0"/>
        <v>11958580.370000001</v>
      </c>
      <c r="V45" s="390"/>
      <c r="W45" s="405">
        <f t="shared" ref="W45" si="16">U44+U45</f>
        <v>24115477.550000001</v>
      </c>
      <c r="Y45" s="393"/>
      <c r="Z45" s="393"/>
      <c r="AA45" s="424"/>
      <c r="AB45" s="393"/>
      <c r="AC45" s="393"/>
      <c r="AD45" s="424"/>
      <c r="AE45" s="393"/>
      <c r="AF45" s="393"/>
      <c r="AG45" s="424"/>
      <c r="AH45" s="424"/>
      <c r="AI45" s="424"/>
      <c r="AJ45" s="424"/>
      <c r="AK45" s="424"/>
      <c r="AL45" s="424"/>
      <c r="AM45" s="424"/>
      <c r="AN45" s="424"/>
      <c r="AO45" s="424"/>
      <c r="AP45" s="424"/>
      <c r="AQ45" s="424"/>
      <c r="AR45" s="424"/>
      <c r="AS45" s="424"/>
      <c r="AT45" s="424"/>
      <c r="AU45" s="424"/>
      <c r="AV45" s="424"/>
      <c r="AW45" s="424"/>
    </row>
    <row r="46" spans="1:49" x14ac:dyDescent="0.25">
      <c r="A46" s="371">
        <v>50952</v>
      </c>
      <c r="B46" s="393"/>
      <c r="C46" s="1005"/>
      <c r="D46" s="1004"/>
      <c r="E46" s="1005"/>
      <c r="F46" s="1004"/>
      <c r="G46" s="1005"/>
      <c r="H46" s="1004"/>
      <c r="I46" s="1001">
        <f>Combined!I72</f>
        <v>2753999.74</v>
      </c>
      <c r="J46" s="1004"/>
      <c r="K46" s="1001">
        <f>Combined!K72</f>
        <v>1399525</v>
      </c>
      <c r="L46" s="1004"/>
      <c r="M46" s="1005"/>
      <c r="N46" s="1007"/>
      <c r="O46" s="1005"/>
      <c r="P46" s="1004"/>
      <c r="Q46" s="1002">
        <f>'OM 25 YR Alt II'!M48</f>
        <v>2769712.5</v>
      </c>
      <c r="R46" s="1003"/>
      <c r="S46" s="1002">
        <f>'SRF 30 YR Pooled Alt II'!M48</f>
        <v>5225812.25</v>
      </c>
      <c r="T46" s="393"/>
      <c r="U46" s="359">
        <f t="shared" si="0"/>
        <v>12149049.49</v>
      </c>
      <c r="W46" s="405"/>
      <c r="Y46" s="393"/>
      <c r="Z46" s="424"/>
      <c r="AA46" s="424"/>
      <c r="AB46" s="393"/>
      <c r="AC46" s="424"/>
      <c r="AD46" s="424"/>
      <c r="AE46" s="393"/>
      <c r="AF46" s="424"/>
      <c r="AG46" s="424"/>
      <c r="AH46" s="424"/>
      <c r="AI46" s="424"/>
      <c r="AJ46" s="424"/>
      <c r="AK46" s="424"/>
      <c r="AL46" s="424"/>
      <c r="AM46" s="424"/>
      <c r="AN46" s="424"/>
      <c r="AO46" s="424"/>
      <c r="AP46" s="424"/>
      <c r="AQ46" s="424"/>
      <c r="AR46" s="424"/>
      <c r="AS46" s="424"/>
      <c r="AT46" s="424"/>
      <c r="AU46" s="424"/>
      <c r="AV46" s="424"/>
      <c r="AW46" s="424"/>
    </row>
    <row r="47" spans="1:49" x14ac:dyDescent="0.25">
      <c r="A47" s="371">
        <v>51136</v>
      </c>
      <c r="B47" s="393"/>
      <c r="C47" s="1007"/>
      <c r="D47" s="1004"/>
      <c r="E47" s="1007"/>
      <c r="F47" s="1004"/>
      <c r="G47" s="1007"/>
      <c r="H47" s="1004"/>
      <c r="I47" s="1004">
        <f>Combined!I73</f>
        <v>2553999.87</v>
      </c>
      <c r="J47" s="1004"/>
      <c r="K47" s="1004">
        <f>Combined!K73</f>
        <v>1407506.25</v>
      </c>
      <c r="L47" s="1004"/>
      <c r="M47" s="1007"/>
      <c r="N47" s="1007"/>
      <c r="O47" s="1007"/>
      <c r="P47" s="1004"/>
      <c r="Q47" s="1002">
        <f>'OM 25 YR Alt II'!M49</f>
        <v>2773582.5</v>
      </c>
      <c r="R47" s="1003"/>
      <c r="S47" s="1002">
        <f>'SRF 30 YR Pooled Alt II'!M49</f>
        <v>5222470.5</v>
      </c>
      <c r="T47" s="393"/>
      <c r="U47" s="359">
        <f t="shared" si="0"/>
        <v>11957559.120000001</v>
      </c>
      <c r="W47" s="405">
        <f t="shared" ref="W47:W67" si="17">U46+U47</f>
        <v>24106608.609999999</v>
      </c>
      <c r="Y47" s="405"/>
      <c r="Z47" s="405"/>
      <c r="AB47" s="405"/>
      <c r="AC47" s="405"/>
      <c r="AE47" s="405"/>
      <c r="AF47" s="405"/>
      <c r="AG47" s="425"/>
      <c r="AH47" s="425"/>
      <c r="AI47" s="425"/>
    </row>
    <row r="48" spans="1:49" s="424" customFormat="1" x14ac:dyDescent="0.25">
      <c r="A48" s="371">
        <v>51318</v>
      </c>
      <c r="Q48" s="1002">
        <f>'OM 25 YR Alt II'!M50</f>
        <v>2881042.5</v>
      </c>
      <c r="S48" s="1002">
        <f>'SRF 30 YR Pooled Alt II'!M50</f>
        <v>9166601.5</v>
      </c>
      <c r="U48" s="359">
        <f t="shared" si="0"/>
        <v>12047644</v>
      </c>
      <c r="W48" s="405"/>
      <c r="Y48" s="405"/>
      <c r="Z48" s="411"/>
      <c r="AB48" s="405"/>
      <c r="AC48" s="411"/>
      <c r="AE48" s="405"/>
      <c r="AF48" s="411"/>
      <c r="AH48" s="362"/>
    </row>
    <row r="49" spans="1:41" x14ac:dyDescent="0.25">
      <c r="A49" s="371">
        <v>51502</v>
      </c>
      <c r="Q49" s="1002">
        <f>'OM 25 YR Alt II'!M51</f>
        <v>2876680</v>
      </c>
      <c r="R49" s="411"/>
      <c r="S49" s="1002">
        <f>'SRF 30 YR Pooled Alt II'!M51</f>
        <v>9163946.25</v>
      </c>
      <c r="U49" s="359">
        <f t="shared" si="0"/>
        <v>12040626.25</v>
      </c>
      <c r="W49" s="405">
        <f t="shared" si="17"/>
        <v>24088270.25</v>
      </c>
      <c r="X49" s="730"/>
      <c r="Y49" s="405"/>
      <c r="Z49" s="405"/>
      <c r="AB49" s="405"/>
      <c r="AC49" s="405"/>
      <c r="AE49" s="405"/>
      <c r="AF49" s="405"/>
    </row>
    <row r="50" spans="1:41" x14ac:dyDescent="0.25">
      <c r="A50" s="371">
        <v>51683</v>
      </c>
      <c r="Q50" s="1002">
        <f>'OM 25 YR Alt II'!M52</f>
        <v>2880880</v>
      </c>
      <c r="R50" s="411"/>
      <c r="S50" s="1002">
        <f>'SRF 30 YR Pooled Alt II'!M52</f>
        <v>9159937.25</v>
      </c>
      <c r="U50" s="359">
        <f t="shared" si="0"/>
        <v>12040817.25</v>
      </c>
      <c r="W50" s="405"/>
      <c r="Y50" s="405"/>
      <c r="AB50" s="405"/>
      <c r="AE50" s="405"/>
    </row>
    <row r="51" spans="1:41" ht="16.5" customHeight="1" x14ac:dyDescent="0.25">
      <c r="A51" s="371">
        <v>51867</v>
      </c>
      <c r="Q51" s="1002">
        <f>'OM 25 YR Alt II'!M53</f>
        <v>2874590</v>
      </c>
      <c r="R51" s="411"/>
      <c r="S51" s="1002">
        <f>'SRF 30 YR Pooled Alt II'!M53</f>
        <v>9160574.5</v>
      </c>
      <c r="U51" s="359">
        <f t="shared" si="0"/>
        <v>12035164.5</v>
      </c>
      <c r="W51" s="405">
        <f t="shared" si="17"/>
        <v>24075981.75</v>
      </c>
      <c r="X51" s="418"/>
      <c r="Y51" s="405"/>
      <c r="Z51" s="405"/>
      <c r="AB51" s="405"/>
      <c r="AC51" s="405"/>
      <c r="AE51" s="405"/>
      <c r="AF51" s="405"/>
      <c r="AG51" s="414"/>
      <c r="AH51" s="424"/>
      <c r="AI51" s="424"/>
      <c r="AJ51" s="424"/>
      <c r="AK51" s="424"/>
      <c r="AL51" s="424"/>
    </row>
    <row r="52" spans="1:41" x14ac:dyDescent="0.25">
      <c r="A52" s="371">
        <v>52048</v>
      </c>
      <c r="B52" s="414"/>
      <c r="C52" s="418"/>
      <c r="D52" s="418"/>
      <c r="E52" s="418"/>
      <c r="F52" s="418"/>
      <c r="G52" s="418"/>
      <c r="H52" s="418"/>
      <c r="I52" s="418"/>
      <c r="J52" s="418"/>
      <c r="K52" s="418"/>
      <c r="L52" s="418"/>
      <c r="M52" s="418"/>
      <c r="N52" s="418"/>
      <c r="O52" s="418"/>
      <c r="P52" s="414"/>
      <c r="Q52" s="1002">
        <f>'OM 25 YR Alt II'!M54</f>
        <v>2876820</v>
      </c>
      <c r="R52" s="197"/>
      <c r="S52" s="1002">
        <f>'SRF 30 YR Pooled Alt II'!M54</f>
        <v>9155772.5</v>
      </c>
      <c r="T52" s="414"/>
      <c r="U52" s="359">
        <f t="shared" si="0"/>
        <v>12032592.5</v>
      </c>
      <c r="V52" s="418"/>
      <c r="W52" s="405"/>
      <c r="X52" s="418"/>
      <c r="Y52" s="405"/>
      <c r="AB52" s="405"/>
      <c r="AE52" s="405"/>
      <c r="AG52" s="414"/>
      <c r="AH52" s="424"/>
      <c r="AI52" s="424"/>
      <c r="AJ52" s="424"/>
      <c r="AK52" s="424"/>
      <c r="AL52" s="424"/>
    </row>
    <row r="53" spans="1:41" x14ac:dyDescent="0.25">
      <c r="A53" s="371">
        <v>52232</v>
      </c>
      <c r="B53" s="414"/>
      <c r="C53" s="414"/>
      <c r="D53" s="414"/>
      <c r="E53" s="414"/>
      <c r="F53" s="414"/>
      <c r="G53" s="414"/>
      <c r="H53" s="414"/>
      <c r="I53" s="414"/>
      <c r="J53" s="414"/>
      <c r="K53" s="414"/>
      <c r="L53" s="414"/>
      <c r="M53" s="414"/>
      <c r="N53" s="414"/>
      <c r="O53" s="414"/>
      <c r="P53" s="414"/>
      <c r="Q53" s="1002">
        <f>'OM 25 YR Alt II'!M55</f>
        <v>2878542.5</v>
      </c>
      <c r="R53" s="172"/>
      <c r="S53" s="1002">
        <f>'SRF 30 YR Pooled Alt II'!M55</f>
        <v>9152588.25</v>
      </c>
      <c r="T53" s="414"/>
      <c r="U53" s="359">
        <f t="shared" si="0"/>
        <v>12031130.75</v>
      </c>
      <c r="V53" s="418"/>
      <c r="W53" s="405">
        <f t="shared" si="17"/>
        <v>24063723.25</v>
      </c>
      <c r="X53" s="418"/>
      <c r="Y53" s="405"/>
      <c r="Z53" s="405"/>
      <c r="AB53" s="405"/>
      <c r="AC53" s="405"/>
      <c r="AE53" s="405"/>
      <c r="AF53" s="405"/>
      <c r="AG53" s="414"/>
      <c r="AH53" s="417"/>
      <c r="AI53" s="414"/>
      <c r="AJ53" s="414"/>
      <c r="AK53" s="414"/>
      <c r="AL53" s="419"/>
      <c r="AM53" s="414"/>
      <c r="AN53" s="418"/>
      <c r="AO53" s="418"/>
    </row>
    <row r="54" spans="1:41" x14ac:dyDescent="0.25">
      <c r="A54" s="371">
        <v>52413</v>
      </c>
      <c r="B54" s="414"/>
      <c r="C54" s="414"/>
      <c r="D54" s="414"/>
      <c r="E54" s="414"/>
      <c r="F54" s="414"/>
      <c r="G54" s="414"/>
      <c r="H54" s="414"/>
      <c r="I54" s="414"/>
      <c r="J54" s="414"/>
      <c r="K54" s="414"/>
      <c r="L54" s="414"/>
      <c r="M54" s="414"/>
      <c r="N54" s="414"/>
      <c r="O54" s="414"/>
      <c r="P54" s="414"/>
      <c r="Q54" s="1002">
        <f>'OM 25 YR Alt II'!M56</f>
        <v>2873592.5</v>
      </c>
      <c r="R54" s="172"/>
      <c r="S54" s="1002">
        <f>'SRF 30 YR Pooled Alt II'!M56</f>
        <v>9147979</v>
      </c>
      <c r="T54" s="414"/>
      <c r="U54" s="359">
        <f t="shared" si="0"/>
        <v>12021571.5</v>
      </c>
      <c r="V54" s="418"/>
      <c r="W54" s="405"/>
      <c r="X54" s="418"/>
      <c r="Y54" s="405"/>
      <c r="AB54" s="405"/>
      <c r="AE54" s="405"/>
      <c r="AG54" s="414"/>
      <c r="AH54" s="417"/>
      <c r="AI54" s="414"/>
      <c r="AJ54" s="414"/>
      <c r="AK54" s="414"/>
      <c r="AL54" s="419"/>
      <c r="AM54" s="414"/>
      <c r="AN54" s="418"/>
      <c r="AO54" s="418"/>
    </row>
    <row r="55" spans="1:41" x14ac:dyDescent="0.25">
      <c r="A55" s="371">
        <v>52597</v>
      </c>
      <c r="B55" s="414"/>
      <c r="C55" s="414"/>
      <c r="D55" s="414"/>
      <c r="E55" s="414"/>
      <c r="F55" s="414"/>
      <c r="G55" s="414"/>
      <c r="H55" s="414"/>
      <c r="I55" s="414"/>
      <c r="J55" s="414"/>
      <c r="K55" s="414"/>
      <c r="L55" s="414"/>
      <c r="M55" s="414"/>
      <c r="N55" s="414"/>
      <c r="O55" s="414"/>
      <c r="P55" s="414"/>
      <c r="Q55" s="1002">
        <f>'OM 25 YR Alt II'!M57</f>
        <v>2873192.5</v>
      </c>
      <c r="R55" s="172"/>
      <c r="S55" s="1002">
        <f>'SRF 30 YR Pooled Alt II'!M57</f>
        <v>9145944.75</v>
      </c>
      <c r="T55" s="414"/>
      <c r="U55" s="359">
        <f t="shared" si="0"/>
        <v>12019137.25</v>
      </c>
      <c r="V55" s="418"/>
      <c r="W55" s="405">
        <f t="shared" si="17"/>
        <v>24040708.75</v>
      </c>
      <c r="X55" s="418"/>
      <c r="Y55" s="405"/>
      <c r="Z55" s="405"/>
      <c r="AB55" s="405"/>
      <c r="AC55" s="405"/>
      <c r="AE55" s="405"/>
      <c r="AF55" s="405"/>
      <c r="AG55" s="414"/>
      <c r="AH55" s="414"/>
      <c r="AI55" s="414"/>
      <c r="AJ55" s="414"/>
      <c r="AK55" s="414"/>
      <c r="AL55" s="419"/>
      <c r="AM55" s="414"/>
      <c r="AN55" s="418"/>
      <c r="AO55" s="418"/>
    </row>
    <row r="56" spans="1:41" x14ac:dyDescent="0.25">
      <c r="A56" s="371">
        <v>52779</v>
      </c>
      <c r="B56" s="414"/>
      <c r="C56" s="414"/>
      <c r="D56" s="414"/>
      <c r="E56" s="414"/>
      <c r="F56" s="414"/>
      <c r="G56" s="414"/>
      <c r="H56" s="414"/>
      <c r="I56" s="414"/>
      <c r="J56" s="414"/>
      <c r="K56" s="414"/>
      <c r="L56" s="414"/>
      <c r="M56" s="414"/>
      <c r="N56" s="414"/>
      <c r="O56" s="414"/>
      <c r="P56" s="414"/>
      <c r="Q56" s="1002">
        <f>'OM 25 YR Alt II'!M58</f>
        <v>2876070</v>
      </c>
      <c r="R56" s="172"/>
      <c r="S56" s="1002">
        <f>'SRF 30 YR Pooled Alt II'!M58</f>
        <v>9141428.5</v>
      </c>
      <c r="T56" s="414"/>
      <c r="U56" s="359">
        <f t="shared" si="0"/>
        <v>12017498.5</v>
      </c>
      <c r="V56" s="418"/>
      <c r="W56" s="405"/>
      <c r="X56" s="418"/>
      <c r="Y56" s="405"/>
      <c r="AB56" s="405"/>
      <c r="AE56" s="405"/>
      <c r="AG56" s="415"/>
      <c r="AH56" s="416"/>
      <c r="AI56" s="415"/>
      <c r="AJ56" s="414"/>
      <c r="AK56" s="414"/>
      <c r="AL56" s="372"/>
      <c r="AM56" s="414"/>
      <c r="AN56" s="418"/>
      <c r="AO56" s="418"/>
    </row>
    <row r="57" spans="1:41" x14ac:dyDescent="0.25">
      <c r="A57" s="371">
        <v>52963</v>
      </c>
      <c r="B57" s="414"/>
      <c r="C57" s="414"/>
      <c r="D57" s="414"/>
      <c r="E57" s="414"/>
      <c r="F57" s="414"/>
      <c r="G57" s="414"/>
      <c r="H57" s="414"/>
      <c r="I57" s="414"/>
      <c r="J57" s="414"/>
      <c r="K57" s="414"/>
      <c r="L57" s="414"/>
      <c r="M57" s="414"/>
      <c r="N57" s="414"/>
      <c r="O57" s="414"/>
      <c r="P57" s="414"/>
      <c r="Q57" s="1002">
        <f>'OM 25 YR Alt II'!M59</f>
        <v>2873327.5</v>
      </c>
      <c r="R57" s="172"/>
      <c r="S57" s="1002">
        <f>'SRF 30 YR Pooled Alt II'!M59</f>
        <v>9139444.5</v>
      </c>
      <c r="T57" s="414"/>
      <c r="U57" s="359">
        <f t="shared" si="0"/>
        <v>12012772</v>
      </c>
      <c r="V57" s="418"/>
      <c r="W57" s="405">
        <f t="shared" si="17"/>
        <v>24030270.5</v>
      </c>
      <c r="X57" s="418"/>
      <c r="Y57" s="405"/>
      <c r="Z57" s="405"/>
      <c r="AB57" s="405"/>
      <c r="AC57" s="405"/>
      <c r="AE57" s="405"/>
      <c r="AF57" s="405"/>
      <c r="AG57" s="415"/>
      <c r="AH57" s="416"/>
      <c r="AI57" s="415"/>
      <c r="AJ57" s="414"/>
      <c r="AK57" s="414"/>
      <c r="AL57" s="372"/>
      <c r="AM57" s="414"/>
      <c r="AN57" s="418"/>
      <c r="AO57" s="418"/>
    </row>
    <row r="58" spans="1:41" x14ac:dyDescent="0.25">
      <c r="A58" s="371">
        <v>53144</v>
      </c>
      <c r="B58" s="414"/>
      <c r="C58" s="414"/>
      <c r="D58" s="414"/>
      <c r="E58" s="414"/>
      <c r="F58" s="414"/>
      <c r="G58" s="414"/>
      <c r="H58" s="414"/>
      <c r="I58" s="414"/>
      <c r="J58" s="414"/>
      <c r="K58" s="414"/>
      <c r="L58" s="414"/>
      <c r="M58" s="414"/>
      <c r="N58" s="414"/>
      <c r="O58" s="414"/>
      <c r="P58" s="414"/>
      <c r="Q58" s="1002">
        <f>'OM 25 YR Alt II'!M60</f>
        <v>2873807.5</v>
      </c>
      <c r="R58" s="172"/>
      <c r="S58" s="1002">
        <f>'SRF 30 YR Pooled Alt II'!M60</f>
        <v>9137935.75</v>
      </c>
      <c r="T58" s="414"/>
      <c r="U58" s="359">
        <f t="shared" si="0"/>
        <v>12011743.25</v>
      </c>
      <c r="V58" s="418"/>
      <c r="W58" s="405"/>
      <c r="X58" s="418"/>
      <c r="Y58" s="405"/>
      <c r="AB58" s="405"/>
      <c r="AE58" s="405"/>
      <c r="AG58" s="415"/>
      <c r="AH58" s="416"/>
      <c r="AI58" s="415"/>
      <c r="AJ58" s="414"/>
      <c r="AK58" s="414"/>
      <c r="AL58" s="372"/>
      <c r="AM58" s="414"/>
      <c r="AN58" s="418"/>
      <c r="AO58" s="418"/>
    </row>
    <row r="59" spans="1:41" x14ac:dyDescent="0.25">
      <c r="A59" s="371">
        <v>53328</v>
      </c>
      <c r="B59" s="414"/>
      <c r="C59" s="414"/>
      <c r="D59" s="414"/>
      <c r="E59" s="414"/>
      <c r="F59" s="414"/>
      <c r="G59" s="414"/>
      <c r="H59" s="414"/>
      <c r="I59" s="414"/>
      <c r="J59" s="414"/>
      <c r="K59" s="414"/>
      <c r="L59" s="414"/>
      <c r="M59" s="414"/>
      <c r="N59" s="414"/>
      <c r="O59" s="414"/>
      <c r="P59" s="414"/>
      <c r="Q59" s="1002">
        <f>'OM 25 YR Alt II'!M61</f>
        <v>2878647.5</v>
      </c>
      <c r="R59" s="172"/>
      <c r="S59" s="1002">
        <f>'SRF 30 YR Pooled Alt II'!M89</f>
        <v>9134873.75</v>
      </c>
      <c r="T59" s="414"/>
      <c r="U59" s="359">
        <f t="shared" si="0"/>
        <v>12013521.25</v>
      </c>
      <c r="V59" s="418"/>
      <c r="W59" s="405">
        <f t="shared" si="17"/>
        <v>24025264.5</v>
      </c>
      <c r="X59" s="418"/>
      <c r="Y59" s="405"/>
      <c r="Z59" s="405"/>
      <c r="AB59" s="405"/>
      <c r="AC59" s="405"/>
      <c r="AE59" s="405"/>
      <c r="AF59" s="405"/>
      <c r="AG59" s="415"/>
      <c r="AH59" s="416"/>
      <c r="AI59" s="415"/>
      <c r="AJ59" s="414"/>
      <c r="AK59" s="414"/>
      <c r="AL59" s="372"/>
      <c r="AM59" s="414"/>
      <c r="AN59" s="418"/>
      <c r="AO59" s="418"/>
    </row>
    <row r="60" spans="1:41" x14ac:dyDescent="0.25">
      <c r="A60" s="371">
        <v>53509</v>
      </c>
      <c r="B60" s="414"/>
      <c r="C60" s="414"/>
      <c r="D60" s="414"/>
      <c r="E60" s="414"/>
      <c r="F60" s="414"/>
      <c r="G60" s="414"/>
      <c r="H60" s="414"/>
      <c r="I60" s="414"/>
      <c r="J60" s="414"/>
      <c r="K60" s="414"/>
      <c r="L60" s="414"/>
      <c r="M60" s="414"/>
      <c r="N60" s="414"/>
      <c r="O60" s="414"/>
      <c r="P60" s="414"/>
      <c r="Q60" s="1002">
        <f>'OM 25 YR Alt II'!M62</f>
        <v>2881490</v>
      </c>
      <c r="R60" s="172"/>
      <c r="S60" s="1002">
        <f>'SRF 30 YR Pooled Alt II'!M90</f>
        <v>9132258.5</v>
      </c>
      <c r="T60" s="414"/>
      <c r="U60" s="359">
        <f t="shared" si="0"/>
        <v>12013748.5</v>
      </c>
      <c r="V60" s="418"/>
      <c r="W60" s="405"/>
      <c r="X60" s="418"/>
      <c r="Y60" s="405"/>
      <c r="AB60" s="405"/>
      <c r="AE60" s="405"/>
      <c r="AG60" s="415"/>
      <c r="AH60" s="416"/>
      <c r="AI60" s="415"/>
      <c r="AJ60" s="414"/>
      <c r="AK60" s="414"/>
      <c r="AL60" s="372"/>
      <c r="AM60" s="414"/>
      <c r="AN60" s="418"/>
      <c r="AO60" s="418"/>
    </row>
    <row r="61" spans="1:41" x14ac:dyDescent="0.25">
      <c r="A61" s="371">
        <v>53693</v>
      </c>
      <c r="B61" s="414"/>
      <c r="C61" s="414"/>
      <c r="D61" s="414"/>
      <c r="E61" s="414"/>
      <c r="F61" s="414"/>
      <c r="G61" s="414"/>
      <c r="H61" s="414"/>
      <c r="I61" s="414"/>
      <c r="J61" s="414"/>
      <c r="K61" s="414"/>
      <c r="L61" s="414"/>
      <c r="M61" s="414"/>
      <c r="N61" s="414"/>
      <c r="O61" s="414"/>
      <c r="P61" s="414"/>
      <c r="Q61" s="1002">
        <f>'OM 25 YR Alt II'!M63</f>
        <v>2883590</v>
      </c>
      <c r="R61" s="172"/>
      <c r="S61" s="1002">
        <f>'SRF 30 YR Pooled Alt II'!M91</f>
        <v>9130061.5</v>
      </c>
      <c r="T61" s="414"/>
      <c r="U61" s="359">
        <f t="shared" si="0"/>
        <v>12013651.5</v>
      </c>
      <c r="V61" s="418"/>
      <c r="W61" s="405">
        <f t="shared" si="17"/>
        <v>24027400</v>
      </c>
      <c r="X61" s="418"/>
      <c r="Y61" s="405"/>
      <c r="Z61" s="405"/>
      <c r="AB61" s="405"/>
      <c r="AC61" s="405"/>
      <c r="AE61" s="405"/>
      <c r="AF61" s="405"/>
      <c r="AG61" s="415"/>
      <c r="AH61" s="416"/>
      <c r="AI61" s="415"/>
      <c r="AJ61" s="414"/>
      <c r="AK61" s="414"/>
      <c r="AL61" s="372"/>
      <c r="AM61" s="414"/>
      <c r="AN61" s="418"/>
      <c r="AO61" s="418"/>
    </row>
    <row r="62" spans="1:41" x14ac:dyDescent="0.25">
      <c r="A62" s="371">
        <v>53874</v>
      </c>
      <c r="B62" s="414"/>
      <c r="C62" s="414"/>
      <c r="D62" s="414"/>
      <c r="E62" s="414"/>
      <c r="F62" s="414"/>
      <c r="G62" s="414"/>
      <c r="H62" s="414"/>
      <c r="I62" s="414"/>
      <c r="J62" s="414"/>
      <c r="K62" s="414"/>
      <c r="L62" s="414"/>
      <c r="M62" s="414"/>
      <c r="N62" s="414"/>
      <c r="O62" s="414"/>
      <c r="P62" s="414"/>
      <c r="Q62" s="1002">
        <f>'OM 25 YR Alt II'!M64</f>
        <v>2883625</v>
      </c>
      <c r="R62" s="172"/>
      <c r="S62" s="1002">
        <f>'SRF 30 YR Pooled Alt II'!M92</f>
        <v>9126254.25</v>
      </c>
      <c r="T62" s="414"/>
      <c r="U62" s="359">
        <f t="shared" si="0"/>
        <v>12009879.25</v>
      </c>
      <c r="V62" s="418"/>
      <c r="W62" s="405"/>
      <c r="X62" s="418"/>
      <c r="Y62" s="405"/>
      <c r="AB62" s="405"/>
      <c r="AE62" s="405"/>
      <c r="AG62" s="415"/>
      <c r="AH62" s="416"/>
      <c r="AI62" s="415"/>
      <c r="AJ62" s="414"/>
      <c r="AK62" s="414"/>
      <c r="AL62" s="372"/>
      <c r="AM62" s="414"/>
      <c r="AN62" s="418"/>
      <c r="AO62" s="418"/>
    </row>
    <row r="63" spans="1:41" x14ac:dyDescent="0.25">
      <c r="A63" s="371">
        <v>54058</v>
      </c>
      <c r="B63" s="414"/>
      <c r="C63" s="414"/>
      <c r="D63" s="414"/>
      <c r="E63" s="414"/>
      <c r="F63" s="414"/>
      <c r="G63" s="414"/>
      <c r="H63" s="414"/>
      <c r="I63" s="414"/>
      <c r="J63" s="414"/>
      <c r="K63" s="414"/>
      <c r="L63" s="414"/>
      <c r="M63" s="414"/>
      <c r="N63" s="414"/>
      <c r="O63" s="414"/>
      <c r="P63" s="414"/>
      <c r="Q63" s="1002">
        <f>'OM 25 YR Alt II'!M65</f>
        <v>2887895</v>
      </c>
      <c r="R63" s="172"/>
      <c r="S63" s="1002">
        <f>'SRF 30 YR Pooled Alt II'!M93</f>
        <v>9123836.75</v>
      </c>
      <c r="T63" s="414"/>
      <c r="U63" s="359">
        <f t="shared" si="0"/>
        <v>12011731.75</v>
      </c>
      <c r="V63" s="418"/>
      <c r="W63" s="405">
        <f t="shared" si="17"/>
        <v>24021611</v>
      </c>
      <c r="X63" s="418"/>
      <c r="Y63" s="405"/>
      <c r="Z63" s="405"/>
      <c r="AB63" s="405"/>
      <c r="AC63" s="405"/>
      <c r="AE63" s="405"/>
      <c r="AF63" s="405"/>
      <c r="AG63" s="415"/>
      <c r="AH63" s="416"/>
      <c r="AI63" s="415"/>
      <c r="AJ63" s="414"/>
      <c r="AK63" s="414"/>
      <c r="AL63" s="372"/>
      <c r="AM63" s="414"/>
      <c r="AN63" s="418"/>
      <c r="AO63" s="418"/>
    </row>
    <row r="64" spans="1:41" x14ac:dyDescent="0.25">
      <c r="A64" s="371">
        <v>54240</v>
      </c>
      <c r="B64" s="393"/>
      <c r="C64" s="393"/>
      <c r="D64" s="393"/>
      <c r="E64" s="393"/>
      <c r="F64" s="393"/>
      <c r="G64" s="393"/>
      <c r="H64" s="393"/>
      <c r="I64" s="393"/>
      <c r="J64" s="393"/>
      <c r="K64" s="393"/>
      <c r="L64" s="393"/>
      <c r="M64" s="393"/>
      <c r="N64" s="393"/>
      <c r="O64" s="393"/>
      <c r="P64" s="393"/>
      <c r="Q64" s="1002">
        <f>'OM 25 YR Alt II'!M66</f>
        <v>2889945</v>
      </c>
      <c r="R64" s="359"/>
      <c r="S64" s="1002">
        <f>'SRF 30 YR Pooled Alt II'!M94</f>
        <v>9118766.25</v>
      </c>
      <c r="T64" s="393"/>
      <c r="U64" s="359">
        <f t="shared" si="0"/>
        <v>12008711.25</v>
      </c>
      <c r="V64" s="424"/>
      <c r="W64" s="405"/>
      <c r="X64" s="418"/>
      <c r="Y64" s="405"/>
      <c r="AB64" s="405"/>
      <c r="AE64" s="405"/>
      <c r="AG64" s="415"/>
      <c r="AH64" s="416"/>
      <c r="AI64" s="415"/>
      <c r="AJ64" s="414"/>
      <c r="AK64" s="414"/>
      <c r="AL64" s="372"/>
      <c r="AM64" s="414"/>
      <c r="AN64" s="418"/>
      <c r="AO64" s="418"/>
    </row>
    <row r="65" spans="1:41" x14ac:dyDescent="0.25">
      <c r="A65" s="371">
        <v>54424</v>
      </c>
      <c r="Q65" s="1002">
        <f>'OM 25 YR Alt II'!M67</f>
        <v>2891120</v>
      </c>
      <c r="R65" s="411"/>
      <c r="S65" s="1002">
        <f>'SRF 30 YR Pooled Alt II'!M95</f>
        <v>9117057</v>
      </c>
      <c r="U65" s="359">
        <f t="shared" si="0"/>
        <v>12008177</v>
      </c>
      <c r="W65" s="405">
        <f t="shared" si="17"/>
        <v>24016888.25</v>
      </c>
      <c r="X65" s="418"/>
      <c r="Y65" s="405"/>
      <c r="Z65" s="405"/>
      <c r="AB65" s="405"/>
      <c r="AC65" s="405"/>
      <c r="AE65" s="405"/>
      <c r="AF65" s="405"/>
      <c r="AG65" s="415"/>
      <c r="AH65" s="416"/>
      <c r="AI65" s="415"/>
      <c r="AJ65" s="414"/>
      <c r="AK65" s="414"/>
      <c r="AL65" s="372"/>
      <c r="AM65" s="414"/>
      <c r="AN65" s="418"/>
      <c r="AO65" s="418"/>
    </row>
    <row r="66" spans="1:41" x14ac:dyDescent="0.25">
      <c r="A66" s="371">
        <v>54605</v>
      </c>
      <c r="Q66" s="1002"/>
      <c r="R66" s="411"/>
      <c r="S66" s="1002">
        <f>'SRF 30 YR Pooled Alt II'!M96</f>
        <v>11921637.75</v>
      </c>
      <c r="U66" s="359">
        <f t="shared" si="0"/>
        <v>11921637.75</v>
      </c>
      <c r="W66" s="405"/>
      <c r="X66" s="418"/>
      <c r="Y66" s="405"/>
      <c r="AB66" s="405"/>
      <c r="AE66" s="405"/>
      <c r="AG66" s="415"/>
      <c r="AH66" s="416"/>
      <c r="AI66" s="415"/>
      <c r="AJ66" s="414"/>
      <c r="AK66" s="414"/>
      <c r="AL66" s="372"/>
      <c r="AM66" s="414"/>
      <c r="AN66" s="418"/>
      <c r="AO66" s="418"/>
    </row>
    <row r="67" spans="1:41" x14ac:dyDescent="0.25">
      <c r="A67" s="371">
        <v>54789</v>
      </c>
      <c r="C67" s="18"/>
      <c r="E67" s="18"/>
      <c r="G67" s="18"/>
      <c r="I67" s="18"/>
      <c r="K67" s="18"/>
      <c r="M67" s="18"/>
      <c r="O67" s="18"/>
      <c r="Q67" s="1085"/>
      <c r="R67" s="411"/>
      <c r="S67" s="1085">
        <f>'SRF 30 YR Pooled Alt II'!M97</f>
        <v>11921494.5</v>
      </c>
      <c r="U67" s="703">
        <f t="shared" si="0"/>
        <v>11921494.5</v>
      </c>
      <c r="W67" s="50">
        <f t="shared" si="17"/>
        <v>23843132.25</v>
      </c>
      <c r="X67" s="418"/>
      <c r="Y67" s="405"/>
      <c r="Z67" s="405"/>
      <c r="AB67" s="405"/>
      <c r="AC67" s="405"/>
      <c r="AE67" s="405"/>
      <c r="AF67" s="405"/>
      <c r="AG67" s="415"/>
      <c r="AH67" s="416"/>
      <c r="AI67" s="415"/>
      <c r="AJ67" s="414"/>
      <c r="AK67" s="414"/>
      <c r="AL67" s="372"/>
      <c r="AM67" s="414"/>
      <c r="AN67" s="418"/>
      <c r="AO67" s="418"/>
    </row>
    <row r="68" spans="1:41" x14ac:dyDescent="0.25">
      <c r="A68" s="371"/>
      <c r="B68" s="414"/>
      <c r="C68" s="414"/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414"/>
      <c r="O68" s="414"/>
      <c r="P68" s="414"/>
      <c r="Q68" s="172"/>
      <c r="R68" s="172"/>
      <c r="S68" s="172"/>
      <c r="T68" s="414"/>
      <c r="U68" s="418"/>
      <c r="V68" s="418"/>
      <c r="X68" s="418"/>
      <c r="Y68" s="418"/>
      <c r="Z68" s="405"/>
      <c r="AE68" s="415"/>
      <c r="AF68" s="415"/>
      <c r="AG68" s="415"/>
      <c r="AH68" s="416"/>
      <c r="AI68" s="415"/>
      <c r="AJ68" s="414"/>
      <c r="AK68" s="414"/>
      <c r="AL68" s="372"/>
      <c r="AM68" s="414"/>
      <c r="AN68" s="418"/>
      <c r="AO68" s="418"/>
    </row>
    <row r="69" spans="1:41" ht="16.5" thickBot="1" x14ac:dyDescent="0.3">
      <c r="A69" s="51" t="s">
        <v>27</v>
      </c>
      <c r="B69" s="362"/>
      <c r="C69" s="235">
        <f>SUM(C10:C67)</f>
        <v>49691600</v>
      </c>
      <c r="D69" s="362"/>
      <c r="E69" s="235">
        <f>SUM(E10:E67)</f>
        <v>32653250.060000002</v>
      </c>
      <c r="F69" s="362"/>
      <c r="G69" s="235">
        <f>SUM(G10:G67)</f>
        <v>2591262.16</v>
      </c>
      <c r="H69" s="362"/>
      <c r="I69" s="235">
        <f>SUM(I10:I67)</f>
        <v>98259930.670000002</v>
      </c>
      <c r="J69" s="362"/>
      <c r="K69" s="235">
        <f>SUM(K10:K67)</f>
        <v>51178315.800000019</v>
      </c>
      <c r="L69" s="362"/>
      <c r="M69" s="235">
        <f>SUM(M10:M67)</f>
        <v>39268456.359999992</v>
      </c>
      <c r="N69" s="362"/>
      <c r="O69" s="235">
        <f>SUM(O10:O67)</f>
        <v>26678349.75</v>
      </c>
      <c r="P69" s="362"/>
      <c r="Q69" s="1416">
        <f>SUM(Q13:Q67)</f>
        <v>96785680</v>
      </c>
      <c r="R69" s="362"/>
      <c r="S69" s="235">
        <f>SUM(S10:S67)</f>
        <v>277962199.25</v>
      </c>
      <c r="T69" s="362"/>
      <c r="U69" s="235">
        <f>SUM(U10:U67)</f>
        <v>675069044.05000007</v>
      </c>
      <c r="V69" s="52"/>
      <c r="W69" s="235">
        <f>SUM(W10:W67)</f>
        <v>675069044.04999995</v>
      </c>
      <c r="X69" s="418"/>
      <c r="Y69" s="418"/>
      <c r="Z69" s="418"/>
    </row>
    <row r="70" spans="1:41" ht="16.5" thickTop="1" x14ac:dyDescent="0.25">
      <c r="B70" s="424"/>
      <c r="C70" s="424"/>
      <c r="D70" s="424"/>
      <c r="E70" s="424"/>
      <c r="F70" s="424"/>
      <c r="G70" s="424"/>
      <c r="H70" s="424"/>
      <c r="I70" s="424"/>
      <c r="J70" s="424"/>
      <c r="K70" s="424"/>
      <c r="L70" s="424"/>
      <c r="M70" s="424"/>
      <c r="N70" s="424"/>
      <c r="O70" s="424"/>
      <c r="P70" s="424"/>
      <c r="Q70" s="425"/>
      <c r="R70" s="425"/>
      <c r="S70" s="425"/>
      <c r="T70" s="424"/>
      <c r="U70" s="53"/>
      <c r="W70" s="53"/>
    </row>
    <row r="71" spans="1:41" ht="16.5" thickBot="1" x14ac:dyDescent="0.3">
      <c r="A71" s="417" t="s">
        <v>1000</v>
      </c>
      <c r="B71" s="414"/>
      <c r="C71" s="418"/>
      <c r="D71" s="418"/>
      <c r="E71" s="418"/>
      <c r="F71" s="418"/>
      <c r="G71" s="418"/>
      <c r="H71" s="418"/>
      <c r="I71" s="418"/>
      <c r="J71" s="418"/>
      <c r="K71" s="418"/>
      <c r="L71" s="418"/>
      <c r="M71" s="418"/>
      <c r="N71" s="418"/>
      <c r="O71" s="418"/>
      <c r="P71" s="414"/>
      <c r="Q71" s="197"/>
      <c r="R71" s="197"/>
      <c r="S71" s="197"/>
      <c r="T71" s="414"/>
      <c r="U71" s="418"/>
      <c r="V71" s="418"/>
      <c r="W71" s="6">
        <f>ROUND(SUM(W21:W29)/5,2)</f>
        <v>24356885.800000001</v>
      </c>
    </row>
    <row r="72" spans="1:41" ht="16.5" thickTop="1" x14ac:dyDescent="0.25">
      <c r="A72" s="375"/>
      <c r="B72" s="412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  <c r="N72" s="412"/>
      <c r="O72" s="412"/>
      <c r="P72" s="412"/>
      <c r="Q72" s="174"/>
      <c r="R72" s="174"/>
      <c r="S72" s="174"/>
      <c r="T72" s="412"/>
      <c r="U72" s="412"/>
      <c r="V72" s="412"/>
      <c r="W72" s="412"/>
    </row>
    <row r="73" spans="1:41" x14ac:dyDescent="0.25">
      <c r="A73" s="375"/>
      <c r="B73" s="412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  <c r="N73" s="412"/>
      <c r="O73" s="412"/>
      <c r="P73" s="412"/>
      <c r="Q73" s="174"/>
      <c r="R73" s="174"/>
      <c r="S73" s="174"/>
      <c r="T73" s="412"/>
      <c r="U73" s="412"/>
      <c r="V73" s="412"/>
      <c r="W73" s="412"/>
    </row>
    <row r="74" spans="1:41" x14ac:dyDescent="0.25">
      <c r="A74" s="375"/>
      <c r="B74" s="412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  <c r="N74" s="412"/>
      <c r="O74" s="412"/>
      <c r="P74" s="412"/>
      <c r="Q74" s="174"/>
      <c r="R74" s="174"/>
      <c r="S74" s="174"/>
      <c r="T74" s="412"/>
      <c r="U74" s="412"/>
      <c r="V74" s="412"/>
      <c r="W74" s="412"/>
    </row>
    <row r="75" spans="1:41" x14ac:dyDescent="0.25">
      <c r="A75" s="375" t="str">
        <f>INFO!A26</f>
        <v>(See Accountants' Report)</v>
      </c>
      <c r="B75" s="412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  <c r="N75" s="412"/>
      <c r="O75" s="412"/>
      <c r="P75" s="412"/>
      <c r="Q75" s="174"/>
      <c r="R75" s="174"/>
      <c r="S75" s="174"/>
      <c r="T75" s="412"/>
      <c r="U75" s="412"/>
      <c r="V75" s="412"/>
      <c r="W75" s="412"/>
    </row>
    <row r="76" spans="1:41" x14ac:dyDescent="0.25">
      <c r="A76" s="412"/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412"/>
      <c r="P76" s="412"/>
      <c r="Q76" s="174"/>
      <c r="R76" s="174"/>
      <c r="S76" s="174"/>
      <c r="T76" s="412"/>
      <c r="U76" s="412"/>
      <c r="V76" s="412"/>
      <c r="W76" s="412"/>
    </row>
    <row r="77" spans="1:41" x14ac:dyDescent="0.25">
      <c r="A77" s="375">
        <f>'SRF 30 YR Pooled Alt II'!A144+1</f>
        <v>10</v>
      </c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412"/>
      <c r="P77" s="412"/>
      <c r="Q77" s="174"/>
      <c r="R77" s="174"/>
      <c r="S77" s="174"/>
      <c r="T77" s="412"/>
      <c r="U77" s="412"/>
      <c r="V77" s="412"/>
      <c r="W77" s="412"/>
    </row>
    <row r="78" spans="1:41" x14ac:dyDescent="0.25">
      <c r="A78" s="424"/>
      <c r="B78" s="424"/>
      <c r="C78" s="424"/>
      <c r="D78" s="424"/>
      <c r="E78" s="424"/>
      <c r="F78" s="424"/>
      <c r="G78" s="424"/>
      <c r="H78" s="424"/>
      <c r="I78" s="424"/>
      <c r="J78" s="424"/>
      <c r="K78" s="424"/>
      <c r="L78" s="424"/>
      <c r="M78" s="424"/>
      <c r="N78" s="424"/>
      <c r="O78" s="424"/>
      <c r="P78" s="424"/>
      <c r="Q78" s="425"/>
      <c r="R78" s="425"/>
      <c r="S78" s="425"/>
      <c r="T78" s="424"/>
      <c r="U78" s="424"/>
      <c r="V78" s="424"/>
      <c r="W78" s="424"/>
      <c r="X78" s="424"/>
      <c r="Y78" s="424"/>
      <c r="Z78" s="424"/>
      <c r="AA78" s="424"/>
      <c r="AB78" s="424"/>
      <c r="AC78" s="424"/>
      <c r="AD78" s="424"/>
      <c r="AE78" s="393"/>
      <c r="AF78" s="393"/>
      <c r="AG78" s="424"/>
      <c r="AH78" s="424"/>
    </row>
    <row r="79" spans="1:41" x14ac:dyDescent="0.25">
      <c r="A79" s="424"/>
      <c r="B79" s="424"/>
      <c r="C79" s="424"/>
      <c r="D79" s="424"/>
      <c r="E79" s="424"/>
      <c r="F79" s="424"/>
      <c r="G79" s="424"/>
      <c r="H79" s="424"/>
      <c r="I79" s="424"/>
      <c r="J79" s="424"/>
      <c r="K79" s="424"/>
      <c r="L79" s="424"/>
      <c r="M79" s="424"/>
      <c r="N79" s="424"/>
      <c r="O79" s="424"/>
      <c r="P79" s="424"/>
      <c r="Q79" s="425"/>
      <c r="R79" s="425"/>
      <c r="S79" s="425"/>
      <c r="T79" s="424"/>
      <c r="U79" s="424"/>
      <c r="V79" s="424"/>
      <c r="W79" s="424"/>
      <c r="X79" s="424"/>
      <c r="Y79" s="424"/>
      <c r="Z79" s="424"/>
      <c r="AA79" s="424"/>
      <c r="AB79" s="424"/>
      <c r="AC79" s="424"/>
      <c r="AD79" s="424"/>
      <c r="AE79" s="393"/>
      <c r="AF79" s="393"/>
      <c r="AG79" s="424"/>
      <c r="AH79" s="424"/>
    </row>
    <row r="80" spans="1:41" x14ac:dyDescent="0.25">
      <c r="A80" s="424"/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3"/>
      <c r="R80" s="363"/>
      <c r="S80" s="363"/>
      <c r="T80" s="362"/>
      <c r="U80" s="362"/>
      <c r="V80" s="424"/>
      <c r="W80" s="362"/>
      <c r="X80" s="424"/>
      <c r="Y80" s="424"/>
      <c r="Z80" s="424"/>
      <c r="AA80" s="424"/>
      <c r="AB80" s="424"/>
      <c r="AC80" s="424"/>
      <c r="AD80" s="424"/>
      <c r="AE80" s="424"/>
      <c r="AF80" s="424"/>
      <c r="AG80" s="424"/>
      <c r="AH80" s="424"/>
    </row>
    <row r="81" spans="1:34" x14ac:dyDescent="0.25">
      <c r="A81" s="424"/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3"/>
      <c r="R81" s="363"/>
      <c r="S81" s="363"/>
      <c r="T81" s="362"/>
      <c r="U81" s="362"/>
      <c r="V81" s="424"/>
      <c r="W81" s="424"/>
      <c r="X81" s="424"/>
      <c r="Y81" s="424"/>
      <c r="Z81" s="424"/>
      <c r="AA81" s="424"/>
      <c r="AB81" s="424"/>
      <c r="AC81" s="424"/>
      <c r="AD81" s="424"/>
      <c r="AE81" s="1098"/>
      <c r="AF81" s="1098"/>
      <c r="AG81" s="424"/>
      <c r="AH81" s="424"/>
    </row>
    <row r="82" spans="1:34" x14ac:dyDescent="0.25">
      <c r="A82" s="424"/>
      <c r="B82" s="424"/>
      <c r="C82" s="424"/>
      <c r="D82" s="424"/>
      <c r="E82" s="424"/>
      <c r="F82" s="424"/>
      <c r="G82" s="424"/>
      <c r="H82" s="424"/>
      <c r="I82" s="424"/>
      <c r="J82" s="424"/>
      <c r="K82" s="424"/>
      <c r="L82" s="424"/>
      <c r="M82" s="424"/>
      <c r="N82" s="424"/>
      <c r="O82" s="424"/>
      <c r="P82" s="424"/>
      <c r="Q82" s="425"/>
      <c r="R82" s="425"/>
      <c r="S82" s="425"/>
      <c r="T82" s="424"/>
      <c r="U82" s="424"/>
      <c r="V82" s="424"/>
      <c r="W82" s="424"/>
      <c r="X82" s="424"/>
      <c r="Y82" s="424"/>
      <c r="Z82" s="424"/>
      <c r="AA82" s="424"/>
      <c r="AB82" s="424"/>
      <c r="AC82" s="424"/>
      <c r="AD82" s="424"/>
      <c r="AE82" s="424"/>
      <c r="AF82" s="424"/>
      <c r="AG82" s="424"/>
      <c r="AH82" s="424"/>
    </row>
    <row r="83" spans="1:34" x14ac:dyDescent="0.25">
      <c r="A83" s="1415"/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3"/>
      <c r="R83" s="363"/>
      <c r="S83" s="363"/>
      <c r="T83" s="362"/>
      <c r="U83" s="362"/>
      <c r="V83" s="424"/>
      <c r="W83" s="424"/>
      <c r="X83" s="424"/>
      <c r="Y83" s="424"/>
      <c r="Z83" s="424"/>
      <c r="AA83" s="424"/>
      <c r="AB83" s="424"/>
      <c r="AC83" s="424"/>
      <c r="AD83" s="424"/>
      <c r="AE83" s="424"/>
      <c r="AF83" s="424"/>
      <c r="AG83" s="424"/>
      <c r="AH83" s="424"/>
    </row>
    <row r="84" spans="1:34" x14ac:dyDescent="0.25">
      <c r="A84" s="424"/>
      <c r="B84" s="424"/>
      <c r="C84" s="424"/>
      <c r="D84" s="424"/>
      <c r="E84" s="424"/>
      <c r="F84" s="424"/>
      <c r="G84" s="424"/>
      <c r="H84" s="424"/>
      <c r="I84" s="424"/>
      <c r="J84" s="424"/>
      <c r="K84" s="424"/>
      <c r="L84" s="424"/>
      <c r="M84" s="424"/>
      <c r="N84" s="424"/>
      <c r="O84" s="424"/>
      <c r="P84" s="424"/>
      <c r="Q84" s="425"/>
      <c r="R84" s="425"/>
      <c r="S84" s="425"/>
      <c r="T84" s="424"/>
      <c r="U84" s="424"/>
      <c r="V84" s="424"/>
      <c r="W84" s="424"/>
      <c r="X84" s="424"/>
      <c r="Y84" s="424"/>
      <c r="Z84" s="424"/>
      <c r="AA84" s="424"/>
      <c r="AB84" s="424"/>
      <c r="AC84" s="424"/>
      <c r="AD84" s="424"/>
      <c r="AE84" s="424"/>
      <c r="AF84" s="424"/>
      <c r="AG84" s="424"/>
      <c r="AH84" s="424"/>
    </row>
    <row r="85" spans="1:34" x14ac:dyDescent="0.25">
      <c r="A85" s="424"/>
      <c r="B85" s="424"/>
      <c r="C85" s="424"/>
      <c r="D85" s="424"/>
      <c r="E85" s="424"/>
      <c r="F85" s="424"/>
      <c r="G85" s="424"/>
      <c r="H85" s="424"/>
      <c r="I85" s="424"/>
      <c r="J85" s="424"/>
      <c r="K85" s="424"/>
      <c r="L85" s="424"/>
      <c r="M85" s="424"/>
      <c r="N85" s="424"/>
      <c r="O85" s="424"/>
      <c r="P85" s="424"/>
      <c r="Q85" s="425"/>
      <c r="R85" s="425"/>
      <c r="S85" s="425"/>
      <c r="T85" s="424"/>
      <c r="U85" s="424"/>
      <c r="V85" s="424"/>
      <c r="W85" s="424"/>
      <c r="X85" s="424"/>
      <c r="Y85" s="424"/>
      <c r="Z85" s="424"/>
      <c r="AA85" s="424"/>
      <c r="AB85" s="424"/>
      <c r="AC85" s="424"/>
      <c r="AD85" s="424"/>
      <c r="AE85" s="424"/>
      <c r="AF85" s="424"/>
      <c r="AG85" s="424"/>
      <c r="AH85" s="424"/>
    </row>
    <row r="86" spans="1:34" x14ac:dyDescent="0.25">
      <c r="A86" s="424"/>
      <c r="B86" s="424"/>
      <c r="C86" s="424"/>
      <c r="D86" s="424"/>
      <c r="E86" s="424"/>
      <c r="F86" s="424"/>
      <c r="G86" s="424"/>
      <c r="H86" s="424"/>
      <c r="I86" s="424"/>
      <c r="J86" s="424"/>
      <c r="K86" s="424"/>
      <c r="L86" s="424"/>
      <c r="M86" s="424"/>
      <c r="N86" s="424"/>
      <c r="O86" s="424"/>
      <c r="P86" s="424"/>
      <c r="Q86" s="425"/>
      <c r="R86" s="425"/>
      <c r="S86" s="425"/>
      <c r="T86" s="424"/>
      <c r="U86" s="424"/>
      <c r="V86" s="424"/>
      <c r="W86" s="424"/>
      <c r="X86" s="424"/>
      <c r="Y86" s="424"/>
      <c r="Z86" s="424"/>
      <c r="AA86" s="424"/>
      <c r="AB86" s="424"/>
      <c r="AC86" s="424"/>
      <c r="AD86" s="424"/>
      <c r="AE86" s="424"/>
      <c r="AF86" s="424"/>
      <c r="AG86" s="424"/>
      <c r="AH86" s="424"/>
    </row>
    <row r="87" spans="1:34" x14ac:dyDescent="0.25">
      <c r="A87" s="147"/>
      <c r="B87" s="362"/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3"/>
      <c r="R87" s="363"/>
      <c r="S87" s="363"/>
      <c r="T87" s="362"/>
      <c r="U87" s="362"/>
      <c r="V87" s="393"/>
      <c r="W87" s="393"/>
      <c r="X87" s="424"/>
      <c r="Y87" s="424"/>
      <c r="Z87" s="424"/>
      <c r="AA87" s="424"/>
      <c r="AB87" s="424"/>
      <c r="AC87" s="424"/>
      <c r="AD87" s="424"/>
      <c r="AE87" s="362"/>
      <c r="AF87" s="362"/>
      <c r="AG87" s="424"/>
      <c r="AH87" s="424"/>
    </row>
    <row r="88" spans="1:34" x14ac:dyDescent="0.25">
      <c r="A88" s="147"/>
      <c r="B88" s="393"/>
      <c r="C88" s="393"/>
      <c r="D88" s="393"/>
      <c r="E88" s="393"/>
      <c r="F88" s="393"/>
      <c r="G88" s="393"/>
      <c r="H88" s="393"/>
      <c r="I88" s="393"/>
      <c r="J88" s="393"/>
      <c r="K88" s="393"/>
      <c r="L88" s="393"/>
      <c r="M88" s="393"/>
      <c r="N88" s="393"/>
      <c r="O88" s="393"/>
      <c r="P88" s="393"/>
      <c r="Q88" s="359"/>
      <c r="R88" s="359"/>
      <c r="S88" s="359"/>
      <c r="T88" s="393"/>
      <c r="U88" s="393"/>
      <c r="V88" s="393"/>
      <c r="W88" s="362"/>
      <c r="X88" s="424"/>
      <c r="Y88" s="424"/>
      <c r="Z88" s="424"/>
      <c r="AA88" s="424"/>
      <c r="AB88" s="424"/>
      <c r="AC88" s="424"/>
      <c r="AD88" s="424"/>
      <c r="AE88" s="393"/>
      <c r="AF88" s="393"/>
      <c r="AG88" s="424"/>
      <c r="AH88" s="362"/>
    </row>
    <row r="89" spans="1:34" x14ac:dyDescent="0.25">
      <c r="A89" s="147"/>
      <c r="B89" s="393"/>
      <c r="C89" s="393"/>
      <c r="D89" s="393"/>
      <c r="E89" s="393"/>
      <c r="F89" s="393"/>
      <c r="G89" s="393"/>
      <c r="H89" s="393"/>
      <c r="I89" s="393"/>
      <c r="J89" s="393"/>
      <c r="K89" s="393"/>
      <c r="L89" s="393"/>
      <c r="M89" s="393"/>
      <c r="N89" s="393"/>
      <c r="O89" s="393"/>
      <c r="P89" s="393"/>
      <c r="Q89" s="359"/>
      <c r="R89" s="359"/>
      <c r="S89" s="359"/>
      <c r="T89" s="393"/>
      <c r="U89" s="362"/>
      <c r="V89" s="393"/>
      <c r="W89" s="424"/>
      <c r="X89" s="424"/>
      <c r="Y89" s="424"/>
      <c r="Z89" s="424"/>
      <c r="AA89" s="424"/>
      <c r="AB89" s="424"/>
      <c r="AC89" s="424"/>
      <c r="AD89" s="424"/>
      <c r="AE89" s="362"/>
      <c r="AF89" s="362"/>
      <c r="AG89" s="424"/>
      <c r="AH89" s="424"/>
    </row>
    <row r="90" spans="1:34" hidden="1" x14ac:dyDescent="0.25">
      <c r="A90" s="424"/>
      <c r="B90" s="424"/>
      <c r="C90" s="424"/>
      <c r="D90" s="424"/>
      <c r="E90" s="424"/>
      <c r="F90" s="424"/>
      <c r="G90" s="424"/>
      <c r="H90" s="424"/>
      <c r="I90" s="424"/>
      <c r="J90" s="424"/>
      <c r="K90" s="424"/>
      <c r="L90" s="424"/>
      <c r="M90" s="424"/>
      <c r="N90" s="424"/>
      <c r="O90" s="424"/>
      <c r="P90" s="424"/>
      <c r="Q90" s="425"/>
      <c r="R90" s="425"/>
      <c r="S90" s="425"/>
      <c r="T90" s="424"/>
      <c r="U90" s="424"/>
      <c r="V90" s="424"/>
      <c r="W90" s="424"/>
      <c r="X90" s="424"/>
      <c r="Y90" s="424"/>
      <c r="Z90" s="424"/>
      <c r="AA90" s="424"/>
      <c r="AB90" s="424"/>
      <c r="AC90" s="424"/>
      <c r="AD90" s="424"/>
      <c r="AE90" s="424"/>
      <c r="AF90" s="424"/>
      <c r="AG90" s="424"/>
      <c r="AH90" s="424"/>
    </row>
    <row r="91" spans="1:34" x14ac:dyDescent="0.25">
      <c r="A91" s="424"/>
      <c r="B91" s="424"/>
      <c r="C91" s="424"/>
      <c r="D91" s="424"/>
      <c r="E91" s="424"/>
      <c r="F91" s="424"/>
      <c r="G91" s="424"/>
      <c r="H91" s="424"/>
      <c r="I91" s="386"/>
      <c r="J91" s="424"/>
      <c r="K91" s="1087"/>
      <c r="L91" s="424"/>
      <c r="M91" s="1087"/>
      <c r="N91" s="424"/>
      <c r="O91" s="424"/>
      <c r="P91" s="424"/>
      <c r="Q91" s="425"/>
      <c r="R91" s="425"/>
      <c r="S91" s="425"/>
      <c r="T91" s="424"/>
      <c r="U91" s="424"/>
      <c r="V91" s="424"/>
      <c r="W91" s="424"/>
      <c r="X91" s="424"/>
      <c r="Y91" s="424"/>
      <c r="Z91" s="424"/>
      <c r="AA91" s="424"/>
      <c r="AB91" s="424"/>
      <c r="AC91" s="424"/>
      <c r="AD91" s="424"/>
      <c r="AE91" s="424"/>
      <c r="AF91" s="424"/>
      <c r="AG91" s="424"/>
      <c r="AH91" s="424"/>
    </row>
    <row r="92" spans="1:34" hidden="1" x14ac:dyDescent="0.25">
      <c r="A92" s="424"/>
      <c r="B92" s="424"/>
      <c r="C92" s="424"/>
      <c r="D92" s="424"/>
      <c r="E92" s="424"/>
      <c r="F92" s="424"/>
      <c r="G92" s="424"/>
      <c r="H92" s="424"/>
      <c r="I92" s="424"/>
      <c r="J92" s="424"/>
      <c r="K92" s="1087"/>
      <c r="L92" s="424"/>
      <c r="M92" s="424"/>
      <c r="N92" s="424"/>
      <c r="O92" s="424"/>
      <c r="P92" s="424"/>
      <c r="Q92" s="425"/>
      <c r="R92" s="425"/>
      <c r="S92" s="425"/>
      <c r="T92" s="424"/>
      <c r="U92" s="424"/>
      <c r="V92" s="424"/>
      <c r="W92" s="424"/>
      <c r="X92" s="424"/>
      <c r="Y92" s="424"/>
      <c r="Z92" s="424"/>
      <c r="AA92" s="424"/>
      <c r="AB92" s="424"/>
      <c r="AC92" s="424"/>
      <c r="AD92" s="424"/>
      <c r="AE92" s="424"/>
      <c r="AF92" s="424"/>
      <c r="AG92" s="424"/>
      <c r="AH92" s="424"/>
    </row>
    <row r="93" spans="1:34" x14ac:dyDescent="0.25">
      <c r="A93" s="424"/>
      <c r="B93" s="424"/>
      <c r="C93" s="424"/>
      <c r="D93" s="424"/>
      <c r="E93" s="424"/>
      <c r="F93" s="424"/>
      <c r="G93" s="424"/>
      <c r="H93" s="424"/>
      <c r="I93" s="386"/>
      <c r="J93" s="424"/>
      <c r="K93" s="1087"/>
      <c r="L93" s="424"/>
      <c r="M93" s="1087"/>
      <c r="N93" s="424"/>
      <c r="O93" s="424"/>
      <c r="P93" s="424"/>
      <c r="Q93" s="425"/>
      <c r="R93" s="425"/>
      <c r="S93" s="425"/>
      <c r="T93" s="424"/>
      <c r="U93" s="424"/>
      <c r="V93" s="424"/>
      <c r="W93" s="424"/>
      <c r="X93" s="424"/>
      <c r="Y93" s="424"/>
      <c r="Z93" s="424"/>
      <c r="AA93" s="424"/>
      <c r="AB93" s="424"/>
      <c r="AC93" s="424"/>
      <c r="AD93" s="424"/>
      <c r="AE93" s="424"/>
      <c r="AF93" s="424"/>
      <c r="AG93" s="424"/>
      <c r="AH93" s="424"/>
    </row>
    <row r="94" spans="1:34" hidden="1" x14ac:dyDescent="0.25"/>
    <row r="95" spans="1:34" x14ac:dyDescent="0.25">
      <c r="I95" s="402"/>
      <c r="K95" s="730"/>
      <c r="M95" s="730"/>
    </row>
    <row r="96" spans="1:34" hidden="1" x14ac:dyDescent="0.25">
      <c r="K96" s="730"/>
    </row>
    <row r="97" spans="9:13" x14ac:dyDescent="0.25">
      <c r="I97" s="402"/>
      <c r="K97" s="730"/>
      <c r="M97" s="730"/>
    </row>
    <row r="98" spans="9:13" hidden="1" x14ac:dyDescent="0.25"/>
    <row r="99" spans="9:13" x14ac:dyDescent="0.25">
      <c r="I99" s="402"/>
      <c r="K99" s="730"/>
      <c r="M99" s="730"/>
    </row>
    <row r="100" spans="9:13" hidden="1" x14ac:dyDescent="0.25">
      <c r="K100" s="730"/>
    </row>
    <row r="101" spans="9:13" x14ac:dyDescent="0.25">
      <c r="I101" s="402"/>
      <c r="K101" s="730"/>
      <c r="M101" s="730"/>
    </row>
    <row r="102" spans="9:13" hidden="1" x14ac:dyDescent="0.25"/>
    <row r="103" spans="9:13" x14ac:dyDescent="0.25">
      <c r="I103" s="402"/>
      <c r="K103" s="730"/>
      <c r="M103" s="730"/>
    </row>
    <row r="104" spans="9:13" hidden="1" x14ac:dyDescent="0.25">
      <c r="K104" s="730"/>
    </row>
    <row r="105" spans="9:13" x14ac:dyDescent="0.25">
      <c r="I105" s="402"/>
      <c r="K105" s="730"/>
      <c r="M105" s="730"/>
    </row>
    <row r="106" spans="9:13" hidden="1" x14ac:dyDescent="0.25"/>
    <row r="107" spans="9:13" x14ac:dyDescent="0.25">
      <c r="I107" s="402"/>
      <c r="K107" s="730"/>
      <c r="M107" s="730"/>
    </row>
    <row r="108" spans="9:13" hidden="1" x14ac:dyDescent="0.25">
      <c r="K108" s="730"/>
    </row>
    <row r="109" spans="9:13" x14ac:dyDescent="0.25">
      <c r="I109" s="402"/>
      <c r="K109" s="730"/>
      <c r="M109" s="730"/>
    </row>
    <row r="110" spans="9:13" hidden="1" x14ac:dyDescent="0.25"/>
    <row r="111" spans="9:13" x14ac:dyDescent="0.25">
      <c r="I111" s="402"/>
      <c r="K111" s="730"/>
      <c r="M111" s="730"/>
    </row>
    <row r="112" spans="9:13" hidden="1" x14ac:dyDescent="0.25">
      <c r="K112" s="730"/>
    </row>
    <row r="113" spans="9:13" x14ac:dyDescent="0.25">
      <c r="I113" s="402"/>
      <c r="K113" s="730"/>
      <c r="M113" s="730"/>
    </row>
    <row r="114" spans="9:13" hidden="1" x14ac:dyDescent="0.25"/>
    <row r="115" spans="9:13" x14ac:dyDescent="0.25">
      <c r="I115" s="402"/>
      <c r="K115" s="730"/>
      <c r="M115" s="730"/>
    </row>
    <row r="116" spans="9:13" hidden="1" x14ac:dyDescent="0.25">
      <c r="K116" s="730"/>
    </row>
    <row r="117" spans="9:13" x14ac:dyDescent="0.25">
      <c r="I117" s="402"/>
      <c r="K117" s="730"/>
      <c r="M117" s="730"/>
    </row>
    <row r="118" spans="9:13" hidden="1" x14ac:dyDescent="0.25"/>
    <row r="119" spans="9:13" x14ac:dyDescent="0.25">
      <c r="I119" s="402"/>
      <c r="K119" s="730"/>
      <c r="M119" s="730"/>
    </row>
    <row r="120" spans="9:13" hidden="1" x14ac:dyDescent="0.25">
      <c r="K120" s="730"/>
    </row>
    <row r="121" spans="9:13" x14ac:dyDescent="0.25">
      <c r="I121" s="402"/>
      <c r="K121" s="730"/>
      <c r="M121" s="730"/>
    </row>
    <row r="122" spans="9:13" hidden="1" x14ac:dyDescent="0.25"/>
    <row r="123" spans="9:13" x14ac:dyDescent="0.25">
      <c r="I123" s="402"/>
      <c r="K123" s="730"/>
      <c r="M123" s="730"/>
    </row>
    <row r="124" spans="9:13" hidden="1" x14ac:dyDescent="0.25">
      <c r="K124" s="730"/>
    </row>
    <row r="125" spans="9:13" x14ac:dyDescent="0.25">
      <c r="I125" s="402"/>
      <c r="K125" s="730"/>
      <c r="M125" s="730"/>
    </row>
    <row r="126" spans="9:13" hidden="1" x14ac:dyDescent="0.25"/>
    <row r="127" spans="9:13" x14ac:dyDescent="0.25">
      <c r="I127" s="402"/>
      <c r="K127" s="730"/>
      <c r="M127" s="730"/>
    </row>
    <row r="128" spans="9:13" hidden="1" x14ac:dyDescent="0.25">
      <c r="K128" s="730"/>
    </row>
    <row r="129" spans="9:13" x14ac:dyDescent="0.25">
      <c r="I129" s="402"/>
      <c r="K129" s="730"/>
      <c r="M129" s="730"/>
    </row>
    <row r="130" spans="9:13" hidden="1" x14ac:dyDescent="0.25"/>
    <row r="131" spans="9:13" x14ac:dyDescent="0.25">
      <c r="I131" s="402"/>
      <c r="K131" s="730"/>
      <c r="M131" s="730"/>
    </row>
    <row r="132" spans="9:13" hidden="1" x14ac:dyDescent="0.25">
      <c r="K132" s="730"/>
    </row>
    <row r="133" spans="9:13" x14ac:dyDescent="0.25">
      <c r="I133" s="402"/>
      <c r="K133" s="730"/>
      <c r="M133" s="730"/>
    </row>
    <row r="134" spans="9:13" hidden="1" x14ac:dyDescent="0.25"/>
    <row r="135" spans="9:13" x14ac:dyDescent="0.25">
      <c r="I135" s="402"/>
      <c r="K135" s="730"/>
      <c r="M135" s="730"/>
    </row>
    <row r="136" spans="9:13" hidden="1" x14ac:dyDescent="0.25">
      <c r="K136" s="730"/>
    </row>
    <row r="137" spans="9:13" x14ac:dyDescent="0.25">
      <c r="I137" s="402"/>
      <c r="K137" s="730"/>
      <c r="M137" s="730"/>
    </row>
    <row r="138" spans="9:13" hidden="1" x14ac:dyDescent="0.25"/>
    <row r="139" spans="9:13" x14ac:dyDescent="0.25">
      <c r="I139" s="402"/>
      <c r="K139" s="730"/>
      <c r="M139" s="730"/>
    </row>
    <row r="140" spans="9:13" hidden="1" x14ac:dyDescent="0.25">
      <c r="K140" s="730"/>
    </row>
    <row r="141" spans="9:13" x14ac:dyDescent="0.25">
      <c r="I141" s="402"/>
      <c r="K141" s="730"/>
      <c r="M141" s="730"/>
    </row>
    <row r="142" spans="9:13" hidden="1" x14ac:dyDescent="0.25"/>
    <row r="143" spans="9:13" x14ac:dyDescent="0.25">
      <c r="I143" s="402"/>
      <c r="K143" s="730"/>
      <c r="M143" s="730"/>
    </row>
    <row r="144" spans="9:13" hidden="1" x14ac:dyDescent="0.25">
      <c r="K144" s="730"/>
    </row>
    <row r="145" spans="9:13" x14ac:dyDescent="0.25">
      <c r="I145" s="402"/>
      <c r="K145" s="730"/>
      <c r="M145" s="730"/>
    </row>
    <row r="146" spans="9:13" hidden="1" x14ac:dyDescent="0.25"/>
    <row r="147" spans="9:13" x14ac:dyDescent="0.25">
      <c r="I147" s="402"/>
      <c r="K147" s="730"/>
      <c r="M147" s="730"/>
    </row>
    <row r="148" spans="9:13" x14ac:dyDescent="0.25">
      <c r="K148" s="730"/>
    </row>
    <row r="149" spans="9:13" x14ac:dyDescent="0.25">
      <c r="I149" s="402"/>
      <c r="K149" s="730"/>
      <c r="M149" s="730"/>
    </row>
  </sheetData>
  <mergeCells count="5">
    <mergeCell ref="C5:O5"/>
    <mergeCell ref="Q5:S5"/>
    <mergeCell ref="Y9:Z9"/>
    <mergeCell ref="AB9:AC9"/>
    <mergeCell ref="AE9:AF9"/>
  </mergeCells>
  <phoneticPr fontId="18" type="noConversion"/>
  <printOptions horizontalCentered="1"/>
  <pageMargins left="0.75" right="0.75" top="0.75" bottom="0.25" header="0.5" footer="0.5"/>
  <pageSetup scale="46" orientation="landscape" horizontalDpi="4294967295" verticalDpi="4294967295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K202"/>
  <sheetViews>
    <sheetView view="pageBreakPreview" zoomScale="60" zoomScaleNormal="100" workbookViewId="0">
      <selection activeCell="E37" sqref="E37"/>
    </sheetView>
  </sheetViews>
  <sheetFormatPr defaultColWidth="9.140625" defaultRowHeight="15" x14ac:dyDescent="0.2"/>
  <cols>
    <col min="1" max="1" width="3.5703125" style="1169" customWidth="1"/>
    <col min="2" max="2" width="5.85546875" style="1169" customWidth="1"/>
    <col min="3" max="4" width="2.28515625" style="1169" customWidth="1"/>
    <col min="5" max="5" width="43.7109375" style="1169" customWidth="1"/>
    <col min="6" max="6" width="3.85546875" style="1169" customWidth="1"/>
    <col min="7" max="7" width="17" style="1169" bestFit="1" customWidth="1"/>
    <col min="8" max="8" width="4.28515625" style="1169" customWidth="1"/>
    <col min="9" max="9" width="17" style="1169" customWidth="1"/>
    <col min="10" max="10" width="4.28515625" style="1169" customWidth="1"/>
    <col min="11" max="11" width="17" style="1169" customWidth="1"/>
    <col min="12" max="12" width="4.28515625" style="1169" customWidth="1"/>
    <col min="13" max="13" width="17" style="1169" customWidth="1"/>
    <col min="14" max="14" width="3.140625" style="1169" customWidth="1"/>
    <col min="15" max="15" width="17" style="1169" customWidth="1"/>
    <col min="16" max="16" width="4.28515625" style="1169" customWidth="1"/>
    <col min="17" max="17" width="17" style="1169" customWidth="1"/>
    <col min="18" max="18" width="4.28515625" style="1169" customWidth="1"/>
    <col min="19" max="19" width="18.5703125" style="1169" customWidth="1"/>
    <col min="20" max="20" width="2.85546875" style="1169" customWidth="1"/>
    <col min="21" max="21" width="19.140625" style="1169" bestFit="1" customWidth="1"/>
    <col min="22" max="23" width="15.42578125" style="1169" bestFit="1" customWidth="1"/>
    <col min="24" max="24" width="9.140625" style="1169"/>
    <col min="25" max="25" width="5.85546875" style="1169" customWidth="1"/>
    <col min="26" max="26" width="32.85546875" style="1169" bestFit="1" customWidth="1"/>
    <col min="27" max="27" width="30.28515625" style="1169" customWidth="1"/>
    <col min="28" max="28" width="21.28515625" style="1170" customWidth="1"/>
    <col min="29" max="29" width="9.140625" style="1169"/>
    <col min="30" max="30" width="10.85546875" style="1169" customWidth="1"/>
    <col min="31" max="31" width="17.5703125" style="1169" customWidth="1"/>
    <col min="32" max="16384" width="9.140625" style="1169"/>
  </cols>
  <sheetData>
    <row r="1" spans="1:37" ht="15.75" x14ac:dyDescent="0.25">
      <c r="A1" s="1120" t="str">
        <f>INFO!B1</f>
        <v>EVANSVILLE (INDIANA) WATERWORKS DISTRICT</v>
      </c>
      <c r="B1" s="1120"/>
      <c r="C1" s="1120"/>
      <c r="D1" s="1120"/>
      <c r="E1" s="1120"/>
      <c r="F1" s="1120"/>
      <c r="G1" s="1120"/>
      <c r="H1" s="1120"/>
      <c r="I1" s="1120"/>
      <c r="J1" s="1120"/>
      <c r="K1" s="1120"/>
      <c r="L1" s="1120"/>
      <c r="M1" s="1120"/>
      <c r="N1" s="1120"/>
      <c r="O1" s="1120"/>
      <c r="P1" s="1120"/>
      <c r="Q1" s="1120"/>
      <c r="R1" s="90"/>
      <c r="S1" s="90"/>
      <c r="T1" s="90"/>
    </row>
    <row r="2" spans="1:37" ht="15.75" x14ac:dyDescent="0.25">
      <c r="A2" s="1120"/>
      <c r="B2" s="1177"/>
      <c r="C2" s="1177"/>
      <c r="D2" s="1177"/>
      <c r="E2" s="1177"/>
      <c r="F2" s="1177"/>
      <c r="G2" s="1177"/>
      <c r="H2" s="1177"/>
      <c r="I2" s="1177"/>
      <c r="J2" s="1177"/>
      <c r="K2" s="1177"/>
      <c r="L2" s="1177"/>
      <c r="M2" s="1177"/>
      <c r="N2" s="1177"/>
      <c r="O2" s="1177"/>
      <c r="P2" s="1177"/>
      <c r="Q2" s="1177"/>
      <c r="R2" s="1171"/>
      <c r="S2" s="1171"/>
      <c r="T2" s="1171"/>
    </row>
    <row r="3" spans="1:37" ht="15.75" x14ac:dyDescent="0.25">
      <c r="A3" s="1178" t="s">
        <v>1037</v>
      </c>
      <c r="B3" s="1178"/>
      <c r="C3" s="1178"/>
      <c r="D3" s="1178"/>
      <c r="E3" s="1178"/>
      <c r="F3" s="1178"/>
      <c r="G3" s="1178"/>
      <c r="H3" s="1178"/>
      <c r="I3" s="1178"/>
      <c r="J3" s="1178"/>
      <c r="K3" s="1178"/>
      <c r="L3" s="1178"/>
      <c r="M3" s="1178"/>
      <c r="N3" s="1178"/>
      <c r="O3" s="1178"/>
      <c r="P3" s="1178"/>
      <c r="Q3" s="1178"/>
      <c r="R3" s="1172"/>
      <c r="S3" s="1172"/>
      <c r="T3" s="1172"/>
    </row>
    <row r="4" spans="1:37" ht="15.75" x14ac:dyDescent="0.25">
      <c r="A4" s="1120" t="s">
        <v>1168</v>
      </c>
      <c r="B4" s="1120"/>
      <c r="C4" s="1120"/>
      <c r="D4" s="1120"/>
      <c r="E4" s="1120"/>
      <c r="F4" s="1120"/>
      <c r="G4" s="1120"/>
      <c r="H4" s="1120"/>
      <c r="I4" s="1120"/>
      <c r="J4" s="1120"/>
      <c r="K4" s="1120"/>
      <c r="L4" s="1120"/>
      <c r="M4" s="1120"/>
      <c r="N4" s="1120"/>
      <c r="O4" s="1120"/>
      <c r="P4" s="1120"/>
      <c r="Q4" s="1120"/>
      <c r="R4" s="90"/>
      <c r="S4" s="1386"/>
      <c r="T4" s="1386"/>
      <c r="U4" s="45"/>
      <c r="V4" s="45"/>
      <c r="W4" s="45"/>
      <c r="X4" s="45"/>
      <c r="Y4" s="45"/>
      <c r="Z4" s="45"/>
    </row>
    <row r="5" spans="1:37" ht="15.75" x14ac:dyDescent="0.25">
      <c r="A5" s="963"/>
      <c r="B5" s="963"/>
      <c r="C5" s="963"/>
      <c r="D5" s="963"/>
      <c r="E5" s="963"/>
      <c r="F5" s="963"/>
      <c r="G5" s="963"/>
      <c r="H5" s="963"/>
      <c r="I5" s="963"/>
      <c r="J5" s="963"/>
      <c r="K5" s="963"/>
      <c r="L5" s="963"/>
      <c r="M5" s="963"/>
      <c r="N5" s="963"/>
      <c r="O5" s="91" t="s">
        <v>922</v>
      </c>
      <c r="P5" s="963"/>
      <c r="Q5" s="963"/>
      <c r="R5" s="963"/>
      <c r="S5" s="971"/>
      <c r="T5" s="971"/>
      <c r="U5" s="45"/>
      <c r="V5" s="45"/>
      <c r="W5" s="45"/>
      <c r="X5" s="45"/>
      <c r="Y5" s="45"/>
      <c r="Z5" s="45"/>
    </row>
    <row r="6" spans="1:37" ht="15.75" x14ac:dyDescent="0.25">
      <c r="A6" s="963"/>
      <c r="B6" s="963"/>
      <c r="C6" s="963"/>
      <c r="D6" s="963"/>
      <c r="E6" s="963"/>
      <c r="F6" s="963"/>
      <c r="G6" s="404" t="s">
        <v>441</v>
      </c>
      <c r="H6" s="963"/>
      <c r="I6" s="91"/>
      <c r="J6" s="963"/>
      <c r="K6" s="404"/>
      <c r="L6" s="963"/>
      <c r="M6" s="91" t="s">
        <v>922</v>
      </c>
      <c r="N6" s="963"/>
      <c r="O6" s="403" t="s">
        <v>940</v>
      </c>
      <c r="P6" s="963"/>
      <c r="Q6" s="404" t="s">
        <v>922</v>
      </c>
      <c r="S6" s="971"/>
      <c r="T6" s="971"/>
      <c r="U6" s="1274"/>
      <c r="V6" s="971"/>
      <c r="W6" s="971"/>
      <c r="X6" s="971"/>
      <c r="Y6" s="45"/>
      <c r="Z6" s="45"/>
    </row>
    <row r="7" spans="1:37" ht="15.75" x14ac:dyDescent="0.25">
      <c r="A7" s="963"/>
      <c r="B7" s="963"/>
      <c r="C7" s="963"/>
      <c r="D7" s="963"/>
      <c r="E7" s="963"/>
      <c r="F7" s="963"/>
      <c r="G7" s="403" t="s">
        <v>1100</v>
      </c>
      <c r="H7" s="963"/>
      <c r="I7" s="403" t="s">
        <v>938</v>
      </c>
      <c r="J7" s="963"/>
      <c r="K7" s="403"/>
      <c r="L7" s="963"/>
      <c r="M7" s="403" t="s">
        <v>938</v>
      </c>
      <c r="N7" s="963"/>
      <c r="O7" s="403" t="s">
        <v>138</v>
      </c>
      <c r="P7" s="963"/>
      <c r="Q7" s="403" t="s">
        <v>923</v>
      </c>
      <c r="S7" s="971"/>
      <c r="T7" s="971"/>
      <c r="U7" s="403"/>
      <c r="V7" s="971"/>
      <c r="W7" s="971"/>
      <c r="X7" s="971"/>
      <c r="Y7" s="45"/>
      <c r="Z7" s="45"/>
    </row>
    <row r="8" spans="1:37" s="996" customFormat="1" ht="15.75" x14ac:dyDescent="0.25">
      <c r="B8" s="178"/>
      <c r="C8" s="178"/>
      <c r="D8" s="178"/>
      <c r="E8" s="178"/>
      <c r="F8" s="507"/>
      <c r="G8" s="1247" t="s">
        <v>38</v>
      </c>
      <c r="H8" s="208"/>
      <c r="I8" s="1247" t="s">
        <v>38</v>
      </c>
      <c r="J8" s="208"/>
      <c r="K8" s="1243" t="s">
        <v>107</v>
      </c>
      <c r="L8" s="208"/>
      <c r="M8" s="1109" t="s">
        <v>38</v>
      </c>
      <c r="N8" s="208"/>
      <c r="O8" s="1102" t="s">
        <v>937</v>
      </c>
      <c r="P8" s="208"/>
      <c r="Q8" s="1102" t="s">
        <v>208</v>
      </c>
      <c r="S8" s="208"/>
      <c r="T8" s="208"/>
      <c r="U8" s="403"/>
      <c r="V8" s="425"/>
      <c r="W8" s="208"/>
      <c r="X8" s="425"/>
      <c r="Y8" s="425"/>
      <c r="Z8" s="425"/>
      <c r="AB8" s="993"/>
    </row>
    <row r="9" spans="1:37" s="996" customFormat="1" ht="15.75" x14ac:dyDescent="0.25">
      <c r="A9" s="996" t="s">
        <v>209</v>
      </c>
      <c r="B9" s="178"/>
      <c r="C9" s="178"/>
      <c r="D9" s="178"/>
      <c r="E9" s="178"/>
      <c r="F9" s="425"/>
      <c r="G9" s="425"/>
      <c r="H9" s="425"/>
      <c r="I9" s="185" t="s">
        <v>440</v>
      </c>
      <c r="J9" s="425"/>
      <c r="K9" s="425"/>
      <c r="L9" s="425"/>
      <c r="M9" s="185" t="s">
        <v>440</v>
      </c>
      <c r="N9" s="425"/>
      <c r="O9" s="185" t="s">
        <v>440</v>
      </c>
      <c r="P9" s="425"/>
      <c r="Q9" s="425"/>
      <c r="S9" s="425"/>
      <c r="T9" s="425"/>
      <c r="U9" s="425"/>
      <c r="V9" s="425"/>
      <c r="W9" s="425"/>
      <c r="X9" s="61"/>
      <c r="Y9" s="359"/>
      <c r="Z9" s="425"/>
      <c r="AA9" s="425"/>
      <c r="AB9" s="466"/>
      <c r="AC9" s="425"/>
      <c r="AD9" s="425"/>
      <c r="AE9" s="425"/>
      <c r="AF9" s="425"/>
      <c r="AG9" s="425"/>
      <c r="AH9" s="425"/>
      <c r="AI9" s="425"/>
      <c r="AJ9" s="425"/>
      <c r="AK9" s="425"/>
    </row>
    <row r="10" spans="1:37" s="996" customFormat="1" ht="15.75" x14ac:dyDescent="0.25">
      <c r="A10" s="145"/>
      <c r="B10" s="178" t="str">
        <f>"ended September 30, 2020 (see page "&amp;TEXT(CNP!$A$78, 0)&amp;")"</f>
        <v>ended September 30, 2020 (see page 35)</v>
      </c>
      <c r="C10" s="178"/>
      <c r="D10" s="178"/>
      <c r="E10" s="178"/>
      <c r="G10" s="1010">
        <f>CNP!M28</f>
        <v>28400613</v>
      </c>
      <c r="H10" s="1010"/>
      <c r="I10" s="1010"/>
      <c r="J10" s="1010"/>
      <c r="K10" s="1010">
        <f>G10</f>
        <v>28400613</v>
      </c>
      <c r="L10" s="1010"/>
      <c r="M10" s="1010"/>
      <c r="N10" s="1010"/>
      <c r="O10" s="1010"/>
      <c r="P10" s="1010"/>
      <c r="Q10" s="1010">
        <f>K10</f>
        <v>28400613</v>
      </c>
      <c r="S10" s="1010"/>
      <c r="T10" s="1010"/>
      <c r="U10" s="1010"/>
      <c r="V10" s="507"/>
      <c r="W10" s="1010"/>
      <c r="X10" s="61"/>
      <c r="Y10" s="359"/>
      <c r="Z10" s="425"/>
      <c r="AA10" s="425"/>
      <c r="AB10" s="466"/>
      <c r="AC10" s="425"/>
      <c r="AD10" s="425"/>
      <c r="AE10" s="425"/>
      <c r="AF10" s="425"/>
      <c r="AG10" s="425"/>
      <c r="AH10" s="425"/>
      <c r="AI10" s="425"/>
      <c r="AJ10" s="425"/>
      <c r="AK10" s="425"/>
    </row>
    <row r="11" spans="1:37" s="996" customFormat="1" ht="15.75" x14ac:dyDescent="0.25">
      <c r="B11" s="993"/>
      <c r="C11" s="993"/>
      <c r="D11" s="178"/>
      <c r="E11" s="178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S11" s="209"/>
      <c r="T11" s="209"/>
      <c r="U11" s="209"/>
      <c r="V11" s="209"/>
      <c r="W11" s="209"/>
      <c r="X11" s="209"/>
      <c r="Y11" s="359"/>
      <c r="Z11" s="425"/>
      <c r="AA11" s="425"/>
      <c r="AB11" s="425"/>
      <c r="AC11" s="425"/>
      <c r="AD11" s="425"/>
      <c r="AE11" s="425"/>
      <c r="AF11" s="425"/>
      <c r="AG11" s="425"/>
      <c r="AH11" s="425"/>
      <c r="AI11" s="425"/>
      <c r="AJ11" s="425"/>
      <c r="AK11" s="425"/>
    </row>
    <row r="12" spans="1:37" s="996" customFormat="1" ht="15.75" x14ac:dyDescent="0.25">
      <c r="A12" s="996" t="s">
        <v>210</v>
      </c>
      <c r="B12" s="993"/>
      <c r="C12" s="993"/>
      <c r="D12" s="178"/>
      <c r="E12" s="178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S12" s="201"/>
      <c r="T12" s="201"/>
      <c r="U12" s="201"/>
      <c r="V12" s="209"/>
      <c r="W12" s="201"/>
      <c r="X12" s="201"/>
      <c r="Y12" s="359"/>
      <c r="Z12" s="425"/>
      <c r="AA12" s="425"/>
      <c r="AB12" s="425"/>
      <c r="AC12" s="425"/>
      <c r="AD12" s="425"/>
      <c r="AE12" s="425"/>
      <c r="AF12" s="425"/>
      <c r="AG12" s="425"/>
      <c r="AH12" s="425"/>
      <c r="AI12" s="425"/>
      <c r="AJ12" s="425"/>
      <c r="AK12" s="425"/>
    </row>
    <row r="13" spans="1:37" s="996" customFormat="1" ht="15.75" x14ac:dyDescent="0.25">
      <c r="B13" s="993"/>
      <c r="C13" s="993"/>
      <c r="D13" s="178"/>
      <c r="E13" s="178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S13" s="201"/>
      <c r="T13" s="201"/>
      <c r="U13" s="201"/>
      <c r="V13" s="201"/>
      <c r="W13" s="201"/>
      <c r="X13" s="201"/>
      <c r="Y13" s="359"/>
      <c r="Z13" s="425"/>
      <c r="AA13" s="425"/>
      <c r="AB13" s="201"/>
      <c r="AC13" s="425"/>
      <c r="AD13" s="425"/>
      <c r="AE13" s="425"/>
      <c r="AF13" s="425"/>
      <c r="AG13" s="425"/>
      <c r="AH13" s="425"/>
      <c r="AI13" s="425"/>
      <c r="AJ13" s="425"/>
      <c r="AK13" s="425"/>
    </row>
    <row r="14" spans="1:37" s="996" customFormat="1" ht="15.75" x14ac:dyDescent="0.25">
      <c r="B14" s="1110">
        <v>-1</v>
      </c>
      <c r="C14" s="993"/>
      <c r="D14" s="178" t="s">
        <v>26</v>
      </c>
      <c r="E14" s="178"/>
      <c r="G14" s="457">
        <f>'PF II Adj'!I13</f>
        <v>446234</v>
      </c>
      <c r="H14" s="200"/>
      <c r="I14" s="207">
        <v>130378</v>
      </c>
      <c r="J14" s="200"/>
      <c r="K14" s="200">
        <v>576612</v>
      </c>
      <c r="L14" s="200"/>
      <c r="M14" s="207">
        <v>132262</v>
      </c>
      <c r="N14" s="200"/>
      <c r="O14" s="207">
        <v>425000</v>
      </c>
      <c r="P14" s="200"/>
      <c r="Q14" s="200">
        <v>1133874</v>
      </c>
      <c r="S14" s="201"/>
      <c r="T14" s="201"/>
      <c r="U14" s="201"/>
      <c r="V14" s="201"/>
      <c r="W14" s="201"/>
      <c r="X14" s="201"/>
      <c r="Y14" s="359"/>
      <c r="Z14" s="425"/>
      <c r="AA14" s="425"/>
      <c r="AB14" s="201"/>
      <c r="AC14" s="425"/>
      <c r="AD14" s="425"/>
      <c r="AE14" s="201"/>
      <c r="AF14" s="425"/>
      <c r="AG14" s="425"/>
      <c r="AH14" s="425"/>
      <c r="AI14" s="425"/>
      <c r="AJ14" s="425"/>
      <c r="AK14" s="425"/>
    </row>
    <row r="15" spans="1:37" s="996" customFormat="1" ht="15.75" x14ac:dyDescent="0.25">
      <c r="B15" s="1110">
        <v>-2</v>
      </c>
      <c r="C15" s="993"/>
      <c r="D15" s="178" t="s">
        <v>202</v>
      </c>
      <c r="E15" s="178"/>
      <c r="G15" s="457">
        <f>'PF II Adj'!I27</f>
        <v>52454</v>
      </c>
      <c r="H15" s="200"/>
      <c r="I15" s="200">
        <v>9974</v>
      </c>
      <c r="J15" s="200"/>
      <c r="K15" s="200">
        <v>62428</v>
      </c>
      <c r="L15" s="200"/>
      <c r="M15" s="200">
        <v>10118</v>
      </c>
      <c r="N15" s="200"/>
      <c r="O15" s="200">
        <v>32512.5</v>
      </c>
      <c r="P15" s="200"/>
      <c r="Q15" s="200">
        <v>105058.5</v>
      </c>
      <c r="S15" s="201"/>
      <c r="T15" s="201"/>
      <c r="U15" s="201"/>
      <c r="V15" s="201"/>
      <c r="W15" s="201"/>
      <c r="X15" s="201"/>
      <c r="Y15" s="359"/>
      <c r="Z15" s="425"/>
      <c r="AA15" s="425"/>
      <c r="AB15" s="201"/>
      <c r="AC15" s="425"/>
      <c r="AD15" s="425"/>
      <c r="AE15" s="201"/>
      <c r="AF15" s="425"/>
      <c r="AG15" s="425"/>
      <c r="AH15" s="425"/>
      <c r="AI15" s="425"/>
      <c r="AJ15" s="425"/>
      <c r="AK15" s="425"/>
    </row>
    <row r="16" spans="1:37" s="996" customFormat="1" ht="15.75" x14ac:dyDescent="0.25">
      <c r="B16" s="1110">
        <v>-3</v>
      </c>
      <c r="C16" s="993"/>
      <c r="D16" s="178" t="s">
        <v>39</v>
      </c>
      <c r="E16" s="178"/>
      <c r="G16" s="457">
        <f>'PF II Adj'!I46</f>
        <v>113491</v>
      </c>
      <c r="H16" s="200"/>
      <c r="I16" s="200">
        <v>18514</v>
      </c>
      <c r="J16" s="200"/>
      <c r="K16" s="200">
        <v>132005</v>
      </c>
      <c r="L16" s="200"/>
      <c r="M16" s="200">
        <v>18782</v>
      </c>
      <c r="N16" s="200"/>
      <c r="O16" s="200">
        <v>60350</v>
      </c>
      <c r="P16" s="200"/>
      <c r="Q16" s="200">
        <v>211137</v>
      </c>
      <c r="S16" s="201"/>
      <c r="T16" s="201"/>
      <c r="U16" s="201"/>
      <c r="V16" s="201"/>
      <c r="W16" s="201"/>
      <c r="X16" s="201"/>
      <c r="Y16" s="359"/>
      <c r="Z16" s="425"/>
      <c r="AA16" s="425"/>
      <c r="AB16" s="201"/>
      <c r="AC16" s="425"/>
      <c r="AD16" s="425"/>
      <c r="AE16" s="201"/>
      <c r="AF16" s="425"/>
      <c r="AG16" s="425"/>
      <c r="AH16" s="425"/>
      <c r="AI16" s="425"/>
      <c r="AJ16" s="425"/>
      <c r="AK16" s="425"/>
    </row>
    <row r="17" spans="1:37" s="996" customFormat="1" ht="15.75" x14ac:dyDescent="0.25">
      <c r="B17" s="1110">
        <v>-4</v>
      </c>
      <c r="C17" s="993"/>
      <c r="D17" s="178" t="s">
        <v>204</v>
      </c>
      <c r="E17" s="178"/>
      <c r="G17" s="457">
        <f>'PF II Adj'!I58</f>
        <v>115662</v>
      </c>
      <c r="H17" s="201"/>
      <c r="I17" s="200">
        <v>88184</v>
      </c>
      <c r="J17" s="201"/>
      <c r="K17" s="200">
        <v>203846</v>
      </c>
      <c r="L17" s="201"/>
      <c r="M17" s="200">
        <v>91058</v>
      </c>
      <c r="N17" s="201"/>
      <c r="O17" s="200">
        <v>135779.39000000001</v>
      </c>
      <c r="P17" s="201"/>
      <c r="Q17" s="200">
        <v>430683.39</v>
      </c>
      <c r="S17" s="201"/>
      <c r="T17" s="201"/>
      <c r="U17" s="201"/>
      <c r="V17" s="201"/>
      <c r="W17" s="201"/>
      <c r="X17" s="201"/>
      <c r="Y17" s="359"/>
      <c r="Z17" s="425"/>
      <c r="AA17" s="425"/>
      <c r="AB17" s="425"/>
      <c r="AC17" s="425"/>
      <c r="AD17" s="425"/>
      <c r="AE17" s="201"/>
      <c r="AF17" s="425"/>
      <c r="AG17" s="425"/>
      <c r="AH17" s="425"/>
      <c r="AI17" s="425"/>
      <c r="AJ17" s="425"/>
      <c r="AK17" s="425"/>
    </row>
    <row r="18" spans="1:37" s="996" customFormat="1" ht="15.75" x14ac:dyDescent="0.25">
      <c r="B18" s="1110">
        <v>-5</v>
      </c>
      <c r="C18" s="993"/>
      <c r="D18" s="178" t="s">
        <v>86</v>
      </c>
      <c r="E18" s="178"/>
      <c r="G18" s="457">
        <f>'PF II Adj'!I70</f>
        <v>61641</v>
      </c>
      <c r="H18" s="201"/>
      <c r="I18" s="200">
        <v>1139</v>
      </c>
      <c r="J18" s="201"/>
      <c r="K18" s="200">
        <v>62780</v>
      </c>
      <c r="L18" s="201"/>
      <c r="M18" s="200">
        <v>1150</v>
      </c>
      <c r="N18" s="201"/>
      <c r="O18" s="593">
        <v>0</v>
      </c>
      <c r="P18" s="201"/>
      <c r="Q18" s="200">
        <v>63930</v>
      </c>
      <c r="S18" s="201"/>
      <c r="T18" s="201"/>
      <c r="U18" s="201"/>
      <c r="V18" s="201"/>
      <c r="W18" s="201"/>
      <c r="X18" s="201"/>
      <c r="Y18" s="359"/>
      <c r="Z18" s="425"/>
      <c r="AA18" s="425"/>
      <c r="AB18" s="201"/>
      <c r="AC18" s="425"/>
      <c r="AD18" s="425"/>
      <c r="AE18" s="201"/>
      <c r="AF18" s="425"/>
      <c r="AG18" s="425"/>
      <c r="AH18" s="425"/>
      <c r="AI18" s="425"/>
      <c r="AJ18" s="425"/>
      <c r="AK18" s="425"/>
    </row>
    <row r="19" spans="1:37" s="996" customFormat="1" ht="15.75" x14ac:dyDescent="0.25">
      <c r="B19" s="1110">
        <v>-6</v>
      </c>
      <c r="C19" s="993"/>
      <c r="D19" s="178" t="s">
        <v>531</v>
      </c>
      <c r="E19" s="178"/>
      <c r="G19" s="457">
        <f>'PF II Adj'!I93</f>
        <v>-5177</v>
      </c>
      <c r="H19" s="201"/>
      <c r="I19" s="200">
        <v>286</v>
      </c>
      <c r="J19" s="201"/>
      <c r="K19" s="200">
        <v>-4891</v>
      </c>
      <c r="L19" s="201"/>
      <c r="M19" s="200">
        <v>295</v>
      </c>
      <c r="N19" s="201"/>
      <c r="O19" s="761">
        <v>0</v>
      </c>
      <c r="P19" s="201"/>
      <c r="Q19" s="200">
        <v>-4596</v>
      </c>
      <c r="S19" s="201"/>
      <c r="T19" s="201"/>
      <c r="U19" s="201"/>
      <c r="V19" s="201"/>
      <c r="W19" s="201"/>
      <c r="X19" s="201"/>
      <c r="Y19" s="359"/>
      <c r="Z19" s="425"/>
      <c r="AA19" s="425"/>
      <c r="AB19" s="201"/>
      <c r="AC19" s="425"/>
      <c r="AD19" s="425"/>
      <c r="AE19" s="201"/>
      <c r="AF19" s="425"/>
      <c r="AG19" s="425"/>
      <c r="AH19" s="425"/>
      <c r="AI19" s="425"/>
      <c r="AJ19" s="425"/>
      <c r="AK19" s="425"/>
    </row>
    <row r="20" spans="1:37" s="996" customFormat="1" ht="15.75" x14ac:dyDescent="0.25">
      <c r="B20" s="1110">
        <v>-7</v>
      </c>
      <c r="C20" s="993"/>
      <c r="D20" s="178" t="s">
        <v>211</v>
      </c>
      <c r="E20" s="178"/>
      <c r="G20" s="457">
        <f>'PF II Adj'!I137</f>
        <v>625622</v>
      </c>
      <c r="H20" s="201"/>
      <c r="I20" s="200">
        <v>141361</v>
      </c>
      <c r="J20" s="201"/>
      <c r="K20" s="200">
        <v>766983</v>
      </c>
      <c r="L20" s="201"/>
      <c r="M20" s="200">
        <v>148104</v>
      </c>
      <c r="N20" s="201"/>
      <c r="O20" s="761">
        <v>0</v>
      </c>
      <c r="P20" s="201"/>
      <c r="Q20" s="200">
        <v>915087</v>
      </c>
      <c r="S20" s="201"/>
      <c r="T20" s="201"/>
      <c r="U20" s="201"/>
      <c r="V20" s="201"/>
      <c r="W20" s="201"/>
      <c r="X20" s="201"/>
      <c r="Y20" s="359"/>
      <c r="Z20" s="425"/>
      <c r="AA20" s="425"/>
      <c r="AB20" s="201"/>
      <c r="AC20" s="425"/>
      <c r="AD20" s="425"/>
      <c r="AE20" s="201"/>
      <c r="AF20" s="425"/>
      <c r="AG20" s="425"/>
      <c r="AH20" s="425"/>
      <c r="AI20" s="425"/>
      <c r="AJ20" s="425"/>
      <c r="AK20" s="425"/>
    </row>
    <row r="21" spans="1:37" s="996" customFormat="1" ht="15.75" x14ac:dyDescent="0.25">
      <c r="B21" s="1110">
        <v>-8</v>
      </c>
      <c r="C21" s="993"/>
      <c r="D21" s="178" t="s">
        <v>410</v>
      </c>
      <c r="G21" s="457">
        <f>'PF II Adj'!I156</f>
        <v>-324105</v>
      </c>
      <c r="H21" s="201"/>
      <c r="I21" s="593">
        <v>0</v>
      </c>
      <c r="J21" s="201"/>
      <c r="K21" s="200">
        <v>-324105</v>
      </c>
      <c r="L21" s="201"/>
      <c r="M21" s="593">
        <v>0</v>
      </c>
      <c r="N21" s="201"/>
      <c r="O21" s="761">
        <v>0</v>
      </c>
      <c r="P21" s="201"/>
      <c r="Q21" s="200">
        <v>-324105</v>
      </c>
      <c r="S21" s="201"/>
      <c r="T21" s="201"/>
      <c r="U21" s="201"/>
      <c r="V21" s="201"/>
      <c r="W21" s="201"/>
      <c r="X21" s="201"/>
      <c r="Y21" s="359"/>
      <c r="Z21" s="425"/>
      <c r="AA21" s="425"/>
      <c r="AB21" s="201"/>
      <c r="AC21" s="425"/>
      <c r="AD21" s="425"/>
      <c r="AE21" s="201"/>
      <c r="AF21" s="425"/>
      <c r="AG21" s="425"/>
      <c r="AH21" s="425"/>
      <c r="AI21" s="425"/>
      <c r="AJ21" s="425"/>
      <c r="AK21" s="425"/>
    </row>
    <row r="22" spans="1:37" s="996" customFormat="1" ht="15.75" x14ac:dyDescent="0.25">
      <c r="B22" s="216">
        <v>-9</v>
      </c>
      <c r="C22" s="993"/>
      <c r="D22" s="178" t="s">
        <v>282</v>
      </c>
      <c r="E22" s="178"/>
      <c r="G22" s="457">
        <f>'PF II Adj'!I311</f>
        <v>284535</v>
      </c>
      <c r="H22" s="466"/>
      <c r="I22" s="200">
        <v>98433</v>
      </c>
      <c r="J22" s="466"/>
      <c r="K22" s="200">
        <v>382968</v>
      </c>
      <c r="L22" s="466"/>
      <c r="M22" s="200">
        <v>101585</v>
      </c>
      <c r="N22" s="466"/>
      <c r="O22" s="502">
        <v>0</v>
      </c>
      <c r="P22" s="466"/>
      <c r="Q22" s="200">
        <v>484553</v>
      </c>
      <c r="S22" s="466"/>
      <c r="T22" s="466"/>
      <c r="U22" s="466"/>
      <c r="V22" s="201"/>
      <c r="W22" s="201"/>
      <c r="X22" s="201"/>
      <c r="Y22" s="425"/>
      <c r="Z22" s="425"/>
      <c r="AA22" s="425"/>
      <c r="AB22" s="201"/>
      <c r="AC22" s="425"/>
      <c r="AD22" s="425"/>
      <c r="AE22" s="201"/>
      <c r="AF22" s="425"/>
      <c r="AG22" s="425"/>
      <c r="AH22" s="425"/>
      <c r="AI22" s="425"/>
      <c r="AJ22" s="425"/>
      <c r="AK22" s="425"/>
    </row>
    <row r="23" spans="1:37" s="996" customFormat="1" ht="15.75" x14ac:dyDescent="0.25">
      <c r="B23" s="216">
        <v>-10</v>
      </c>
      <c r="D23" s="178" t="s">
        <v>570</v>
      </c>
      <c r="E23" s="178"/>
      <c r="G23" s="457">
        <f>'PF II Adj'!I344</f>
        <v>18794</v>
      </c>
      <c r="H23" s="201"/>
      <c r="I23" s="593">
        <v>0</v>
      </c>
      <c r="J23" s="201"/>
      <c r="K23" s="200">
        <v>18794</v>
      </c>
      <c r="L23" s="201"/>
      <c r="M23" s="593">
        <v>0</v>
      </c>
      <c r="N23" s="201"/>
      <c r="O23" s="761">
        <v>0</v>
      </c>
      <c r="P23" s="201"/>
      <c r="Q23" s="200">
        <v>18794</v>
      </c>
      <c r="S23" s="201"/>
      <c r="T23" s="201"/>
      <c r="U23" s="201"/>
      <c r="V23" s="201"/>
      <c r="W23" s="201"/>
      <c r="X23" s="201"/>
      <c r="Y23" s="359"/>
      <c r="Z23" s="425"/>
      <c r="AA23" s="425"/>
      <c r="AB23" s="201"/>
      <c r="AC23" s="425"/>
      <c r="AD23" s="425"/>
      <c r="AE23" s="201"/>
      <c r="AF23" s="425"/>
      <c r="AG23" s="425"/>
      <c r="AH23" s="425"/>
      <c r="AI23" s="425"/>
      <c r="AJ23" s="425"/>
      <c r="AK23" s="425"/>
    </row>
    <row r="24" spans="1:37" s="996" customFormat="1" ht="15.75" x14ac:dyDescent="0.25">
      <c r="B24" s="216">
        <v>-11</v>
      </c>
      <c r="C24" s="993"/>
      <c r="D24" s="178" t="s">
        <v>274</v>
      </c>
      <c r="G24" s="457">
        <f>'PF II Adj'!I359</f>
        <v>8199</v>
      </c>
      <c r="H24" s="201"/>
      <c r="I24" s="593">
        <v>0</v>
      </c>
      <c r="J24" s="201"/>
      <c r="K24" s="200">
        <v>8199</v>
      </c>
      <c r="L24" s="201"/>
      <c r="M24" s="593">
        <v>0</v>
      </c>
      <c r="N24" s="201"/>
      <c r="O24" s="761">
        <v>0</v>
      </c>
      <c r="P24" s="201"/>
      <c r="Q24" s="200">
        <v>8199</v>
      </c>
      <c r="S24" s="201"/>
      <c r="T24" s="201"/>
      <c r="U24" s="201"/>
      <c r="V24" s="201"/>
      <c r="W24" s="466"/>
      <c r="X24" s="201"/>
      <c r="Y24" s="359"/>
      <c r="Z24" s="425"/>
      <c r="AA24" s="425"/>
      <c r="AB24" s="201"/>
      <c r="AC24" s="425"/>
      <c r="AD24" s="425"/>
      <c r="AE24" s="201"/>
      <c r="AF24" s="425"/>
      <c r="AG24" s="425"/>
      <c r="AH24" s="425"/>
      <c r="AI24" s="425"/>
      <c r="AJ24" s="425"/>
      <c r="AK24" s="425"/>
    </row>
    <row r="25" spans="1:37" s="996" customFormat="1" ht="15.75" x14ac:dyDescent="0.25">
      <c r="B25" s="216">
        <v>-12</v>
      </c>
      <c r="C25" s="993"/>
      <c r="D25" s="178" t="s">
        <v>809</v>
      </c>
      <c r="G25" s="457">
        <f>'PF II Adj'!I372+'PF II Adj'!I380</f>
        <v>93437</v>
      </c>
      <c r="H25" s="201"/>
      <c r="I25" s="593">
        <v>0</v>
      </c>
      <c r="J25" s="201"/>
      <c r="K25" s="200">
        <v>93437</v>
      </c>
      <c r="L25" s="201"/>
      <c r="M25" s="593">
        <v>0</v>
      </c>
      <c r="N25" s="201"/>
      <c r="O25" s="761">
        <v>0</v>
      </c>
      <c r="P25" s="201"/>
      <c r="Q25" s="200">
        <v>93437</v>
      </c>
      <c r="S25" s="201"/>
      <c r="T25" s="201"/>
      <c r="U25" s="201"/>
      <c r="V25" s="201"/>
      <c r="W25" s="466"/>
      <c r="X25" s="201"/>
      <c r="Y25" s="359"/>
      <c r="Z25" s="425"/>
      <c r="AA25" s="425"/>
      <c r="AB25" s="201"/>
      <c r="AC25" s="425"/>
      <c r="AD25" s="425"/>
      <c r="AE25" s="201"/>
      <c r="AF25" s="425"/>
      <c r="AG25" s="425"/>
      <c r="AH25" s="425"/>
      <c r="AI25" s="425"/>
      <c r="AJ25" s="425"/>
      <c r="AK25" s="425"/>
    </row>
    <row r="26" spans="1:37" s="996" customFormat="1" ht="15.75" x14ac:dyDescent="0.25">
      <c r="B26" s="216" t="s">
        <v>201</v>
      </c>
      <c r="C26" s="993"/>
      <c r="D26" s="178" t="s">
        <v>592</v>
      </c>
      <c r="G26" s="457">
        <f>'PF II Adj'!I462</f>
        <v>283181</v>
      </c>
      <c r="H26" s="201"/>
      <c r="I26" s="593">
        <v>0</v>
      </c>
      <c r="J26" s="201"/>
      <c r="K26" s="200">
        <v>283181</v>
      </c>
      <c r="L26" s="201"/>
      <c r="M26" s="593">
        <v>0</v>
      </c>
      <c r="N26" s="201"/>
      <c r="O26" s="761">
        <v>0</v>
      </c>
      <c r="P26" s="201"/>
      <c r="Q26" s="200">
        <v>283181</v>
      </c>
      <c r="S26" s="201"/>
      <c r="T26" s="201"/>
      <c r="U26" s="201"/>
      <c r="V26" s="201"/>
      <c r="W26" s="466"/>
      <c r="X26" s="201"/>
      <c r="Y26" s="359"/>
      <c r="Z26" s="425"/>
      <c r="AA26" s="425"/>
      <c r="AB26" s="201"/>
      <c r="AC26" s="425"/>
      <c r="AD26" s="425"/>
      <c r="AE26" s="201"/>
      <c r="AF26" s="425"/>
      <c r="AG26" s="425"/>
      <c r="AH26" s="425"/>
      <c r="AI26" s="425"/>
      <c r="AJ26" s="425"/>
      <c r="AK26" s="425"/>
    </row>
    <row r="27" spans="1:37" s="996" customFormat="1" ht="15.75" x14ac:dyDescent="0.25">
      <c r="B27" s="216" t="s">
        <v>440</v>
      </c>
      <c r="C27" s="993"/>
      <c r="D27" s="178" t="s">
        <v>1022</v>
      </c>
      <c r="G27" s="951">
        <v>0</v>
      </c>
      <c r="H27" s="201"/>
      <c r="I27" s="205">
        <v>265631</v>
      </c>
      <c r="J27" s="201"/>
      <c r="K27" s="205">
        <v>265633</v>
      </c>
      <c r="L27" s="201"/>
      <c r="M27" s="205">
        <v>274551</v>
      </c>
      <c r="N27" s="201"/>
      <c r="O27" s="951">
        <v>0</v>
      </c>
      <c r="P27" s="201"/>
      <c r="Q27" s="205">
        <v>540184</v>
      </c>
      <c r="S27" s="201"/>
      <c r="T27" s="201"/>
      <c r="U27" s="201"/>
      <c r="V27" s="201"/>
      <c r="W27" s="466"/>
      <c r="X27" s="201"/>
      <c r="Y27" s="359"/>
      <c r="Z27" s="425"/>
      <c r="AA27" s="425"/>
      <c r="AB27" s="201"/>
      <c r="AC27" s="425"/>
      <c r="AD27" s="425"/>
      <c r="AE27" s="201"/>
      <c r="AF27" s="425"/>
      <c r="AG27" s="425"/>
      <c r="AH27" s="425"/>
      <c r="AI27" s="425"/>
      <c r="AJ27" s="425"/>
      <c r="AK27" s="425"/>
    </row>
    <row r="28" spans="1:37" s="996" customFormat="1" ht="15.75" x14ac:dyDescent="0.25">
      <c r="D28" s="178"/>
      <c r="E28" s="178"/>
      <c r="G28" s="466"/>
      <c r="H28" s="466"/>
      <c r="I28" s="466"/>
      <c r="J28" s="466"/>
      <c r="K28" s="466"/>
      <c r="L28" s="466"/>
      <c r="M28" s="466"/>
      <c r="N28" s="466"/>
      <c r="O28" s="466"/>
      <c r="P28" s="466"/>
      <c r="Q28" s="466"/>
      <c r="S28" s="466"/>
      <c r="T28" s="466"/>
      <c r="U28" s="466"/>
      <c r="V28" s="201"/>
      <c r="W28" s="466"/>
      <c r="X28" s="201"/>
      <c r="Y28" s="359"/>
      <c r="Z28" s="425"/>
      <c r="AA28" s="425"/>
      <c r="AB28" s="201"/>
      <c r="AC28" s="425"/>
      <c r="AD28" s="425"/>
      <c r="AE28" s="425"/>
      <c r="AF28" s="425"/>
      <c r="AG28" s="425"/>
      <c r="AH28" s="425"/>
      <c r="AI28" s="425"/>
      <c r="AJ28" s="425"/>
      <c r="AK28" s="425"/>
    </row>
    <row r="29" spans="1:37" s="996" customFormat="1" ht="16.5" thickBot="1" x14ac:dyDescent="0.3">
      <c r="A29" s="178"/>
      <c r="B29" s="178"/>
      <c r="C29" s="996" t="s">
        <v>1038</v>
      </c>
      <c r="D29" s="178"/>
      <c r="E29" s="178"/>
      <c r="F29" s="1169"/>
      <c r="G29" s="204">
        <f>SUM(G10:G28)</f>
        <v>30174581</v>
      </c>
      <c r="H29" s="209"/>
      <c r="I29" s="204">
        <f>SUM(I14:I27)</f>
        <v>753900</v>
      </c>
      <c r="J29" s="209"/>
      <c r="K29" s="204">
        <f>SUM(K10:K27)</f>
        <v>30928483</v>
      </c>
      <c r="L29" s="209"/>
      <c r="M29" s="204">
        <f>SUM(M14:M27)</f>
        <v>777905</v>
      </c>
      <c r="N29" s="209"/>
      <c r="O29" s="204">
        <f>SUM(O14:O27)</f>
        <v>653641.89</v>
      </c>
      <c r="P29" s="209"/>
      <c r="Q29" s="204">
        <f>SUM(Q10:Q27)</f>
        <v>32360029.890000001</v>
      </c>
      <c r="S29" s="209"/>
      <c r="T29" s="209"/>
      <c r="U29" s="209"/>
      <c r="V29" s="201"/>
      <c r="W29" s="201"/>
      <c r="X29" s="201"/>
      <c r="Y29" s="705"/>
      <c r="Z29" s="425"/>
      <c r="AA29" s="425"/>
      <c r="AB29" s="201"/>
      <c r="AC29" s="425"/>
      <c r="AD29" s="425"/>
      <c r="AE29" s="425"/>
      <c r="AF29" s="425"/>
      <c r="AG29" s="425"/>
      <c r="AH29" s="425"/>
      <c r="AI29" s="425"/>
      <c r="AJ29" s="425"/>
      <c r="AK29" s="425"/>
    </row>
    <row r="30" spans="1:37" s="996" customFormat="1" ht="16.5" thickTop="1" x14ac:dyDescent="0.25">
      <c r="A30" s="178"/>
      <c r="B30" s="178"/>
      <c r="D30" s="178"/>
      <c r="E30" s="178"/>
      <c r="F30" s="209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S30" s="172"/>
      <c r="T30" s="172"/>
      <c r="U30" s="172"/>
      <c r="V30" s="425"/>
      <c r="W30" s="425"/>
      <c r="X30" s="201"/>
      <c r="Y30" s="359"/>
      <c r="Z30" s="425"/>
      <c r="AA30" s="425"/>
      <c r="AB30" s="201"/>
      <c r="AC30" s="425"/>
      <c r="AD30" s="425"/>
      <c r="AE30" s="425"/>
      <c r="AF30" s="425"/>
      <c r="AG30" s="425"/>
      <c r="AH30" s="425"/>
      <c r="AI30" s="425"/>
      <c r="AJ30" s="425"/>
      <c r="AK30" s="425"/>
    </row>
    <row r="31" spans="1:37" s="996" customFormat="1" ht="15.75" x14ac:dyDescent="0.25">
      <c r="A31" s="1173" t="s">
        <v>79</v>
      </c>
      <c r="B31" s="178" t="s">
        <v>591</v>
      </c>
      <c r="D31" s="178"/>
      <c r="E31" s="178"/>
      <c r="F31" s="209"/>
      <c r="G31" s="209"/>
      <c r="H31" s="209"/>
      <c r="I31" s="209"/>
      <c r="J31" s="209"/>
      <c r="K31" s="209"/>
      <c r="L31" s="209"/>
      <c r="M31" s="209"/>
      <c r="N31" s="209"/>
      <c r="O31" s="209"/>
      <c r="P31" s="209"/>
      <c r="Q31" s="209"/>
      <c r="S31" s="209"/>
      <c r="T31" s="209"/>
      <c r="U31" s="209"/>
      <c r="V31" s="201"/>
      <c r="W31" s="466"/>
      <c r="X31" s="201"/>
      <c r="Y31" s="359"/>
      <c r="Z31" s="425"/>
      <c r="AA31" s="425"/>
      <c r="AB31" s="201"/>
      <c r="AC31" s="425"/>
      <c r="AD31" s="425"/>
      <c r="AE31" s="425"/>
      <c r="AF31" s="425"/>
      <c r="AG31" s="425"/>
      <c r="AH31" s="425"/>
      <c r="AI31" s="425"/>
      <c r="AJ31" s="425"/>
      <c r="AK31" s="425"/>
    </row>
    <row r="32" spans="1:37" ht="15.75" x14ac:dyDescent="0.25">
      <c r="A32" s="178"/>
      <c r="B32" s="178" t="str">
        <f>"(see page "&amp;TEXT('Norm Adj'!$A$364,0)&amp;")."</f>
        <v>(see page 24).</v>
      </c>
      <c r="C32" s="996"/>
      <c r="D32" s="178"/>
      <c r="E32" s="178"/>
      <c r="F32" s="209"/>
      <c r="G32" s="209"/>
      <c r="H32" s="209"/>
      <c r="I32" s="209"/>
      <c r="J32" s="209"/>
      <c r="K32" s="209"/>
      <c r="L32" s="209"/>
      <c r="M32" s="209"/>
      <c r="N32" s="209"/>
      <c r="O32" s="209"/>
      <c r="P32" s="209"/>
      <c r="Q32" s="209"/>
      <c r="R32" s="209"/>
      <c r="S32" s="172"/>
      <c r="T32" s="209"/>
      <c r="U32" s="1387"/>
      <c r="V32" s="1387"/>
      <c r="W32" s="1387"/>
      <c r="X32" s="1387"/>
      <c r="Y32" s="45"/>
      <c r="Z32" s="45"/>
      <c r="AA32" s="45"/>
      <c r="AB32" s="201"/>
      <c r="AC32" s="45"/>
      <c r="AD32" s="45"/>
      <c r="AE32" s="45"/>
      <c r="AF32" s="45"/>
      <c r="AG32" s="45"/>
      <c r="AH32" s="45"/>
      <c r="AI32" s="45"/>
      <c r="AJ32" s="45"/>
      <c r="AK32" s="45"/>
    </row>
    <row r="33" spans="1:37" ht="15.75" x14ac:dyDescent="0.25">
      <c r="A33" s="178"/>
      <c r="B33" s="178"/>
      <c r="C33" s="996"/>
      <c r="D33" s="178"/>
      <c r="E33" s="178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172"/>
      <c r="T33" s="209"/>
      <c r="U33" s="1387"/>
      <c r="V33" s="1387"/>
      <c r="W33" s="1387"/>
      <c r="X33" s="1387"/>
      <c r="Y33" s="45"/>
      <c r="Z33" s="201"/>
      <c r="AA33" s="45"/>
      <c r="AB33" s="201"/>
      <c r="AC33" s="45"/>
      <c r="AD33" s="45"/>
      <c r="AE33" s="45"/>
      <c r="AF33" s="45"/>
      <c r="AG33" s="45"/>
      <c r="AH33" s="45"/>
      <c r="AI33" s="45"/>
      <c r="AJ33" s="45"/>
      <c r="AK33" s="45"/>
    </row>
    <row r="34" spans="1:37" ht="15.75" x14ac:dyDescent="0.25">
      <c r="A34" s="178"/>
      <c r="B34" s="178"/>
      <c r="C34" s="996"/>
      <c r="D34" s="178"/>
      <c r="E34" s="178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172"/>
      <c r="T34" s="209"/>
      <c r="U34" s="1387"/>
      <c r="V34" s="1387"/>
      <c r="W34" s="1387"/>
      <c r="X34" s="1387"/>
      <c r="Y34" s="45"/>
      <c r="Z34" s="201"/>
      <c r="AA34" s="45"/>
      <c r="AB34" s="201"/>
      <c r="AC34" s="45"/>
      <c r="AD34" s="45"/>
      <c r="AE34" s="45"/>
      <c r="AF34" s="45"/>
      <c r="AG34" s="45"/>
      <c r="AH34" s="45"/>
      <c r="AI34" s="45"/>
      <c r="AJ34" s="45"/>
      <c r="AK34" s="45"/>
    </row>
    <row r="35" spans="1:37" ht="15.75" x14ac:dyDescent="0.25">
      <c r="A35" s="996"/>
      <c r="B35" s="996"/>
      <c r="C35" s="996"/>
      <c r="D35" s="996"/>
      <c r="E35" s="996"/>
      <c r="F35" s="997"/>
      <c r="G35" s="997"/>
      <c r="H35" s="997"/>
      <c r="I35" s="997"/>
      <c r="J35" s="997"/>
      <c r="K35" s="997"/>
      <c r="L35" s="997"/>
      <c r="M35" s="997"/>
      <c r="N35" s="997"/>
      <c r="O35" s="997"/>
      <c r="P35" s="997"/>
      <c r="Q35" s="997"/>
      <c r="R35" s="209"/>
      <c r="S35" s="172"/>
      <c r="T35" s="209"/>
      <c r="U35" s="1387"/>
      <c r="V35" s="1387"/>
      <c r="W35" s="1387"/>
      <c r="X35" s="1387"/>
      <c r="Y35" s="45"/>
      <c r="Z35" s="45"/>
      <c r="AA35" s="45"/>
      <c r="AB35" s="201"/>
      <c r="AC35" s="45"/>
      <c r="AD35" s="45"/>
      <c r="AE35" s="45"/>
      <c r="AF35" s="45"/>
      <c r="AG35" s="45"/>
      <c r="AH35" s="45"/>
      <c r="AI35" s="45"/>
      <c r="AJ35" s="45"/>
      <c r="AK35" s="45"/>
    </row>
    <row r="36" spans="1:37" ht="15.75" x14ac:dyDescent="0.25">
      <c r="A36" s="996"/>
      <c r="B36" s="996"/>
      <c r="C36" s="996"/>
      <c r="D36" s="996"/>
      <c r="E36" s="996"/>
      <c r="F36" s="997"/>
      <c r="G36" s="997"/>
      <c r="H36" s="997"/>
      <c r="I36" s="997"/>
      <c r="J36" s="997"/>
      <c r="K36" s="997"/>
      <c r="L36" s="997"/>
      <c r="M36" s="997"/>
      <c r="N36" s="997"/>
      <c r="O36" s="997"/>
      <c r="P36" s="997"/>
      <c r="Q36" s="997"/>
      <c r="R36" s="209"/>
      <c r="S36" s="178"/>
      <c r="T36" s="209"/>
      <c r="U36" s="1174"/>
      <c r="V36" s="1174"/>
      <c r="W36" s="1174"/>
      <c r="X36" s="1174"/>
      <c r="Z36" s="45"/>
      <c r="AA36" s="45"/>
      <c r="AB36" s="201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15.75" x14ac:dyDescent="0.25">
      <c r="A37" s="996"/>
      <c r="B37" s="996"/>
      <c r="C37" s="996"/>
      <c r="D37" s="996"/>
      <c r="E37" s="996"/>
      <c r="F37" s="997"/>
      <c r="G37" s="997"/>
      <c r="H37" s="997"/>
      <c r="I37" s="997"/>
      <c r="J37" s="997"/>
      <c r="K37" s="997"/>
      <c r="L37" s="997"/>
      <c r="M37" s="997"/>
      <c r="N37" s="997"/>
      <c r="O37" s="997"/>
      <c r="P37" s="997"/>
      <c r="Q37" s="997"/>
      <c r="R37" s="209"/>
      <c r="S37" s="178"/>
      <c r="T37" s="209"/>
      <c r="U37" s="1174"/>
      <c r="V37" s="1174"/>
      <c r="W37" s="1174"/>
      <c r="X37" s="1174"/>
      <c r="Z37" s="45"/>
      <c r="AA37" s="45"/>
      <c r="AB37" s="201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15.75" x14ac:dyDescent="0.25">
      <c r="A38" s="996"/>
      <c r="B38" s="996"/>
      <c r="C38" s="996"/>
      <c r="D38" s="996"/>
      <c r="E38" s="996"/>
      <c r="F38" s="997"/>
      <c r="G38" s="997"/>
      <c r="H38" s="997"/>
      <c r="I38" s="997"/>
      <c r="J38" s="997"/>
      <c r="K38" s="997"/>
      <c r="L38" s="997"/>
      <c r="M38" s="997"/>
      <c r="N38" s="997"/>
      <c r="O38" s="997"/>
      <c r="P38" s="997"/>
      <c r="Q38" s="997"/>
      <c r="R38" s="209"/>
      <c r="S38" s="178"/>
      <c r="T38" s="209"/>
      <c r="U38" s="1174"/>
      <c r="V38" s="1174"/>
      <c r="W38" s="1174"/>
      <c r="X38" s="1174"/>
      <c r="Z38" s="45"/>
      <c r="AA38" s="45"/>
      <c r="AB38" s="201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15.75" x14ac:dyDescent="0.25">
      <c r="R39" s="209"/>
      <c r="S39" s="178"/>
      <c r="T39" s="209"/>
      <c r="U39" s="1174"/>
      <c r="V39" s="1174"/>
      <c r="W39" s="1174"/>
      <c r="X39" s="1174"/>
      <c r="Z39" s="45"/>
      <c r="AA39" s="45"/>
      <c r="AB39" s="201"/>
      <c r="AC39" s="45"/>
      <c r="AD39" s="45"/>
      <c r="AE39" s="45"/>
      <c r="AF39" s="45"/>
      <c r="AG39" s="45"/>
      <c r="AH39" s="45"/>
      <c r="AI39" s="45"/>
      <c r="AJ39" s="45"/>
      <c r="AK39" s="45"/>
    </row>
    <row r="40" spans="1:37" ht="15.75" x14ac:dyDescent="0.2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209"/>
      <c r="S40" s="178"/>
      <c r="T40" s="209"/>
      <c r="U40" s="1174"/>
      <c r="V40" s="1174"/>
      <c r="W40" s="1174"/>
      <c r="X40" s="1174"/>
      <c r="AB40" s="200"/>
    </row>
    <row r="41" spans="1:37" ht="15.75" x14ac:dyDescent="0.2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209"/>
      <c r="S41" s="178"/>
      <c r="T41" s="209"/>
      <c r="U41" s="1174"/>
      <c r="V41" s="1174"/>
      <c r="W41" s="1174"/>
      <c r="X41" s="1174"/>
      <c r="AB41" s="200"/>
    </row>
    <row r="42" spans="1:37" ht="15.75" x14ac:dyDescent="0.2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209"/>
      <c r="S42" s="178"/>
      <c r="T42" s="209"/>
      <c r="U42" s="1174"/>
      <c r="V42" s="1174"/>
      <c r="W42" s="1174"/>
      <c r="X42" s="1174"/>
      <c r="AB42" s="200"/>
    </row>
    <row r="43" spans="1:37" ht="15.75" x14ac:dyDescent="0.25">
      <c r="A43" s="1435"/>
      <c r="B43" s="1435"/>
      <c r="C43" s="1435"/>
      <c r="D43" s="1435"/>
      <c r="E43" s="1435"/>
      <c r="F43" s="1435"/>
      <c r="G43" s="1435"/>
      <c r="H43" s="1110"/>
      <c r="I43" s="1110"/>
      <c r="J43" s="1110"/>
      <c r="K43" s="1110"/>
      <c r="L43" s="1110"/>
      <c r="M43" s="1110"/>
      <c r="N43" s="1110"/>
      <c r="O43" s="1110"/>
      <c r="P43" s="1110"/>
      <c r="Q43" s="1110"/>
      <c r="R43" s="209"/>
      <c r="S43" s="178"/>
      <c r="T43" s="209"/>
      <c r="U43" s="1174"/>
      <c r="V43" s="1174"/>
      <c r="W43" s="1174"/>
      <c r="X43" s="1174"/>
      <c r="AB43" s="200"/>
    </row>
    <row r="44" spans="1:37" ht="15.75" x14ac:dyDescent="0.25">
      <c r="A44" s="1244"/>
      <c r="B44" s="1244"/>
      <c r="C44" s="1244"/>
      <c r="D44" s="1244"/>
      <c r="E44" s="1244"/>
      <c r="F44" s="1244"/>
      <c r="G44" s="1244"/>
      <c r="H44" s="1244"/>
      <c r="I44" s="1244"/>
      <c r="J44" s="1244"/>
      <c r="K44" s="1244"/>
      <c r="L44" s="1244"/>
      <c r="M44" s="1244"/>
      <c r="N44" s="1244"/>
      <c r="O44" s="1244"/>
      <c r="P44" s="1244"/>
      <c r="Q44" s="1244"/>
      <c r="R44" s="209"/>
      <c r="S44" s="178"/>
      <c r="T44" s="209"/>
      <c r="U44" s="1174"/>
      <c r="V44" s="1174"/>
      <c r="W44" s="1174"/>
      <c r="X44" s="1174"/>
      <c r="AB44" s="200"/>
    </row>
    <row r="45" spans="1:37" ht="15.75" x14ac:dyDescent="0.25">
      <c r="A45" s="1244"/>
      <c r="B45" s="1244"/>
      <c r="C45" s="1244"/>
      <c r="D45" s="1244"/>
      <c r="E45" s="1244"/>
      <c r="F45" s="1244"/>
      <c r="G45" s="1244"/>
      <c r="H45" s="1244"/>
      <c r="I45" s="1244"/>
      <c r="J45" s="1244"/>
      <c r="K45" s="1244"/>
      <c r="L45" s="1244"/>
      <c r="M45" s="1244"/>
      <c r="N45" s="1244"/>
      <c r="O45" s="1244"/>
      <c r="P45" s="1244"/>
      <c r="Q45" s="1244"/>
      <c r="R45" s="209"/>
      <c r="S45" s="178"/>
      <c r="T45" s="209"/>
      <c r="U45" s="1174"/>
      <c r="V45" s="1174"/>
      <c r="W45" s="1174"/>
      <c r="X45" s="1174"/>
      <c r="AB45" s="200"/>
    </row>
    <row r="46" spans="1:37" ht="15.75" x14ac:dyDescent="0.25">
      <c r="A46" s="1244"/>
      <c r="B46" s="1244"/>
      <c r="C46" s="1244"/>
      <c r="D46" s="1244"/>
      <c r="E46" s="1244"/>
      <c r="F46" s="1244"/>
      <c r="G46" s="1244"/>
      <c r="H46" s="1244"/>
      <c r="I46" s="1244"/>
      <c r="J46" s="1244"/>
      <c r="K46" s="1244"/>
      <c r="L46" s="1244"/>
      <c r="M46" s="1244"/>
      <c r="N46" s="1244"/>
      <c r="O46" s="1244"/>
      <c r="P46" s="1244"/>
      <c r="Q46" s="1244"/>
      <c r="R46" s="209"/>
      <c r="S46" s="178"/>
      <c r="T46" s="209"/>
      <c r="U46" s="1174"/>
      <c r="V46" s="1174"/>
      <c r="W46" s="1174"/>
      <c r="X46" s="1174"/>
      <c r="AB46" s="200"/>
    </row>
    <row r="47" spans="1:37" ht="15.75" x14ac:dyDescent="0.25">
      <c r="A47" s="1244"/>
      <c r="B47" s="1244"/>
      <c r="C47" s="1244"/>
      <c r="D47" s="1244"/>
      <c r="E47" s="1244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209"/>
      <c r="S47" s="178"/>
      <c r="T47" s="209"/>
      <c r="U47" s="1174"/>
      <c r="V47" s="1174"/>
      <c r="W47" s="1174"/>
      <c r="X47" s="1174"/>
      <c r="AB47" s="200"/>
    </row>
    <row r="48" spans="1:37" ht="15.75" x14ac:dyDescent="0.25">
      <c r="A48" s="78" t="s">
        <v>16</v>
      </c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209"/>
      <c r="S48" s="178"/>
      <c r="T48" s="209"/>
      <c r="U48" s="1174"/>
      <c r="V48" s="1174"/>
      <c r="W48" s="1174"/>
      <c r="X48" s="1174"/>
      <c r="AB48" s="200"/>
    </row>
    <row r="49" spans="1:32" ht="15.75" x14ac:dyDescent="0.25">
      <c r="A49" s="313"/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209"/>
      <c r="S49" s="178"/>
      <c r="T49" s="209"/>
      <c r="U49" s="1174"/>
      <c r="V49" s="1174"/>
      <c r="W49" s="1174"/>
      <c r="X49" s="1174"/>
      <c r="AB49" s="200"/>
    </row>
    <row r="50" spans="1:32" ht="15.75" x14ac:dyDescent="0.25">
      <c r="A50" s="313" t="str">
        <f>'Prop Comb'!A75</f>
        <v>(See Accountants' Report)</v>
      </c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171"/>
      <c r="S50" s="171"/>
      <c r="T50" s="171"/>
      <c r="U50" s="1174"/>
      <c r="V50" s="1174"/>
      <c r="W50" s="1174"/>
      <c r="X50" s="1174"/>
      <c r="AB50" s="200"/>
    </row>
    <row r="51" spans="1:32" ht="15.75" x14ac:dyDescent="0.25">
      <c r="A51" s="313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171"/>
      <c r="S51" s="171"/>
      <c r="T51" s="171"/>
      <c r="U51" s="1174"/>
      <c r="V51" s="1174"/>
      <c r="W51" s="1174"/>
      <c r="X51" s="1174"/>
      <c r="AB51" s="200"/>
    </row>
    <row r="52" spans="1:32" ht="15.75" x14ac:dyDescent="0.25">
      <c r="A52" s="78">
        <f>'Prop Comb'!A77+1</f>
        <v>11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171"/>
      <c r="S52" s="171"/>
      <c r="T52" s="171"/>
      <c r="U52" s="1174"/>
      <c r="V52" s="1174"/>
      <c r="W52" s="1174"/>
      <c r="X52" s="1174"/>
      <c r="AB52" s="200"/>
    </row>
    <row r="53" spans="1:32" ht="15.75" x14ac:dyDescent="0.25">
      <c r="B53" s="1174"/>
      <c r="C53" s="1174"/>
      <c r="D53" s="1174"/>
      <c r="E53" s="1174"/>
      <c r="F53" s="1174"/>
      <c r="G53" s="1174"/>
      <c r="H53" s="1174"/>
      <c r="I53" s="1174"/>
      <c r="J53" s="1174"/>
      <c r="K53" s="1174"/>
      <c r="L53" s="1174"/>
      <c r="M53" s="1174"/>
      <c r="N53" s="1174"/>
      <c r="O53" s="1174"/>
      <c r="P53" s="1174"/>
      <c r="Q53" s="1174"/>
      <c r="R53" s="171"/>
      <c r="S53" s="171"/>
      <c r="T53" s="171"/>
      <c r="U53" s="1174"/>
      <c r="V53" s="1174"/>
      <c r="W53" s="1174"/>
      <c r="X53" s="1174"/>
    </row>
    <row r="54" spans="1:32" ht="15.75" x14ac:dyDescent="0.25">
      <c r="B54" s="1387"/>
      <c r="C54" s="1387"/>
      <c r="D54" s="1387"/>
      <c r="E54" s="1387"/>
      <c r="F54" s="1387"/>
      <c r="G54" s="209"/>
      <c r="H54" s="209"/>
      <c r="I54" s="209"/>
      <c r="J54" s="209"/>
      <c r="K54" s="209"/>
      <c r="L54" s="209"/>
      <c r="M54" s="209"/>
      <c r="N54" s="209"/>
      <c r="O54" s="209"/>
      <c r="P54" s="209"/>
      <c r="Q54" s="209"/>
      <c r="R54" s="89"/>
      <c r="S54" s="89"/>
      <c r="T54" s="89"/>
      <c r="U54" s="1387"/>
      <c r="V54" s="1174"/>
      <c r="W54" s="1174"/>
      <c r="X54" s="1174"/>
    </row>
    <row r="55" spans="1:32" x14ac:dyDescent="0.2">
      <c r="B55" s="1387"/>
      <c r="C55" s="1387"/>
      <c r="D55" s="1387"/>
      <c r="E55" s="1387"/>
      <c r="F55" s="1387"/>
      <c r="G55" s="1387"/>
      <c r="H55" s="1387"/>
      <c r="I55" s="1387"/>
      <c r="J55" s="1387"/>
      <c r="K55" s="1387"/>
      <c r="L55" s="1387"/>
      <c r="M55" s="1387"/>
      <c r="N55" s="1387"/>
      <c r="O55" s="1387"/>
      <c r="P55" s="1387"/>
      <c r="Q55" s="1387"/>
      <c r="R55" s="1387"/>
      <c r="S55" s="1387"/>
      <c r="T55" s="1387"/>
      <c r="U55" s="1387"/>
      <c r="V55" s="1174"/>
      <c r="W55" s="1174"/>
      <c r="X55" s="1174"/>
    </row>
    <row r="56" spans="1:32" ht="15.75" x14ac:dyDescent="0.25">
      <c r="B56" s="1387"/>
      <c r="C56" s="1387"/>
      <c r="D56" s="1387"/>
      <c r="E56" s="1387"/>
      <c r="F56" s="1387"/>
      <c r="G56" s="209"/>
      <c r="H56" s="209"/>
      <c r="I56" s="209"/>
      <c r="J56" s="209"/>
      <c r="K56" s="209"/>
      <c r="L56" s="209"/>
      <c r="M56" s="209"/>
      <c r="N56" s="209"/>
      <c r="O56" s="209"/>
      <c r="P56" s="209"/>
      <c r="Q56" s="209"/>
      <c r="R56" s="1387"/>
      <c r="S56" s="1387"/>
      <c r="T56" s="1387"/>
      <c r="U56" s="1387"/>
      <c r="V56" s="1174"/>
      <c r="W56" s="1174"/>
      <c r="X56" s="1174"/>
    </row>
    <row r="57" spans="1:32" x14ac:dyDescent="0.2">
      <c r="B57" s="1387"/>
      <c r="C57" s="1387"/>
      <c r="D57" s="1387"/>
      <c r="E57" s="1387"/>
      <c r="F57" s="1387"/>
      <c r="G57" s="1387"/>
      <c r="H57" s="1387"/>
      <c r="I57" s="1387"/>
      <c r="J57" s="1387"/>
      <c r="K57" s="1387"/>
      <c r="L57" s="1387"/>
      <c r="M57" s="1387"/>
      <c r="N57" s="1387"/>
      <c r="O57" s="1387"/>
      <c r="P57" s="1387"/>
      <c r="Q57" s="1387"/>
      <c r="R57" s="1387"/>
      <c r="S57" s="1387"/>
      <c r="T57" s="1387"/>
      <c r="U57" s="1387"/>
      <c r="V57" s="1174"/>
      <c r="W57" s="1174"/>
      <c r="X57" s="1174"/>
    </row>
    <row r="58" spans="1:32" x14ac:dyDescent="0.2">
      <c r="B58" s="1387"/>
      <c r="C58" s="1387"/>
      <c r="D58" s="1387"/>
      <c r="E58" s="1387"/>
      <c r="F58" s="1387"/>
      <c r="G58" s="1387"/>
      <c r="H58" s="1387"/>
      <c r="I58" s="1387"/>
      <c r="J58" s="1387"/>
      <c r="K58" s="1387"/>
      <c r="L58" s="1387"/>
      <c r="M58" s="1387"/>
      <c r="N58" s="1387"/>
      <c r="O58" s="1387"/>
      <c r="P58" s="1387"/>
      <c r="Q58" s="1387"/>
      <c r="R58" s="1387"/>
      <c r="S58" s="1387"/>
      <c r="T58" s="1387"/>
      <c r="U58" s="1387"/>
      <c r="V58" s="1174"/>
      <c r="W58" s="1174"/>
      <c r="X58" s="1174"/>
    </row>
    <row r="59" spans="1:32" ht="15.75" x14ac:dyDescent="0.25">
      <c r="B59" s="206"/>
      <c r="C59" s="1387"/>
      <c r="D59" s="172"/>
      <c r="E59" s="425"/>
      <c r="F59" s="1387"/>
      <c r="G59" s="1387"/>
      <c r="H59" s="1387"/>
      <c r="I59" s="1387"/>
      <c r="J59" s="1387"/>
      <c r="K59" s="1387"/>
      <c r="L59" s="1387"/>
      <c r="M59" s="1387"/>
      <c r="N59" s="1387"/>
      <c r="O59" s="1387"/>
      <c r="P59" s="1387"/>
      <c r="Q59" s="1387"/>
      <c r="R59" s="1387"/>
      <c r="S59" s="1387"/>
      <c r="T59" s="1387"/>
      <c r="U59" s="1387"/>
      <c r="V59" s="1174"/>
      <c r="W59" s="1174"/>
      <c r="X59" s="1174"/>
      <c r="Y59" s="358"/>
      <c r="Z59" s="996"/>
      <c r="AA59" s="996"/>
      <c r="AB59" s="993"/>
      <c r="AC59" s="996"/>
      <c r="AD59" s="996"/>
      <c r="AE59" s="996"/>
      <c r="AF59" s="996"/>
    </row>
    <row r="60" spans="1:32" ht="15.75" x14ac:dyDescent="0.25">
      <c r="B60" s="1387"/>
      <c r="C60" s="1387"/>
      <c r="D60" s="1387"/>
      <c r="E60" s="1387"/>
      <c r="F60" s="1387"/>
      <c r="G60" s="1387"/>
      <c r="H60" s="1387"/>
      <c r="I60" s="1387"/>
      <c r="J60" s="1387"/>
      <c r="K60" s="1387"/>
      <c r="L60" s="1387"/>
      <c r="M60" s="1387"/>
      <c r="N60" s="1387"/>
      <c r="O60" s="1387"/>
      <c r="P60" s="1387"/>
      <c r="Q60" s="1387"/>
      <c r="R60" s="1387"/>
      <c r="S60" s="1387"/>
      <c r="T60" s="1387"/>
      <c r="U60" s="1387"/>
      <c r="V60" s="1174"/>
      <c r="W60" s="1174"/>
      <c r="X60" s="1174"/>
      <c r="Y60" s="358"/>
      <c r="Z60" s="996"/>
      <c r="AA60" s="996"/>
      <c r="AB60" s="993"/>
      <c r="AC60" s="996"/>
      <c r="AD60" s="996"/>
      <c r="AE60" s="996"/>
      <c r="AF60" s="996"/>
    </row>
    <row r="61" spans="1:32" ht="15.75" x14ac:dyDescent="0.25">
      <c r="B61" s="1387"/>
      <c r="C61" s="1387"/>
      <c r="D61" s="1387"/>
      <c r="E61" s="1387"/>
      <c r="F61" s="1387"/>
      <c r="G61" s="1387"/>
      <c r="H61" s="1387"/>
      <c r="I61" s="1387"/>
      <c r="J61" s="1387"/>
      <c r="K61" s="1387"/>
      <c r="L61" s="1387"/>
      <c r="M61" s="1387"/>
      <c r="N61" s="1387"/>
      <c r="O61" s="1387"/>
      <c r="P61" s="1387"/>
      <c r="Q61" s="1387"/>
      <c r="R61" s="1387"/>
      <c r="S61" s="1387"/>
      <c r="T61" s="1387"/>
      <c r="U61" s="1387"/>
      <c r="V61" s="1174"/>
      <c r="W61" s="1174"/>
      <c r="X61" s="1174"/>
      <c r="Y61" s="358"/>
      <c r="Z61" s="996"/>
      <c r="AA61" s="996"/>
      <c r="AB61" s="993"/>
      <c r="AC61" s="996"/>
      <c r="AD61" s="996"/>
      <c r="AE61" s="997"/>
      <c r="AF61" s="996"/>
    </row>
    <row r="62" spans="1:32" ht="15.75" x14ac:dyDescent="0.25">
      <c r="B62" s="1387"/>
      <c r="C62" s="1387"/>
      <c r="D62" s="1387"/>
      <c r="E62" s="1387"/>
      <c r="F62" s="1387"/>
      <c r="G62" s="1387"/>
      <c r="H62" s="1387"/>
      <c r="I62" s="1387"/>
      <c r="J62" s="1387"/>
      <c r="K62" s="1387"/>
      <c r="L62" s="1387"/>
      <c r="M62" s="1387"/>
      <c r="N62" s="1387"/>
      <c r="O62" s="1387"/>
      <c r="P62" s="1387"/>
      <c r="Q62" s="1387"/>
      <c r="R62" s="1387"/>
      <c r="S62" s="1387"/>
      <c r="T62" s="1387"/>
      <c r="U62" s="1387"/>
      <c r="V62" s="1174"/>
      <c r="W62" s="1174"/>
      <c r="X62" s="1174"/>
      <c r="Y62" s="358"/>
      <c r="Z62" s="996"/>
      <c r="AA62" s="996"/>
      <c r="AB62" s="993"/>
      <c r="AC62" s="996"/>
      <c r="AD62" s="996"/>
      <c r="AE62" s="996"/>
      <c r="AF62" s="996"/>
    </row>
    <row r="63" spans="1:32" ht="15.75" x14ac:dyDescent="0.25">
      <c r="B63" s="1174"/>
      <c r="C63" s="1174"/>
      <c r="D63" s="1174"/>
      <c r="E63" s="1174"/>
      <c r="F63" s="1174"/>
      <c r="G63" s="1174"/>
      <c r="H63" s="1174"/>
      <c r="I63" s="1174"/>
      <c r="J63" s="1174"/>
      <c r="K63" s="1174"/>
      <c r="L63" s="1174"/>
      <c r="M63" s="1174"/>
      <c r="N63" s="1174"/>
      <c r="O63" s="1174"/>
      <c r="P63" s="1174"/>
      <c r="Q63" s="1174"/>
      <c r="R63" s="1174"/>
      <c r="S63" s="1174"/>
      <c r="T63" s="1174"/>
      <c r="U63" s="1174"/>
      <c r="V63" s="1174"/>
      <c r="W63" s="1174"/>
      <c r="X63" s="1174"/>
      <c r="Y63" s="358"/>
      <c r="Z63" s="996"/>
      <c r="AA63" s="996"/>
      <c r="AB63" s="993"/>
      <c r="AC63" s="996"/>
      <c r="AD63" s="996"/>
      <c r="AE63" s="993"/>
      <c r="AF63" s="996"/>
    </row>
    <row r="64" spans="1:32" ht="15.75" x14ac:dyDescent="0.25">
      <c r="B64" s="1174"/>
      <c r="C64" s="1174"/>
      <c r="D64" s="1174"/>
      <c r="E64" s="1174"/>
      <c r="F64" s="1174"/>
      <c r="G64" s="1174"/>
      <c r="H64" s="1174"/>
      <c r="I64" s="1174"/>
      <c r="J64" s="1174"/>
      <c r="K64" s="1174"/>
      <c r="L64" s="1174"/>
      <c r="M64" s="1174"/>
      <c r="N64" s="1174"/>
      <c r="O64" s="1174"/>
      <c r="P64" s="1174"/>
      <c r="Q64" s="1174"/>
      <c r="R64" s="1174"/>
      <c r="S64" s="1174"/>
      <c r="T64" s="1174"/>
      <c r="U64" s="1174"/>
      <c r="V64" s="1174"/>
      <c r="W64" s="1174"/>
      <c r="X64" s="1174"/>
      <c r="Y64" s="358"/>
      <c r="Z64" s="996"/>
      <c r="AA64" s="996"/>
      <c r="AB64" s="993"/>
      <c r="AC64" s="996"/>
      <c r="AD64" s="996"/>
      <c r="AE64" s="993"/>
      <c r="AF64" s="996"/>
    </row>
    <row r="65" spans="2:32" ht="15.75" x14ac:dyDescent="0.25">
      <c r="B65" s="1174"/>
      <c r="C65" s="1174"/>
      <c r="D65" s="1174"/>
      <c r="E65" s="1174"/>
      <c r="F65" s="1174"/>
      <c r="G65" s="1174"/>
      <c r="H65" s="1174"/>
      <c r="I65" s="1174"/>
      <c r="J65" s="1174"/>
      <c r="K65" s="1174"/>
      <c r="L65" s="1174"/>
      <c r="M65" s="1174"/>
      <c r="N65" s="1174"/>
      <c r="O65" s="1174"/>
      <c r="P65" s="1174"/>
      <c r="Q65" s="1174"/>
      <c r="R65" s="1174"/>
      <c r="S65" s="1174"/>
      <c r="T65" s="1174"/>
      <c r="U65" s="1174"/>
      <c r="V65" s="1174"/>
      <c r="W65" s="1174"/>
      <c r="X65" s="1174"/>
      <c r="Y65" s="358"/>
      <c r="Z65" s="996"/>
      <c r="AA65" s="996"/>
      <c r="AB65" s="993"/>
      <c r="AC65" s="996"/>
      <c r="AD65" s="996"/>
      <c r="AE65" s="993"/>
      <c r="AF65" s="996"/>
    </row>
    <row r="66" spans="2:32" ht="15.75" x14ac:dyDescent="0.25">
      <c r="B66" s="1174"/>
      <c r="C66" s="1174"/>
      <c r="D66" s="1174"/>
      <c r="E66" s="1174"/>
      <c r="F66" s="1174"/>
      <c r="G66" s="1174"/>
      <c r="H66" s="1174"/>
      <c r="I66" s="1174"/>
      <c r="J66" s="1174"/>
      <c r="K66" s="1174"/>
      <c r="L66" s="1174"/>
      <c r="M66" s="1174"/>
      <c r="N66" s="1174"/>
      <c r="O66" s="1174"/>
      <c r="P66" s="1174"/>
      <c r="Q66" s="1174"/>
      <c r="R66" s="1174"/>
      <c r="S66" s="1174"/>
      <c r="T66" s="1174"/>
      <c r="U66" s="1174"/>
      <c r="V66" s="1174"/>
      <c r="W66" s="1174"/>
      <c r="X66" s="1174"/>
      <c r="Y66" s="358"/>
      <c r="Z66" s="996"/>
      <c r="AA66" s="996"/>
      <c r="AB66" s="993"/>
      <c r="AC66" s="996"/>
      <c r="AD66" s="996"/>
      <c r="AE66" s="993"/>
      <c r="AF66" s="996"/>
    </row>
    <row r="67" spans="2:32" ht="15.75" x14ac:dyDescent="0.25">
      <c r="B67" s="1174"/>
      <c r="C67" s="1174"/>
      <c r="D67" s="1174"/>
      <c r="E67" s="1174"/>
      <c r="F67" s="1174"/>
      <c r="G67" s="1174"/>
      <c r="H67" s="1174"/>
      <c r="I67" s="1174"/>
      <c r="J67" s="1174"/>
      <c r="K67" s="1174"/>
      <c r="L67" s="1174"/>
      <c r="M67" s="1174"/>
      <c r="N67" s="1174"/>
      <c r="O67" s="1174"/>
      <c r="P67" s="1174"/>
      <c r="Q67" s="1174"/>
      <c r="R67" s="1174"/>
      <c r="S67" s="1174"/>
      <c r="T67" s="1174"/>
      <c r="U67" s="1174"/>
      <c r="V67" s="1174"/>
      <c r="W67" s="1174"/>
      <c r="X67" s="1174"/>
      <c r="Y67" s="358"/>
      <c r="Z67" s="996"/>
      <c r="AA67" s="996"/>
      <c r="AB67" s="993"/>
      <c r="AC67" s="996"/>
      <c r="AD67" s="996"/>
      <c r="AE67" s="993"/>
      <c r="AF67" s="996"/>
    </row>
    <row r="68" spans="2:32" ht="15.75" x14ac:dyDescent="0.25">
      <c r="B68" s="1174"/>
      <c r="C68" s="1174"/>
      <c r="D68" s="1174"/>
      <c r="E68" s="1174"/>
      <c r="F68" s="1174"/>
      <c r="G68" s="1174"/>
      <c r="H68" s="1174"/>
      <c r="I68" s="1174"/>
      <c r="J68" s="1174"/>
      <c r="K68" s="1174"/>
      <c r="L68" s="1174"/>
      <c r="M68" s="1174"/>
      <c r="N68" s="1174"/>
      <c r="O68" s="1174"/>
      <c r="P68" s="1174"/>
      <c r="Q68" s="1174"/>
      <c r="R68" s="1174"/>
      <c r="S68" s="1174"/>
      <c r="T68" s="1174"/>
      <c r="U68" s="1174"/>
      <c r="V68" s="1174"/>
      <c r="W68" s="1174"/>
      <c r="X68" s="1174"/>
      <c r="Y68" s="358"/>
      <c r="Z68" s="996"/>
      <c r="AA68" s="996"/>
      <c r="AB68" s="993"/>
      <c r="AC68" s="996"/>
      <c r="AD68" s="996"/>
      <c r="AE68" s="993"/>
      <c r="AF68" s="996"/>
    </row>
    <row r="69" spans="2:32" ht="15.75" x14ac:dyDescent="0.25">
      <c r="B69" s="1174"/>
      <c r="C69" s="1174"/>
      <c r="D69" s="1174"/>
      <c r="E69" s="1174"/>
      <c r="F69" s="1174"/>
      <c r="G69" s="1174"/>
      <c r="H69" s="1174"/>
      <c r="I69" s="1174"/>
      <c r="J69" s="1174"/>
      <c r="K69" s="1174"/>
      <c r="L69" s="1174"/>
      <c r="M69" s="1174"/>
      <c r="N69" s="1174"/>
      <c r="O69" s="1174"/>
      <c r="P69" s="1174"/>
      <c r="Q69" s="1174"/>
      <c r="R69" s="1174"/>
      <c r="S69" s="1174"/>
      <c r="T69" s="1174"/>
      <c r="U69" s="1174"/>
      <c r="V69" s="1174"/>
      <c r="W69" s="1174"/>
      <c r="X69" s="1174"/>
      <c r="Y69" s="358"/>
      <c r="Z69" s="996"/>
      <c r="AA69" s="996"/>
      <c r="AB69" s="993"/>
      <c r="AC69" s="996"/>
      <c r="AD69" s="996"/>
      <c r="AE69" s="996"/>
      <c r="AF69" s="996"/>
    </row>
    <row r="70" spans="2:32" ht="15.75" x14ac:dyDescent="0.25">
      <c r="B70" s="1174"/>
      <c r="C70" s="1174"/>
      <c r="D70" s="1174"/>
      <c r="E70" s="1174"/>
      <c r="F70" s="1174"/>
      <c r="G70" s="1174"/>
      <c r="H70" s="1174"/>
      <c r="I70" s="1174"/>
      <c r="J70" s="1174"/>
      <c r="K70" s="1174"/>
      <c r="L70" s="1174"/>
      <c r="M70" s="1174"/>
      <c r="N70" s="1174"/>
      <c r="O70" s="1174"/>
      <c r="P70" s="1174"/>
      <c r="Q70" s="1174"/>
      <c r="R70" s="1174"/>
      <c r="S70" s="1174"/>
      <c r="T70" s="1174"/>
      <c r="U70" s="1174"/>
      <c r="V70" s="1174"/>
      <c r="W70" s="1174"/>
      <c r="X70" s="1174"/>
      <c r="Y70" s="358"/>
      <c r="Z70" s="996"/>
      <c r="AA70" s="996"/>
      <c r="AB70" s="993"/>
      <c r="AC70" s="996"/>
      <c r="AD70" s="996"/>
      <c r="AE70" s="996"/>
      <c r="AF70" s="996"/>
    </row>
    <row r="71" spans="2:32" ht="15.75" x14ac:dyDescent="0.25">
      <c r="B71" s="1174"/>
      <c r="C71" s="1174"/>
      <c r="D71" s="1174"/>
      <c r="E71" s="1174"/>
      <c r="F71" s="1174"/>
      <c r="G71" s="1174"/>
      <c r="H71" s="1174"/>
      <c r="I71" s="1174"/>
      <c r="J71" s="1174"/>
      <c r="K71" s="1174"/>
      <c r="L71" s="1174"/>
      <c r="M71" s="1174"/>
      <c r="N71" s="1174"/>
      <c r="O71" s="1174"/>
      <c r="P71" s="1174"/>
      <c r="Q71" s="1174"/>
      <c r="R71" s="1174"/>
      <c r="S71" s="1174"/>
      <c r="T71" s="1174"/>
      <c r="U71" s="1174"/>
      <c r="V71" s="1174"/>
      <c r="W71" s="1174"/>
      <c r="X71" s="1174"/>
      <c r="Y71" s="358"/>
      <c r="Z71" s="996"/>
      <c r="AA71" s="996"/>
      <c r="AB71" s="993"/>
      <c r="AC71" s="996"/>
      <c r="AD71" s="996"/>
      <c r="AE71" s="996"/>
      <c r="AF71" s="996"/>
    </row>
    <row r="72" spans="2:32" ht="15.75" x14ac:dyDescent="0.25">
      <c r="B72" s="1174"/>
      <c r="C72" s="1174"/>
      <c r="D72" s="1174"/>
      <c r="E72" s="1174"/>
      <c r="F72" s="1174"/>
      <c r="G72" s="1174"/>
      <c r="H72" s="1174"/>
      <c r="I72" s="1174"/>
      <c r="J72" s="1174"/>
      <c r="K72" s="1174"/>
      <c r="L72" s="1174"/>
      <c r="M72" s="1174"/>
      <c r="N72" s="1174"/>
      <c r="O72" s="1174"/>
      <c r="P72" s="1174"/>
      <c r="Q72" s="1174"/>
      <c r="R72" s="1174"/>
      <c r="S72" s="1174"/>
      <c r="T72" s="1174"/>
      <c r="U72" s="1174"/>
      <c r="V72" s="1174"/>
      <c r="W72" s="1174"/>
      <c r="X72" s="1174"/>
      <c r="Y72" s="358"/>
      <c r="Z72" s="996"/>
      <c r="AA72" s="996"/>
      <c r="AB72" s="996"/>
      <c r="AC72" s="996"/>
      <c r="AD72" s="996"/>
      <c r="AE72" s="996"/>
      <c r="AF72" s="996"/>
    </row>
    <row r="73" spans="2:32" ht="15.75" x14ac:dyDescent="0.25">
      <c r="B73" s="1174"/>
      <c r="C73" s="1174"/>
      <c r="D73" s="1174"/>
      <c r="E73" s="1174"/>
      <c r="F73" s="1174"/>
      <c r="G73" s="1174"/>
      <c r="H73" s="1174"/>
      <c r="I73" s="1174"/>
      <c r="J73" s="1174"/>
      <c r="K73" s="1174"/>
      <c r="L73" s="1174"/>
      <c r="M73" s="1174"/>
      <c r="N73" s="1174"/>
      <c r="O73" s="1174"/>
      <c r="P73" s="1174"/>
      <c r="Q73" s="1174"/>
      <c r="R73" s="1174"/>
      <c r="S73" s="1174"/>
      <c r="T73" s="1174"/>
      <c r="U73" s="1174"/>
      <c r="V73" s="1174"/>
      <c r="W73" s="1174"/>
      <c r="X73" s="1174"/>
      <c r="Y73" s="358"/>
      <c r="Z73" s="996"/>
      <c r="AA73" s="996"/>
      <c r="AB73" s="993"/>
      <c r="AC73" s="996"/>
      <c r="AD73" s="996"/>
      <c r="AE73" s="996"/>
      <c r="AF73" s="996"/>
    </row>
    <row r="74" spans="2:32" ht="15.75" x14ac:dyDescent="0.25">
      <c r="B74" s="1174"/>
      <c r="C74" s="1174"/>
      <c r="D74" s="1174"/>
      <c r="E74" s="1174"/>
      <c r="F74" s="1174"/>
      <c r="G74" s="1174"/>
      <c r="H74" s="1174"/>
      <c r="I74" s="1174"/>
      <c r="J74" s="1174"/>
      <c r="K74" s="1174"/>
      <c r="L74" s="1174"/>
      <c r="M74" s="1174"/>
      <c r="N74" s="1174"/>
      <c r="O74" s="1174"/>
      <c r="P74" s="1174"/>
      <c r="Q74" s="1174"/>
      <c r="R74" s="1174"/>
      <c r="S74" s="1174"/>
      <c r="T74" s="1174"/>
      <c r="U74" s="1174"/>
      <c r="V74" s="1174"/>
      <c r="W74" s="1174"/>
      <c r="X74" s="1174"/>
      <c r="Y74" s="358"/>
      <c r="Z74" s="996"/>
      <c r="AA74" s="996"/>
      <c r="AB74" s="993"/>
      <c r="AC74" s="996"/>
      <c r="AD74" s="996"/>
      <c r="AE74" s="996"/>
      <c r="AF74" s="996"/>
    </row>
    <row r="75" spans="2:32" ht="15.75" x14ac:dyDescent="0.25">
      <c r="B75" s="1174"/>
      <c r="C75" s="1174"/>
      <c r="D75" s="1174"/>
      <c r="E75" s="1174"/>
      <c r="F75" s="1174"/>
      <c r="G75" s="1174"/>
      <c r="H75" s="1174"/>
      <c r="I75" s="1174"/>
      <c r="J75" s="1174"/>
      <c r="K75" s="1174"/>
      <c r="L75" s="1174"/>
      <c r="M75" s="1174"/>
      <c r="N75" s="1174"/>
      <c r="O75" s="1174"/>
      <c r="P75" s="1174"/>
      <c r="Q75" s="1174"/>
      <c r="R75" s="1174"/>
      <c r="S75" s="1174"/>
      <c r="T75" s="1174"/>
      <c r="U75" s="1174"/>
      <c r="V75" s="1174"/>
      <c r="W75" s="1174"/>
      <c r="X75" s="1174"/>
      <c r="Y75" s="358"/>
      <c r="Z75" s="996"/>
      <c r="AA75" s="996"/>
      <c r="AB75" s="993"/>
      <c r="AC75" s="996"/>
      <c r="AD75" s="996"/>
      <c r="AE75" s="996"/>
      <c r="AF75" s="996"/>
    </row>
    <row r="76" spans="2:32" ht="15.75" x14ac:dyDescent="0.25">
      <c r="B76" s="1174"/>
      <c r="C76" s="1174"/>
      <c r="D76" s="1174"/>
      <c r="E76" s="1174"/>
      <c r="F76" s="1174"/>
      <c r="G76" s="1174"/>
      <c r="H76" s="1174"/>
      <c r="I76" s="1174"/>
      <c r="J76" s="1174"/>
      <c r="K76" s="1174"/>
      <c r="L76" s="1174"/>
      <c r="M76" s="1174"/>
      <c r="N76" s="1174"/>
      <c r="O76" s="1174"/>
      <c r="P76" s="1174"/>
      <c r="Q76" s="1174"/>
      <c r="R76" s="1174"/>
      <c r="S76" s="1174"/>
      <c r="T76" s="1174"/>
      <c r="U76" s="1174"/>
      <c r="V76" s="1174"/>
      <c r="W76" s="1174"/>
      <c r="X76" s="1174"/>
      <c r="Y76" s="358"/>
      <c r="Z76" s="996"/>
      <c r="AA76" s="996"/>
      <c r="AB76" s="993"/>
      <c r="AC76" s="996"/>
      <c r="AD76" s="996"/>
      <c r="AE76" s="996"/>
      <c r="AF76" s="996"/>
    </row>
    <row r="77" spans="2:32" ht="15.75" x14ac:dyDescent="0.25">
      <c r="B77" s="1174"/>
      <c r="C77" s="1174"/>
      <c r="D77" s="1174"/>
      <c r="E77" s="1174"/>
      <c r="F77" s="1174"/>
      <c r="G77" s="1174"/>
      <c r="H77" s="1174"/>
      <c r="I77" s="1174"/>
      <c r="J77" s="1174"/>
      <c r="K77" s="1174"/>
      <c r="L77" s="1174"/>
      <c r="M77" s="1174"/>
      <c r="N77" s="1174"/>
      <c r="O77" s="1174"/>
      <c r="P77" s="1174"/>
      <c r="Q77" s="1174"/>
      <c r="R77" s="1174"/>
      <c r="S77" s="1174"/>
      <c r="T77" s="1174"/>
      <c r="U77" s="1174"/>
      <c r="V77" s="1174"/>
      <c r="W77" s="1174"/>
      <c r="X77" s="1174"/>
      <c r="Y77" s="358"/>
      <c r="Z77" s="996"/>
      <c r="AA77" s="996"/>
      <c r="AB77" s="993"/>
      <c r="AC77" s="996"/>
      <c r="AD77" s="996"/>
      <c r="AE77" s="993"/>
      <c r="AF77" s="996"/>
    </row>
    <row r="78" spans="2:32" ht="15.75" x14ac:dyDescent="0.25">
      <c r="B78" s="1174"/>
      <c r="C78" s="1174"/>
      <c r="D78" s="1174"/>
      <c r="E78" s="1174"/>
      <c r="F78" s="1174"/>
      <c r="G78" s="1174"/>
      <c r="H78" s="1174"/>
      <c r="I78" s="1174"/>
      <c r="J78" s="1174"/>
      <c r="K78" s="1174"/>
      <c r="L78" s="1174"/>
      <c r="M78" s="1174"/>
      <c r="N78" s="1174"/>
      <c r="O78" s="1174"/>
      <c r="P78" s="1174"/>
      <c r="Q78" s="1174"/>
      <c r="R78" s="1174"/>
      <c r="S78" s="1174"/>
      <c r="T78" s="1174"/>
      <c r="U78" s="1174"/>
      <c r="V78" s="1174"/>
      <c r="W78" s="1174"/>
      <c r="X78" s="1174"/>
      <c r="Y78" s="358"/>
      <c r="Z78" s="996"/>
      <c r="AA78" s="996"/>
      <c r="AB78" s="993"/>
      <c r="AC78" s="996"/>
      <c r="AD78" s="996"/>
      <c r="AE78" s="996"/>
      <c r="AF78" s="996"/>
    </row>
    <row r="79" spans="2:32" ht="15.75" x14ac:dyDescent="0.25">
      <c r="B79" s="1174"/>
      <c r="C79" s="1174"/>
      <c r="D79" s="1174"/>
      <c r="E79" s="1174"/>
      <c r="F79" s="1174"/>
      <c r="G79" s="1174"/>
      <c r="H79" s="1174"/>
      <c r="I79" s="1174"/>
      <c r="J79" s="1174"/>
      <c r="K79" s="1174"/>
      <c r="L79" s="1174"/>
      <c r="M79" s="1174"/>
      <c r="N79" s="1174"/>
      <c r="O79" s="1174"/>
      <c r="P79" s="1174"/>
      <c r="Q79" s="1174"/>
      <c r="R79" s="1174"/>
      <c r="S79" s="1174"/>
      <c r="T79" s="1174"/>
      <c r="U79" s="1174"/>
      <c r="V79" s="1174"/>
      <c r="W79" s="1174"/>
      <c r="X79" s="1174"/>
      <c r="Y79" s="358"/>
      <c r="Z79" s="996"/>
      <c r="AA79" s="996"/>
      <c r="AB79" s="994"/>
      <c r="AC79" s="996"/>
      <c r="AD79" s="996"/>
      <c r="AE79" s="8"/>
      <c r="AF79" s="996"/>
    </row>
    <row r="80" spans="2:32" ht="15.75" x14ac:dyDescent="0.25">
      <c r="B80" s="1174"/>
      <c r="C80" s="1174"/>
      <c r="D80" s="1174"/>
      <c r="E80" s="1174"/>
      <c r="F80" s="1174"/>
      <c r="G80" s="1174"/>
      <c r="H80" s="1174"/>
      <c r="I80" s="1174"/>
      <c r="J80" s="1174"/>
      <c r="K80" s="1174"/>
      <c r="L80" s="1174"/>
      <c r="M80" s="1174"/>
      <c r="N80" s="1174"/>
      <c r="O80" s="1174"/>
      <c r="P80" s="1174"/>
      <c r="Q80" s="1174"/>
      <c r="R80" s="1174"/>
      <c r="S80" s="1174"/>
      <c r="T80" s="1174"/>
      <c r="U80" s="1174"/>
      <c r="V80" s="1174"/>
      <c r="W80" s="1174"/>
      <c r="X80" s="1174"/>
      <c r="Y80" s="358"/>
      <c r="Z80" s="996"/>
      <c r="AA80" s="996"/>
      <c r="AB80" s="466"/>
      <c r="AC80" s="996"/>
      <c r="AD80" s="996"/>
      <c r="AE80" s="996"/>
      <c r="AF80" s="996"/>
    </row>
    <row r="81" spans="2:32" ht="15.75" x14ac:dyDescent="0.25">
      <c r="B81" s="1174"/>
      <c r="C81" s="1174"/>
      <c r="D81" s="1174"/>
      <c r="E81" s="1174"/>
      <c r="F81" s="1174"/>
      <c r="G81" s="1174"/>
      <c r="H81" s="1174"/>
      <c r="I81" s="1174"/>
      <c r="J81" s="1174"/>
      <c r="K81" s="1174"/>
      <c r="L81" s="1174"/>
      <c r="M81" s="1174"/>
      <c r="N81" s="1174"/>
      <c r="O81" s="1174"/>
      <c r="P81" s="1174"/>
      <c r="Q81" s="1174"/>
      <c r="R81" s="1174"/>
      <c r="S81" s="1174"/>
      <c r="T81" s="1174"/>
      <c r="U81" s="1174"/>
      <c r="V81" s="1174"/>
      <c r="W81" s="1174"/>
      <c r="X81" s="1174"/>
      <c r="Y81" s="358"/>
      <c r="Z81" s="996"/>
      <c r="AA81" s="996"/>
      <c r="AB81" s="993"/>
      <c r="AC81" s="996"/>
      <c r="AD81" s="996"/>
      <c r="AE81" s="993"/>
      <c r="AF81" s="996"/>
    </row>
    <row r="82" spans="2:32" ht="15.75" x14ac:dyDescent="0.25">
      <c r="B82" s="1174"/>
      <c r="C82" s="1174"/>
      <c r="D82" s="1174"/>
      <c r="E82" s="1174"/>
      <c r="F82" s="1174"/>
      <c r="G82" s="1174"/>
      <c r="H82" s="1174"/>
      <c r="I82" s="1174"/>
      <c r="J82" s="1174"/>
      <c r="K82" s="1174"/>
      <c r="L82" s="1174"/>
      <c r="M82" s="1174"/>
      <c r="N82" s="1174"/>
      <c r="O82" s="1174"/>
      <c r="P82" s="1174"/>
      <c r="Q82" s="1174"/>
      <c r="R82" s="1174"/>
      <c r="S82" s="1174"/>
      <c r="T82" s="1174"/>
      <c r="U82" s="1174"/>
      <c r="V82" s="1174"/>
      <c r="W82" s="1174"/>
      <c r="X82" s="1174"/>
      <c r="Y82" s="358"/>
      <c r="Z82" s="996"/>
      <c r="AA82" s="996"/>
      <c r="AB82" s="996"/>
      <c r="AC82" s="996"/>
      <c r="AD82" s="996"/>
      <c r="AE82" s="996"/>
      <c r="AF82" s="996"/>
    </row>
    <row r="83" spans="2:32" x14ac:dyDescent="0.2">
      <c r="B83" s="1174"/>
      <c r="C83" s="1174"/>
      <c r="D83" s="1174"/>
      <c r="E83" s="1174"/>
      <c r="F83" s="1174"/>
      <c r="G83" s="1174"/>
      <c r="H83" s="1174"/>
      <c r="I83" s="1174"/>
      <c r="J83" s="1174"/>
      <c r="K83" s="1174"/>
      <c r="L83" s="1174"/>
      <c r="M83" s="1174"/>
      <c r="N83" s="1174"/>
      <c r="O83" s="1174"/>
      <c r="P83" s="1174"/>
      <c r="Q83" s="1174"/>
      <c r="R83" s="1174"/>
      <c r="S83" s="1174"/>
      <c r="T83" s="1174"/>
      <c r="U83" s="1174"/>
      <c r="V83" s="1174"/>
      <c r="W83" s="1174"/>
      <c r="X83" s="1174"/>
    </row>
    <row r="84" spans="2:32" x14ac:dyDescent="0.2">
      <c r="B84" s="1174"/>
      <c r="C84" s="1174"/>
      <c r="D84" s="1174"/>
      <c r="E84" s="1174"/>
      <c r="F84" s="1174"/>
      <c r="G84" s="1174"/>
      <c r="H84" s="1174"/>
      <c r="I84" s="1174"/>
      <c r="J84" s="1174"/>
      <c r="K84" s="1174"/>
      <c r="L84" s="1174"/>
      <c r="M84" s="1174"/>
      <c r="N84" s="1174"/>
      <c r="O84" s="1174"/>
      <c r="P84" s="1174"/>
      <c r="Q84" s="1174"/>
      <c r="R84" s="1174"/>
      <c r="S84" s="1174"/>
      <c r="T84" s="1174"/>
      <c r="U84" s="1174"/>
      <c r="V84" s="1174"/>
      <c r="W84" s="1174"/>
      <c r="X84" s="1174"/>
    </row>
    <row r="85" spans="2:32" x14ac:dyDescent="0.2">
      <c r="B85" s="1174"/>
      <c r="C85" s="1174"/>
      <c r="D85" s="1174"/>
      <c r="E85" s="1174"/>
      <c r="F85" s="1174"/>
      <c r="G85" s="1174"/>
      <c r="H85" s="1174"/>
      <c r="I85" s="1174"/>
      <c r="J85" s="1174"/>
      <c r="K85" s="1174"/>
      <c r="L85" s="1174"/>
      <c r="M85" s="1174"/>
      <c r="N85" s="1174"/>
      <c r="O85" s="1174"/>
      <c r="P85" s="1174"/>
      <c r="Q85" s="1174"/>
      <c r="R85" s="1174"/>
      <c r="S85" s="1174"/>
      <c r="T85" s="1174"/>
      <c r="U85" s="1174"/>
      <c r="V85" s="1174"/>
      <c r="W85" s="1174"/>
      <c r="X85" s="1174"/>
    </row>
    <row r="86" spans="2:32" x14ac:dyDescent="0.2">
      <c r="B86" s="1174"/>
      <c r="C86" s="1174"/>
      <c r="D86" s="1174"/>
      <c r="E86" s="1174"/>
      <c r="F86" s="1174"/>
      <c r="G86" s="1174"/>
      <c r="H86" s="1174"/>
      <c r="I86" s="1174"/>
      <c r="J86" s="1174"/>
      <c r="K86" s="1174"/>
      <c r="L86" s="1174"/>
      <c r="M86" s="1174"/>
      <c r="N86" s="1174"/>
      <c r="O86" s="1174"/>
      <c r="P86" s="1174"/>
      <c r="Q86" s="1174"/>
      <c r="R86" s="1174"/>
      <c r="S86" s="1174"/>
      <c r="T86" s="1174"/>
      <c r="U86" s="1174"/>
      <c r="V86" s="1174"/>
      <c r="W86" s="1174"/>
      <c r="X86" s="1174"/>
    </row>
    <row r="87" spans="2:32" ht="15.75" x14ac:dyDescent="0.25">
      <c r="B87" s="1174"/>
      <c r="C87" s="1174"/>
      <c r="D87" s="1174"/>
      <c r="E87" s="1174"/>
      <c r="F87" s="1174"/>
      <c r="G87" s="1174"/>
      <c r="H87" s="1174"/>
      <c r="I87" s="1174"/>
      <c r="J87" s="1174"/>
      <c r="K87" s="1174"/>
      <c r="L87" s="1174"/>
      <c r="M87" s="1174"/>
      <c r="N87" s="1174"/>
      <c r="O87" s="1174"/>
      <c r="P87" s="1174"/>
      <c r="Q87" s="1174"/>
      <c r="R87" s="1174"/>
      <c r="S87" s="1174"/>
      <c r="T87" s="1174"/>
      <c r="U87" s="1174"/>
      <c r="V87" s="1174"/>
      <c r="W87" s="1174"/>
      <c r="X87" s="1174"/>
      <c r="Y87" s="358"/>
      <c r="Z87" s="996"/>
      <c r="AA87" s="996"/>
      <c r="AB87" s="993"/>
      <c r="AE87" s="993"/>
    </row>
    <row r="88" spans="2:32" ht="15.75" x14ac:dyDescent="0.25">
      <c r="B88" s="1174"/>
      <c r="C88" s="1174"/>
      <c r="D88" s="1174"/>
      <c r="E88" s="1174"/>
      <c r="F88" s="1174"/>
      <c r="G88" s="1174"/>
      <c r="H88" s="1174"/>
      <c r="I88" s="1174"/>
      <c r="J88" s="1174"/>
      <c r="K88" s="1174"/>
      <c r="L88" s="1174"/>
      <c r="M88" s="1174"/>
      <c r="N88" s="1174"/>
      <c r="O88" s="1174"/>
      <c r="P88" s="1174"/>
      <c r="Q88" s="1174"/>
      <c r="R88" s="1174"/>
      <c r="S88" s="1174"/>
      <c r="T88" s="1174"/>
      <c r="U88" s="1174"/>
      <c r="V88" s="1174"/>
      <c r="W88" s="1174"/>
      <c r="X88" s="1174"/>
      <c r="Y88" s="1174"/>
      <c r="Z88" s="996"/>
      <c r="AA88" s="996"/>
    </row>
    <row r="89" spans="2:32" ht="15.75" x14ac:dyDescent="0.25">
      <c r="B89" s="1174"/>
      <c r="C89" s="1174"/>
      <c r="D89" s="1174"/>
      <c r="E89" s="1174"/>
      <c r="F89" s="1174"/>
      <c r="G89" s="1174"/>
      <c r="H89" s="1174"/>
      <c r="I89" s="1174"/>
      <c r="J89" s="1174"/>
      <c r="K89" s="1174"/>
      <c r="L89" s="1174"/>
      <c r="M89" s="1174"/>
      <c r="N89" s="1174"/>
      <c r="O89" s="1174"/>
      <c r="P89" s="1174"/>
      <c r="Q89" s="1174"/>
      <c r="R89" s="1174"/>
      <c r="S89" s="1174"/>
      <c r="T89" s="1174"/>
      <c r="U89" s="1174"/>
      <c r="V89" s="1174"/>
      <c r="W89" s="1174"/>
      <c r="X89" s="1174"/>
      <c r="Y89" s="358"/>
      <c r="Z89" s="358"/>
      <c r="AA89" s="358"/>
      <c r="AB89" s="993"/>
      <c r="AE89" s="993"/>
    </row>
    <row r="90" spans="2:32" ht="15.75" x14ac:dyDescent="0.25">
      <c r="B90" s="1174"/>
      <c r="C90" s="1174"/>
      <c r="D90" s="1174"/>
      <c r="E90" s="1174"/>
      <c r="F90" s="1174"/>
      <c r="G90" s="1174"/>
      <c r="H90" s="1174"/>
      <c r="I90" s="1174"/>
      <c r="J90" s="1174"/>
      <c r="K90" s="1174"/>
      <c r="L90" s="1174"/>
      <c r="M90" s="1174"/>
      <c r="N90" s="1174"/>
      <c r="O90" s="1174"/>
      <c r="P90" s="1174"/>
      <c r="Q90" s="1174"/>
      <c r="R90" s="1174"/>
      <c r="S90" s="1174"/>
      <c r="T90" s="1174"/>
      <c r="U90" s="1174"/>
      <c r="V90" s="1174"/>
      <c r="W90" s="1174"/>
      <c r="X90" s="1174"/>
      <c r="Y90" s="358"/>
      <c r="Z90" s="358"/>
      <c r="AA90" s="358"/>
      <c r="AB90" s="993"/>
      <c r="AE90" s="993"/>
    </row>
    <row r="91" spans="2:32" ht="15.75" x14ac:dyDescent="0.25">
      <c r="B91" s="1174"/>
      <c r="C91" s="1174"/>
      <c r="D91" s="1174"/>
      <c r="E91" s="1174"/>
      <c r="F91" s="1174"/>
      <c r="G91" s="1174"/>
      <c r="H91" s="1174"/>
      <c r="I91" s="1174"/>
      <c r="J91" s="1174"/>
      <c r="K91" s="1174"/>
      <c r="L91" s="1174"/>
      <c r="M91" s="1174"/>
      <c r="N91" s="1174"/>
      <c r="O91" s="1174"/>
      <c r="P91" s="1174"/>
      <c r="Q91" s="1174"/>
      <c r="R91" s="1174"/>
      <c r="S91" s="1174"/>
      <c r="T91" s="1174"/>
      <c r="U91" s="1174"/>
      <c r="V91" s="1174"/>
      <c r="W91" s="1174"/>
      <c r="X91" s="1174"/>
      <c r="Y91" s="358"/>
      <c r="Z91" s="358"/>
      <c r="AA91" s="358"/>
      <c r="AB91" s="993"/>
      <c r="AE91" s="993"/>
    </row>
    <row r="92" spans="2:32" ht="15.75" x14ac:dyDescent="0.25">
      <c r="B92" s="1174"/>
      <c r="C92" s="1174"/>
      <c r="D92" s="1174"/>
      <c r="E92" s="1174"/>
      <c r="F92" s="1174"/>
      <c r="G92" s="1174"/>
      <c r="H92" s="1174"/>
      <c r="I92" s="1174"/>
      <c r="J92" s="1174"/>
      <c r="K92" s="1174"/>
      <c r="L92" s="1174"/>
      <c r="M92" s="1174"/>
      <c r="N92" s="1174"/>
      <c r="O92" s="1174"/>
      <c r="P92" s="1174"/>
      <c r="Q92" s="1174"/>
      <c r="R92" s="1174"/>
      <c r="S92" s="1174"/>
      <c r="T92" s="1174"/>
      <c r="U92" s="1174"/>
      <c r="V92" s="1174"/>
      <c r="W92" s="1174"/>
      <c r="X92" s="1174"/>
      <c r="Y92" s="358"/>
      <c r="Z92" s="358"/>
      <c r="AA92" s="358"/>
      <c r="AB92" s="993"/>
      <c r="AE92" s="993"/>
    </row>
    <row r="93" spans="2:32" ht="15.75" x14ac:dyDescent="0.25">
      <c r="B93" s="1174"/>
      <c r="C93" s="1174"/>
      <c r="D93" s="1174"/>
      <c r="E93" s="1174"/>
      <c r="F93" s="1174"/>
      <c r="G93" s="1174"/>
      <c r="H93" s="1174"/>
      <c r="I93" s="1174"/>
      <c r="J93" s="1174"/>
      <c r="K93" s="1174"/>
      <c r="L93" s="1174"/>
      <c r="M93" s="1174"/>
      <c r="N93" s="1174"/>
      <c r="O93" s="1174"/>
      <c r="P93" s="1174"/>
      <c r="Q93" s="1174"/>
      <c r="R93" s="1174"/>
      <c r="S93" s="1174"/>
      <c r="T93" s="1174"/>
      <c r="U93" s="1174"/>
      <c r="V93" s="1174"/>
      <c r="W93" s="1174"/>
      <c r="X93" s="1174"/>
      <c r="Y93" s="183"/>
      <c r="Z93" s="178"/>
      <c r="AA93" s="178"/>
      <c r="AB93" s="178"/>
      <c r="AC93" s="996"/>
      <c r="AD93" s="201"/>
      <c r="AE93" s="993"/>
    </row>
    <row r="94" spans="2:32" ht="15.75" x14ac:dyDescent="0.25">
      <c r="B94" s="1174"/>
      <c r="C94" s="1174"/>
      <c r="D94" s="1174"/>
      <c r="E94" s="1174"/>
      <c r="F94" s="1174"/>
      <c r="G94" s="1174"/>
      <c r="H94" s="1174"/>
      <c r="I94" s="1174"/>
      <c r="J94" s="1174"/>
      <c r="K94" s="1174"/>
      <c r="L94" s="1174"/>
      <c r="M94" s="1174"/>
      <c r="N94" s="1174"/>
      <c r="O94" s="1174"/>
      <c r="P94" s="1174"/>
      <c r="Q94" s="1174"/>
      <c r="R94" s="1174"/>
      <c r="S94" s="1174"/>
      <c r="T94" s="1174"/>
      <c r="U94" s="1174"/>
      <c r="V94" s="1174"/>
      <c r="W94" s="1174"/>
      <c r="X94" s="1174"/>
      <c r="Y94" s="358"/>
      <c r="Z94" s="358"/>
      <c r="AA94" s="358"/>
      <c r="AB94" s="993"/>
      <c r="AE94" s="993"/>
    </row>
    <row r="95" spans="2:32" ht="15.75" x14ac:dyDescent="0.25">
      <c r="B95" s="1174"/>
      <c r="C95" s="1174"/>
      <c r="D95" s="1174"/>
      <c r="E95" s="1174"/>
      <c r="F95" s="1174"/>
      <c r="G95" s="1174"/>
      <c r="H95" s="1174"/>
      <c r="I95" s="1174"/>
      <c r="J95" s="1174"/>
      <c r="K95" s="1174"/>
      <c r="L95" s="1174"/>
      <c r="M95" s="1174"/>
      <c r="N95" s="1174"/>
      <c r="O95" s="1174"/>
      <c r="P95" s="1174"/>
      <c r="Q95" s="1174"/>
      <c r="R95" s="1174"/>
      <c r="S95" s="1174"/>
      <c r="T95" s="1174"/>
      <c r="U95" s="1174"/>
      <c r="V95" s="1174"/>
      <c r="W95" s="1174"/>
      <c r="X95" s="1174"/>
      <c r="Y95" s="216"/>
      <c r="Z95" s="178"/>
      <c r="AA95" s="178"/>
      <c r="AB95" s="178"/>
      <c r="AC95" s="996"/>
      <c r="AD95" s="200"/>
      <c r="AE95" s="993"/>
    </row>
    <row r="96" spans="2:32" ht="15.75" x14ac:dyDescent="0.25">
      <c r="B96" s="1174"/>
      <c r="C96" s="1174"/>
      <c r="D96" s="1174"/>
      <c r="E96" s="1174"/>
      <c r="F96" s="1174"/>
      <c r="G96" s="1174"/>
      <c r="H96" s="1174"/>
      <c r="I96" s="1174"/>
      <c r="J96" s="1174"/>
      <c r="K96" s="1174"/>
      <c r="L96" s="1174"/>
      <c r="M96" s="1174"/>
      <c r="N96" s="1174"/>
      <c r="O96" s="1174"/>
      <c r="P96" s="1174"/>
      <c r="Q96" s="1174"/>
      <c r="R96" s="1174"/>
      <c r="S96" s="1174"/>
      <c r="T96" s="1174"/>
      <c r="U96" s="1174"/>
      <c r="V96" s="1174"/>
      <c r="W96" s="1174"/>
      <c r="X96" s="1174"/>
      <c r="Y96" s="216"/>
      <c r="Z96" s="178"/>
      <c r="AA96" s="178"/>
      <c r="AB96" s="178"/>
      <c r="AC96" s="996"/>
      <c r="AD96" s="200"/>
      <c r="AE96" s="993"/>
    </row>
    <row r="97" spans="2:31" ht="15.75" x14ac:dyDescent="0.25">
      <c r="B97" s="1174"/>
      <c r="C97" s="1174"/>
      <c r="D97" s="1174"/>
      <c r="E97" s="1174"/>
      <c r="F97" s="1174"/>
      <c r="G97" s="1174"/>
      <c r="H97" s="1174"/>
      <c r="I97" s="1174"/>
      <c r="J97" s="1174"/>
      <c r="K97" s="1174"/>
      <c r="L97" s="1174"/>
      <c r="M97" s="1174"/>
      <c r="N97" s="1174"/>
      <c r="O97" s="1174"/>
      <c r="P97" s="1174"/>
      <c r="Q97" s="1174"/>
      <c r="R97" s="1174"/>
      <c r="S97" s="1174"/>
      <c r="T97" s="1174"/>
      <c r="U97" s="1174"/>
      <c r="V97" s="1174"/>
      <c r="W97" s="1174"/>
      <c r="X97" s="1174"/>
      <c r="Y97" s="216"/>
      <c r="Z97" s="178"/>
      <c r="AA97" s="178"/>
      <c r="AB97" s="178"/>
      <c r="AC97" s="996"/>
      <c r="AD97" s="200"/>
      <c r="AE97" s="993"/>
    </row>
    <row r="98" spans="2:31" x14ac:dyDescent="0.2">
      <c r="B98" s="1174"/>
      <c r="C98" s="1174"/>
      <c r="D98" s="1174"/>
      <c r="E98" s="1174"/>
      <c r="F98" s="1174"/>
      <c r="G98" s="1174"/>
      <c r="H98" s="1174"/>
      <c r="I98" s="1174"/>
      <c r="J98" s="1174"/>
      <c r="K98" s="1174"/>
      <c r="L98" s="1174"/>
      <c r="M98" s="1174"/>
      <c r="N98" s="1174"/>
      <c r="O98" s="1174"/>
      <c r="P98" s="1174"/>
      <c r="Q98" s="1174"/>
      <c r="R98" s="1174"/>
      <c r="S98" s="1174"/>
      <c r="T98" s="1174"/>
      <c r="U98" s="1174"/>
      <c r="V98" s="1174"/>
      <c r="W98" s="1174"/>
      <c r="X98" s="1174"/>
      <c r="Y98" s="1174"/>
    </row>
    <row r="99" spans="2:31" ht="15.75" x14ac:dyDescent="0.25">
      <c r="B99" s="1174"/>
      <c r="C99" s="1174"/>
      <c r="D99" s="1174"/>
      <c r="E99" s="1174"/>
      <c r="F99" s="1174"/>
      <c r="G99" s="1174"/>
      <c r="H99" s="1174"/>
      <c r="I99" s="1174"/>
      <c r="J99" s="1174"/>
      <c r="K99" s="1174"/>
      <c r="L99" s="1174"/>
      <c r="M99" s="1174"/>
      <c r="N99" s="1174"/>
      <c r="O99" s="1174"/>
      <c r="P99" s="1174"/>
      <c r="Q99" s="1174"/>
      <c r="R99" s="1174"/>
      <c r="S99" s="1174"/>
      <c r="T99" s="1174"/>
      <c r="U99" s="1174"/>
      <c r="V99" s="1174"/>
      <c r="W99" s="1174"/>
      <c r="X99" s="1174"/>
      <c r="Y99" s="1174"/>
      <c r="Z99" s="209"/>
      <c r="AA99" s="209"/>
      <c r="AB99" s="209"/>
      <c r="AC99" s="45"/>
    </row>
    <row r="100" spans="2:31" ht="15.75" x14ac:dyDescent="0.25">
      <c r="B100" s="1174"/>
      <c r="C100" s="1174"/>
      <c r="D100" s="1174"/>
      <c r="E100" s="1174"/>
      <c r="F100" s="1174"/>
      <c r="G100" s="1174"/>
      <c r="H100" s="1174"/>
      <c r="I100" s="1174"/>
      <c r="J100" s="1174"/>
      <c r="K100" s="1174"/>
      <c r="L100" s="1174"/>
      <c r="M100" s="1174"/>
      <c r="N100" s="1174"/>
      <c r="O100" s="1174"/>
      <c r="P100" s="1174"/>
      <c r="Q100" s="1174"/>
      <c r="R100" s="1174"/>
      <c r="S100" s="1174"/>
      <c r="T100" s="1174"/>
      <c r="U100" s="1174"/>
      <c r="V100" s="1174"/>
      <c r="W100" s="1174"/>
      <c r="X100" s="1174"/>
      <c r="Y100" s="1174"/>
      <c r="Z100" s="209"/>
      <c r="AA100" s="209"/>
      <c r="AB100" s="209"/>
      <c r="AC100" s="45"/>
    </row>
    <row r="101" spans="2:31" ht="15.75" x14ac:dyDescent="0.25">
      <c r="B101" s="1174"/>
      <c r="C101" s="1174"/>
      <c r="D101" s="1174"/>
      <c r="E101" s="1174"/>
      <c r="F101" s="1174"/>
      <c r="G101" s="1174"/>
      <c r="H101" s="1174"/>
      <c r="I101" s="1174"/>
      <c r="J101" s="1174"/>
      <c r="K101" s="1174"/>
      <c r="L101" s="1174"/>
      <c r="M101" s="1174"/>
      <c r="N101" s="1174"/>
      <c r="O101" s="1174"/>
      <c r="P101" s="1174"/>
      <c r="Q101" s="1174"/>
      <c r="R101" s="1174"/>
      <c r="S101" s="1174"/>
      <c r="T101" s="1174"/>
      <c r="U101" s="1174"/>
      <c r="V101" s="1174"/>
      <c r="W101" s="1174"/>
      <c r="X101" s="1174"/>
      <c r="Y101" s="1174"/>
      <c r="Z101" s="209"/>
      <c r="AA101" s="209"/>
      <c r="AB101" s="209"/>
      <c r="AC101" s="45"/>
    </row>
    <row r="102" spans="2:31" ht="15.75" x14ac:dyDescent="0.25">
      <c r="B102" s="1174"/>
      <c r="C102" s="1174"/>
      <c r="D102" s="1174"/>
      <c r="E102" s="1174"/>
      <c r="F102" s="1174"/>
      <c r="G102" s="1174"/>
      <c r="H102" s="1174"/>
      <c r="I102" s="1174"/>
      <c r="J102" s="1174"/>
      <c r="K102" s="1174"/>
      <c r="L102" s="1174"/>
      <c r="M102" s="1174"/>
      <c r="N102" s="1174"/>
      <c r="O102" s="1174"/>
      <c r="P102" s="1174"/>
      <c r="Q102" s="1174"/>
      <c r="R102" s="1174"/>
      <c r="S102" s="1174"/>
      <c r="T102" s="1174"/>
      <c r="U102" s="1174"/>
      <c r="V102" s="1174"/>
      <c r="W102" s="1174"/>
      <c r="X102" s="1174"/>
      <c r="Y102" s="1174"/>
      <c r="Z102" s="209"/>
      <c r="AA102" s="209"/>
      <c r="AB102" s="209"/>
      <c r="AC102" s="45"/>
    </row>
    <row r="103" spans="2:31" ht="15.75" x14ac:dyDescent="0.25">
      <c r="B103" s="1174"/>
      <c r="C103" s="1174"/>
      <c r="D103" s="1174"/>
      <c r="E103" s="1174"/>
      <c r="F103" s="1174"/>
      <c r="G103" s="1174"/>
      <c r="H103" s="1174"/>
      <c r="I103" s="1174"/>
      <c r="J103" s="1174"/>
      <c r="K103" s="1174"/>
      <c r="L103" s="1174"/>
      <c r="M103" s="1174"/>
      <c r="N103" s="1174"/>
      <c r="O103" s="1174"/>
      <c r="P103" s="1174"/>
      <c r="Q103" s="1174"/>
      <c r="R103" s="1174"/>
      <c r="S103" s="1174"/>
      <c r="T103" s="1174"/>
      <c r="U103" s="1174"/>
      <c r="V103" s="1174"/>
      <c r="W103" s="1174"/>
      <c r="X103" s="1174"/>
      <c r="Y103" s="1174"/>
      <c r="Z103" s="209"/>
      <c r="AA103" s="209"/>
      <c r="AB103" s="209"/>
      <c r="AC103" s="45"/>
    </row>
    <row r="104" spans="2:31" ht="15.75" x14ac:dyDescent="0.25">
      <c r="B104" s="1174"/>
      <c r="C104" s="1174"/>
      <c r="D104" s="1174"/>
      <c r="E104" s="1174"/>
      <c r="F104" s="1174"/>
      <c r="G104" s="1174"/>
      <c r="H104" s="1174"/>
      <c r="I104" s="1174"/>
      <c r="J104" s="1174"/>
      <c r="K104" s="1174"/>
      <c r="L104" s="1174"/>
      <c r="M104" s="1174"/>
      <c r="N104" s="1174"/>
      <c r="O104" s="1174"/>
      <c r="P104" s="1174"/>
      <c r="Q104" s="1174"/>
      <c r="R104" s="1174"/>
      <c r="S104" s="1174"/>
      <c r="T104" s="1174"/>
      <c r="U104" s="1174"/>
      <c r="V104" s="1174"/>
      <c r="W104" s="1174"/>
      <c r="X104" s="1174"/>
      <c r="Y104" s="1174"/>
      <c r="Z104" s="209"/>
      <c r="AA104" s="209"/>
      <c r="AB104" s="209"/>
      <c r="AC104" s="45"/>
    </row>
    <row r="105" spans="2:31" ht="15.75" x14ac:dyDescent="0.25">
      <c r="B105" s="1174"/>
      <c r="C105" s="1174"/>
      <c r="D105" s="1174"/>
      <c r="E105" s="1174"/>
      <c r="F105" s="1174"/>
      <c r="G105" s="1174"/>
      <c r="H105" s="1174"/>
      <c r="I105" s="1174"/>
      <c r="J105" s="1174"/>
      <c r="K105" s="1174"/>
      <c r="L105" s="1174"/>
      <c r="M105" s="1174"/>
      <c r="N105" s="1174"/>
      <c r="O105" s="1174"/>
      <c r="P105" s="1174"/>
      <c r="Q105" s="1174"/>
      <c r="R105" s="1174"/>
      <c r="S105" s="1174"/>
      <c r="T105" s="1174"/>
      <c r="U105" s="1174"/>
      <c r="V105" s="1174"/>
      <c r="W105" s="1174"/>
      <c r="X105" s="1174"/>
      <c r="Y105" s="1174"/>
      <c r="Z105" s="209"/>
      <c r="AA105" s="209"/>
      <c r="AB105" s="209"/>
      <c r="AC105" s="45"/>
    </row>
    <row r="106" spans="2:31" ht="15.75" x14ac:dyDescent="0.25">
      <c r="B106" s="1174"/>
      <c r="C106" s="1174"/>
      <c r="D106" s="1174"/>
      <c r="E106" s="1174"/>
      <c r="F106" s="1174"/>
      <c r="G106" s="1174"/>
      <c r="H106" s="1174"/>
      <c r="I106" s="1174"/>
      <c r="J106" s="1174"/>
      <c r="K106" s="1174"/>
      <c r="L106" s="1174"/>
      <c r="M106" s="1174"/>
      <c r="N106" s="1174"/>
      <c r="O106" s="1174"/>
      <c r="P106" s="1174"/>
      <c r="Q106" s="1174"/>
      <c r="R106" s="1174"/>
      <c r="S106" s="1174"/>
      <c r="T106" s="1174"/>
      <c r="U106" s="1174"/>
      <c r="V106" s="1174"/>
      <c r="W106" s="1174"/>
      <c r="X106" s="1174"/>
      <c r="Y106" s="1174"/>
      <c r="Z106" s="209"/>
      <c r="AA106" s="209"/>
      <c r="AB106" s="209"/>
      <c r="AC106" s="45"/>
    </row>
    <row r="107" spans="2:31" ht="15.75" x14ac:dyDescent="0.25">
      <c r="B107" s="1174"/>
      <c r="C107" s="1174"/>
      <c r="D107" s="1174"/>
      <c r="E107" s="1174"/>
      <c r="F107" s="1174"/>
      <c r="G107" s="1174"/>
      <c r="H107" s="1174"/>
      <c r="I107" s="1174"/>
      <c r="J107" s="1174"/>
      <c r="K107" s="1174"/>
      <c r="L107" s="1174"/>
      <c r="M107" s="1174"/>
      <c r="N107" s="1174"/>
      <c r="O107" s="1174"/>
      <c r="P107" s="1174"/>
      <c r="Q107" s="1174"/>
      <c r="R107" s="1174"/>
      <c r="S107" s="1174"/>
      <c r="T107" s="1174"/>
      <c r="U107" s="1174"/>
      <c r="V107" s="1174"/>
      <c r="W107" s="1174"/>
      <c r="X107" s="1174"/>
      <c r="Y107" s="1174"/>
      <c r="Z107" s="209"/>
      <c r="AA107" s="209"/>
      <c r="AB107" s="209"/>
      <c r="AC107" s="45"/>
    </row>
    <row r="108" spans="2:31" ht="15.75" x14ac:dyDescent="0.25">
      <c r="B108" s="1174"/>
      <c r="C108" s="1174"/>
      <c r="D108" s="1174"/>
      <c r="E108" s="1174"/>
      <c r="F108" s="1174"/>
      <c r="G108" s="1174"/>
      <c r="H108" s="1174"/>
      <c r="I108" s="1174"/>
      <c r="J108" s="1174"/>
      <c r="K108" s="1174"/>
      <c r="L108" s="1174"/>
      <c r="M108" s="1174"/>
      <c r="N108" s="1174"/>
      <c r="O108" s="1174"/>
      <c r="P108" s="1174"/>
      <c r="Q108" s="1174"/>
      <c r="R108" s="1174"/>
      <c r="S108" s="1174"/>
      <c r="T108" s="1174"/>
      <c r="U108" s="1174"/>
      <c r="V108" s="1174"/>
      <c r="W108" s="1174"/>
      <c r="X108" s="1174"/>
      <c r="Y108" s="1174"/>
      <c r="Z108" s="209"/>
      <c r="AA108" s="209"/>
      <c r="AB108" s="209"/>
      <c r="AC108" s="45"/>
    </row>
    <row r="109" spans="2:31" ht="15.75" x14ac:dyDescent="0.25">
      <c r="B109" s="1174"/>
      <c r="C109" s="1174"/>
      <c r="D109" s="1174"/>
      <c r="E109" s="1174"/>
      <c r="F109" s="1174"/>
      <c r="G109" s="1174"/>
      <c r="H109" s="1174"/>
      <c r="I109" s="1174"/>
      <c r="J109" s="1174"/>
      <c r="K109" s="1174"/>
      <c r="L109" s="1174"/>
      <c r="M109" s="1174"/>
      <c r="N109" s="1174"/>
      <c r="O109" s="1174"/>
      <c r="P109" s="1174"/>
      <c r="Q109" s="1174"/>
      <c r="R109" s="1174"/>
      <c r="S109" s="1174"/>
      <c r="T109" s="1174"/>
      <c r="U109" s="1174"/>
      <c r="V109" s="1174"/>
      <c r="W109" s="1174"/>
      <c r="X109" s="1174"/>
      <c r="Y109" s="1174"/>
      <c r="Z109" s="209"/>
      <c r="AA109" s="209"/>
      <c r="AB109" s="209"/>
      <c r="AC109" s="45"/>
    </row>
    <row r="110" spans="2:31" ht="15.75" x14ac:dyDescent="0.25">
      <c r="B110" s="1174"/>
      <c r="C110" s="1174"/>
      <c r="D110" s="1174"/>
      <c r="E110" s="1174"/>
      <c r="F110" s="1174"/>
      <c r="G110" s="1174"/>
      <c r="H110" s="1174"/>
      <c r="I110" s="1174"/>
      <c r="J110" s="1174"/>
      <c r="K110" s="1174"/>
      <c r="L110" s="1174"/>
      <c r="M110" s="1174"/>
      <c r="N110" s="1174"/>
      <c r="O110" s="1174"/>
      <c r="P110" s="1174"/>
      <c r="Q110" s="1174"/>
      <c r="R110" s="1174"/>
      <c r="S110" s="1174"/>
      <c r="T110" s="1174"/>
      <c r="U110" s="1174"/>
      <c r="V110" s="1174"/>
      <c r="W110" s="1174"/>
      <c r="X110" s="1174"/>
      <c r="Y110" s="1174"/>
      <c r="Z110" s="209"/>
      <c r="AA110" s="209"/>
      <c r="AB110" s="209"/>
      <c r="AC110" s="45"/>
    </row>
    <row r="111" spans="2:31" ht="15.75" x14ac:dyDescent="0.25">
      <c r="B111" s="1174"/>
      <c r="C111" s="1174"/>
      <c r="D111" s="1174"/>
      <c r="E111" s="1174"/>
      <c r="F111" s="1174"/>
      <c r="G111" s="1174"/>
      <c r="H111" s="1174"/>
      <c r="I111" s="1174"/>
      <c r="J111" s="1174"/>
      <c r="K111" s="1174"/>
      <c r="L111" s="1174"/>
      <c r="M111" s="1174"/>
      <c r="N111" s="1174"/>
      <c r="O111" s="1174"/>
      <c r="P111" s="1174"/>
      <c r="Q111" s="1174"/>
      <c r="R111" s="1174"/>
      <c r="S111" s="1174"/>
      <c r="T111" s="1174"/>
      <c r="U111" s="1174"/>
      <c r="V111" s="1174"/>
      <c r="W111" s="1174"/>
      <c r="X111" s="1174"/>
      <c r="Y111" s="1174"/>
      <c r="Z111" s="209"/>
      <c r="AA111" s="209"/>
      <c r="AB111" s="209"/>
      <c r="AC111" s="45"/>
    </row>
    <row r="112" spans="2:31" ht="15.75" x14ac:dyDescent="0.25">
      <c r="B112" s="1174"/>
      <c r="C112" s="1174"/>
      <c r="D112" s="1174"/>
      <c r="E112" s="1174"/>
      <c r="F112" s="1174"/>
      <c r="G112" s="1174"/>
      <c r="H112" s="1174"/>
      <c r="I112" s="1174"/>
      <c r="J112" s="1174"/>
      <c r="K112" s="1174"/>
      <c r="L112" s="1174"/>
      <c r="M112" s="1174"/>
      <c r="N112" s="1174"/>
      <c r="O112" s="1174"/>
      <c r="P112" s="1174"/>
      <c r="Q112" s="1174"/>
      <c r="R112" s="1174"/>
      <c r="S112" s="1174"/>
      <c r="T112" s="1174"/>
      <c r="U112" s="1174"/>
      <c r="V112" s="1174"/>
      <c r="W112" s="1174"/>
      <c r="X112" s="1174"/>
      <c r="Y112" s="1174"/>
      <c r="Z112" s="209"/>
      <c r="AA112" s="209"/>
      <c r="AB112" s="209"/>
      <c r="AC112" s="45"/>
    </row>
    <row r="113" spans="2:29" ht="15.75" x14ac:dyDescent="0.25">
      <c r="B113" s="1174"/>
      <c r="C113" s="1174"/>
      <c r="D113" s="1174"/>
      <c r="E113" s="1174"/>
      <c r="F113" s="1174"/>
      <c r="G113" s="1174"/>
      <c r="H113" s="1174"/>
      <c r="I113" s="1174"/>
      <c r="J113" s="1174"/>
      <c r="K113" s="1174"/>
      <c r="L113" s="1174"/>
      <c r="M113" s="1174"/>
      <c r="N113" s="1174"/>
      <c r="O113" s="1174"/>
      <c r="P113" s="1174"/>
      <c r="Q113" s="1174"/>
      <c r="R113" s="1174"/>
      <c r="S113" s="1174"/>
      <c r="T113" s="1174"/>
      <c r="U113" s="1174"/>
      <c r="V113" s="1174"/>
      <c r="W113" s="1174"/>
      <c r="X113" s="1174"/>
      <c r="Y113" s="1174"/>
      <c r="Z113" s="209"/>
      <c r="AA113" s="209"/>
      <c r="AB113" s="209"/>
      <c r="AC113" s="45"/>
    </row>
    <row r="114" spans="2:29" ht="15.75" x14ac:dyDescent="0.25">
      <c r="B114" s="1174"/>
      <c r="C114" s="1174"/>
      <c r="D114" s="1174"/>
      <c r="E114" s="1174"/>
      <c r="F114" s="1174"/>
      <c r="G114" s="1174"/>
      <c r="H114" s="1174"/>
      <c r="I114" s="1174"/>
      <c r="J114" s="1174"/>
      <c r="K114" s="1174"/>
      <c r="L114" s="1174"/>
      <c r="M114" s="1174"/>
      <c r="N114" s="1174"/>
      <c r="O114" s="1174"/>
      <c r="P114" s="1174"/>
      <c r="Q114" s="1174"/>
      <c r="R114" s="1174"/>
      <c r="S114" s="1174"/>
      <c r="T114" s="1174"/>
      <c r="U114" s="1174"/>
      <c r="V114" s="1174"/>
      <c r="W114" s="1174"/>
      <c r="X114" s="1174"/>
      <c r="Y114" s="1174"/>
      <c r="Z114" s="209"/>
      <c r="AA114" s="209"/>
      <c r="AB114" s="209"/>
      <c r="AC114" s="45"/>
    </row>
    <row r="115" spans="2:29" ht="15.75" x14ac:dyDescent="0.25">
      <c r="B115" s="1174"/>
      <c r="C115" s="1174"/>
      <c r="D115" s="1174"/>
      <c r="E115" s="1174"/>
      <c r="F115" s="1174"/>
      <c r="G115" s="1174"/>
      <c r="H115" s="1174"/>
      <c r="I115" s="1174"/>
      <c r="J115" s="1174"/>
      <c r="K115" s="1174"/>
      <c r="L115" s="1174"/>
      <c r="M115" s="1174"/>
      <c r="N115" s="1174"/>
      <c r="O115" s="1174"/>
      <c r="P115" s="1174"/>
      <c r="Q115" s="1174"/>
      <c r="R115" s="1174"/>
      <c r="S115" s="1174"/>
      <c r="T115" s="1174"/>
      <c r="U115" s="1174"/>
      <c r="V115" s="1174"/>
      <c r="W115" s="1174"/>
      <c r="X115" s="1174"/>
      <c r="Y115" s="1174"/>
      <c r="Z115" s="209"/>
      <c r="AA115" s="209"/>
      <c r="AB115" s="209"/>
      <c r="AC115" s="45"/>
    </row>
    <row r="116" spans="2:29" ht="15.75" x14ac:dyDescent="0.25">
      <c r="B116" s="1174"/>
      <c r="C116" s="1174"/>
      <c r="D116" s="1174"/>
      <c r="E116" s="1174"/>
      <c r="F116" s="1174"/>
      <c r="G116" s="1174"/>
      <c r="H116" s="1174"/>
      <c r="I116" s="1174"/>
      <c r="J116" s="1174"/>
      <c r="K116" s="1174"/>
      <c r="L116" s="1174"/>
      <c r="M116" s="1174"/>
      <c r="N116" s="1174"/>
      <c r="O116" s="1174"/>
      <c r="P116" s="1174"/>
      <c r="Q116" s="1174"/>
      <c r="R116" s="1174"/>
      <c r="S116" s="1174"/>
      <c r="T116" s="1174"/>
      <c r="U116" s="1174"/>
      <c r="V116" s="1174"/>
      <c r="W116" s="1174"/>
      <c r="X116" s="1174"/>
      <c r="Y116" s="1174"/>
      <c r="Z116" s="209"/>
      <c r="AA116" s="209"/>
      <c r="AB116" s="209"/>
      <c r="AC116" s="45"/>
    </row>
    <row r="117" spans="2:29" ht="15.75" x14ac:dyDescent="0.25">
      <c r="B117" s="1174"/>
      <c r="C117" s="1174"/>
      <c r="D117" s="1174"/>
      <c r="E117" s="1174"/>
      <c r="F117" s="1174"/>
      <c r="G117" s="1174"/>
      <c r="H117" s="1174"/>
      <c r="I117" s="1174"/>
      <c r="J117" s="1174"/>
      <c r="K117" s="1174"/>
      <c r="L117" s="1174"/>
      <c r="M117" s="1174"/>
      <c r="N117" s="1174"/>
      <c r="O117" s="1174"/>
      <c r="P117" s="1174"/>
      <c r="Q117" s="1174"/>
      <c r="R117" s="1174"/>
      <c r="S117" s="1174"/>
      <c r="T117" s="1174"/>
      <c r="U117" s="1174"/>
      <c r="V117" s="1174"/>
      <c r="W117" s="1174"/>
      <c r="X117" s="1174"/>
      <c r="Y117" s="1174"/>
      <c r="Z117" s="209"/>
      <c r="AA117" s="209"/>
      <c r="AB117" s="209"/>
      <c r="AC117" s="45"/>
    </row>
    <row r="118" spans="2:29" ht="15.75" x14ac:dyDescent="0.25">
      <c r="B118" s="1174"/>
      <c r="C118" s="1174"/>
      <c r="D118" s="1174"/>
      <c r="E118" s="1174"/>
      <c r="F118" s="1174"/>
      <c r="G118" s="1174"/>
      <c r="H118" s="1174"/>
      <c r="I118" s="1174"/>
      <c r="J118" s="1174"/>
      <c r="K118" s="1174"/>
      <c r="L118" s="1174"/>
      <c r="M118" s="1174"/>
      <c r="N118" s="1174"/>
      <c r="O118" s="1174"/>
      <c r="P118" s="1174"/>
      <c r="Q118" s="1174"/>
      <c r="R118" s="1174"/>
      <c r="S118" s="1174"/>
      <c r="T118" s="1174"/>
      <c r="U118" s="1174"/>
      <c r="V118" s="1174"/>
      <c r="W118" s="1174"/>
      <c r="X118" s="1174"/>
      <c r="Y118" s="1174"/>
      <c r="Z118" s="209"/>
      <c r="AA118" s="209"/>
      <c r="AB118" s="209"/>
      <c r="AC118" s="45"/>
    </row>
    <row r="119" spans="2:29" ht="15.75" x14ac:dyDescent="0.25">
      <c r="B119" s="1174"/>
      <c r="C119" s="1174"/>
      <c r="D119" s="1174"/>
      <c r="E119" s="1174"/>
      <c r="F119" s="1174"/>
      <c r="G119" s="1174"/>
      <c r="H119" s="1174"/>
      <c r="I119" s="1174"/>
      <c r="J119" s="1174"/>
      <c r="K119" s="1174"/>
      <c r="L119" s="1174"/>
      <c r="M119" s="1174"/>
      <c r="N119" s="1174"/>
      <c r="O119" s="1174"/>
      <c r="P119" s="1174"/>
      <c r="Q119" s="1174"/>
      <c r="R119" s="1174"/>
      <c r="S119" s="1174"/>
      <c r="T119" s="1174"/>
      <c r="U119" s="1174"/>
      <c r="V119" s="1174"/>
      <c r="W119" s="1174"/>
      <c r="X119" s="1174"/>
      <c r="Y119" s="1174"/>
      <c r="Z119" s="209"/>
      <c r="AA119" s="209"/>
      <c r="AB119" s="209"/>
      <c r="AC119" s="45"/>
    </row>
    <row r="120" spans="2:29" ht="15.75" x14ac:dyDescent="0.25">
      <c r="B120" s="1174"/>
      <c r="C120" s="1174"/>
      <c r="D120" s="1174"/>
      <c r="E120" s="1174"/>
      <c r="F120" s="1174"/>
      <c r="G120" s="1174"/>
      <c r="H120" s="1174"/>
      <c r="I120" s="1174"/>
      <c r="J120" s="1174"/>
      <c r="K120" s="1174"/>
      <c r="L120" s="1174"/>
      <c r="M120" s="1174"/>
      <c r="N120" s="1174"/>
      <c r="O120" s="1174"/>
      <c r="P120" s="1174"/>
      <c r="Q120" s="1174"/>
      <c r="R120" s="1174"/>
      <c r="S120" s="1174"/>
      <c r="T120" s="1174"/>
      <c r="U120" s="1174"/>
      <c r="V120" s="1174"/>
      <c r="W120" s="1174"/>
      <c r="X120" s="1174"/>
      <c r="Y120" s="1174"/>
      <c r="Z120" s="209"/>
      <c r="AA120" s="209"/>
      <c r="AB120" s="209"/>
      <c r="AC120" s="45"/>
    </row>
    <row r="121" spans="2:29" ht="15.75" x14ac:dyDescent="0.25">
      <c r="B121" s="1174"/>
      <c r="C121" s="1174"/>
      <c r="D121" s="1174"/>
      <c r="E121" s="1174"/>
      <c r="F121" s="1174"/>
      <c r="G121" s="1174"/>
      <c r="H121" s="1174"/>
      <c r="I121" s="1174"/>
      <c r="J121" s="1174"/>
      <c r="K121" s="1174"/>
      <c r="L121" s="1174"/>
      <c r="M121" s="1174"/>
      <c r="N121" s="1174"/>
      <c r="O121" s="1174"/>
      <c r="P121" s="1174"/>
      <c r="Q121" s="1174"/>
      <c r="R121" s="1174"/>
      <c r="S121" s="1174"/>
      <c r="T121" s="1174"/>
      <c r="U121" s="1174"/>
      <c r="V121" s="1174"/>
      <c r="W121" s="1174"/>
      <c r="X121" s="1174"/>
      <c r="Y121" s="1174"/>
      <c r="Z121" s="209"/>
      <c r="AA121" s="209"/>
      <c r="AB121" s="209"/>
      <c r="AC121" s="45"/>
    </row>
    <row r="122" spans="2:29" ht="15.75" x14ac:dyDescent="0.25">
      <c r="B122" s="1174"/>
      <c r="C122" s="1174"/>
      <c r="D122" s="1174"/>
      <c r="E122" s="1174"/>
      <c r="F122" s="1174"/>
      <c r="G122" s="1174"/>
      <c r="H122" s="1174"/>
      <c r="I122" s="1174"/>
      <c r="J122" s="1174"/>
      <c r="K122" s="1174"/>
      <c r="L122" s="1174"/>
      <c r="M122" s="1174"/>
      <c r="N122" s="1174"/>
      <c r="O122" s="1174"/>
      <c r="P122" s="1174"/>
      <c r="Q122" s="1174"/>
      <c r="R122" s="1174"/>
      <c r="S122" s="1174"/>
      <c r="T122" s="1174"/>
      <c r="U122" s="1174"/>
      <c r="V122" s="1174"/>
      <c r="W122" s="1174"/>
      <c r="X122" s="1174"/>
      <c r="Y122" s="1174"/>
      <c r="Z122" s="209"/>
      <c r="AA122" s="209"/>
      <c r="AB122" s="209"/>
      <c r="AC122" s="45"/>
    </row>
    <row r="123" spans="2:29" x14ac:dyDescent="0.2">
      <c r="B123" s="1174"/>
      <c r="C123" s="1174"/>
      <c r="D123" s="1174"/>
      <c r="E123" s="1174"/>
      <c r="F123" s="1174"/>
      <c r="G123" s="1174"/>
      <c r="H123" s="1174"/>
      <c r="I123" s="1174"/>
      <c r="J123" s="1174"/>
      <c r="K123" s="1174"/>
      <c r="L123" s="1174"/>
      <c r="M123" s="1174"/>
      <c r="N123" s="1174"/>
      <c r="O123" s="1174"/>
      <c r="P123" s="1174"/>
      <c r="Q123" s="1174"/>
      <c r="R123" s="1174"/>
      <c r="S123" s="1174"/>
      <c r="T123" s="1174"/>
      <c r="U123" s="1174"/>
      <c r="V123" s="1174"/>
      <c r="W123" s="1174"/>
      <c r="X123" s="1174"/>
      <c r="Y123" s="1174"/>
      <c r="Z123" s="45"/>
      <c r="AA123" s="45"/>
      <c r="AB123" s="46"/>
      <c r="AC123" s="45"/>
    </row>
    <row r="124" spans="2:29" x14ac:dyDescent="0.2">
      <c r="B124" s="1174"/>
      <c r="C124" s="1174"/>
      <c r="D124" s="1174"/>
      <c r="E124" s="1174"/>
      <c r="F124" s="1174"/>
      <c r="G124" s="1174"/>
      <c r="H124" s="1174"/>
      <c r="I124" s="1174"/>
      <c r="J124" s="1174"/>
      <c r="K124" s="1174"/>
      <c r="L124" s="1174"/>
      <c r="M124" s="1174"/>
      <c r="N124" s="1174"/>
      <c r="O124" s="1174"/>
      <c r="P124" s="1174"/>
      <c r="Q124" s="1174"/>
      <c r="R124" s="1174"/>
      <c r="S124" s="1174"/>
      <c r="T124" s="1174"/>
      <c r="U124" s="1174"/>
      <c r="V124" s="1174"/>
      <c r="W124" s="1174"/>
      <c r="X124" s="1174"/>
      <c r="Y124" s="1174"/>
      <c r="Z124" s="45"/>
      <c r="AA124" s="45"/>
      <c r="AB124" s="46"/>
      <c r="AC124" s="45"/>
    </row>
    <row r="125" spans="2:29" x14ac:dyDescent="0.2">
      <c r="B125" s="1174"/>
      <c r="C125" s="1174"/>
      <c r="D125" s="1174"/>
      <c r="E125" s="1174"/>
      <c r="F125" s="1174"/>
      <c r="G125" s="1174"/>
      <c r="H125" s="1174"/>
      <c r="I125" s="1174"/>
      <c r="J125" s="1174"/>
      <c r="K125" s="1174"/>
      <c r="L125" s="1174"/>
      <c r="M125" s="1174"/>
      <c r="N125" s="1174"/>
      <c r="O125" s="1174"/>
      <c r="P125" s="1174"/>
      <c r="Q125" s="1174"/>
      <c r="R125" s="1174"/>
      <c r="S125" s="1174"/>
      <c r="T125" s="1174"/>
      <c r="U125" s="1174"/>
      <c r="V125" s="1174"/>
      <c r="W125" s="1174"/>
      <c r="X125" s="1174"/>
      <c r="Y125" s="1174"/>
      <c r="Z125" s="45"/>
      <c r="AA125" s="45"/>
      <c r="AB125" s="46"/>
      <c r="AC125" s="45"/>
    </row>
    <row r="126" spans="2:29" x14ac:dyDescent="0.2">
      <c r="B126" s="1174"/>
      <c r="C126" s="1174"/>
      <c r="D126" s="1174"/>
      <c r="E126" s="1174"/>
      <c r="F126" s="1174"/>
      <c r="G126" s="1174"/>
      <c r="H126" s="1174"/>
      <c r="I126" s="1174"/>
      <c r="J126" s="1174"/>
      <c r="K126" s="1174"/>
      <c r="L126" s="1174"/>
      <c r="M126" s="1174"/>
      <c r="N126" s="1174"/>
      <c r="O126" s="1174"/>
      <c r="P126" s="1174"/>
      <c r="Q126" s="1174"/>
      <c r="R126" s="1174"/>
      <c r="S126" s="1174"/>
      <c r="T126" s="1174"/>
      <c r="U126" s="1174"/>
      <c r="V126" s="1174"/>
      <c r="W126" s="1174"/>
      <c r="X126" s="1174"/>
      <c r="Y126" s="1174"/>
      <c r="Z126" s="45"/>
      <c r="AA126" s="45"/>
      <c r="AB126" s="46"/>
      <c r="AC126" s="45"/>
    </row>
    <row r="127" spans="2:29" x14ac:dyDescent="0.2">
      <c r="B127" s="1174"/>
      <c r="C127" s="1174"/>
      <c r="D127" s="1174"/>
      <c r="E127" s="1174"/>
      <c r="F127" s="1174"/>
      <c r="G127" s="1174"/>
      <c r="H127" s="1174"/>
      <c r="I127" s="1174"/>
      <c r="J127" s="1174"/>
      <c r="K127" s="1174"/>
      <c r="L127" s="1174"/>
      <c r="M127" s="1174"/>
      <c r="N127" s="1174"/>
      <c r="O127" s="1174"/>
      <c r="P127" s="1174"/>
      <c r="Q127" s="1174"/>
      <c r="R127" s="1174"/>
      <c r="S127" s="1174"/>
      <c r="T127" s="1174"/>
      <c r="U127" s="1174"/>
      <c r="V127" s="1174"/>
      <c r="W127" s="1174"/>
      <c r="X127" s="1174"/>
      <c r="Y127" s="1174"/>
      <c r="Z127" s="45"/>
      <c r="AA127" s="45"/>
      <c r="AB127" s="46"/>
      <c r="AC127" s="45"/>
    </row>
    <row r="128" spans="2:29" x14ac:dyDescent="0.2">
      <c r="B128" s="1174"/>
      <c r="C128" s="1174"/>
      <c r="D128" s="1174"/>
      <c r="E128" s="1174"/>
      <c r="F128" s="1174"/>
      <c r="G128" s="1174"/>
      <c r="H128" s="1174"/>
      <c r="I128" s="1174"/>
      <c r="J128" s="1174"/>
      <c r="K128" s="1174"/>
      <c r="L128" s="1174"/>
      <c r="M128" s="1174"/>
      <c r="N128" s="1174"/>
      <c r="O128" s="1174"/>
      <c r="P128" s="1174"/>
      <c r="Q128" s="1174"/>
      <c r="R128" s="1174"/>
      <c r="S128" s="1174"/>
      <c r="T128" s="1174"/>
      <c r="U128" s="1174"/>
      <c r="V128" s="1174"/>
      <c r="W128" s="1174"/>
      <c r="X128" s="1174"/>
      <c r="Y128" s="1174"/>
      <c r="Z128" s="45"/>
      <c r="AA128" s="45"/>
      <c r="AB128" s="46"/>
      <c r="AC128" s="45"/>
    </row>
    <row r="129" spans="2:29" x14ac:dyDescent="0.2">
      <c r="B129" s="1174"/>
      <c r="C129" s="1174"/>
      <c r="D129" s="1174"/>
      <c r="E129" s="1174"/>
      <c r="F129" s="1174"/>
      <c r="G129" s="1174"/>
      <c r="H129" s="1174"/>
      <c r="I129" s="1174"/>
      <c r="J129" s="1174"/>
      <c r="K129" s="1174"/>
      <c r="L129" s="1174"/>
      <c r="M129" s="1174"/>
      <c r="N129" s="1174"/>
      <c r="O129" s="1174"/>
      <c r="P129" s="1174"/>
      <c r="Q129" s="1174"/>
      <c r="R129" s="1174"/>
      <c r="S129" s="1174"/>
      <c r="T129" s="1174"/>
      <c r="U129" s="1174"/>
      <c r="V129" s="1174"/>
      <c r="W129" s="1174"/>
      <c r="X129" s="1174"/>
      <c r="Y129" s="1174"/>
      <c r="Z129" s="45"/>
      <c r="AA129" s="45"/>
      <c r="AB129" s="46"/>
      <c r="AC129" s="45"/>
    </row>
    <row r="130" spans="2:29" x14ac:dyDescent="0.2">
      <c r="B130" s="1174"/>
      <c r="C130" s="1174"/>
      <c r="D130" s="1174"/>
      <c r="E130" s="1174"/>
      <c r="F130" s="1174"/>
      <c r="G130" s="1174"/>
      <c r="H130" s="1174"/>
      <c r="I130" s="1174"/>
      <c r="J130" s="1174"/>
      <c r="K130" s="1174"/>
      <c r="L130" s="1174"/>
      <c r="M130" s="1174"/>
      <c r="N130" s="1174"/>
      <c r="O130" s="1174"/>
      <c r="P130" s="1174"/>
      <c r="Q130" s="1174"/>
      <c r="R130" s="1174"/>
      <c r="S130" s="1174"/>
      <c r="T130" s="1174"/>
      <c r="U130" s="1174"/>
      <c r="V130" s="1174"/>
      <c r="W130" s="1174"/>
      <c r="X130" s="1174"/>
      <c r="Y130" s="1174"/>
      <c r="Z130" s="45"/>
      <c r="AA130" s="45"/>
      <c r="AB130" s="46"/>
      <c r="AC130" s="45"/>
    </row>
    <row r="131" spans="2:29" x14ac:dyDescent="0.2">
      <c r="B131" s="1174"/>
      <c r="C131" s="1174"/>
      <c r="D131" s="1174"/>
      <c r="E131" s="1174"/>
      <c r="F131" s="1174"/>
      <c r="G131" s="1174"/>
      <c r="H131" s="1174"/>
      <c r="I131" s="1174"/>
      <c r="J131" s="1174"/>
      <c r="K131" s="1174"/>
      <c r="L131" s="1174"/>
      <c r="M131" s="1174"/>
      <c r="N131" s="1174"/>
      <c r="O131" s="1174"/>
      <c r="P131" s="1174"/>
      <c r="Q131" s="1174"/>
      <c r="R131" s="1174"/>
      <c r="S131" s="1174"/>
      <c r="T131" s="1174"/>
      <c r="U131" s="1174"/>
      <c r="V131" s="1174"/>
      <c r="W131" s="1174"/>
      <c r="X131" s="1174"/>
      <c r="Y131" s="1174"/>
      <c r="Z131" s="45"/>
      <c r="AA131" s="45"/>
      <c r="AB131" s="46"/>
      <c r="AC131" s="45"/>
    </row>
    <row r="132" spans="2:29" x14ac:dyDescent="0.2">
      <c r="B132" s="1174"/>
      <c r="C132" s="1174"/>
      <c r="D132" s="1174"/>
      <c r="E132" s="1174"/>
      <c r="F132" s="1174"/>
      <c r="G132" s="1174"/>
      <c r="H132" s="1174"/>
      <c r="I132" s="1174"/>
      <c r="J132" s="1174"/>
      <c r="K132" s="1174"/>
      <c r="L132" s="1174"/>
      <c r="M132" s="1174"/>
      <c r="N132" s="1174"/>
      <c r="O132" s="1174"/>
      <c r="P132" s="1174"/>
      <c r="Q132" s="1174"/>
      <c r="R132" s="1174"/>
      <c r="S132" s="1174"/>
      <c r="T132" s="1174"/>
      <c r="U132" s="1174"/>
      <c r="V132" s="1174"/>
      <c r="W132" s="1174"/>
      <c r="X132" s="1174"/>
      <c r="Y132" s="1174"/>
      <c r="Z132" s="45"/>
      <c r="AA132" s="45"/>
      <c r="AB132" s="46"/>
      <c r="AC132" s="45"/>
    </row>
    <row r="133" spans="2:29" x14ac:dyDescent="0.2">
      <c r="B133" s="1174"/>
      <c r="C133" s="1174"/>
      <c r="D133" s="1174"/>
      <c r="E133" s="1174"/>
      <c r="F133" s="1174"/>
      <c r="G133" s="1174"/>
      <c r="H133" s="1174"/>
      <c r="I133" s="1174"/>
      <c r="J133" s="1174"/>
      <c r="K133" s="1174"/>
      <c r="L133" s="1174"/>
      <c r="M133" s="1174"/>
      <c r="N133" s="1174"/>
      <c r="O133" s="1174"/>
      <c r="P133" s="1174"/>
      <c r="Q133" s="1174"/>
      <c r="R133" s="1174"/>
      <c r="S133" s="1174"/>
      <c r="T133" s="1174"/>
      <c r="U133" s="1174"/>
      <c r="V133" s="1174"/>
      <c r="W133" s="1174"/>
      <c r="X133" s="1174"/>
      <c r="Y133" s="1174"/>
      <c r="Z133" s="45"/>
      <c r="AA133" s="45"/>
      <c r="AB133" s="46"/>
      <c r="AC133" s="45"/>
    </row>
    <row r="134" spans="2:29" x14ac:dyDescent="0.2">
      <c r="B134" s="1174"/>
      <c r="C134" s="1174"/>
      <c r="D134" s="1174"/>
      <c r="E134" s="1174"/>
      <c r="F134" s="1174"/>
      <c r="G134" s="1174"/>
      <c r="H134" s="1174"/>
      <c r="I134" s="1174"/>
      <c r="J134" s="1174"/>
      <c r="K134" s="1174"/>
      <c r="L134" s="1174"/>
      <c r="M134" s="1174"/>
      <c r="N134" s="1174"/>
      <c r="O134" s="1174"/>
      <c r="P134" s="1174"/>
      <c r="Q134" s="1174"/>
      <c r="R134" s="1174"/>
      <c r="S134" s="1174"/>
      <c r="T134" s="1174"/>
      <c r="U134" s="1174"/>
      <c r="V134" s="1174"/>
      <c r="W134" s="1174"/>
      <c r="X134" s="1174"/>
      <c r="Y134" s="1174"/>
      <c r="Z134" s="45"/>
      <c r="AA134" s="45"/>
      <c r="AB134" s="46"/>
      <c r="AC134" s="45"/>
    </row>
    <row r="135" spans="2:29" x14ac:dyDescent="0.2">
      <c r="B135" s="1174"/>
      <c r="C135" s="1174"/>
      <c r="D135" s="1174"/>
      <c r="E135" s="1174"/>
      <c r="F135" s="1174"/>
      <c r="G135" s="1174"/>
      <c r="H135" s="1174"/>
      <c r="I135" s="1174"/>
      <c r="J135" s="1174"/>
      <c r="K135" s="1174"/>
      <c r="L135" s="1174"/>
      <c r="M135" s="1174"/>
      <c r="N135" s="1174"/>
      <c r="O135" s="1174"/>
      <c r="P135" s="1174"/>
      <c r="Q135" s="1174"/>
      <c r="R135" s="1174"/>
      <c r="S135" s="1174"/>
      <c r="T135" s="1174"/>
      <c r="U135" s="1174"/>
      <c r="V135" s="1174"/>
      <c r="W135" s="1174"/>
      <c r="X135" s="1174"/>
      <c r="Y135" s="1174"/>
      <c r="Z135" s="45"/>
      <c r="AA135" s="45"/>
      <c r="AB135" s="46"/>
      <c r="AC135" s="45"/>
    </row>
    <row r="136" spans="2:29" x14ac:dyDescent="0.2">
      <c r="B136" s="1174"/>
      <c r="C136" s="1174"/>
      <c r="D136" s="1174"/>
      <c r="E136" s="1174"/>
      <c r="F136" s="1174"/>
      <c r="G136" s="1174"/>
      <c r="H136" s="1174"/>
      <c r="I136" s="1174"/>
      <c r="J136" s="1174"/>
      <c r="K136" s="1174"/>
      <c r="L136" s="1174"/>
      <c r="M136" s="1174"/>
      <c r="N136" s="1174"/>
      <c r="O136" s="1174"/>
      <c r="P136" s="1174"/>
      <c r="Q136" s="1174"/>
      <c r="R136" s="1174"/>
      <c r="S136" s="1174"/>
      <c r="T136" s="1174"/>
      <c r="U136" s="1174"/>
      <c r="V136" s="1174"/>
      <c r="W136" s="1174"/>
      <c r="X136" s="1174"/>
      <c r="Y136" s="1174"/>
      <c r="Z136" s="45"/>
      <c r="AA136" s="45"/>
      <c r="AB136" s="46"/>
      <c r="AC136" s="45"/>
    </row>
    <row r="137" spans="2:29" x14ac:dyDescent="0.2">
      <c r="B137" s="1174"/>
      <c r="C137" s="1174"/>
      <c r="D137" s="1174"/>
      <c r="E137" s="1174"/>
      <c r="F137" s="1174"/>
      <c r="G137" s="1174"/>
      <c r="H137" s="1174"/>
      <c r="I137" s="1174"/>
      <c r="J137" s="1174"/>
      <c r="K137" s="1174"/>
      <c r="L137" s="1174"/>
      <c r="M137" s="1174"/>
      <c r="N137" s="1174"/>
      <c r="O137" s="1174"/>
      <c r="P137" s="1174"/>
      <c r="Q137" s="1174"/>
      <c r="R137" s="1174"/>
      <c r="S137" s="1174"/>
      <c r="T137" s="1174"/>
      <c r="U137" s="1174"/>
      <c r="V137" s="1174"/>
      <c r="W137" s="1174"/>
      <c r="X137" s="1174"/>
      <c r="Y137" s="1174"/>
      <c r="Z137" s="45"/>
      <c r="AA137" s="45"/>
      <c r="AB137" s="46"/>
      <c r="AC137" s="45"/>
    </row>
    <row r="138" spans="2:29" x14ac:dyDescent="0.2">
      <c r="B138" s="1174"/>
      <c r="C138" s="1174"/>
      <c r="D138" s="1174"/>
      <c r="E138" s="1174"/>
      <c r="F138" s="1174"/>
      <c r="G138" s="1174"/>
      <c r="H138" s="1174"/>
      <c r="I138" s="1174"/>
      <c r="J138" s="1174"/>
      <c r="K138" s="1174"/>
      <c r="L138" s="1174"/>
      <c r="M138" s="1174"/>
      <c r="N138" s="1174"/>
      <c r="O138" s="1174"/>
      <c r="P138" s="1174"/>
      <c r="Q138" s="1174"/>
      <c r="R138" s="1174"/>
      <c r="S138" s="1174"/>
      <c r="T138" s="1174"/>
      <c r="U138" s="1174"/>
      <c r="V138" s="1174"/>
      <c r="W138" s="1174"/>
      <c r="X138" s="1174"/>
      <c r="Y138" s="1174"/>
      <c r="Z138" s="45"/>
      <c r="AA138" s="45"/>
      <c r="AB138" s="46"/>
      <c r="AC138" s="45"/>
    </row>
    <row r="139" spans="2:29" x14ac:dyDescent="0.2">
      <c r="B139" s="1174"/>
      <c r="C139" s="1174"/>
      <c r="D139" s="1174"/>
      <c r="E139" s="1174"/>
      <c r="F139" s="1174"/>
      <c r="G139" s="1174"/>
      <c r="H139" s="1174"/>
      <c r="I139" s="1174"/>
      <c r="J139" s="1174"/>
      <c r="K139" s="1174"/>
      <c r="L139" s="1174"/>
      <c r="M139" s="1174"/>
      <c r="N139" s="1174"/>
      <c r="O139" s="1174"/>
      <c r="P139" s="1174"/>
      <c r="Q139" s="1174"/>
      <c r="R139" s="1174"/>
      <c r="S139" s="1174"/>
      <c r="T139" s="1174"/>
      <c r="U139" s="1174"/>
      <c r="V139" s="1174"/>
      <c r="W139" s="1174"/>
      <c r="X139" s="1174"/>
      <c r="Y139" s="1174"/>
      <c r="Z139" s="45"/>
      <c r="AA139" s="45"/>
      <c r="AB139" s="46"/>
      <c r="AC139" s="45"/>
    </row>
    <row r="140" spans="2:29" x14ac:dyDescent="0.2">
      <c r="B140" s="1174"/>
      <c r="C140" s="1174"/>
      <c r="D140" s="1174"/>
      <c r="E140" s="1174"/>
      <c r="F140" s="1174"/>
      <c r="G140" s="1174"/>
      <c r="H140" s="1174"/>
      <c r="I140" s="1174"/>
      <c r="J140" s="1174"/>
      <c r="K140" s="1174"/>
      <c r="L140" s="1174"/>
      <c r="M140" s="1174"/>
      <c r="N140" s="1174"/>
      <c r="O140" s="1174"/>
      <c r="P140" s="1174"/>
      <c r="Q140" s="1174"/>
      <c r="R140" s="1174"/>
      <c r="S140" s="1174"/>
      <c r="T140" s="1174"/>
      <c r="U140" s="1174"/>
      <c r="V140" s="1174"/>
      <c r="W140" s="1174"/>
      <c r="X140" s="1174"/>
      <c r="Y140" s="1174"/>
      <c r="Z140" s="45"/>
      <c r="AA140" s="45"/>
      <c r="AB140" s="46"/>
      <c r="AC140" s="45"/>
    </row>
    <row r="141" spans="2:29" x14ac:dyDescent="0.2">
      <c r="B141" s="1174"/>
      <c r="C141" s="1174"/>
      <c r="D141" s="1174"/>
      <c r="E141" s="1174"/>
      <c r="F141" s="1174"/>
      <c r="G141" s="1174"/>
      <c r="H141" s="1174"/>
      <c r="I141" s="1174"/>
      <c r="J141" s="1174"/>
      <c r="K141" s="1174"/>
      <c r="L141" s="1174"/>
      <c r="M141" s="1174"/>
      <c r="N141" s="1174"/>
      <c r="O141" s="1174"/>
      <c r="P141" s="1174"/>
      <c r="Q141" s="1174"/>
      <c r="R141" s="1174"/>
      <c r="S141" s="1174"/>
      <c r="T141" s="1174"/>
      <c r="U141" s="1174"/>
      <c r="V141" s="1174"/>
      <c r="W141" s="1174"/>
      <c r="X141" s="1174"/>
      <c r="Y141" s="1174"/>
      <c r="Z141" s="45"/>
      <c r="AA141" s="45"/>
      <c r="AB141" s="46"/>
      <c r="AC141" s="45"/>
    </row>
    <row r="142" spans="2:29" x14ac:dyDescent="0.2">
      <c r="B142" s="1174"/>
      <c r="C142" s="1174"/>
      <c r="D142" s="1174"/>
      <c r="E142" s="1174"/>
      <c r="F142" s="1174"/>
      <c r="G142" s="1174"/>
      <c r="H142" s="1174"/>
      <c r="I142" s="1174"/>
      <c r="J142" s="1174"/>
      <c r="K142" s="1174"/>
      <c r="L142" s="1174"/>
      <c r="M142" s="1174"/>
      <c r="N142" s="1174"/>
      <c r="O142" s="1174"/>
      <c r="P142" s="1174"/>
      <c r="Q142" s="1174"/>
      <c r="R142" s="1174"/>
      <c r="S142" s="1174"/>
      <c r="T142" s="1174"/>
      <c r="U142" s="1174"/>
      <c r="V142" s="1174"/>
      <c r="W142" s="1174"/>
      <c r="X142" s="1174"/>
      <c r="Y142" s="1174"/>
      <c r="Z142" s="45"/>
      <c r="AA142" s="45"/>
      <c r="AB142" s="46"/>
      <c r="AC142" s="45"/>
    </row>
    <row r="143" spans="2:29" x14ac:dyDescent="0.2">
      <c r="B143" s="1174"/>
      <c r="C143" s="1174"/>
      <c r="D143" s="1174"/>
      <c r="E143" s="1174"/>
      <c r="F143" s="1174"/>
      <c r="G143" s="1174"/>
      <c r="H143" s="1174"/>
      <c r="I143" s="1174"/>
      <c r="J143" s="1174"/>
      <c r="K143" s="1174"/>
      <c r="L143" s="1174"/>
      <c r="M143" s="1174"/>
      <c r="N143" s="1174"/>
      <c r="O143" s="1174"/>
      <c r="P143" s="1174"/>
      <c r="Q143" s="1174"/>
      <c r="R143" s="1174"/>
      <c r="S143" s="1174"/>
      <c r="T143" s="1174"/>
      <c r="U143" s="1174"/>
      <c r="V143" s="1174"/>
      <c r="W143" s="1174"/>
      <c r="X143" s="1174"/>
      <c r="Y143" s="1174"/>
      <c r="Z143" s="45"/>
      <c r="AA143" s="45"/>
      <c r="AB143" s="46"/>
      <c r="AC143" s="45"/>
    </row>
    <row r="144" spans="2:29" x14ac:dyDescent="0.2">
      <c r="B144" s="1174"/>
      <c r="C144" s="1174"/>
      <c r="D144" s="1174"/>
      <c r="E144" s="1174"/>
      <c r="F144" s="1174"/>
      <c r="G144" s="1174"/>
      <c r="H144" s="1174"/>
      <c r="I144" s="1174"/>
      <c r="J144" s="1174"/>
      <c r="K144" s="1174"/>
      <c r="L144" s="1174"/>
      <c r="M144" s="1174"/>
      <c r="N144" s="1174"/>
      <c r="O144" s="1174"/>
      <c r="P144" s="1174"/>
      <c r="Q144" s="1174"/>
      <c r="R144" s="1174"/>
      <c r="S144" s="1174"/>
      <c r="T144" s="1174"/>
      <c r="U144" s="1174"/>
      <c r="V144" s="1174"/>
      <c r="W144" s="1174"/>
      <c r="X144" s="1174"/>
      <c r="Y144" s="1174"/>
      <c r="Z144" s="45"/>
      <c r="AA144" s="45"/>
      <c r="AB144" s="46"/>
      <c r="AC144" s="45"/>
    </row>
    <row r="145" spans="2:29" x14ac:dyDescent="0.2">
      <c r="B145" s="1174"/>
      <c r="C145" s="1174"/>
      <c r="D145" s="1174"/>
      <c r="E145" s="1174"/>
      <c r="F145" s="1174"/>
      <c r="G145" s="1174"/>
      <c r="H145" s="1174"/>
      <c r="I145" s="1174"/>
      <c r="J145" s="1174"/>
      <c r="K145" s="1174"/>
      <c r="L145" s="1174"/>
      <c r="M145" s="1174"/>
      <c r="N145" s="1174"/>
      <c r="O145" s="1174"/>
      <c r="P145" s="1174"/>
      <c r="Q145" s="1174"/>
      <c r="R145" s="1174"/>
      <c r="S145" s="1174"/>
      <c r="T145" s="1174"/>
      <c r="U145" s="1174"/>
      <c r="V145" s="1174"/>
      <c r="W145" s="1174"/>
      <c r="X145" s="1174"/>
      <c r="Y145" s="1174"/>
      <c r="Z145" s="45"/>
      <c r="AA145" s="45"/>
      <c r="AB145" s="46"/>
      <c r="AC145" s="45"/>
    </row>
    <row r="146" spans="2:29" x14ac:dyDescent="0.2">
      <c r="B146" s="1174"/>
      <c r="C146" s="1174"/>
      <c r="D146" s="1174"/>
      <c r="E146" s="1174"/>
      <c r="F146" s="1174"/>
      <c r="G146" s="1174"/>
      <c r="H146" s="1174"/>
      <c r="I146" s="1174"/>
      <c r="J146" s="1174"/>
      <c r="K146" s="1174"/>
      <c r="L146" s="1174"/>
      <c r="M146" s="1174"/>
      <c r="N146" s="1174"/>
      <c r="O146" s="1174"/>
      <c r="P146" s="1174"/>
      <c r="Q146" s="1174"/>
      <c r="R146" s="1174"/>
      <c r="S146" s="1174"/>
      <c r="T146" s="1174"/>
      <c r="U146" s="1174"/>
      <c r="V146" s="1174"/>
      <c r="W146" s="1174"/>
      <c r="X146" s="1174"/>
      <c r="Y146" s="1174"/>
      <c r="Z146" s="45"/>
      <c r="AA146" s="45"/>
      <c r="AB146" s="46"/>
      <c r="AC146" s="45"/>
    </row>
    <row r="147" spans="2:29" x14ac:dyDescent="0.2">
      <c r="B147" s="1174"/>
      <c r="C147" s="1174"/>
      <c r="D147" s="1174"/>
      <c r="E147" s="1174"/>
      <c r="F147" s="1174"/>
      <c r="G147" s="1174"/>
      <c r="H147" s="1174"/>
      <c r="I147" s="1174"/>
      <c r="J147" s="1174"/>
      <c r="K147" s="1174"/>
      <c r="L147" s="1174"/>
      <c r="M147" s="1174"/>
      <c r="N147" s="1174"/>
      <c r="O147" s="1174"/>
      <c r="P147" s="1174"/>
      <c r="Q147" s="1174"/>
      <c r="R147" s="1174"/>
      <c r="S147" s="1174"/>
      <c r="T147" s="1174"/>
      <c r="U147" s="1174"/>
      <c r="V147" s="1174"/>
      <c r="W147" s="1174"/>
      <c r="X147" s="1174"/>
      <c r="Y147" s="1174"/>
      <c r="Z147" s="45"/>
      <c r="AA147" s="45"/>
      <c r="AB147" s="46"/>
      <c r="AC147" s="45"/>
    </row>
    <row r="148" spans="2:29" x14ac:dyDescent="0.2">
      <c r="B148" s="1174"/>
      <c r="C148" s="1174"/>
      <c r="D148" s="1174"/>
      <c r="E148" s="1174"/>
      <c r="F148" s="1174"/>
      <c r="G148" s="1174"/>
      <c r="H148" s="1174"/>
      <c r="I148" s="1174"/>
      <c r="J148" s="1174"/>
      <c r="K148" s="1174"/>
      <c r="L148" s="1174"/>
      <c r="M148" s="1174"/>
      <c r="N148" s="1174"/>
      <c r="O148" s="1174"/>
      <c r="P148" s="1174"/>
      <c r="Q148" s="1174"/>
      <c r="R148" s="1174"/>
      <c r="S148" s="1174"/>
      <c r="T148" s="1174"/>
      <c r="U148" s="1174"/>
      <c r="V148" s="1174"/>
      <c r="W148" s="1174"/>
      <c r="X148" s="1174"/>
      <c r="Y148" s="1174"/>
      <c r="Z148" s="45"/>
      <c r="AA148" s="45"/>
      <c r="AB148" s="46"/>
      <c r="AC148" s="45"/>
    </row>
    <row r="149" spans="2:29" x14ac:dyDescent="0.2">
      <c r="B149" s="1174"/>
      <c r="C149" s="1174"/>
      <c r="D149" s="1174"/>
      <c r="E149" s="1174"/>
      <c r="F149" s="1174"/>
      <c r="G149" s="1174"/>
      <c r="H149" s="1174"/>
      <c r="I149" s="1174"/>
      <c r="J149" s="1174"/>
      <c r="K149" s="1174"/>
      <c r="L149" s="1174"/>
      <c r="M149" s="1174"/>
      <c r="N149" s="1174"/>
      <c r="O149" s="1174"/>
      <c r="P149" s="1174"/>
      <c r="Q149" s="1174"/>
      <c r="R149" s="1174"/>
      <c r="S149" s="1174"/>
      <c r="T149" s="1174"/>
      <c r="U149" s="1174"/>
      <c r="V149" s="1174"/>
      <c r="W149" s="1174"/>
      <c r="X149" s="1174"/>
      <c r="Y149" s="1174"/>
      <c r="Z149" s="45"/>
      <c r="AA149" s="45"/>
      <c r="AB149" s="46"/>
      <c r="AC149" s="45"/>
    </row>
    <row r="150" spans="2:29" x14ac:dyDescent="0.2">
      <c r="B150" s="1174"/>
      <c r="C150" s="1174"/>
      <c r="D150" s="1174"/>
      <c r="E150" s="1174"/>
      <c r="F150" s="1174"/>
      <c r="G150" s="1174"/>
      <c r="H150" s="1174"/>
      <c r="I150" s="1174"/>
      <c r="J150" s="1174"/>
      <c r="K150" s="1174"/>
      <c r="L150" s="1174"/>
      <c r="M150" s="1174"/>
      <c r="N150" s="1174"/>
      <c r="O150" s="1174"/>
      <c r="P150" s="1174"/>
      <c r="Q150" s="1174"/>
      <c r="R150" s="1174"/>
      <c r="S150" s="1174"/>
      <c r="T150" s="1174"/>
      <c r="U150" s="1174"/>
      <c r="V150" s="1174"/>
      <c r="W150" s="1174"/>
      <c r="X150" s="1174"/>
      <c r="Y150" s="1174"/>
      <c r="Z150" s="45"/>
      <c r="AA150" s="45"/>
      <c r="AB150" s="46"/>
      <c r="AC150" s="45"/>
    </row>
    <row r="151" spans="2:29" x14ac:dyDescent="0.2">
      <c r="B151" s="1174"/>
      <c r="C151" s="1174"/>
      <c r="D151" s="1174"/>
      <c r="E151" s="1174"/>
      <c r="F151" s="1174"/>
      <c r="G151" s="1174"/>
      <c r="H151" s="1174"/>
      <c r="I151" s="1174"/>
      <c r="J151" s="1174"/>
      <c r="K151" s="1174"/>
      <c r="L151" s="1174"/>
      <c r="M151" s="1174"/>
      <c r="N151" s="1174"/>
      <c r="O151" s="1174"/>
      <c r="P151" s="1174"/>
      <c r="Q151" s="1174"/>
      <c r="R151" s="1174"/>
      <c r="S151" s="1174"/>
      <c r="T151" s="1174"/>
      <c r="U151" s="1174"/>
      <c r="V151" s="1174"/>
      <c r="W151" s="1174"/>
      <c r="X151" s="1174"/>
      <c r="Y151" s="1174"/>
      <c r="Z151" s="45"/>
      <c r="AA151" s="45"/>
      <c r="AB151" s="46"/>
      <c r="AC151" s="45"/>
    </row>
    <row r="152" spans="2:29" x14ac:dyDescent="0.2">
      <c r="B152" s="1174"/>
      <c r="C152" s="1174"/>
      <c r="D152" s="1174"/>
      <c r="E152" s="1174"/>
      <c r="F152" s="1174"/>
      <c r="G152" s="1174"/>
      <c r="H152" s="1174"/>
      <c r="I152" s="1174"/>
      <c r="J152" s="1174"/>
      <c r="K152" s="1174"/>
      <c r="L152" s="1174"/>
      <c r="M152" s="1174"/>
      <c r="N152" s="1174"/>
      <c r="O152" s="1174"/>
      <c r="P152" s="1174"/>
      <c r="Q152" s="1174"/>
      <c r="R152" s="1174"/>
      <c r="S152" s="1174"/>
      <c r="T152" s="1174"/>
      <c r="U152" s="1174"/>
      <c r="V152" s="1174"/>
      <c r="W152" s="1174"/>
      <c r="X152" s="1174"/>
      <c r="Y152" s="1174"/>
      <c r="Z152" s="45"/>
      <c r="AA152" s="45"/>
      <c r="AB152" s="46"/>
      <c r="AC152" s="45"/>
    </row>
    <row r="153" spans="2:29" x14ac:dyDescent="0.2">
      <c r="B153" s="1174"/>
      <c r="C153" s="1174"/>
      <c r="D153" s="1174"/>
      <c r="E153" s="1174"/>
      <c r="F153" s="1174"/>
      <c r="G153" s="1174"/>
      <c r="H153" s="1174"/>
      <c r="I153" s="1174"/>
      <c r="J153" s="1174"/>
      <c r="K153" s="1174"/>
      <c r="L153" s="1174"/>
      <c r="M153" s="1174"/>
      <c r="N153" s="1174"/>
      <c r="O153" s="1174"/>
      <c r="P153" s="1174"/>
      <c r="Q153" s="1174"/>
      <c r="R153" s="1174"/>
      <c r="S153" s="1174"/>
      <c r="T153" s="1174"/>
      <c r="U153" s="1174"/>
      <c r="V153" s="1174"/>
      <c r="W153" s="1174"/>
      <c r="X153" s="1174"/>
      <c r="Y153" s="1174"/>
      <c r="Z153" s="45"/>
      <c r="AA153" s="45"/>
      <c r="AB153" s="46"/>
      <c r="AC153" s="45"/>
    </row>
    <row r="154" spans="2:29" x14ac:dyDescent="0.2">
      <c r="B154" s="1174"/>
      <c r="C154" s="1174"/>
      <c r="D154" s="1174"/>
      <c r="E154" s="1174"/>
      <c r="F154" s="1174"/>
      <c r="G154" s="1174"/>
      <c r="H154" s="1174"/>
      <c r="I154" s="1174"/>
      <c r="J154" s="1174"/>
      <c r="K154" s="1174"/>
      <c r="L154" s="1174"/>
      <c r="M154" s="1174"/>
      <c r="N154" s="1174"/>
      <c r="O154" s="1174"/>
      <c r="P154" s="1174"/>
      <c r="Q154" s="1174"/>
      <c r="R154" s="1174"/>
      <c r="S154" s="1174"/>
      <c r="T154" s="1174"/>
      <c r="U154" s="1174"/>
      <c r="V154" s="1174"/>
      <c r="W154" s="1174"/>
      <c r="X154" s="1174"/>
      <c r="Y154" s="1174"/>
      <c r="Z154" s="45"/>
      <c r="AA154" s="45"/>
      <c r="AB154" s="46"/>
      <c r="AC154" s="45"/>
    </row>
    <row r="155" spans="2:29" x14ac:dyDescent="0.2">
      <c r="B155" s="1174"/>
      <c r="C155" s="1174"/>
      <c r="D155" s="1174"/>
      <c r="E155" s="1174"/>
      <c r="F155" s="1174"/>
      <c r="G155" s="1174"/>
      <c r="H155" s="1174"/>
      <c r="I155" s="1174"/>
      <c r="J155" s="1174"/>
      <c r="K155" s="1174"/>
      <c r="L155" s="1174"/>
      <c r="M155" s="1174"/>
      <c r="N155" s="1174"/>
      <c r="O155" s="1174"/>
      <c r="P155" s="1174"/>
      <c r="Q155" s="1174"/>
      <c r="R155" s="1174"/>
      <c r="S155" s="1174"/>
      <c r="T155" s="1174"/>
      <c r="U155" s="1174"/>
      <c r="V155" s="1174"/>
      <c r="W155" s="1174"/>
      <c r="X155" s="1174"/>
      <c r="Y155" s="1174"/>
      <c r="Z155" s="45"/>
      <c r="AA155" s="45"/>
      <c r="AB155" s="46"/>
      <c r="AC155" s="45"/>
    </row>
    <row r="156" spans="2:29" x14ac:dyDescent="0.2">
      <c r="B156" s="1174"/>
      <c r="C156" s="1174"/>
      <c r="D156" s="1174"/>
      <c r="E156" s="1174"/>
      <c r="F156" s="1174"/>
      <c r="G156" s="1174"/>
      <c r="H156" s="1174"/>
      <c r="I156" s="1174"/>
      <c r="J156" s="1174"/>
      <c r="K156" s="1174"/>
      <c r="L156" s="1174"/>
      <c r="M156" s="1174"/>
      <c r="N156" s="1174"/>
      <c r="O156" s="1174"/>
      <c r="P156" s="1174"/>
      <c r="Q156" s="1174"/>
      <c r="R156" s="1174"/>
      <c r="S156" s="1174"/>
      <c r="T156" s="1174"/>
      <c r="U156" s="1174"/>
      <c r="V156" s="1174"/>
      <c r="W156" s="1174"/>
      <c r="X156" s="1174"/>
      <c r="Y156" s="1174"/>
      <c r="Z156" s="45"/>
      <c r="AA156" s="45"/>
      <c r="AB156" s="46"/>
      <c r="AC156" s="45"/>
    </row>
    <row r="157" spans="2:29" x14ac:dyDescent="0.2">
      <c r="B157" s="1174"/>
      <c r="C157" s="1174"/>
      <c r="D157" s="1174"/>
      <c r="E157" s="1174"/>
      <c r="F157" s="1174"/>
      <c r="G157" s="1174"/>
      <c r="H157" s="1174"/>
      <c r="I157" s="1174"/>
      <c r="J157" s="1174"/>
      <c r="K157" s="1174"/>
      <c r="L157" s="1174"/>
      <c r="M157" s="1174"/>
      <c r="N157" s="1174"/>
      <c r="O157" s="1174"/>
      <c r="P157" s="1174"/>
      <c r="Q157" s="1174"/>
      <c r="R157" s="1174"/>
      <c r="S157" s="1174"/>
      <c r="T157" s="1174"/>
      <c r="U157" s="1174"/>
      <c r="V157" s="1174"/>
      <c r="W157" s="1174"/>
      <c r="X157" s="1174"/>
      <c r="Y157" s="1174"/>
      <c r="Z157" s="45"/>
      <c r="AA157" s="45"/>
      <c r="AB157" s="46"/>
      <c r="AC157" s="45"/>
    </row>
    <row r="158" spans="2:29" x14ac:dyDescent="0.2">
      <c r="B158" s="1174"/>
      <c r="C158" s="1174"/>
      <c r="D158" s="1174"/>
      <c r="E158" s="1174"/>
      <c r="F158" s="1174"/>
      <c r="G158" s="1174"/>
      <c r="H158" s="1174"/>
      <c r="I158" s="1174"/>
      <c r="J158" s="1174"/>
      <c r="K158" s="1174"/>
      <c r="L158" s="1174"/>
      <c r="M158" s="1174"/>
      <c r="N158" s="1174"/>
      <c r="O158" s="1174"/>
      <c r="P158" s="1174"/>
      <c r="Q158" s="1174"/>
      <c r="R158" s="1174"/>
      <c r="S158" s="1174"/>
      <c r="T158" s="1174"/>
      <c r="U158" s="1174"/>
      <c r="V158" s="1174"/>
      <c r="W158" s="1174"/>
      <c r="X158" s="1174"/>
      <c r="Y158" s="1174"/>
      <c r="Z158" s="45"/>
      <c r="AA158" s="45"/>
      <c r="AB158" s="46"/>
      <c r="AC158" s="45"/>
    </row>
    <row r="159" spans="2:29" x14ac:dyDescent="0.2">
      <c r="B159" s="1174"/>
      <c r="C159" s="1174"/>
      <c r="D159" s="1174"/>
      <c r="E159" s="1174"/>
      <c r="F159" s="1174"/>
      <c r="G159" s="1174"/>
      <c r="H159" s="1174"/>
      <c r="I159" s="1174"/>
      <c r="J159" s="1174"/>
      <c r="K159" s="1174"/>
      <c r="L159" s="1174"/>
      <c r="M159" s="1174"/>
      <c r="N159" s="1174"/>
      <c r="O159" s="1174"/>
      <c r="P159" s="1174"/>
      <c r="Q159" s="1174"/>
      <c r="R159" s="1174"/>
      <c r="S159" s="1174"/>
      <c r="T159" s="1174"/>
      <c r="U159" s="1174"/>
      <c r="V159" s="1174"/>
      <c r="W159" s="1174"/>
      <c r="X159" s="1174"/>
      <c r="Y159" s="1174"/>
      <c r="Z159" s="45"/>
      <c r="AA159" s="45"/>
      <c r="AB159" s="46"/>
      <c r="AC159" s="45"/>
    </row>
    <row r="160" spans="2:29" x14ac:dyDescent="0.2">
      <c r="B160" s="1174"/>
      <c r="C160" s="1174"/>
      <c r="D160" s="1174"/>
      <c r="E160" s="1174"/>
      <c r="F160" s="1174"/>
      <c r="G160" s="1174"/>
      <c r="H160" s="1174"/>
      <c r="I160" s="1174"/>
      <c r="J160" s="1174"/>
      <c r="K160" s="1174"/>
      <c r="L160" s="1174"/>
      <c r="M160" s="1174"/>
      <c r="N160" s="1174"/>
      <c r="O160" s="1174"/>
      <c r="P160" s="1174"/>
      <c r="Q160" s="1174"/>
      <c r="R160" s="1174"/>
      <c r="S160" s="1174"/>
      <c r="T160" s="1174"/>
      <c r="U160" s="1174"/>
      <c r="V160" s="1174"/>
      <c r="W160" s="1174"/>
      <c r="X160" s="1174"/>
      <c r="Y160" s="1174"/>
      <c r="Z160" s="45"/>
      <c r="AA160" s="45"/>
      <c r="AB160" s="46"/>
      <c r="AC160" s="45"/>
    </row>
    <row r="161" spans="2:29" x14ac:dyDescent="0.2">
      <c r="B161" s="1174"/>
      <c r="C161" s="1174"/>
      <c r="D161" s="1174"/>
      <c r="E161" s="1174"/>
      <c r="F161" s="1174"/>
      <c r="G161" s="1174"/>
      <c r="H161" s="1174"/>
      <c r="I161" s="1174"/>
      <c r="J161" s="1174"/>
      <c r="K161" s="1174"/>
      <c r="L161" s="1174"/>
      <c r="M161" s="1174"/>
      <c r="N161" s="1174"/>
      <c r="O161" s="1174"/>
      <c r="P161" s="1174"/>
      <c r="Q161" s="1174"/>
      <c r="R161" s="1174"/>
      <c r="S161" s="1174"/>
      <c r="T161" s="1174"/>
      <c r="U161" s="1174"/>
      <c r="V161" s="1174"/>
      <c r="W161" s="1174"/>
      <c r="X161" s="1174"/>
      <c r="Y161" s="1174"/>
      <c r="Z161" s="45"/>
      <c r="AA161" s="45"/>
      <c r="AB161" s="46"/>
      <c r="AC161" s="45"/>
    </row>
    <row r="162" spans="2:29" x14ac:dyDescent="0.2">
      <c r="R162" s="1174"/>
      <c r="S162" s="1174"/>
      <c r="T162" s="1174"/>
      <c r="U162" s="1174"/>
      <c r="V162" s="1174"/>
      <c r="W162" s="1174"/>
      <c r="X162" s="1174"/>
      <c r="Y162" s="1174"/>
      <c r="Z162" s="45"/>
      <c r="AA162" s="45"/>
      <c r="AB162" s="46"/>
      <c r="AC162" s="45"/>
    </row>
    <row r="163" spans="2:29" x14ac:dyDescent="0.2">
      <c r="R163" s="1174"/>
      <c r="S163" s="1174"/>
      <c r="T163" s="1174"/>
      <c r="U163" s="1174"/>
      <c r="V163" s="1174"/>
      <c r="W163" s="1174"/>
      <c r="X163" s="1174"/>
      <c r="Y163" s="1174"/>
      <c r="Z163" s="45"/>
      <c r="AA163" s="45"/>
      <c r="AB163" s="46"/>
      <c r="AC163" s="45"/>
    </row>
    <row r="164" spans="2:29" x14ac:dyDescent="0.2">
      <c r="R164" s="1174"/>
      <c r="S164" s="1174"/>
      <c r="T164" s="1174"/>
      <c r="U164" s="1174"/>
      <c r="V164" s="1174"/>
      <c r="W164" s="1174"/>
      <c r="X164" s="1174"/>
      <c r="Y164" s="1174"/>
      <c r="Z164" s="45"/>
      <c r="AA164" s="45"/>
      <c r="AB164" s="46"/>
      <c r="AC164" s="45"/>
    </row>
    <row r="165" spans="2:29" x14ac:dyDescent="0.2">
      <c r="R165" s="1174"/>
      <c r="S165" s="1174"/>
      <c r="T165" s="1174"/>
      <c r="U165" s="1174"/>
      <c r="V165" s="1174"/>
      <c r="W165" s="1174"/>
      <c r="X165" s="1174"/>
      <c r="Y165" s="1174"/>
      <c r="Z165" s="45"/>
      <c r="AA165" s="45"/>
      <c r="AB165" s="46"/>
      <c r="AC165" s="45"/>
    </row>
    <row r="166" spans="2:29" x14ac:dyDescent="0.2">
      <c r="V166" s="1174"/>
      <c r="W166" s="1174"/>
      <c r="X166" s="1174"/>
      <c r="Y166" s="1174"/>
      <c r="Z166" s="45"/>
      <c r="AA166" s="45"/>
      <c r="AB166" s="46"/>
      <c r="AC166" s="45"/>
    </row>
    <row r="167" spans="2:29" x14ac:dyDescent="0.2">
      <c r="Y167" s="1174"/>
      <c r="Z167" s="45"/>
      <c r="AA167" s="45"/>
      <c r="AB167" s="46"/>
      <c r="AC167" s="45"/>
    </row>
    <row r="168" spans="2:29" x14ac:dyDescent="0.2">
      <c r="Y168" s="1174"/>
      <c r="Z168" s="45"/>
      <c r="AA168" s="45"/>
      <c r="AB168" s="46"/>
      <c r="AC168" s="45"/>
    </row>
    <row r="169" spans="2:29" x14ac:dyDescent="0.2">
      <c r="Y169" s="1174"/>
      <c r="Z169" s="45"/>
      <c r="AA169" s="45"/>
      <c r="AB169" s="46"/>
      <c r="AC169" s="45"/>
    </row>
    <row r="170" spans="2:29" x14ac:dyDescent="0.2">
      <c r="Y170" s="1174"/>
      <c r="Z170" s="45"/>
      <c r="AA170" s="45"/>
      <c r="AB170" s="46"/>
      <c r="AC170" s="45"/>
    </row>
    <row r="171" spans="2:29" x14ac:dyDescent="0.2">
      <c r="Y171" s="1174"/>
      <c r="Z171" s="45"/>
      <c r="AA171" s="45"/>
      <c r="AB171" s="46"/>
      <c r="AC171" s="45"/>
    </row>
    <row r="172" spans="2:29" x14ac:dyDescent="0.2">
      <c r="Y172" s="1174"/>
      <c r="Z172" s="45"/>
      <c r="AA172" s="45"/>
      <c r="AB172" s="46"/>
      <c r="AC172" s="45"/>
    </row>
    <row r="173" spans="2:29" x14ac:dyDescent="0.2">
      <c r="Y173" s="1174"/>
      <c r="Z173" s="45"/>
      <c r="AA173" s="45"/>
      <c r="AB173" s="46"/>
      <c r="AC173" s="45"/>
    </row>
    <row r="174" spans="2:29" x14ac:dyDescent="0.2">
      <c r="Y174" s="1174"/>
      <c r="Z174" s="45"/>
      <c r="AA174" s="45"/>
      <c r="AB174" s="46"/>
      <c r="AC174" s="45"/>
    </row>
    <row r="175" spans="2:29" x14ac:dyDescent="0.2">
      <c r="Y175" s="1174"/>
      <c r="Z175" s="45"/>
      <c r="AA175" s="45"/>
      <c r="AB175" s="46"/>
      <c r="AC175" s="45"/>
    </row>
    <row r="176" spans="2:29" x14ac:dyDescent="0.2">
      <c r="Y176" s="1174"/>
      <c r="Z176" s="45"/>
      <c r="AA176" s="45"/>
      <c r="AB176" s="46"/>
      <c r="AC176" s="45"/>
    </row>
    <row r="177" spans="25:29" x14ac:dyDescent="0.2">
      <c r="Y177" s="1174"/>
      <c r="Z177" s="45"/>
      <c r="AA177" s="45"/>
      <c r="AB177" s="46"/>
      <c r="AC177" s="45"/>
    </row>
    <row r="178" spans="25:29" x14ac:dyDescent="0.2">
      <c r="Y178" s="1174"/>
      <c r="Z178" s="45"/>
      <c r="AA178" s="45"/>
      <c r="AB178" s="46"/>
      <c r="AC178" s="45"/>
    </row>
    <row r="179" spans="25:29" x14ac:dyDescent="0.2">
      <c r="Y179" s="1174"/>
      <c r="Z179" s="45"/>
      <c r="AA179" s="45"/>
      <c r="AB179" s="46"/>
      <c r="AC179" s="45"/>
    </row>
    <row r="180" spans="25:29" x14ac:dyDescent="0.2">
      <c r="Y180" s="1174"/>
      <c r="Z180" s="45"/>
      <c r="AA180" s="45"/>
      <c r="AB180" s="46"/>
      <c r="AC180" s="45"/>
    </row>
    <row r="181" spans="25:29" x14ac:dyDescent="0.2">
      <c r="Y181" s="1174"/>
      <c r="Z181" s="45"/>
      <c r="AA181" s="45"/>
      <c r="AB181" s="46"/>
      <c r="AC181" s="45"/>
    </row>
    <row r="182" spans="25:29" x14ac:dyDescent="0.2">
      <c r="Y182" s="1174"/>
      <c r="Z182" s="45"/>
      <c r="AA182" s="45"/>
      <c r="AB182" s="46"/>
      <c r="AC182" s="45"/>
    </row>
    <row r="183" spans="25:29" x14ac:dyDescent="0.2">
      <c r="Y183" s="1174"/>
      <c r="Z183" s="45"/>
      <c r="AA183" s="45"/>
      <c r="AB183" s="46"/>
      <c r="AC183" s="45"/>
    </row>
    <row r="184" spans="25:29" x14ac:dyDescent="0.2">
      <c r="Y184" s="1174"/>
      <c r="Z184" s="45"/>
      <c r="AA184" s="45"/>
      <c r="AB184" s="46"/>
      <c r="AC184" s="45"/>
    </row>
    <row r="185" spans="25:29" x14ac:dyDescent="0.2">
      <c r="Y185" s="1174"/>
      <c r="Z185" s="45"/>
      <c r="AA185" s="45"/>
      <c r="AB185" s="46"/>
      <c r="AC185" s="45"/>
    </row>
    <row r="186" spans="25:29" x14ac:dyDescent="0.2">
      <c r="Y186" s="1174"/>
      <c r="Z186" s="45"/>
      <c r="AA186" s="45"/>
      <c r="AB186" s="46"/>
      <c r="AC186" s="45"/>
    </row>
    <row r="187" spans="25:29" x14ac:dyDescent="0.2">
      <c r="Y187" s="1174"/>
      <c r="Z187" s="45"/>
      <c r="AA187" s="45"/>
      <c r="AB187" s="46"/>
      <c r="AC187" s="45"/>
    </row>
    <row r="188" spans="25:29" x14ac:dyDescent="0.2">
      <c r="Y188" s="1174"/>
      <c r="Z188" s="45"/>
      <c r="AA188" s="45"/>
      <c r="AB188" s="46"/>
      <c r="AC188" s="45"/>
    </row>
    <row r="189" spans="25:29" x14ac:dyDescent="0.2">
      <c r="Y189" s="1174"/>
      <c r="Z189" s="45"/>
      <c r="AA189" s="45"/>
      <c r="AB189" s="46"/>
      <c r="AC189" s="45"/>
    </row>
    <row r="190" spans="25:29" x14ac:dyDescent="0.2">
      <c r="Y190" s="1174"/>
      <c r="Z190" s="45"/>
      <c r="AA190" s="45"/>
      <c r="AB190" s="46"/>
      <c r="AC190" s="45"/>
    </row>
    <row r="191" spans="25:29" x14ac:dyDescent="0.2">
      <c r="Y191" s="1174"/>
      <c r="Z191" s="45"/>
      <c r="AA191" s="45"/>
      <c r="AB191" s="46"/>
      <c r="AC191" s="45"/>
    </row>
    <row r="192" spans="25:29" x14ac:dyDescent="0.2">
      <c r="Y192" s="1174"/>
      <c r="Z192" s="45"/>
      <c r="AA192" s="45"/>
      <c r="AB192" s="46"/>
      <c r="AC192" s="45"/>
    </row>
    <row r="193" spans="25:29" x14ac:dyDescent="0.2">
      <c r="Y193" s="1174"/>
      <c r="Z193" s="45"/>
      <c r="AA193" s="45"/>
      <c r="AB193" s="46"/>
      <c r="AC193" s="45"/>
    </row>
    <row r="194" spans="25:29" x14ac:dyDescent="0.2">
      <c r="Y194" s="1174"/>
      <c r="Z194" s="45"/>
      <c r="AA194" s="45"/>
      <c r="AB194" s="46"/>
      <c r="AC194" s="45"/>
    </row>
    <row r="195" spans="25:29" x14ac:dyDescent="0.2">
      <c r="Y195" s="1174"/>
      <c r="Z195" s="45"/>
      <c r="AA195" s="45"/>
      <c r="AB195" s="46"/>
      <c r="AC195" s="45"/>
    </row>
    <row r="196" spans="25:29" x14ac:dyDescent="0.2">
      <c r="Y196" s="1174"/>
      <c r="Z196" s="45"/>
      <c r="AA196" s="45"/>
      <c r="AB196" s="46"/>
      <c r="AC196" s="45"/>
    </row>
    <row r="197" spans="25:29" x14ac:dyDescent="0.2">
      <c r="Y197" s="1174"/>
      <c r="Z197" s="45"/>
      <c r="AA197" s="45"/>
      <c r="AB197" s="46"/>
      <c r="AC197" s="45"/>
    </row>
    <row r="198" spans="25:29" x14ac:dyDescent="0.2">
      <c r="Y198" s="1174"/>
      <c r="Z198" s="45"/>
      <c r="AA198" s="45"/>
      <c r="AB198" s="46"/>
      <c r="AC198" s="45"/>
    </row>
    <row r="199" spans="25:29" x14ac:dyDescent="0.2">
      <c r="Y199" s="1174"/>
      <c r="Z199" s="45"/>
      <c r="AA199" s="45"/>
      <c r="AB199" s="46"/>
      <c r="AC199" s="45"/>
    </row>
    <row r="200" spans="25:29" x14ac:dyDescent="0.2">
      <c r="Y200" s="1174"/>
      <c r="Z200" s="45"/>
      <c r="AA200" s="45"/>
      <c r="AB200" s="46"/>
      <c r="AC200" s="45"/>
    </row>
    <row r="201" spans="25:29" x14ac:dyDescent="0.2">
      <c r="Y201" s="1174"/>
      <c r="Z201" s="45"/>
      <c r="AA201" s="45"/>
      <c r="AB201" s="46"/>
      <c r="AC201" s="45"/>
    </row>
    <row r="202" spans="25:29" x14ac:dyDescent="0.2">
      <c r="Y202" s="1174"/>
      <c r="Z202" s="45"/>
      <c r="AA202" s="45"/>
      <c r="AB202" s="46"/>
      <c r="AC202" s="45"/>
    </row>
  </sheetData>
  <mergeCells count="1">
    <mergeCell ref="A43:G43"/>
  </mergeCells>
  <printOptions horizontalCentered="1"/>
  <pageMargins left="0.75" right="0.75" top="0.75" bottom="0.5" header="0.5" footer="0.5"/>
  <pageSetup scale="65" orientation="landscape" horizontalDpi="4294967295" verticalDpi="4294967295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L1138"/>
  <sheetViews>
    <sheetView view="pageBreakPreview" topLeftCell="A456" zoomScale="70" zoomScaleNormal="100" zoomScaleSheetLayoutView="70" workbookViewId="0">
      <selection activeCell="I440" sqref="I440"/>
    </sheetView>
  </sheetViews>
  <sheetFormatPr defaultColWidth="9.140625" defaultRowHeight="15.75" x14ac:dyDescent="0.25"/>
  <cols>
    <col min="1" max="1" width="5.140625" style="996" customWidth="1"/>
    <col min="2" max="2" width="14.85546875" style="996" customWidth="1"/>
    <col min="3" max="3" width="7.7109375" style="996" customWidth="1"/>
    <col min="4" max="4" width="9.140625" style="996"/>
    <col min="5" max="5" width="25" style="996" customWidth="1"/>
    <col min="6" max="6" width="33.140625" style="996" customWidth="1"/>
    <col min="7" max="7" width="17" style="996" customWidth="1"/>
    <col min="8" max="8" width="1.85546875" style="996" customWidth="1"/>
    <col min="9" max="9" width="17" style="996" customWidth="1"/>
    <col min="10" max="10" width="3.5703125" style="996" customWidth="1"/>
    <col min="11" max="11" width="15.28515625" style="996" customWidth="1"/>
    <col min="12" max="12" width="18.28515625" style="425" customWidth="1"/>
    <col min="13" max="13" width="20.140625" style="425" customWidth="1"/>
    <col min="14" max="14" width="17.7109375" style="425" customWidth="1"/>
    <col min="15" max="15" width="20.140625" style="425" customWidth="1"/>
    <col min="16" max="16" width="15.85546875" style="425" customWidth="1"/>
    <col min="17" max="17" width="2.42578125" style="425" customWidth="1"/>
    <col min="18" max="18" width="26.85546875" style="425" customWidth="1"/>
    <col min="19" max="19" width="4.42578125" style="425" customWidth="1"/>
    <col min="20" max="20" width="25.85546875" style="425" customWidth="1"/>
    <col min="21" max="21" width="57.28515625" style="425" customWidth="1"/>
    <col min="22" max="22" width="18.85546875" style="425" bestFit="1" customWidth="1"/>
    <col min="23" max="23" width="18" style="425" customWidth="1"/>
    <col min="24" max="24" width="5.140625" style="425" customWidth="1"/>
    <col min="25" max="25" width="14.7109375" style="425" customWidth="1"/>
    <col min="26" max="26" width="3.7109375" style="425" customWidth="1"/>
    <col min="27" max="27" width="4" style="425" customWidth="1"/>
    <col min="28" max="28" width="16.140625" style="425" customWidth="1"/>
    <col min="29" max="29" width="21.7109375" style="425" customWidth="1"/>
    <col min="30" max="30" width="28" style="425" bestFit="1" customWidth="1"/>
    <col min="31" max="31" width="19.42578125" style="425" customWidth="1"/>
    <col min="32" max="32" width="19.28515625" style="425" bestFit="1" customWidth="1"/>
    <col min="33" max="33" width="17.140625" style="425" customWidth="1"/>
    <col min="34" max="34" width="19" style="425" customWidth="1"/>
    <col min="35" max="35" width="15.140625" style="425" customWidth="1"/>
    <col min="36" max="36" width="12.140625" style="425" bestFit="1" customWidth="1"/>
    <col min="37" max="37" width="15" style="425" customWidth="1"/>
    <col min="38" max="38" width="18.140625" style="425" bestFit="1" customWidth="1"/>
    <col min="39" max="39" width="10.85546875" style="425" customWidth="1"/>
    <col min="40" max="40" width="19" style="425" customWidth="1"/>
    <col min="41" max="41" width="9.140625" style="996" customWidth="1"/>
    <col min="42" max="42" width="9.7109375" style="996" bestFit="1" customWidth="1"/>
    <col min="43" max="44" width="11" style="996" bestFit="1" customWidth="1"/>
    <col min="45" max="16384" width="9.140625" style="996"/>
  </cols>
  <sheetData>
    <row r="1" spans="1:40" x14ac:dyDescent="0.25">
      <c r="A1" s="1436" t="s">
        <v>232</v>
      </c>
      <c r="B1" s="1436"/>
      <c r="C1" s="1436"/>
      <c r="D1" s="1436"/>
      <c r="E1" s="1436"/>
      <c r="F1" s="1436"/>
      <c r="G1" s="1436"/>
      <c r="H1" s="1436"/>
      <c r="I1" s="1436"/>
      <c r="J1" s="174"/>
      <c r="K1" s="174"/>
    </row>
    <row r="2" spans="1:40" x14ac:dyDescent="0.25">
      <c r="I2" s="1105" t="s">
        <v>17</v>
      </c>
    </row>
    <row r="3" spans="1:40" x14ac:dyDescent="0.25">
      <c r="A3" s="1443" t="s">
        <v>1037</v>
      </c>
      <c r="B3" s="1443"/>
      <c r="C3" s="1443"/>
      <c r="D3" s="1443"/>
      <c r="E3" s="1443"/>
      <c r="F3" s="1443"/>
      <c r="G3" s="1443"/>
      <c r="H3" s="1443"/>
      <c r="I3" s="1443"/>
      <c r="J3" s="174"/>
      <c r="K3" s="174"/>
    </row>
    <row r="4" spans="1:40" x14ac:dyDescent="0.25">
      <c r="A4" s="1436" t="s">
        <v>169</v>
      </c>
      <c r="B4" s="1436"/>
      <c r="C4" s="1436"/>
      <c r="D4" s="1436"/>
      <c r="E4" s="1436"/>
      <c r="F4" s="1436"/>
      <c r="G4" s="1436"/>
      <c r="H4" s="1436"/>
      <c r="I4" s="1436"/>
      <c r="J4" s="174"/>
      <c r="K4" s="174"/>
    </row>
    <row r="5" spans="1:40" x14ac:dyDescent="0.25">
      <c r="A5" s="41"/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40" s="1104" customFormat="1" x14ac:dyDescent="0.25">
      <c r="A6" s="21" t="s">
        <v>222</v>
      </c>
      <c r="B6" s="174"/>
      <c r="C6" s="174"/>
      <c r="D6" s="174"/>
      <c r="E6" s="174"/>
      <c r="F6" s="174"/>
      <c r="G6" s="174"/>
      <c r="H6" s="174"/>
      <c r="I6" s="174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</row>
    <row r="7" spans="1:40" s="1104" customFormat="1" x14ac:dyDescent="0.25">
      <c r="A7" s="709"/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</row>
    <row r="8" spans="1:40" s="1104" customFormat="1" x14ac:dyDescent="0.25">
      <c r="A8" s="178" t="s">
        <v>1036</v>
      </c>
      <c r="B8" s="172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</row>
    <row r="9" spans="1:40" s="1104" customFormat="1" x14ac:dyDescent="0.25"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124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1:40" s="1104" customFormat="1" x14ac:dyDescent="0.25">
      <c r="A10" s="61"/>
      <c r="B10" s="172" t="s">
        <v>1119</v>
      </c>
      <c r="C10" s="61"/>
      <c r="D10" s="61"/>
      <c r="E10" s="61"/>
      <c r="F10" s="61"/>
      <c r="G10" s="61"/>
      <c r="H10" s="61"/>
      <c r="I10" s="207">
        <v>9026247</v>
      </c>
      <c r="J10" s="61"/>
      <c r="K10" s="124"/>
      <c r="L10" s="316"/>
      <c r="M10" s="172"/>
      <c r="N10" s="692"/>
      <c r="O10" s="692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</row>
    <row r="11" spans="1:40" s="1104" customFormat="1" x14ac:dyDescent="0.25">
      <c r="A11" s="61"/>
      <c r="B11" s="172" t="s">
        <v>1035</v>
      </c>
      <c r="C11" s="61"/>
      <c r="D11" s="61"/>
      <c r="E11" s="61"/>
      <c r="F11" s="61"/>
      <c r="G11" s="61"/>
      <c r="H11" s="61"/>
      <c r="I11" s="205">
        <v>-8580013</v>
      </c>
      <c r="J11" s="61"/>
      <c r="K11" s="1276"/>
      <c r="L11" s="172"/>
      <c r="M11" s="20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</row>
    <row r="12" spans="1:40" s="1104" customFormat="1" x14ac:dyDescent="0.25">
      <c r="A12" s="61"/>
      <c r="B12" s="61"/>
      <c r="C12" s="61"/>
      <c r="D12" s="61"/>
      <c r="E12" s="61"/>
      <c r="F12" s="61"/>
      <c r="G12" s="61"/>
      <c r="H12" s="61"/>
      <c r="I12" s="172"/>
      <c r="J12" s="61"/>
      <c r="K12" s="61"/>
      <c r="L12" s="201"/>
      <c r="M12" s="1129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</row>
    <row r="13" spans="1:40" s="1104" customFormat="1" ht="16.5" thickBot="1" x14ac:dyDescent="0.3">
      <c r="A13" s="61"/>
      <c r="B13" s="61"/>
      <c r="C13" s="61" t="s">
        <v>171</v>
      </c>
      <c r="D13" s="61"/>
      <c r="E13" s="61"/>
      <c r="F13" s="61"/>
      <c r="G13" s="61"/>
      <c r="H13" s="61"/>
      <c r="I13" s="762">
        <f>I10+I11</f>
        <v>446234</v>
      </c>
      <c r="J13" s="61"/>
      <c r="K13" s="124"/>
      <c r="L13" s="990"/>
      <c r="M13" s="209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</row>
    <row r="14" spans="1:40" s="1104" customFormat="1" ht="16.5" thickTop="1" x14ac:dyDescent="0.25">
      <c r="A14" s="61"/>
      <c r="B14" s="61"/>
      <c r="C14" s="61"/>
      <c r="D14" s="61"/>
      <c r="E14" s="61"/>
      <c r="F14" s="61"/>
      <c r="G14" s="61"/>
      <c r="H14" s="61"/>
      <c r="I14" s="172"/>
      <c r="J14" s="61"/>
      <c r="K14" s="61"/>
      <c r="L14" s="172"/>
      <c r="M14" s="172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</row>
    <row r="15" spans="1:40" s="1270" customFormat="1" x14ac:dyDescent="0.25">
      <c r="A15" s="1273" t="s">
        <v>1137</v>
      </c>
      <c r="B15" s="61"/>
      <c r="C15" s="61"/>
      <c r="D15" s="61"/>
      <c r="E15" s="61"/>
      <c r="F15" s="61"/>
      <c r="G15" s="61"/>
      <c r="H15" s="61"/>
      <c r="I15" s="172"/>
      <c r="J15" s="61"/>
      <c r="K15" s="61"/>
      <c r="L15" s="172"/>
      <c r="M15" s="172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</row>
    <row r="16" spans="1:40" s="1270" customFormat="1" x14ac:dyDescent="0.25">
      <c r="A16" s="61"/>
      <c r="B16" s="61"/>
      <c r="C16" s="61"/>
      <c r="D16" s="61"/>
      <c r="E16" s="61"/>
      <c r="F16" s="61"/>
      <c r="G16" s="61"/>
      <c r="H16" s="61"/>
      <c r="I16" s="172"/>
      <c r="J16" s="61"/>
      <c r="K16" s="61"/>
      <c r="L16" s="172"/>
      <c r="M16" s="172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</row>
    <row r="17" spans="1:40" s="1104" customFormat="1" x14ac:dyDescent="0.25">
      <c r="A17" s="21" t="s">
        <v>224</v>
      </c>
      <c r="B17" s="174"/>
      <c r="C17" s="174"/>
      <c r="D17" s="174"/>
      <c r="E17" s="174"/>
      <c r="F17" s="174"/>
      <c r="G17" s="174"/>
      <c r="H17" s="174"/>
      <c r="I17" s="174"/>
      <c r="K17" s="61"/>
      <c r="L17" s="172"/>
      <c r="M17" s="172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</row>
    <row r="18" spans="1:40" s="1104" customFormat="1" x14ac:dyDescent="0.25">
      <c r="A18" s="1107"/>
      <c r="I18" s="172"/>
      <c r="J18" s="61"/>
      <c r="K18" s="61"/>
      <c r="L18" s="172"/>
      <c r="M18" s="172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</row>
    <row r="19" spans="1:40" s="1104" customFormat="1" x14ac:dyDescent="0.25">
      <c r="A19" s="178" t="s">
        <v>1120</v>
      </c>
      <c r="I19" s="316"/>
      <c r="J19" s="61"/>
      <c r="K19" s="208"/>
      <c r="L19" s="172"/>
      <c r="M19" s="172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</row>
    <row r="20" spans="1:40" s="1104" customFormat="1" x14ac:dyDescent="0.25">
      <c r="I20" s="172"/>
      <c r="J20" s="61"/>
      <c r="K20" s="61"/>
      <c r="L20" s="172"/>
      <c r="M20" s="172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</row>
    <row r="21" spans="1:40" s="1104" customFormat="1" x14ac:dyDescent="0.25">
      <c r="A21" s="178"/>
      <c r="B21" s="172" t="s">
        <v>1117</v>
      </c>
      <c r="I21" s="207">
        <v>9026247</v>
      </c>
      <c r="K21" s="124"/>
      <c r="L21" s="172"/>
      <c r="M21" s="172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</row>
    <row r="22" spans="1:40" s="1104" customFormat="1" x14ac:dyDescent="0.25">
      <c r="B22" s="710" t="s">
        <v>173</v>
      </c>
      <c r="I22" s="79">
        <v>7.6499999999999999E-2</v>
      </c>
      <c r="K22" s="156"/>
      <c r="L22" s="172"/>
      <c r="M22" s="172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</row>
    <row r="23" spans="1:40" s="1104" customFormat="1" x14ac:dyDescent="0.25">
      <c r="I23" s="98"/>
      <c r="K23" s="61"/>
      <c r="L23" s="172"/>
      <c r="M23" s="172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</row>
    <row r="24" spans="1:40" s="1104" customFormat="1" x14ac:dyDescent="0.25">
      <c r="B24" s="178" t="s">
        <v>1118</v>
      </c>
      <c r="I24" s="200">
        <f>ROUND(I21*I22,0)</f>
        <v>690508</v>
      </c>
      <c r="K24" s="1276"/>
      <c r="L24" s="172"/>
      <c r="M24" s="172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</row>
    <row r="25" spans="1:40" s="1104" customFormat="1" x14ac:dyDescent="0.25">
      <c r="A25" s="178"/>
      <c r="B25" s="172" t="s">
        <v>1035</v>
      </c>
      <c r="I25" s="205">
        <v>-638054</v>
      </c>
      <c r="K25" s="1276"/>
      <c r="L25" s="172"/>
      <c r="M25" s="172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</row>
    <row r="26" spans="1:40" s="1104" customFormat="1" x14ac:dyDescent="0.25">
      <c r="I26" s="178"/>
      <c r="K26" s="61"/>
      <c r="L26" s="172"/>
      <c r="M26" s="172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</row>
    <row r="27" spans="1:40" s="1104" customFormat="1" ht="16.5" thickBot="1" x14ac:dyDescent="0.3">
      <c r="C27" s="61" t="s">
        <v>171</v>
      </c>
      <c r="I27" s="762">
        <f>I24+I25</f>
        <v>52454</v>
      </c>
      <c r="K27" s="124"/>
      <c r="L27" s="990"/>
      <c r="M27" s="1129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</row>
    <row r="28" spans="1:40" s="1104" customFormat="1" ht="16.5" thickTop="1" x14ac:dyDescent="0.25">
      <c r="I28" s="209"/>
      <c r="K28" s="124"/>
      <c r="L28" s="172"/>
      <c r="M28" s="1129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</row>
    <row r="29" spans="1:40" s="1270" customFormat="1" x14ac:dyDescent="0.25">
      <c r="A29" s="1273" t="s">
        <v>1138</v>
      </c>
      <c r="I29" s="209"/>
      <c r="K29" s="124"/>
      <c r="L29" s="172"/>
      <c r="M29" s="1129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</row>
    <row r="30" spans="1:40" s="1270" customFormat="1" x14ac:dyDescent="0.25">
      <c r="I30" s="209"/>
      <c r="K30" s="124"/>
      <c r="L30" s="172"/>
      <c r="M30" s="1129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</row>
    <row r="31" spans="1:40" s="1104" customFormat="1" x14ac:dyDescent="0.25">
      <c r="A31" s="21" t="s">
        <v>225</v>
      </c>
      <c r="B31" s="174"/>
      <c r="C31" s="174"/>
      <c r="D31" s="174"/>
      <c r="E31" s="174"/>
      <c r="F31" s="174"/>
      <c r="G31" s="174"/>
      <c r="H31" s="174"/>
      <c r="I31" s="174"/>
      <c r="K31" s="61"/>
      <c r="L31" s="172"/>
      <c r="M31" s="1129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</row>
    <row r="32" spans="1:40" s="1104" customFormat="1" x14ac:dyDescent="0.25">
      <c r="I32" s="172"/>
      <c r="J32" s="61"/>
      <c r="K32" s="61"/>
      <c r="L32" s="172"/>
      <c r="M32" s="172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</row>
    <row r="33" spans="1:40" s="1104" customFormat="1" x14ac:dyDescent="0.25">
      <c r="A33" s="178" t="s">
        <v>1121</v>
      </c>
      <c r="B33" s="178"/>
      <c r="I33" s="316"/>
      <c r="J33" s="61"/>
      <c r="K33" s="208"/>
      <c r="L33" s="172"/>
      <c r="M33" s="172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</row>
    <row r="34" spans="1:40" s="1104" customFormat="1" x14ac:dyDescent="0.25">
      <c r="A34" s="178" t="s">
        <v>571</v>
      </c>
      <c r="I34" s="316"/>
      <c r="J34" s="61"/>
      <c r="K34" s="208"/>
      <c r="L34" s="172"/>
      <c r="M34" s="172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</row>
    <row r="35" spans="1:40" s="1104" customFormat="1" x14ac:dyDescent="0.25">
      <c r="I35" s="172"/>
      <c r="J35" s="61"/>
      <c r="K35" s="61"/>
      <c r="L35" s="172"/>
      <c r="M35" s="172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</row>
    <row r="36" spans="1:40" s="1104" customFormat="1" x14ac:dyDescent="0.25">
      <c r="B36" s="172" t="s">
        <v>1117</v>
      </c>
      <c r="I36" s="207">
        <v>9026247</v>
      </c>
      <c r="K36" s="124"/>
      <c r="L36" s="172"/>
      <c r="M36" s="172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</row>
    <row r="37" spans="1:40" s="1104" customFormat="1" x14ac:dyDescent="0.25">
      <c r="B37" s="172" t="s">
        <v>645</v>
      </c>
      <c r="I37" s="103">
        <v>-10000</v>
      </c>
      <c r="K37" s="167"/>
      <c r="L37" s="172"/>
      <c r="M37" s="172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</row>
    <row r="38" spans="1:40" s="1104" customFormat="1" x14ac:dyDescent="0.25">
      <c r="B38" s="61"/>
      <c r="I38" s="96"/>
      <c r="K38" s="167"/>
      <c r="L38" s="172"/>
      <c r="M38" s="172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</row>
    <row r="39" spans="1:40" s="1104" customFormat="1" x14ac:dyDescent="0.25">
      <c r="B39" s="61" t="s">
        <v>107</v>
      </c>
      <c r="I39" s="200">
        <f>I36+I37</f>
        <v>9016247</v>
      </c>
      <c r="K39" s="1276"/>
      <c r="L39" s="172"/>
      <c r="M39" s="172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</row>
    <row r="40" spans="1:40" s="1104" customFormat="1" x14ac:dyDescent="0.25">
      <c r="B40" s="1104" t="s">
        <v>174</v>
      </c>
      <c r="I40" s="79">
        <v>0.14199999999999999</v>
      </c>
      <c r="K40" s="156"/>
      <c r="L40" s="172"/>
      <c r="M40" s="172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</row>
    <row r="41" spans="1:40" s="1104" customFormat="1" x14ac:dyDescent="0.25">
      <c r="I41" s="98"/>
      <c r="K41" s="61"/>
      <c r="L41" s="172"/>
      <c r="M41" s="172"/>
      <c r="N41" s="1388"/>
      <c r="O41" s="1388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</row>
    <row r="42" spans="1:40" s="1104" customFormat="1" x14ac:dyDescent="0.25">
      <c r="B42" s="178" t="s">
        <v>1116</v>
      </c>
      <c r="I42" s="200">
        <f>ROUND(I39*I40,0)</f>
        <v>1280307</v>
      </c>
      <c r="K42" s="1276"/>
      <c r="L42" s="172"/>
      <c r="M42" s="172"/>
      <c r="N42" s="1010"/>
      <c r="O42" s="1389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</row>
    <row r="43" spans="1:40" s="1104" customFormat="1" x14ac:dyDescent="0.25">
      <c r="B43" s="178" t="s">
        <v>642</v>
      </c>
      <c r="I43" s="200">
        <v>-18362</v>
      </c>
      <c r="K43" s="1276"/>
      <c r="L43" s="172"/>
      <c r="M43" s="172"/>
      <c r="N43" s="509"/>
      <c r="O43" s="1003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</row>
    <row r="44" spans="1:40" s="1104" customFormat="1" x14ac:dyDescent="0.25">
      <c r="B44" s="172" t="s">
        <v>1035</v>
      </c>
      <c r="I44" s="205">
        <v>-1148454</v>
      </c>
      <c r="K44" s="1276"/>
      <c r="L44" s="172"/>
      <c r="M44" s="61"/>
      <c r="N44" s="509"/>
      <c r="O44" s="509"/>
      <c r="P44" s="1390"/>
      <c r="Q44" s="139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</row>
    <row r="45" spans="1:40" s="1104" customFormat="1" x14ac:dyDescent="0.25">
      <c r="I45" s="178"/>
      <c r="K45" s="61"/>
      <c r="L45" s="172"/>
      <c r="M45" s="61"/>
      <c r="N45" s="509"/>
      <c r="O45" s="1392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</row>
    <row r="46" spans="1:40" s="1104" customFormat="1" ht="16.5" thickBot="1" x14ac:dyDescent="0.3">
      <c r="C46" s="61" t="s">
        <v>171</v>
      </c>
      <c r="I46" s="762">
        <f>I42+I43+I44</f>
        <v>113491</v>
      </c>
      <c r="K46" s="124"/>
      <c r="L46" s="990"/>
      <c r="M46" s="172"/>
      <c r="N46" s="1393"/>
      <c r="O46" s="1393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</row>
    <row r="47" spans="1:40" ht="16.5" thickTop="1" x14ac:dyDescent="0.25">
      <c r="I47" s="454"/>
      <c r="K47" s="454"/>
      <c r="L47" s="172"/>
      <c r="M47" s="172"/>
    </row>
    <row r="48" spans="1:40" x14ac:dyDescent="0.25">
      <c r="A48" s="1273" t="s">
        <v>1139</v>
      </c>
      <c r="I48" s="454"/>
      <c r="K48" s="454"/>
      <c r="L48" s="172"/>
      <c r="M48" s="172"/>
    </row>
    <row r="49" spans="1:22" x14ac:dyDescent="0.25">
      <c r="I49" s="454"/>
      <c r="K49" s="454"/>
      <c r="L49" s="172"/>
      <c r="M49" s="172"/>
      <c r="S49" s="475"/>
    </row>
    <row r="50" spans="1:22" x14ac:dyDescent="0.25">
      <c r="A50" s="1448" t="s">
        <v>203</v>
      </c>
      <c r="B50" s="1448"/>
      <c r="C50" s="1448"/>
      <c r="D50" s="1448"/>
      <c r="E50" s="1448"/>
      <c r="F50" s="1448"/>
      <c r="G50" s="1448"/>
      <c r="H50" s="1448"/>
      <c r="I50" s="1448"/>
      <c r="J50" s="21"/>
      <c r="K50" s="481"/>
      <c r="M50" s="475"/>
      <c r="N50" s="485"/>
      <c r="T50" s="1394"/>
    </row>
    <row r="51" spans="1:22" x14ac:dyDescent="0.25">
      <c r="K51" s="425"/>
    </row>
    <row r="52" spans="1:22" x14ac:dyDescent="0.25">
      <c r="A52" s="996" t="s">
        <v>1122</v>
      </c>
      <c r="K52" s="425"/>
      <c r="P52" s="466"/>
      <c r="Q52" s="359"/>
      <c r="V52" s="1395"/>
    </row>
    <row r="53" spans="1:22" x14ac:dyDescent="0.25">
      <c r="A53" s="996" t="s">
        <v>763</v>
      </c>
      <c r="I53" s="177"/>
      <c r="J53" s="177"/>
      <c r="K53" s="177"/>
      <c r="P53" s="363"/>
      <c r="Q53" s="363"/>
      <c r="V53" s="1175"/>
    </row>
    <row r="54" spans="1:22" x14ac:dyDescent="0.25">
      <c r="I54" s="425"/>
      <c r="J54" s="425"/>
      <c r="K54" s="425"/>
      <c r="S54" s="363"/>
      <c r="T54" s="363"/>
      <c r="V54" s="1175"/>
    </row>
    <row r="55" spans="1:22" x14ac:dyDescent="0.25">
      <c r="B55" s="425" t="s">
        <v>1115</v>
      </c>
      <c r="C55" s="425"/>
      <c r="D55" s="425"/>
      <c r="E55" s="425"/>
      <c r="F55" s="425"/>
      <c r="G55" s="425"/>
      <c r="H55" s="425"/>
      <c r="I55" s="207">
        <v>2697343</v>
      </c>
      <c r="J55" s="425"/>
      <c r="K55" s="454"/>
      <c r="R55" s="363"/>
      <c r="V55" s="1175"/>
    </row>
    <row r="56" spans="1:22" x14ac:dyDescent="0.25">
      <c r="B56" s="172" t="s">
        <v>1035</v>
      </c>
      <c r="C56" s="425"/>
      <c r="D56" s="425"/>
      <c r="E56" s="425"/>
      <c r="F56" s="425"/>
      <c r="G56" s="425"/>
      <c r="H56" s="425"/>
      <c r="I56" s="994">
        <v>-2581681</v>
      </c>
      <c r="J56" s="425"/>
      <c r="K56" s="466"/>
      <c r="V56" s="1175"/>
    </row>
    <row r="57" spans="1:22" x14ac:dyDescent="0.25">
      <c r="B57" s="177"/>
      <c r="C57" s="177"/>
      <c r="D57" s="177"/>
      <c r="E57" s="177"/>
      <c r="F57" s="177"/>
      <c r="G57" s="177"/>
      <c r="H57" s="177"/>
      <c r="I57" s="177"/>
      <c r="J57" s="177"/>
      <c r="K57" s="177"/>
      <c r="P57" s="466"/>
      <c r="Q57" s="359"/>
      <c r="V57" s="1175"/>
    </row>
    <row r="58" spans="1:22" ht="16.5" thickBot="1" x14ac:dyDescent="0.3">
      <c r="B58" s="425"/>
      <c r="C58" s="425" t="s">
        <v>171</v>
      </c>
      <c r="D58" s="425"/>
      <c r="E58" s="425"/>
      <c r="F58" s="425"/>
      <c r="G58" s="425"/>
      <c r="H58" s="425"/>
      <c r="I58" s="470">
        <f>I55+I56</f>
        <v>115662</v>
      </c>
      <c r="J58" s="425"/>
      <c r="K58" s="454"/>
      <c r="L58" s="990"/>
      <c r="M58" s="454"/>
      <c r="P58" s="363"/>
      <c r="Q58" s="363"/>
      <c r="V58" s="1175"/>
    </row>
    <row r="59" spans="1:22" ht="16.5" thickTop="1" x14ac:dyDescent="0.25">
      <c r="I59" s="454"/>
      <c r="K59" s="454"/>
      <c r="V59" s="1175"/>
    </row>
    <row r="60" spans="1:22" x14ac:dyDescent="0.25">
      <c r="A60" s="1273" t="s">
        <v>1140</v>
      </c>
      <c r="I60" s="454"/>
      <c r="K60" s="454"/>
      <c r="V60" s="1175"/>
    </row>
    <row r="61" spans="1:22" ht="18" x14ac:dyDescent="0.4">
      <c r="I61" s="454"/>
      <c r="K61" s="454"/>
      <c r="S61" s="359"/>
      <c r="T61" s="359"/>
      <c r="V61" s="1396"/>
    </row>
    <row r="62" spans="1:22" x14ac:dyDescent="0.25">
      <c r="A62" s="1447" t="s">
        <v>216</v>
      </c>
      <c r="B62" s="1447"/>
      <c r="C62" s="1447"/>
      <c r="D62" s="1447"/>
      <c r="E62" s="1447"/>
      <c r="F62" s="1447"/>
      <c r="G62" s="1447"/>
      <c r="H62" s="1447"/>
      <c r="I62" s="1447"/>
      <c r="J62" s="68"/>
      <c r="K62" s="1403"/>
      <c r="P62" s="359"/>
      <c r="Q62" s="359"/>
      <c r="R62" s="359"/>
      <c r="V62" s="450"/>
    </row>
    <row r="63" spans="1:22" x14ac:dyDescent="0.25">
      <c r="K63" s="425"/>
      <c r="S63" s="363"/>
      <c r="T63" s="1394"/>
      <c r="V63" s="450"/>
    </row>
    <row r="64" spans="1:22" x14ac:dyDescent="0.25">
      <c r="A64" s="998" t="s">
        <v>1123</v>
      </c>
      <c r="K64" s="425"/>
      <c r="R64" s="363"/>
      <c r="T64" s="363"/>
      <c r="V64" s="1395"/>
    </row>
    <row r="65" spans="1:23" x14ac:dyDescent="0.25">
      <c r="A65" s="998" t="s">
        <v>764</v>
      </c>
      <c r="I65" s="177"/>
      <c r="J65" s="177"/>
      <c r="K65" s="177"/>
      <c r="S65" s="363"/>
      <c r="V65" s="1175"/>
    </row>
    <row r="66" spans="1:23" x14ac:dyDescent="0.25">
      <c r="I66" s="208"/>
      <c r="J66" s="425"/>
      <c r="K66" s="208"/>
      <c r="N66" s="211"/>
      <c r="T66" s="363"/>
      <c r="V66" s="1175"/>
    </row>
    <row r="67" spans="1:23" x14ac:dyDescent="0.25">
      <c r="B67" s="996" t="s">
        <v>1114</v>
      </c>
      <c r="I67" s="997">
        <v>119928</v>
      </c>
      <c r="K67" s="454"/>
      <c r="N67" s="211"/>
      <c r="S67" s="363"/>
      <c r="V67" s="1175"/>
    </row>
    <row r="68" spans="1:23" x14ac:dyDescent="0.25">
      <c r="B68" s="172" t="s">
        <v>1035</v>
      </c>
      <c r="I68" s="994">
        <v>-58287</v>
      </c>
      <c r="K68" s="466"/>
      <c r="M68" s="454"/>
      <c r="T68" s="363"/>
      <c r="V68" s="1175"/>
    </row>
    <row r="69" spans="1:23" x14ac:dyDescent="0.25">
      <c r="I69" s="425"/>
      <c r="K69" s="425"/>
      <c r="V69" s="1175"/>
    </row>
    <row r="70" spans="1:23" ht="16.5" thickBot="1" x14ac:dyDescent="0.3">
      <c r="C70" s="425" t="s">
        <v>171</v>
      </c>
      <c r="I70" s="470">
        <f>I67+I68</f>
        <v>61641</v>
      </c>
      <c r="K70" s="454"/>
      <c r="L70" s="990"/>
      <c r="R70" s="363"/>
      <c r="V70" s="1175"/>
    </row>
    <row r="71" spans="1:23" ht="18.75" thickTop="1" x14ac:dyDescent="0.4">
      <c r="I71" s="454"/>
      <c r="K71" s="454"/>
      <c r="V71" s="1396"/>
    </row>
    <row r="72" spans="1:23" x14ac:dyDescent="0.25">
      <c r="A72" s="1273" t="s">
        <v>1141</v>
      </c>
      <c r="I72" s="454"/>
      <c r="K72" s="454"/>
      <c r="L72" s="475"/>
      <c r="R72" s="363"/>
      <c r="V72" s="1175"/>
    </row>
    <row r="73" spans="1:23" x14ac:dyDescent="0.25">
      <c r="I73" s="454"/>
      <c r="K73" s="454"/>
      <c r="L73" s="475"/>
    </row>
    <row r="74" spans="1:23" x14ac:dyDescent="0.25">
      <c r="I74" s="454"/>
      <c r="K74" s="454"/>
      <c r="L74" s="128"/>
      <c r="V74" s="450"/>
    </row>
    <row r="75" spans="1:23" x14ac:dyDescent="0.25">
      <c r="A75" s="1441" t="s">
        <v>16</v>
      </c>
      <c r="B75" s="1441"/>
      <c r="C75" s="1441"/>
      <c r="D75" s="1441"/>
      <c r="E75" s="1441"/>
      <c r="F75" s="1441"/>
      <c r="G75" s="1441"/>
      <c r="H75" s="1441"/>
      <c r="I75" s="1441"/>
      <c r="J75" s="174"/>
      <c r="K75" s="177"/>
    </row>
    <row r="76" spans="1:23" x14ac:dyDescent="0.25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7"/>
    </row>
    <row r="77" spans="1:23" x14ac:dyDescent="0.25">
      <c r="A77" s="1441" t="s">
        <v>611</v>
      </c>
      <c r="B77" s="1441"/>
      <c r="C77" s="1441"/>
      <c r="D77" s="1441"/>
      <c r="E77" s="1441"/>
      <c r="F77" s="1441"/>
      <c r="G77" s="1441"/>
      <c r="H77" s="1441"/>
      <c r="I77" s="1441"/>
      <c r="J77" s="174"/>
      <c r="K77" s="177"/>
      <c r="N77" s="485"/>
      <c r="U77" s="227"/>
      <c r="V77" s="227"/>
      <c r="W77" s="227"/>
    </row>
    <row r="78" spans="1:23" x14ac:dyDescent="0.25">
      <c r="A78" s="174"/>
      <c r="B78" s="174"/>
      <c r="C78" s="174"/>
      <c r="D78" s="174"/>
      <c r="E78" s="174"/>
      <c r="F78" s="174"/>
      <c r="G78" s="174"/>
      <c r="H78" s="174"/>
      <c r="I78" s="174"/>
      <c r="J78" s="174"/>
      <c r="K78" s="177"/>
      <c r="N78" s="485"/>
      <c r="U78" s="227"/>
      <c r="V78" s="227"/>
      <c r="W78" s="227"/>
    </row>
    <row r="79" spans="1:23" x14ac:dyDescent="0.25">
      <c r="A79" s="1445">
        <v>12</v>
      </c>
      <c r="B79" s="1445"/>
      <c r="C79" s="1445"/>
      <c r="D79" s="1445"/>
      <c r="E79" s="1445"/>
      <c r="F79" s="1445"/>
      <c r="G79" s="1445"/>
      <c r="H79" s="1445"/>
      <c r="I79" s="1445"/>
      <c r="J79" s="174"/>
      <c r="K79" s="177"/>
      <c r="U79" s="227"/>
      <c r="V79" s="227"/>
      <c r="W79" s="227"/>
    </row>
    <row r="80" spans="1:23" x14ac:dyDescent="0.25">
      <c r="A80" s="1436" t="s">
        <v>232</v>
      </c>
      <c r="B80" s="1436"/>
      <c r="C80" s="1436"/>
      <c r="D80" s="1436"/>
      <c r="E80" s="1436"/>
      <c r="F80" s="1436"/>
      <c r="G80" s="1436"/>
      <c r="H80" s="1436"/>
      <c r="I80" s="1436"/>
      <c r="J80" s="41"/>
      <c r="K80" s="189"/>
      <c r="P80" s="987"/>
      <c r="Q80" s="987"/>
      <c r="U80" s="227"/>
      <c r="V80" s="227"/>
      <c r="W80" s="363"/>
    </row>
    <row r="81" spans="1:32" x14ac:dyDescent="0.25">
      <c r="A81" s="41"/>
      <c r="B81" s="41"/>
      <c r="C81" s="41"/>
      <c r="D81" s="41"/>
      <c r="E81" s="41"/>
      <c r="F81" s="41"/>
      <c r="G81" s="41"/>
      <c r="H81" s="41"/>
      <c r="I81" s="1105" t="s">
        <v>17</v>
      </c>
      <c r="J81" s="41"/>
      <c r="K81" s="425"/>
      <c r="P81" s="973"/>
      <c r="Q81" s="973"/>
      <c r="U81" s="227"/>
      <c r="V81" s="227"/>
      <c r="W81" s="359"/>
      <c r="X81" s="466"/>
      <c r="AD81" s="466"/>
    </row>
    <row r="82" spans="1:32" x14ac:dyDescent="0.25">
      <c r="A82" s="1443" t="s">
        <v>1037</v>
      </c>
      <c r="B82" s="1443"/>
      <c r="C82" s="1443"/>
      <c r="D82" s="1443"/>
      <c r="E82" s="1443"/>
      <c r="F82" s="1443"/>
      <c r="G82" s="1443"/>
      <c r="H82" s="1443"/>
      <c r="I82" s="1443"/>
      <c r="J82" s="41"/>
      <c r="K82" s="189"/>
      <c r="P82" s="973"/>
      <c r="Q82" s="973"/>
      <c r="U82" s="227"/>
      <c r="V82" s="227"/>
      <c r="W82" s="359"/>
      <c r="X82" s="466"/>
      <c r="AD82" s="466"/>
    </row>
    <row r="83" spans="1:32" x14ac:dyDescent="0.25">
      <c r="A83" s="1444" t="s">
        <v>169</v>
      </c>
      <c r="B83" s="1444"/>
      <c r="C83" s="1444"/>
      <c r="D83" s="1444"/>
      <c r="E83" s="1444"/>
      <c r="F83" s="1444"/>
      <c r="G83" s="1444"/>
      <c r="H83" s="1444"/>
      <c r="I83" s="1444"/>
      <c r="J83" s="41"/>
      <c r="K83" s="189"/>
      <c r="P83" s="973"/>
      <c r="Q83" s="973"/>
      <c r="U83" s="227"/>
      <c r="V83" s="227"/>
      <c r="W83" s="359"/>
      <c r="X83" s="466"/>
      <c r="AD83" s="466"/>
    </row>
    <row r="84" spans="1:32" x14ac:dyDescent="0.25">
      <c r="A84" s="65"/>
      <c r="B84" s="41"/>
      <c r="C84" s="41"/>
      <c r="D84" s="41"/>
      <c r="E84" s="41"/>
      <c r="F84" s="41"/>
      <c r="G84" s="41"/>
      <c r="H84" s="41"/>
      <c r="I84" s="41"/>
      <c r="J84" s="41"/>
      <c r="K84" s="189"/>
      <c r="P84" s="973"/>
      <c r="Q84" s="987"/>
      <c r="U84" s="227"/>
      <c r="V84" s="227"/>
      <c r="W84" s="359"/>
      <c r="X84" s="466"/>
      <c r="AD84" s="466"/>
    </row>
    <row r="85" spans="1:32" x14ac:dyDescent="0.25">
      <c r="A85" s="21" t="s">
        <v>380</v>
      </c>
      <c r="B85" s="174"/>
      <c r="C85" s="174"/>
      <c r="D85" s="174"/>
      <c r="E85" s="174"/>
      <c r="F85" s="174"/>
      <c r="G85" s="174"/>
      <c r="H85" s="174"/>
      <c r="I85" s="174"/>
      <c r="K85" s="454"/>
      <c r="M85" s="454"/>
      <c r="P85" s="987"/>
      <c r="Q85" s="973"/>
      <c r="U85" s="227"/>
      <c r="V85" s="227"/>
      <c r="W85" s="359"/>
      <c r="X85" s="466"/>
      <c r="AD85" s="466"/>
    </row>
    <row r="86" spans="1:32" x14ac:dyDescent="0.25">
      <c r="A86" s="21"/>
      <c r="B86" s="174"/>
      <c r="C86" s="174"/>
      <c r="D86" s="174"/>
      <c r="E86" s="174"/>
      <c r="F86" s="174"/>
      <c r="G86" s="174"/>
      <c r="H86" s="174"/>
      <c r="I86" s="174"/>
      <c r="K86" s="425"/>
      <c r="U86" s="227"/>
      <c r="V86" s="227"/>
      <c r="W86" s="359"/>
      <c r="X86" s="466"/>
      <c r="AD86" s="466"/>
    </row>
    <row r="87" spans="1:32" x14ac:dyDescent="0.25">
      <c r="A87" s="998" t="s">
        <v>1124</v>
      </c>
      <c r="K87" s="425"/>
      <c r="N87" s="211"/>
      <c r="U87" s="227"/>
      <c r="V87" s="227"/>
      <c r="W87" s="227"/>
    </row>
    <row r="88" spans="1:32" x14ac:dyDescent="0.25">
      <c r="A88" s="998" t="s">
        <v>765</v>
      </c>
      <c r="I88" s="177"/>
      <c r="K88" s="425"/>
      <c r="N88" s="211"/>
      <c r="U88" s="227"/>
      <c r="V88" s="227"/>
      <c r="W88" s="227"/>
      <c r="X88" s="466"/>
      <c r="AD88" s="396"/>
    </row>
    <row r="89" spans="1:32" x14ac:dyDescent="0.25">
      <c r="I89" s="208"/>
      <c r="K89" s="425"/>
      <c r="N89" s="211"/>
      <c r="U89" s="227"/>
      <c r="V89" s="227"/>
      <c r="W89" s="1118"/>
    </row>
    <row r="90" spans="1:32" x14ac:dyDescent="0.25">
      <c r="B90" s="996" t="s">
        <v>1113</v>
      </c>
      <c r="I90" s="997">
        <v>11310</v>
      </c>
      <c r="K90" s="425"/>
      <c r="P90" s="227"/>
      <c r="Q90" s="227"/>
      <c r="U90" s="227"/>
      <c r="V90" s="227"/>
      <c r="W90" s="227"/>
      <c r="X90" s="466"/>
    </row>
    <row r="91" spans="1:32" x14ac:dyDescent="0.25">
      <c r="B91" s="172" t="s">
        <v>1035</v>
      </c>
      <c r="I91" s="994">
        <v>-16487</v>
      </c>
      <c r="K91" s="425"/>
    </row>
    <row r="92" spans="1:32" x14ac:dyDescent="0.25">
      <c r="B92" s="425"/>
      <c r="I92" s="466"/>
      <c r="K92" s="425"/>
    </row>
    <row r="93" spans="1:32" ht="16.5" thickBot="1" x14ac:dyDescent="0.3">
      <c r="B93" s="425"/>
      <c r="C93" s="425" t="s">
        <v>171</v>
      </c>
      <c r="I93" s="470">
        <f>I90+I91</f>
        <v>-5177</v>
      </c>
      <c r="K93" s="425"/>
      <c r="L93" s="990"/>
      <c r="AE93" s="466"/>
      <c r="AF93" s="466"/>
    </row>
    <row r="94" spans="1:32" ht="16.5" thickTop="1" x14ac:dyDescent="0.25">
      <c r="B94" s="425"/>
      <c r="D94" s="425"/>
      <c r="E94" s="425"/>
      <c r="F94" s="425"/>
      <c r="G94" s="425"/>
      <c r="H94" s="425"/>
      <c r="I94" s="454"/>
      <c r="J94" s="425"/>
      <c r="K94" s="454"/>
      <c r="AE94" s="466"/>
      <c r="AF94" s="466"/>
    </row>
    <row r="95" spans="1:32" x14ac:dyDescent="0.25">
      <c r="A95" s="1273" t="s">
        <v>1142</v>
      </c>
      <c r="B95" s="425"/>
      <c r="D95" s="425"/>
      <c r="E95" s="425"/>
      <c r="F95" s="425"/>
      <c r="G95" s="425"/>
      <c r="H95" s="425"/>
      <c r="I95" s="454"/>
      <c r="J95" s="425"/>
      <c r="K95" s="454"/>
      <c r="AE95" s="466"/>
      <c r="AF95" s="466"/>
    </row>
    <row r="96" spans="1:32" x14ac:dyDescent="0.25">
      <c r="B96" s="425"/>
      <c r="D96" s="425"/>
      <c r="E96" s="425"/>
      <c r="F96" s="425"/>
      <c r="G96" s="425"/>
      <c r="H96" s="425"/>
      <c r="I96" s="454"/>
      <c r="J96" s="425"/>
      <c r="K96" s="454"/>
      <c r="AE96" s="466"/>
      <c r="AF96" s="466"/>
    </row>
    <row r="97" spans="1:64" x14ac:dyDescent="0.25">
      <c r="A97" s="21" t="s">
        <v>335</v>
      </c>
      <c r="B97" s="21"/>
      <c r="C97" s="21"/>
      <c r="D97" s="21"/>
      <c r="E97" s="21"/>
      <c r="F97" s="21"/>
      <c r="G97" s="21"/>
      <c r="H97" s="21"/>
      <c r="I97" s="21"/>
      <c r="J97" s="425"/>
      <c r="K97" s="425"/>
      <c r="O97" s="485"/>
      <c r="W97" s="466"/>
      <c r="X97" s="466"/>
      <c r="AE97" s="466"/>
      <c r="AF97" s="466"/>
    </row>
    <row r="98" spans="1:64" x14ac:dyDescent="0.25">
      <c r="A98" s="425"/>
      <c r="B98" s="425"/>
      <c r="C98" s="425"/>
      <c r="D98" s="425"/>
      <c r="E98" s="425"/>
      <c r="F98" s="425"/>
      <c r="G98" s="425"/>
      <c r="H98" s="425"/>
      <c r="I98" s="425"/>
      <c r="J98" s="425"/>
      <c r="K98" s="425"/>
      <c r="W98" s="466"/>
      <c r="X98" s="466"/>
      <c r="AE98" s="466"/>
      <c r="AF98" s="466"/>
    </row>
    <row r="99" spans="1:64" x14ac:dyDescent="0.25">
      <c r="A99" s="227" t="s">
        <v>1059</v>
      </c>
      <c r="B99" s="227"/>
      <c r="C99" s="227"/>
      <c r="D99" s="227"/>
      <c r="E99" s="227"/>
      <c r="F99" s="227"/>
      <c r="G99" s="227"/>
      <c r="H99" s="227"/>
      <c r="I99" s="227"/>
      <c r="J99" s="227"/>
      <c r="K99" s="227"/>
      <c r="L99" s="227"/>
      <c r="R99" s="987"/>
      <c r="W99" s="466"/>
      <c r="X99" s="466"/>
      <c r="AE99" s="466"/>
      <c r="AF99" s="466"/>
    </row>
    <row r="100" spans="1:64" x14ac:dyDescent="0.25">
      <c r="A100" s="227" t="s">
        <v>644</v>
      </c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  <c r="L100" s="227"/>
      <c r="R100" s="973"/>
      <c r="W100" s="466"/>
      <c r="X100" s="466"/>
      <c r="AE100" s="466"/>
      <c r="AF100" s="466"/>
    </row>
    <row r="101" spans="1:64" x14ac:dyDescent="0.25">
      <c r="A101" s="227"/>
      <c r="B101" s="227"/>
      <c r="C101" s="227"/>
      <c r="D101" s="227"/>
      <c r="E101" s="227"/>
      <c r="F101" s="227"/>
      <c r="G101" s="227"/>
      <c r="H101" s="227"/>
      <c r="I101" s="227"/>
      <c r="J101" s="227"/>
      <c r="K101" s="227"/>
      <c r="L101" s="227"/>
      <c r="R101" s="973"/>
      <c r="W101" s="466"/>
      <c r="X101" s="466"/>
      <c r="AE101" s="466"/>
      <c r="AF101" s="466"/>
    </row>
    <row r="102" spans="1:64" x14ac:dyDescent="0.25">
      <c r="A102" s="227" t="s">
        <v>119</v>
      </c>
      <c r="B102" s="125" t="s">
        <v>336</v>
      </c>
      <c r="C102" s="227"/>
      <c r="D102" s="227"/>
      <c r="E102" s="227"/>
      <c r="F102" s="227"/>
      <c r="G102" s="227"/>
      <c r="H102" s="227"/>
      <c r="I102" s="227"/>
      <c r="J102" s="227"/>
      <c r="K102" s="227"/>
      <c r="L102" s="466"/>
      <c r="R102" s="987"/>
      <c r="AE102" s="466"/>
      <c r="AF102" s="466"/>
    </row>
    <row r="103" spans="1:64" x14ac:dyDescent="0.25">
      <c r="A103" s="227"/>
      <c r="B103" s="998" t="s">
        <v>337</v>
      </c>
      <c r="C103" s="227" t="s">
        <v>338</v>
      </c>
      <c r="D103" s="227"/>
      <c r="E103" s="227"/>
      <c r="F103" s="227"/>
      <c r="G103" s="227"/>
      <c r="H103" s="227"/>
      <c r="I103" s="227"/>
      <c r="J103" s="227"/>
      <c r="K103" s="227"/>
      <c r="L103" s="466"/>
      <c r="M103" s="429"/>
      <c r="N103" s="454"/>
      <c r="W103" s="466"/>
      <c r="X103" s="466"/>
      <c r="AE103" s="466"/>
      <c r="AF103" s="466"/>
    </row>
    <row r="104" spans="1:64" x14ac:dyDescent="0.25">
      <c r="A104" s="227"/>
      <c r="B104" s="998"/>
      <c r="C104" s="764" t="s">
        <v>766</v>
      </c>
      <c r="D104" s="126"/>
      <c r="E104" s="227"/>
      <c r="F104" s="227"/>
      <c r="G104" s="227"/>
      <c r="H104" s="227"/>
      <c r="I104" s="512">
        <v>0</v>
      </c>
      <c r="J104" s="227"/>
      <c r="K104" s="227"/>
      <c r="M104" s="429"/>
      <c r="N104" s="466"/>
      <c r="AB104" s="454"/>
      <c r="AC104" s="131"/>
    </row>
    <row r="105" spans="1:64" x14ac:dyDescent="0.25">
      <c r="A105" s="227"/>
      <c r="B105" s="998"/>
      <c r="C105" s="227"/>
      <c r="D105" s="227"/>
      <c r="E105" s="227"/>
      <c r="F105" s="227"/>
      <c r="G105" s="227"/>
      <c r="H105" s="227"/>
      <c r="I105" s="466"/>
      <c r="J105" s="227"/>
      <c r="K105" s="227"/>
      <c r="M105" s="429"/>
      <c r="N105" s="466"/>
      <c r="O105" s="211"/>
    </row>
    <row r="106" spans="1:64" x14ac:dyDescent="0.25">
      <c r="A106" s="227"/>
      <c r="B106" s="998" t="s">
        <v>339</v>
      </c>
      <c r="C106" s="227" t="s">
        <v>340</v>
      </c>
      <c r="D106" s="227"/>
      <c r="E106" s="227"/>
      <c r="F106" s="227"/>
      <c r="G106" s="227"/>
      <c r="H106" s="227"/>
      <c r="I106" s="466"/>
      <c r="J106" s="227"/>
      <c r="K106" s="227"/>
      <c r="M106" s="429"/>
      <c r="N106" s="466"/>
    </row>
    <row r="107" spans="1:64" x14ac:dyDescent="0.25">
      <c r="A107" s="227"/>
      <c r="B107" s="998"/>
      <c r="C107" s="764" t="s">
        <v>767</v>
      </c>
      <c r="D107" s="126"/>
      <c r="E107" s="227"/>
      <c r="F107" s="227"/>
      <c r="G107" s="227"/>
      <c r="H107" s="227"/>
      <c r="I107" s="502">
        <v>0</v>
      </c>
      <c r="J107" s="227"/>
      <c r="K107" s="227"/>
      <c r="M107" s="429"/>
      <c r="N107" s="466"/>
    </row>
    <row r="108" spans="1:64" x14ac:dyDescent="0.25">
      <c r="A108" s="227"/>
      <c r="B108" s="227"/>
      <c r="C108" s="227"/>
      <c r="D108" s="227"/>
      <c r="E108" s="227"/>
      <c r="F108" s="227"/>
      <c r="G108" s="227"/>
      <c r="H108" s="227"/>
      <c r="I108" s="227"/>
      <c r="J108" s="227"/>
      <c r="K108" s="466"/>
      <c r="M108" s="429"/>
      <c r="N108" s="466"/>
    </row>
    <row r="109" spans="1:64" x14ac:dyDescent="0.25">
      <c r="A109" s="227" t="s">
        <v>120</v>
      </c>
      <c r="B109" s="125" t="s">
        <v>341</v>
      </c>
      <c r="C109" s="227"/>
      <c r="D109" s="227"/>
      <c r="E109" s="227"/>
      <c r="F109" s="227"/>
      <c r="G109" s="227"/>
      <c r="H109" s="227"/>
      <c r="I109" s="466"/>
      <c r="J109" s="227"/>
      <c r="K109" s="466"/>
      <c r="M109" s="429"/>
      <c r="N109" s="466"/>
      <c r="AO109" s="425"/>
      <c r="AP109" s="425"/>
      <c r="AQ109" s="425"/>
      <c r="AR109" s="425"/>
      <c r="AS109" s="425"/>
      <c r="AT109" s="425"/>
      <c r="AU109" s="425"/>
      <c r="AV109" s="425"/>
      <c r="AW109" s="425"/>
      <c r="AX109" s="425"/>
      <c r="AY109" s="425"/>
      <c r="AZ109" s="425"/>
      <c r="BA109" s="425"/>
      <c r="BB109" s="425"/>
      <c r="BC109" s="425"/>
      <c r="BD109" s="425"/>
      <c r="BE109" s="425"/>
      <c r="BF109" s="425"/>
      <c r="BG109" s="425"/>
      <c r="BH109" s="425"/>
      <c r="BI109" s="425"/>
      <c r="BJ109" s="425"/>
      <c r="BK109" s="425"/>
      <c r="BL109" s="425"/>
    </row>
    <row r="110" spans="1:64" x14ac:dyDescent="0.25">
      <c r="A110" s="227"/>
      <c r="B110" s="765" t="s">
        <v>768</v>
      </c>
      <c r="C110" s="998"/>
      <c r="D110" s="227"/>
      <c r="E110" s="227"/>
      <c r="F110" s="227"/>
      <c r="G110" s="227"/>
      <c r="H110" s="227"/>
      <c r="I110" s="502">
        <v>0</v>
      </c>
      <c r="J110" s="227"/>
      <c r="K110" s="466"/>
      <c r="M110" s="429"/>
      <c r="N110" s="466"/>
      <c r="AO110" s="425"/>
      <c r="AP110" s="425"/>
      <c r="AQ110" s="425"/>
      <c r="AR110" s="425"/>
      <c r="AS110" s="425"/>
      <c r="AT110" s="425"/>
      <c r="AU110" s="425"/>
      <c r="AV110" s="425"/>
      <c r="AW110" s="425"/>
      <c r="AX110" s="425"/>
      <c r="AY110" s="425"/>
      <c r="AZ110" s="425"/>
      <c r="BA110" s="425"/>
      <c r="BB110" s="425"/>
      <c r="BC110" s="425"/>
      <c r="BD110" s="425"/>
      <c r="BE110" s="425"/>
      <c r="BF110" s="425"/>
      <c r="BG110" s="425"/>
      <c r="BH110" s="425"/>
      <c r="BI110" s="425"/>
      <c r="BJ110" s="425"/>
      <c r="BK110" s="425"/>
      <c r="BL110" s="425"/>
    </row>
    <row r="111" spans="1:64" x14ac:dyDescent="0.25">
      <c r="J111" s="203"/>
      <c r="K111" s="203"/>
      <c r="L111" s="357"/>
      <c r="M111" s="429"/>
      <c r="AO111" s="425"/>
      <c r="AP111" s="425"/>
      <c r="AQ111" s="425"/>
      <c r="AR111" s="425"/>
      <c r="AS111" s="425"/>
      <c r="AT111" s="425"/>
      <c r="AU111" s="425"/>
      <c r="AV111" s="425"/>
      <c r="AW111" s="425"/>
      <c r="AX111" s="425"/>
      <c r="AY111" s="425"/>
      <c r="AZ111" s="425"/>
      <c r="BA111" s="425"/>
      <c r="BB111" s="425"/>
      <c r="BC111" s="425"/>
      <c r="BD111" s="425"/>
      <c r="BE111" s="425"/>
      <c r="BF111" s="425"/>
      <c r="BG111" s="425"/>
      <c r="BH111" s="425"/>
      <c r="BI111" s="425"/>
      <c r="BJ111" s="425"/>
      <c r="BK111" s="425"/>
      <c r="BL111" s="425"/>
    </row>
    <row r="112" spans="1:64" x14ac:dyDescent="0.25">
      <c r="A112" s="227" t="s">
        <v>121</v>
      </c>
      <c r="B112" s="125" t="s">
        <v>412</v>
      </c>
      <c r="C112" s="227"/>
      <c r="D112" s="227"/>
      <c r="E112" s="227"/>
      <c r="F112" s="227"/>
      <c r="G112" s="227"/>
      <c r="H112" s="227"/>
      <c r="I112" s="227"/>
      <c r="J112" s="203"/>
      <c r="K112" s="203"/>
      <c r="L112" s="357"/>
      <c r="M112" s="429"/>
      <c r="N112" s="454"/>
      <c r="AO112" s="425"/>
      <c r="AP112" s="425"/>
      <c r="AQ112" s="425"/>
      <c r="AR112" s="425"/>
      <c r="AS112" s="425"/>
      <c r="AT112" s="425"/>
      <c r="AU112" s="425"/>
      <c r="AV112" s="425"/>
      <c r="AW112" s="425"/>
      <c r="AX112" s="425"/>
      <c r="AY112" s="425"/>
      <c r="AZ112" s="425"/>
      <c r="BA112" s="425"/>
      <c r="BB112" s="425"/>
      <c r="BC112" s="425"/>
      <c r="BD112" s="425"/>
      <c r="BE112" s="425"/>
      <c r="BF112" s="425"/>
      <c r="BG112" s="425"/>
      <c r="BH112" s="425"/>
      <c r="BI112" s="425"/>
      <c r="BJ112" s="425"/>
      <c r="BK112" s="425"/>
      <c r="BL112" s="425"/>
    </row>
    <row r="113" spans="1:64" x14ac:dyDescent="0.25">
      <c r="A113" s="227"/>
      <c r="B113" s="227" t="s">
        <v>582</v>
      </c>
      <c r="C113" s="227"/>
      <c r="D113" s="227"/>
      <c r="E113" s="227"/>
      <c r="F113" s="227"/>
      <c r="G113" s="227"/>
      <c r="H113" s="227"/>
      <c r="I113" s="466">
        <v>328475</v>
      </c>
      <c r="K113" s="425"/>
      <c r="L113" s="466"/>
      <c r="AO113" s="425"/>
      <c r="AP113" s="425"/>
      <c r="AQ113" s="425"/>
      <c r="AR113" s="425"/>
      <c r="AS113" s="425"/>
      <c r="AT113" s="425"/>
      <c r="AU113" s="425"/>
      <c r="AV113" s="425"/>
      <c r="AW113" s="425"/>
      <c r="AX113" s="425"/>
      <c r="AY113" s="425"/>
      <c r="AZ113" s="425"/>
      <c r="BA113" s="425"/>
      <c r="BB113" s="425"/>
      <c r="BC113" s="425"/>
      <c r="BD113" s="425"/>
      <c r="BE113" s="425"/>
      <c r="BF113" s="425"/>
      <c r="BG113" s="425"/>
      <c r="BH113" s="425"/>
      <c r="BI113" s="425"/>
      <c r="BJ113" s="425"/>
      <c r="BK113" s="425"/>
      <c r="BL113" s="425"/>
    </row>
    <row r="114" spans="1:64" x14ac:dyDescent="0.25">
      <c r="K114" s="425"/>
      <c r="AO114" s="425"/>
      <c r="AP114" s="425"/>
      <c r="AQ114" s="425"/>
      <c r="AR114" s="425"/>
      <c r="AS114" s="425"/>
      <c r="AT114" s="425"/>
      <c r="AU114" s="425"/>
      <c r="AV114" s="425"/>
      <c r="AW114" s="425"/>
      <c r="AX114" s="425"/>
      <c r="AY114" s="425"/>
      <c r="AZ114" s="425"/>
      <c r="BA114" s="425"/>
      <c r="BB114" s="425"/>
      <c r="BC114" s="425"/>
      <c r="BD114" s="425"/>
      <c r="BE114" s="425"/>
      <c r="BF114" s="425"/>
      <c r="BG114" s="425"/>
      <c r="BH114" s="425"/>
      <c r="BI114" s="425"/>
      <c r="BJ114" s="425"/>
      <c r="BK114" s="425"/>
      <c r="BL114" s="425"/>
    </row>
    <row r="115" spans="1:64" x14ac:dyDescent="0.25">
      <c r="A115" s="227" t="s">
        <v>342</v>
      </c>
      <c r="B115" s="125" t="s">
        <v>343</v>
      </c>
      <c r="K115" s="425"/>
      <c r="L115" s="466"/>
      <c r="AO115" s="425"/>
      <c r="AP115" s="425"/>
      <c r="AQ115" s="425"/>
      <c r="AR115" s="425"/>
      <c r="AS115" s="425"/>
      <c r="AT115" s="425"/>
      <c r="AU115" s="425"/>
      <c r="AV115" s="425"/>
      <c r="AW115" s="425"/>
      <c r="AX115" s="425"/>
      <c r="AY115" s="425"/>
      <c r="AZ115" s="425"/>
      <c r="BA115" s="425"/>
      <c r="BB115" s="425"/>
      <c r="BC115" s="425"/>
      <c r="BD115" s="425"/>
      <c r="BE115" s="425"/>
      <c r="BF115" s="425"/>
      <c r="BG115" s="425"/>
      <c r="BH115" s="425"/>
      <c r="BI115" s="425"/>
      <c r="BJ115" s="425"/>
      <c r="BK115" s="425"/>
      <c r="BL115" s="425"/>
    </row>
    <row r="116" spans="1:64" ht="16.5" customHeight="1" x14ac:dyDescent="0.25">
      <c r="A116" s="227"/>
      <c r="B116" s="996" t="s">
        <v>337</v>
      </c>
      <c r="C116" s="227" t="s">
        <v>602</v>
      </c>
      <c r="J116" s="227"/>
      <c r="K116" s="131"/>
      <c r="L116" s="466"/>
      <c r="P116" s="485"/>
      <c r="AH116" s="466"/>
      <c r="AO116" s="425"/>
      <c r="AP116" s="425"/>
      <c r="AQ116" s="425"/>
      <c r="AR116" s="425"/>
      <c r="AS116" s="425"/>
      <c r="AT116" s="425"/>
      <c r="AU116" s="425"/>
      <c r="AV116" s="425"/>
      <c r="AW116" s="425"/>
      <c r="AX116" s="425"/>
      <c r="AY116" s="425"/>
      <c r="AZ116" s="425"/>
      <c r="BA116" s="425"/>
      <c r="BB116" s="425"/>
      <c r="BC116" s="425"/>
      <c r="BD116" s="425"/>
      <c r="BE116" s="425"/>
      <c r="BF116" s="425"/>
      <c r="BG116" s="425"/>
      <c r="BH116" s="425"/>
      <c r="BI116" s="425"/>
      <c r="BJ116" s="425"/>
      <c r="BK116" s="425"/>
      <c r="BL116" s="425"/>
    </row>
    <row r="117" spans="1:64" x14ac:dyDescent="0.25">
      <c r="C117" s="996" t="s">
        <v>583</v>
      </c>
      <c r="I117" s="466">
        <v>528570</v>
      </c>
      <c r="K117" s="425"/>
      <c r="AH117" s="466"/>
      <c r="AO117" s="425"/>
      <c r="AP117" s="425"/>
      <c r="AQ117" s="425"/>
      <c r="AR117" s="425"/>
      <c r="AS117" s="425"/>
      <c r="AT117" s="425"/>
      <c r="AU117" s="425"/>
      <c r="AV117" s="425"/>
      <c r="AW117" s="425"/>
      <c r="AX117" s="425"/>
      <c r="AY117" s="425"/>
      <c r="AZ117" s="425"/>
      <c r="BA117" s="425"/>
      <c r="BB117" s="425"/>
      <c r="BC117" s="425"/>
      <c r="BD117" s="425"/>
      <c r="BE117" s="425"/>
      <c r="BF117" s="425"/>
      <c r="BG117" s="425"/>
      <c r="BH117" s="425"/>
      <c r="BI117" s="425"/>
      <c r="BJ117" s="425"/>
      <c r="BK117" s="425"/>
      <c r="BL117" s="425"/>
    </row>
    <row r="118" spans="1:64" x14ac:dyDescent="0.25">
      <c r="I118" s="466"/>
      <c r="K118" s="425"/>
      <c r="P118" s="61"/>
      <c r="Q118" s="61"/>
      <c r="R118" s="61"/>
      <c r="S118" s="61"/>
      <c r="U118" s="61"/>
      <c r="W118" s="61"/>
      <c r="X118" s="61"/>
      <c r="Y118" s="61"/>
      <c r="Z118" s="61"/>
      <c r="AA118" s="61"/>
      <c r="AB118" s="475"/>
      <c r="AH118" s="466"/>
      <c r="AO118" s="425"/>
      <c r="AP118" s="425"/>
      <c r="AQ118" s="425"/>
      <c r="AR118" s="425"/>
      <c r="AS118" s="425"/>
      <c r="AT118" s="425"/>
      <c r="AU118" s="425"/>
      <c r="AV118" s="425"/>
      <c r="AW118" s="425"/>
      <c r="AX118" s="425"/>
      <c r="AY118" s="425"/>
      <c r="AZ118" s="425"/>
      <c r="BA118" s="425"/>
      <c r="BB118" s="425"/>
      <c r="BC118" s="425"/>
      <c r="BD118" s="425"/>
      <c r="BE118" s="425"/>
      <c r="BF118" s="425"/>
      <c r="BG118" s="425"/>
      <c r="BH118" s="425"/>
      <c r="BI118" s="425"/>
      <c r="BJ118" s="425"/>
      <c r="BK118" s="425"/>
      <c r="BL118" s="425"/>
    </row>
    <row r="119" spans="1:64" x14ac:dyDescent="0.25">
      <c r="B119" s="996" t="s">
        <v>339</v>
      </c>
      <c r="C119" s="996" t="s">
        <v>601</v>
      </c>
      <c r="I119" s="466"/>
      <c r="K119" s="425"/>
      <c r="P119" s="770"/>
      <c r="Q119" s="770"/>
      <c r="R119" s="732"/>
      <c r="S119" s="732"/>
      <c r="T119" s="61"/>
      <c r="U119" s="732"/>
      <c r="V119" s="61"/>
      <c r="W119" s="773"/>
      <c r="X119" s="771"/>
      <c r="Y119" s="776"/>
      <c r="AH119" s="466"/>
      <c r="AL119" s="776"/>
      <c r="AM119" s="776"/>
      <c r="AN119" s="776"/>
      <c r="AO119" s="425"/>
      <c r="AP119" s="425"/>
      <c r="AQ119" s="425"/>
      <c r="AR119" s="425"/>
      <c r="AS119" s="425"/>
      <c r="AT119" s="425"/>
      <c r="AU119" s="425"/>
      <c r="AV119" s="425"/>
      <c r="AW119" s="425"/>
      <c r="AX119" s="425"/>
      <c r="AY119" s="425"/>
      <c r="AZ119" s="425"/>
      <c r="BA119" s="425"/>
      <c r="BB119" s="425"/>
      <c r="BC119" s="425"/>
      <c r="BD119" s="425"/>
      <c r="BE119" s="425"/>
      <c r="BF119" s="425"/>
      <c r="BG119" s="425"/>
      <c r="BH119" s="425"/>
      <c r="BI119" s="425"/>
      <c r="BJ119" s="425"/>
      <c r="BK119" s="425"/>
      <c r="BL119" s="425"/>
    </row>
    <row r="120" spans="1:64" x14ac:dyDescent="0.25">
      <c r="C120" s="996" t="s">
        <v>769</v>
      </c>
      <c r="I120" s="466">
        <v>9353</v>
      </c>
      <c r="K120" s="425"/>
      <c r="P120" s="770"/>
      <c r="Q120" s="770"/>
      <c r="R120" s="732"/>
      <c r="S120" s="732"/>
      <c r="T120" s="732"/>
      <c r="U120" s="732"/>
      <c r="V120" s="732"/>
      <c r="W120" s="771"/>
      <c r="X120" s="772"/>
      <c r="Y120" s="776"/>
      <c r="AH120" s="466"/>
      <c r="AL120" s="776"/>
      <c r="AM120" s="776"/>
      <c r="AN120" s="776"/>
      <c r="AO120" s="425"/>
      <c r="AP120" s="425"/>
      <c r="AQ120" s="425"/>
      <c r="AR120" s="425"/>
      <c r="AS120" s="425"/>
      <c r="AT120" s="425"/>
      <c r="AU120" s="425"/>
      <c r="AV120" s="425"/>
      <c r="AW120" s="425"/>
      <c r="AX120" s="425"/>
      <c r="AY120" s="425"/>
      <c r="AZ120" s="425"/>
      <c r="BA120" s="425"/>
      <c r="BB120" s="425"/>
      <c r="BC120" s="425"/>
      <c r="BD120" s="425"/>
      <c r="BE120" s="425"/>
      <c r="BF120" s="425"/>
      <c r="BG120" s="425"/>
      <c r="BH120" s="425"/>
      <c r="BI120" s="425"/>
      <c r="BJ120" s="425"/>
      <c r="BK120" s="425"/>
      <c r="BL120" s="425"/>
    </row>
    <row r="121" spans="1:64" x14ac:dyDescent="0.25">
      <c r="K121" s="425"/>
      <c r="P121" s="770"/>
      <c r="Q121" s="770"/>
      <c r="R121" s="732"/>
      <c r="S121" s="732"/>
      <c r="T121" s="732"/>
      <c r="U121" s="732"/>
      <c r="V121" s="774"/>
      <c r="W121" s="771"/>
      <c r="X121" s="772"/>
      <c r="Y121" s="776"/>
      <c r="AH121" s="466"/>
      <c r="AL121" s="776"/>
      <c r="AM121" s="776"/>
      <c r="AN121" s="776"/>
      <c r="AO121" s="425"/>
      <c r="AP121" s="425"/>
      <c r="AQ121" s="425"/>
      <c r="AR121" s="425"/>
      <c r="AS121" s="425"/>
      <c r="AT121" s="425"/>
      <c r="AU121" s="425"/>
      <c r="AV121" s="425"/>
      <c r="AW121" s="425"/>
      <c r="AX121" s="425"/>
      <c r="AY121" s="425"/>
      <c r="AZ121" s="425"/>
      <c r="BA121" s="425"/>
      <c r="BB121" s="425"/>
      <c r="BC121" s="425"/>
      <c r="BD121" s="425"/>
      <c r="BE121" s="425"/>
      <c r="BF121" s="425"/>
      <c r="BG121" s="425"/>
      <c r="BH121" s="425"/>
      <c r="BI121" s="425"/>
      <c r="BJ121" s="425"/>
      <c r="BK121" s="425"/>
      <c r="BL121" s="425"/>
    </row>
    <row r="122" spans="1:64" x14ac:dyDescent="0.25">
      <c r="A122" s="227" t="s">
        <v>344</v>
      </c>
      <c r="B122" s="129" t="s">
        <v>345</v>
      </c>
      <c r="C122" s="227"/>
      <c r="D122" s="998"/>
      <c r="E122" s="227"/>
      <c r="F122" s="227"/>
      <c r="G122" s="227"/>
      <c r="H122" s="227"/>
      <c r="I122" s="998"/>
      <c r="K122" s="425"/>
      <c r="P122" s="770"/>
      <c r="Q122" s="770"/>
      <c r="R122" s="732"/>
      <c r="S122" s="732"/>
      <c r="T122" s="732"/>
      <c r="U122" s="732"/>
      <c r="V122" s="732"/>
      <c r="W122" s="771"/>
      <c r="X122" s="772"/>
      <c r="Y122" s="776"/>
      <c r="AH122" s="466"/>
      <c r="AL122" s="776"/>
      <c r="AM122" s="776"/>
      <c r="AN122" s="776"/>
      <c r="AO122" s="425"/>
      <c r="AP122" s="425"/>
      <c r="AQ122" s="425"/>
      <c r="AR122" s="425"/>
      <c r="AS122" s="425"/>
      <c r="AT122" s="425"/>
      <c r="AU122" s="425"/>
      <c r="AV122" s="425"/>
      <c r="AW122" s="425"/>
      <c r="AX122" s="425"/>
      <c r="AY122" s="425"/>
      <c r="AZ122" s="425"/>
      <c r="BA122" s="425"/>
      <c r="BB122" s="425"/>
      <c r="BC122" s="425"/>
      <c r="BD122" s="425"/>
      <c r="BE122" s="425"/>
      <c r="BF122" s="425"/>
      <c r="BG122" s="425"/>
      <c r="BH122" s="425"/>
      <c r="BI122" s="425"/>
      <c r="BJ122" s="425"/>
      <c r="BK122" s="425"/>
      <c r="BL122" s="425"/>
    </row>
    <row r="123" spans="1:64" x14ac:dyDescent="0.25">
      <c r="A123" s="227"/>
      <c r="B123" s="765" t="s">
        <v>770</v>
      </c>
      <c r="D123" s="227"/>
      <c r="E123" s="227"/>
      <c r="F123" s="227"/>
      <c r="G123" s="227"/>
      <c r="H123" s="227"/>
      <c r="I123" s="466">
        <v>41274</v>
      </c>
      <c r="K123" s="425"/>
      <c r="P123" s="770"/>
      <c r="Q123" s="770"/>
      <c r="R123" s="732"/>
      <c r="S123" s="732"/>
      <c r="T123" s="732"/>
      <c r="U123" s="732"/>
      <c r="V123" s="732"/>
      <c r="W123" s="771"/>
      <c r="X123" s="772"/>
      <c r="Y123" s="776"/>
      <c r="AH123" s="466"/>
      <c r="AL123" s="776"/>
      <c r="AM123" s="776"/>
      <c r="AN123" s="776"/>
      <c r="AO123" s="425"/>
      <c r="AP123" s="425"/>
      <c r="AQ123" s="425"/>
      <c r="AR123" s="425"/>
      <c r="AS123" s="425"/>
      <c r="AT123" s="425"/>
      <c r="AU123" s="425"/>
      <c r="AV123" s="425"/>
      <c r="AW123" s="425"/>
      <c r="AX123" s="425"/>
      <c r="AY123" s="425"/>
      <c r="AZ123" s="425"/>
      <c r="BA123" s="425"/>
      <c r="BB123" s="425"/>
      <c r="BC123" s="425"/>
      <c r="BD123" s="425"/>
      <c r="BE123" s="425"/>
      <c r="BF123" s="425"/>
      <c r="BG123" s="425"/>
      <c r="BH123" s="425"/>
      <c r="BI123" s="425"/>
      <c r="BJ123" s="425"/>
      <c r="BK123" s="425"/>
      <c r="BL123" s="425"/>
    </row>
    <row r="124" spans="1:64" x14ac:dyDescent="0.25">
      <c r="B124" s="127"/>
      <c r="K124" s="425"/>
      <c r="P124" s="770"/>
      <c r="Q124" s="770"/>
      <c r="R124" s="732"/>
      <c r="S124" s="732"/>
      <c r="T124" s="732"/>
      <c r="U124" s="732"/>
      <c r="W124" s="771"/>
      <c r="X124" s="771"/>
      <c r="Y124" s="776"/>
      <c r="AH124" s="466"/>
      <c r="AL124" s="776"/>
      <c r="AM124" s="776"/>
      <c r="AN124" s="776"/>
      <c r="AO124" s="425"/>
      <c r="AP124" s="425"/>
      <c r="AQ124" s="425"/>
      <c r="AR124" s="425"/>
      <c r="AS124" s="425"/>
      <c r="AT124" s="425"/>
      <c r="AU124" s="425"/>
      <c r="AV124" s="425"/>
      <c r="AW124" s="425"/>
      <c r="AX124" s="425"/>
      <c r="AY124" s="425"/>
      <c r="AZ124" s="425"/>
      <c r="BA124" s="425"/>
      <c r="BB124" s="425"/>
      <c r="BC124" s="425"/>
      <c r="BD124" s="425"/>
      <c r="BE124" s="425"/>
      <c r="BF124" s="425"/>
      <c r="BG124" s="425"/>
      <c r="BH124" s="425"/>
      <c r="BI124" s="425"/>
      <c r="BJ124" s="425"/>
      <c r="BK124" s="425"/>
      <c r="BL124" s="425"/>
    </row>
    <row r="125" spans="1:64" x14ac:dyDescent="0.25">
      <c r="A125" s="227" t="s">
        <v>346</v>
      </c>
      <c r="B125" s="125" t="s">
        <v>347</v>
      </c>
      <c r="C125" s="227"/>
      <c r="D125" s="998"/>
      <c r="E125" s="998"/>
      <c r="F125" s="998"/>
      <c r="G125" s="998"/>
      <c r="H125" s="998"/>
      <c r="I125" s="998"/>
      <c r="K125" s="425"/>
      <c r="P125" s="770"/>
      <c r="Q125" s="770"/>
      <c r="R125" s="732"/>
      <c r="S125" s="732"/>
      <c r="T125" s="732"/>
      <c r="U125" s="732"/>
      <c r="V125" s="732"/>
      <c r="W125" s="771"/>
      <c r="X125" s="771"/>
      <c r="Y125" s="776"/>
      <c r="AH125" s="466"/>
      <c r="AL125" s="776"/>
      <c r="AM125" s="776"/>
      <c r="AN125" s="776"/>
      <c r="AO125" s="425"/>
      <c r="AP125" s="425"/>
      <c r="AQ125" s="425"/>
      <c r="AR125" s="425"/>
      <c r="AS125" s="425"/>
      <c r="AT125" s="425"/>
      <c r="AU125" s="425"/>
      <c r="AV125" s="425"/>
      <c r="AW125" s="425"/>
      <c r="AX125" s="425"/>
      <c r="AY125" s="425"/>
      <c r="AZ125" s="425"/>
      <c r="BA125" s="425"/>
      <c r="BB125" s="425"/>
      <c r="BC125" s="425"/>
      <c r="BD125" s="425"/>
      <c r="BE125" s="425"/>
      <c r="BF125" s="425"/>
      <c r="BG125" s="425"/>
      <c r="BH125" s="425"/>
      <c r="BI125" s="425"/>
      <c r="BJ125" s="425"/>
      <c r="BK125" s="425"/>
      <c r="BL125" s="425"/>
    </row>
    <row r="126" spans="1:64" x14ac:dyDescent="0.25">
      <c r="A126" s="227"/>
      <c r="B126" s="764" t="s">
        <v>771</v>
      </c>
      <c r="C126" s="127"/>
      <c r="D126" s="227"/>
      <c r="E126" s="227"/>
      <c r="F126" s="227"/>
      <c r="G126" s="227"/>
      <c r="H126" s="227"/>
      <c r="I126" s="466">
        <v>138596</v>
      </c>
      <c r="K126" s="425"/>
      <c r="P126" s="770"/>
      <c r="Q126" s="770"/>
      <c r="R126" s="732"/>
      <c r="S126" s="732"/>
      <c r="T126" s="732"/>
      <c r="U126" s="732"/>
      <c r="V126" s="732"/>
      <c r="W126" s="772"/>
      <c r="X126" s="771"/>
      <c r="Y126" s="776"/>
      <c r="AH126" s="466"/>
      <c r="AL126" s="776"/>
      <c r="AM126" s="776"/>
      <c r="AN126" s="776"/>
      <c r="AO126" s="425"/>
      <c r="AP126" s="425"/>
      <c r="AQ126" s="425"/>
      <c r="AR126" s="425"/>
      <c r="AS126" s="425"/>
      <c r="AT126" s="425"/>
      <c r="AU126" s="425"/>
      <c r="AV126" s="425"/>
      <c r="AW126" s="425"/>
      <c r="AX126" s="425"/>
      <c r="AY126" s="425"/>
      <c r="AZ126" s="425"/>
      <c r="BA126" s="425"/>
      <c r="BB126" s="425"/>
      <c r="BC126" s="425"/>
      <c r="BD126" s="425"/>
      <c r="BE126" s="425"/>
      <c r="BF126" s="425"/>
      <c r="BG126" s="425"/>
      <c r="BH126" s="425"/>
      <c r="BI126" s="425"/>
      <c r="BJ126" s="425"/>
      <c r="BK126" s="425"/>
      <c r="BL126" s="425"/>
    </row>
    <row r="127" spans="1:64" x14ac:dyDescent="0.25">
      <c r="A127" s="227"/>
      <c r="B127" s="126"/>
      <c r="C127" s="127"/>
      <c r="D127" s="227"/>
      <c r="E127" s="227"/>
      <c r="F127" s="227"/>
      <c r="G127" s="227"/>
      <c r="H127" s="227"/>
      <c r="I127" s="466"/>
      <c r="K127" s="425"/>
      <c r="L127" s="973"/>
      <c r="P127" s="770"/>
      <c r="Q127" s="770"/>
      <c r="R127" s="732"/>
      <c r="S127" s="732"/>
      <c r="T127" s="732"/>
      <c r="U127" s="732"/>
      <c r="V127" s="732"/>
      <c r="W127" s="771"/>
      <c r="X127" s="772"/>
      <c r="Y127" s="776"/>
      <c r="AH127" s="466"/>
      <c r="AL127" s="776"/>
      <c r="AM127" s="691"/>
      <c r="AN127" s="691"/>
      <c r="AO127" s="425"/>
      <c r="AP127" s="425"/>
      <c r="AQ127" s="425"/>
      <c r="AR127" s="425"/>
      <c r="AS127" s="425"/>
      <c r="AT127" s="425"/>
      <c r="AU127" s="425"/>
      <c r="AV127" s="425"/>
      <c r="AW127" s="425"/>
      <c r="AX127" s="425"/>
      <c r="AY127" s="425"/>
      <c r="AZ127" s="425"/>
      <c r="BA127" s="425"/>
      <c r="BB127" s="425"/>
      <c r="BC127" s="425"/>
      <c r="BD127" s="425"/>
      <c r="BE127" s="425"/>
      <c r="BF127" s="425"/>
      <c r="BG127" s="425"/>
      <c r="BH127" s="425"/>
      <c r="BI127" s="425"/>
      <c r="BJ127" s="425"/>
      <c r="BK127" s="425"/>
      <c r="BL127" s="425"/>
    </row>
    <row r="128" spans="1:64" x14ac:dyDescent="0.25">
      <c r="A128" s="227" t="s">
        <v>581</v>
      </c>
      <c r="B128" s="125" t="s">
        <v>670</v>
      </c>
      <c r="C128" s="227"/>
      <c r="D128" s="227"/>
      <c r="E128" s="227"/>
      <c r="F128" s="227"/>
      <c r="G128" s="227"/>
      <c r="H128" s="227"/>
      <c r="K128" s="425"/>
      <c r="P128" s="770"/>
      <c r="Q128" s="770"/>
      <c r="R128" s="732"/>
      <c r="S128" s="732"/>
      <c r="U128" s="732"/>
      <c r="W128" s="771"/>
      <c r="X128" s="771"/>
      <c r="Y128" s="776"/>
      <c r="AH128" s="466"/>
      <c r="AL128" s="776"/>
      <c r="AM128" s="691"/>
      <c r="AN128" s="691"/>
      <c r="AO128" s="425"/>
      <c r="AP128" s="425"/>
      <c r="AQ128" s="425"/>
      <c r="AR128" s="425"/>
      <c r="AS128" s="425"/>
      <c r="AT128" s="425"/>
      <c r="AU128" s="425"/>
      <c r="AV128" s="425"/>
      <c r="AW128" s="425"/>
      <c r="AX128" s="425"/>
      <c r="AY128" s="425"/>
      <c r="AZ128" s="425"/>
      <c r="BA128" s="425"/>
      <c r="BB128" s="425"/>
      <c r="BC128" s="425"/>
      <c r="BD128" s="425"/>
      <c r="BE128" s="425"/>
      <c r="BF128" s="425"/>
      <c r="BG128" s="425"/>
      <c r="BH128" s="425"/>
      <c r="BI128" s="425"/>
      <c r="BJ128" s="425"/>
      <c r="BK128" s="425"/>
      <c r="BL128" s="425"/>
    </row>
    <row r="129" spans="1:64" x14ac:dyDescent="0.25">
      <c r="A129" s="227"/>
      <c r="B129" s="765" t="s">
        <v>772</v>
      </c>
      <c r="C129" s="227"/>
      <c r="D129" s="227"/>
      <c r="E129" s="227"/>
      <c r="F129" s="227"/>
      <c r="G129" s="227"/>
      <c r="H129" s="227"/>
      <c r="I129" s="1175">
        <v>282334</v>
      </c>
      <c r="K129" s="425"/>
      <c r="P129" s="770"/>
      <c r="Q129" s="770"/>
      <c r="R129" s="732"/>
      <c r="S129" s="732"/>
      <c r="T129" s="732"/>
      <c r="U129" s="732"/>
      <c r="V129" s="732"/>
      <c r="W129" s="771"/>
      <c r="X129" s="771"/>
      <c r="Y129" s="776"/>
      <c r="AH129" s="466"/>
      <c r="AL129" s="776"/>
      <c r="AM129" s="691"/>
      <c r="AN129" s="691"/>
      <c r="AO129" s="425"/>
      <c r="AP129" s="425"/>
      <c r="AQ129" s="425"/>
      <c r="AR129" s="425"/>
      <c r="AS129" s="425"/>
      <c r="AT129" s="425"/>
      <c r="AU129" s="425"/>
      <c r="AV129" s="425"/>
      <c r="AW129" s="425"/>
      <c r="AX129" s="425"/>
      <c r="AY129" s="425"/>
      <c r="AZ129" s="425"/>
      <c r="BA129" s="425"/>
      <c r="BB129" s="425"/>
      <c r="BC129" s="425"/>
      <c r="BD129" s="425"/>
      <c r="BE129" s="425"/>
      <c r="BF129" s="425"/>
      <c r="BG129" s="425"/>
      <c r="BH129" s="425"/>
      <c r="BI129" s="425"/>
      <c r="BJ129" s="425"/>
      <c r="BK129" s="425"/>
      <c r="BL129" s="425"/>
    </row>
    <row r="130" spans="1:64" x14ac:dyDescent="0.25">
      <c r="K130" s="425"/>
      <c r="P130" s="770"/>
      <c r="Q130" s="770"/>
      <c r="R130" s="732"/>
      <c r="S130" s="732"/>
      <c r="T130" s="732"/>
      <c r="U130" s="732"/>
      <c r="V130" s="732"/>
      <c r="W130" s="771"/>
      <c r="X130" s="771"/>
      <c r="Y130" s="776"/>
      <c r="AL130" s="776"/>
      <c r="AM130" s="776"/>
      <c r="AN130" s="776"/>
      <c r="AO130" s="425"/>
      <c r="AP130" s="425"/>
      <c r="AQ130" s="425"/>
      <c r="AR130" s="425"/>
      <c r="AS130" s="425"/>
      <c r="AT130" s="425"/>
      <c r="AU130" s="425"/>
      <c r="AV130" s="425"/>
      <c r="AW130" s="425"/>
      <c r="AX130" s="425"/>
      <c r="AY130" s="425"/>
      <c r="AZ130" s="425"/>
      <c r="BA130" s="425"/>
      <c r="BB130" s="425"/>
      <c r="BC130" s="425"/>
      <c r="BD130" s="425"/>
      <c r="BE130" s="425"/>
      <c r="BF130" s="425"/>
      <c r="BG130" s="425"/>
      <c r="BH130" s="425"/>
      <c r="BI130" s="425"/>
      <c r="BJ130" s="425"/>
      <c r="BK130" s="425"/>
      <c r="BL130" s="425"/>
    </row>
    <row r="131" spans="1:64" x14ac:dyDescent="0.25">
      <c r="A131" s="227" t="s">
        <v>773</v>
      </c>
      <c r="B131" s="766" t="s">
        <v>774</v>
      </c>
      <c r="C131" s="227"/>
      <c r="D131" s="227"/>
      <c r="E131" s="227"/>
      <c r="F131" s="227"/>
      <c r="G131" s="227"/>
      <c r="H131" s="227"/>
      <c r="I131" s="227"/>
      <c r="J131" s="227"/>
      <c r="K131" s="227"/>
      <c r="L131" s="454"/>
      <c r="M131" s="227"/>
      <c r="P131" s="770"/>
      <c r="Q131" s="770"/>
      <c r="R131" s="732"/>
      <c r="S131" s="732"/>
      <c r="T131" s="732"/>
      <c r="U131" s="732"/>
      <c r="V131" s="732"/>
      <c r="W131" s="771"/>
      <c r="X131" s="771"/>
      <c r="Y131" s="776"/>
      <c r="AM131" s="776"/>
      <c r="AN131" s="776"/>
      <c r="AO131" s="425"/>
      <c r="AP131" s="425"/>
      <c r="AQ131" s="425"/>
      <c r="AR131" s="425"/>
      <c r="AS131" s="425"/>
      <c r="AT131" s="425"/>
      <c r="AU131" s="425"/>
      <c r="AV131" s="425"/>
      <c r="AW131" s="425"/>
      <c r="AX131" s="425"/>
      <c r="AY131" s="425"/>
      <c r="AZ131" s="425"/>
      <c r="BA131" s="425"/>
      <c r="BB131" s="425"/>
      <c r="BC131" s="425"/>
      <c r="BD131" s="425"/>
      <c r="BE131" s="425"/>
      <c r="BF131" s="425"/>
      <c r="BG131" s="425"/>
      <c r="BH131" s="425"/>
      <c r="BI131" s="425"/>
      <c r="BJ131" s="425"/>
      <c r="BK131" s="425"/>
      <c r="BL131" s="425"/>
    </row>
    <row r="132" spans="1:64" x14ac:dyDescent="0.25">
      <c r="A132" s="227"/>
      <c r="B132" s="765" t="s">
        <v>775</v>
      </c>
      <c r="C132" s="227"/>
      <c r="D132" s="227"/>
      <c r="E132" s="227"/>
      <c r="F132" s="227"/>
      <c r="G132" s="227"/>
      <c r="H132" s="227"/>
      <c r="I132" s="1176">
        <v>24000</v>
      </c>
      <c r="J132" s="227"/>
      <c r="K132" s="227"/>
      <c r="P132" s="770"/>
      <c r="Q132" s="770"/>
      <c r="R132" s="732"/>
      <c r="S132" s="732"/>
      <c r="T132" s="732"/>
      <c r="U132" s="732"/>
      <c r="V132" s="732"/>
      <c r="W132" s="772"/>
      <c r="X132" s="771"/>
      <c r="Y132" s="776"/>
      <c r="AL132" s="776"/>
      <c r="AM132" s="776"/>
      <c r="AN132" s="776"/>
      <c r="AO132" s="425"/>
      <c r="AP132" s="425"/>
      <c r="AQ132" s="425"/>
      <c r="AR132" s="425"/>
      <c r="AS132" s="425"/>
      <c r="AT132" s="425"/>
      <c r="AU132" s="425"/>
      <c r="AV132" s="425"/>
      <c r="AW132" s="425"/>
      <c r="AX132" s="425"/>
      <c r="AY132" s="425"/>
      <c r="AZ132" s="425"/>
      <c r="BA132" s="425"/>
      <c r="BB132" s="425"/>
      <c r="BC132" s="425"/>
      <c r="BD132" s="425"/>
      <c r="BE132" s="425"/>
      <c r="BF132" s="425"/>
      <c r="BG132" s="425"/>
      <c r="BH132" s="425"/>
      <c r="BI132" s="425"/>
      <c r="BJ132" s="425"/>
      <c r="BK132" s="425"/>
      <c r="BL132" s="425"/>
    </row>
    <row r="133" spans="1:64" x14ac:dyDescent="0.25">
      <c r="B133" s="227"/>
      <c r="K133" s="425"/>
      <c r="P133" s="770"/>
      <c r="Q133" s="770"/>
      <c r="R133" s="732"/>
      <c r="S133" s="732"/>
      <c r="T133" s="732"/>
      <c r="U133" s="732"/>
      <c r="V133" s="732"/>
      <c r="W133" s="771"/>
      <c r="X133" s="771"/>
      <c r="Y133" s="776"/>
      <c r="AL133" s="776"/>
      <c r="AM133" s="691"/>
      <c r="AN133" s="691"/>
      <c r="AO133" s="425"/>
      <c r="AP133" s="425"/>
      <c r="AQ133" s="425"/>
      <c r="AR133" s="425"/>
      <c r="AS133" s="425"/>
      <c r="AT133" s="425"/>
      <c r="AU133" s="425"/>
      <c r="AV133" s="425"/>
      <c r="AW133" s="425"/>
      <c r="AX133" s="425"/>
      <c r="AY133" s="425"/>
      <c r="AZ133" s="425"/>
      <c r="BA133" s="425"/>
      <c r="BB133" s="425"/>
      <c r="BC133" s="425"/>
      <c r="BD133" s="425"/>
      <c r="BE133" s="425"/>
      <c r="BF133" s="425"/>
      <c r="BG133" s="425"/>
      <c r="BH133" s="425"/>
      <c r="BI133" s="425"/>
      <c r="BJ133" s="425"/>
      <c r="BK133" s="425"/>
      <c r="BL133" s="425"/>
    </row>
    <row r="134" spans="1:64" x14ac:dyDescent="0.25">
      <c r="B134" s="227"/>
      <c r="C134" s="996" t="s">
        <v>35</v>
      </c>
      <c r="I134" s="466">
        <v>1352602</v>
      </c>
      <c r="K134" s="425"/>
      <c r="P134" s="770"/>
      <c r="Q134" s="770"/>
      <c r="R134" s="732"/>
      <c r="S134" s="732"/>
      <c r="T134" s="732"/>
      <c r="U134" s="732"/>
      <c r="V134" s="732"/>
      <c r="W134" s="771"/>
      <c r="X134" s="771"/>
      <c r="Y134" s="776"/>
      <c r="AL134" s="776"/>
      <c r="AM134" s="691"/>
      <c r="AN134" s="691"/>
      <c r="AO134" s="425"/>
      <c r="AP134" s="425"/>
      <c r="AQ134" s="425"/>
      <c r="AR134" s="425"/>
      <c r="AS134" s="425"/>
      <c r="AT134" s="425"/>
      <c r="AU134" s="425"/>
      <c r="AV134" s="425"/>
      <c r="AW134" s="425"/>
      <c r="AX134" s="425"/>
      <c r="AY134" s="425"/>
      <c r="AZ134" s="425"/>
      <c r="BA134" s="425"/>
      <c r="BB134" s="425"/>
      <c r="BC134" s="425"/>
      <c r="BD134" s="425"/>
      <c r="BE134" s="425"/>
      <c r="BF134" s="425"/>
      <c r="BG134" s="425"/>
      <c r="BH134" s="425"/>
      <c r="BI134" s="425"/>
      <c r="BJ134" s="425"/>
      <c r="BK134" s="425"/>
      <c r="BL134" s="425"/>
    </row>
    <row r="135" spans="1:64" x14ac:dyDescent="0.25">
      <c r="C135" s="172" t="s">
        <v>1035</v>
      </c>
      <c r="I135" s="466">
        <v>-726980</v>
      </c>
      <c r="K135" s="425"/>
      <c r="P135" s="770"/>
      <c r="Q135" s="770"/>
      <c r="R135" s="732"/>
      <c r="S135" s="732"/>
      <c r="T135" s="732"/>
      <c r="U135" s="732"/>
      <c r="V135" s="732"/>
      <c r="W135" s="771"/>
      <c r="X135" s="773"/>
      <c r="Y135" s="776"/>
      <c r="AL135" s="776"/>
      <c r="AM135" s="691"/>
      <c r="AN135" s="691"/>
      <c r="AO135" s="425"/>
      <c r="AP135" s="425"/>
      <c r="AQ135" s="425"/>
      <c r="AR135" s="425"/>
      <c r="AS135" s="425"/>
      <c r="AT135" s="425"/>
      <c r="AU135" s="425"/>
      <c r="AV135" s="425"/>
      <c r="AW135" s="425"/>
      <c r="AX135" s="425"/>
      <c r="AY135" s="425"/>
      <c r="AZ135" s="425"/>
      <c r="BA135" s="425"/>
      <c r="BB135" s="425"/>
      <c r="BC135" s="425"/>
      <c r="BD135" s="425"/>
      <c r="BE135" s="425"/>
      <c r="BF135" s="425"/>
      <c r="BG135" s="425"/>
      <c r="BH135" s="425"/>
      <c r="BI135" s="425"/>
      <c r="BJ135" s="425"/>
      <c r="BK135" s="425"/>
      <c r="BL135" s="425"/>
    </row>
    <row r="136" spans="1:64" x14ac:dyDescent="0.25">
      <c r="I136" s="108"/>
      <c r="K136" s="425"/>
      <c r="P136" s="770"/>
      <c r="Q136" s="770"/>
      <c r="R136" s="732"/>
      <c r="S136" s="732"/>
      <c r="T136" s="732"/>
      <c r="U136" s="732"/>
      <c r="V136" s="732"/>
      <c r="W136" s="771"/>
      <c r="X136" s="771"/>
      <c r="Y136" s="776"/>
      <c r="AL136" s="776"/>
      <c r="AM136" s="691"/>
      <c r="AN136" s="691"/>
      <c r="AO136" s="425"/>
      <c r="AP136" s="425"/>
      <c r="AQ136" s="425"/>
      <c r="AR136" s="425"/>
      <c r="AS136" s="425"/>
      <c r="AT136" s="425"/>
      <c r="AU136" s="425"/>
      <c r="AV136" s="425"/>
      <c r="AW136" s="425"/>
      <c r="AX136" s="425"/>
      <c r="AY136" s="425"/>
      <c r="AZ136" s="425"/>
      <c r="BA136" s="425"/>
      <c r="BB136" s="425"/>
      <c r="BC136" s="425"/>
      <c r="BD136" s="425"/>
      <c r="BE136" s="425"/>
      <c r="BF136" s="425"/>
      <c r="BG136" s="425"/>
      <c r="BH136" s="425"/>
      <c r="BI136" s="425"/>
      <c r="BJ136" s="425"/>
      <c r="BK136" s="425"/>
      <c r="BL136" s="425"/>
    </row>
    <row r="137" spans="1:64" ht="16.5" thickBot="1" x14ac:dyDescent="0.3">
      <c r="C137" s="227" t="s">
        <v>171</v>
      </c>
      <c r="D137" s="998"/>
      <c r="E137" s="227"/>
      <c r="F137" s="227"/>
      <c r="G137" s="227"/>
      <c r="H137" s="227"/>
      <c r="I137" s="470">
        <f>I134+I135</f>
        <v>625622</v>
      </c>
      <c r="K137" s="425"/>
      <c r="L137" s="990"/>
      <c r="P137" s="770"/>
      <c r="Q137" s="770"/>
      <c r="R137" s="732"/>
      <c r="S137" s="732"/>
      <c r="T137" s="732"/>
      <c r="U137" s="732"/>
      <c r="V137" s="732"/>
      <c r="W137" s="771"/>
      <c r="X137" s="771"/>
      <c r="Y137" s="776"/>
      <c r="AL137" s="776"/>
      <c r="AM137" s="691"/>
      <c r="AN137" s="691"/>
      <c r="AO137" s="425"/>
      <c r="AP137" s="425"/>
      <c r="AQ137" s="425"/>
      <c r="AR137" s="425"/>
      <c r="AS137" s="425"/>
      <c r="AT137" s="425"/>
      <c r="AU137" s="425"/>
      <c r="AV137" s="425"/>
      <c r="AW137" s="425"/>
      <c r="AX137" s="425"/>
      <c r="AY137" s="425"/>
      <c r="AZ137" s="425"/>
      <c r="BA137" s="425"/>
      <c r="BB137" s="425"/>
      <c r="BC137" s="425"/>
      <c r="BD137" s="425"/>
      <c r="BE137" s="425"/>
      <c r="BF137" s="425"/>
      <c r="BG137" s="425"/>
      <c r="BH137" s="425"/>
      <c r="BI137" s="425"/>
      <c r="BJ137" s="425"/>
      <c r="BK137" s="425"/>
      <c r="BL137" s="425"/>
    </row>
    <row r="138" spans="1:64" ht="16.5" thickTop="1" x14ac:dyDescent="0.25">
      <c r="K138" s="425"/>
      <c r="P138" s="770"/>
      <c r="Q138" s="770"/>
      <c r="R138" s="732"/>
      <c r="S138" s="732"/>
      <c r="T138" s="732"/>
      <c r="U138" s="732"/>
      <c r="V138" s="732"/>
      <c r="W138" s="771"/>
      <c r="X138" s="771"/>
      <c r="Y138" s="776"/>
      <c r="AM138" s="691"/>
      <c r="AN138" s="691"/>
      <c r="AO138" s="425"/>
      <c r="AP138" s="425"/>
      <c r="AQ138" s="425"/>
      <c r="AR138" s="425"/>
      <c r="AS138" s="425"/>
      <c r="AT138" s="425"/>
      <c r="AU138" s="425"/>
      <c r="AV138" s="425"/>
      <c r="AW138" s="425"/>
      <c r="AX138" s="425"/>
      <c r="AY138" s="425"/>
      <c r="AZ138" s="425"/>
      <c r="BA138" s="425"/>
      <c r="BB138" s="425"/>
      <c r="BC138" s="425"/>
      <c r="BD138" s="425"/>
      <c r="BE138" s="425"/>
      <c r="BF138" s="425"/>
      <c r="BG138" s="425"/>
      <c r="BH138" s="425"/>
      <c r="BI138" s="425"/>
      <c r="BJ138" s="425"/>
      <c r="BK138" s="425"/>
      <c r="BL138" s="425"/>
    </row>
    <row r="139" spans="1:64" x14ac:dyDescent="0.25">
      <c r="A139" s="1273" t="s">
        <v>1143</v>
      </c>
      <c r="K139" s="425"/>
      <c r="P139" s="770"/>
      <c r="Q139" s="770"/>
      <c r="R139" s="732"/>
      <c r="S139" s="732"/>
      <c r="T139" s="732"/>
      <c r="U139" s="732"/>
      <c r="V139" s="732"/>
      <c r="W139" s="771"/>
      <c r="X139" s="771"/>
      <c r="Y139" s="776"/>
      <c r="AM139" s="691"/>
      <c r="AN139" s="691"/>
      <c r="AO139" s="425"/>
      <c r="AP139" s="425"/>
      <c r="AQ139" s="425"/>
      <c r="AR139" s="425"/>
      <c r="AS139" s="425"/>
      <c r="AT139" s="425"/>
      <c r="AU139" s="425"/>
      <c r="AV139" s="425"/>
      <c r="AW139" s="425"/>
      <c r="AX139" s="425"/>
      <c r="AY139" s="425"/>
      <c r="AZ139" s="425"/>
      <c r="BA139" s="425"/>
      <c r="BB139" s="425"/>
      <c r="BC139" s="425"/>
      <c r="BD139" s="425"/>
      <c r="BE139" s="425"/>
      <c r="BF139" s="425"/>
      <c r="BG139" s="425"/>
      <c r="BH139" s="425"/>
      <c r="BI139" s="425"/>
      <c r="BJ139" s="425"/>
      <c r="BK139" s="425"/>
      <c r="BL139" s="425"/>
    </row>
    <row r="140" spans="1:64" x14ac:dyDescent="0.25">
      <c r="K140" s="425"/>
      <c r="P140" s="770"/>
      <c r="Q140" s="770"/>
      <c r="R140" s="732"/>
      <c r="S140" s="732"/>
      <c r="T140" s="732"/>
      <c r="U140" s="732"/>
      <c r="V140" s="732"/>
      <c r="W140" s="771"/>
      <c r="X140" s="771"/>
      <c r="Y140" s="776"/>
      <c r="AM140" s="691"/>
      <c r="AN140" s="691"/>
      <c r="AO140" s="425"/>
      <c r="AP140" s="425"/>
      <c r="AQ140" s="425"/>
      <c r="AR140" s="425"/>
      <c r="AS140" s="425"/>
      <c r="AT140" s="425"/>
      <c r="AU140" s="425"/>
      <c r="AV140" s="425"/>
      <c r="AW140" s="425"/>
      <c r="AX140" s="425"/>
      <c r="AY140" s="425"/>
      <c r="AZ140" s="425"/>
      <c r="BA140" s="425"/>
      <c r="BB140" s="425"/>
      <c r="BC140" s="425"/>
      <c r="BD140" s="425"/>
      <c r="BE140" s="425"/>
      <c r="BF140" s="425"/>
      <c r="BG140" s="425"/>
      <c r="BH140" s="425"/>
      <c r="BI140" s="425"/>
      <c r="BJ140" s="425"/>
      <c r="BK140" s="425"/>
      <c r="BL140" s="425"/>
    </row>
    <row r="141" spans="1:64" x14ac:dyDescent="0.25">
      <c r="A141" s="62" t="s">
        <v>525</v>
      </c>
      <c r="B141" s="174"/>
      <c r="C141" s="174"/>
      <c r="D141" s="174"/>
      <c r="E141" s="174"/>
      <c r="F141" s="174"/>
      <c r="G141" s="174"/>
      <c r="H141" s="174"/>
      <c r="I141" s="174"/>
      <c r="K141" s="425"/>
      <c r="P141" s="770"/>
      <c r="Q141" s="770"/>
      <c r="R141" s="732"/>
      <c r="S141" s="732"/>
      <c r="T141" s="732"/>
      <c r="U141" s="732"/>
      <c r="V141" s="732"/>
      <c r="W141" s="771"/>
      <c r="X141" s="771"/>
      <c r="Y141" s="776"/>
      <c r="AL141" s="776"/>
      <c r="AM141" s="691"/>
      <c r="AN141" s="691"/>
      <c r="AO141" s="425"/>
      <c r="AP141" s="425"/>
      <c r="AQ141" s="425"/>
      <c r="AR141" s="425"/>
      <c r="AS141" s="425"/>
      <c r="AT141" s="425"/>
      <c r="AU141" s="425"/>
      <c r="AV141" s="425"/>
      <c r="AW141" s="425"/>
      <c r="AX141" s="425"/>
      <c r="AY141" s="425"/>
      <c r="AZ141" s="425"/>
      <c r="BA141" s="425"/>
      <c r="BB141" s="425"/>
      <c r="BC141" s="425"/>
      <c r="BD141" s="425"/>
      <c r="BE141" s="425"/>
      <c r="BF141" s="425"/>
      <c r="BG141" s="425"/>
      <c r="BH141" s="425"/>
      <c r="BI141" s="425"/>
      <c r="BJ141" s="425"/>
      <c r="BK141" s="425"/>
      <c r="BL141" s="425"/>
    </row>
    <row r="142" spans="1:64" x14ac:dyDescent="0.25">
      <c r="A142" s="62"/>
      <c r="B142" s="174"/>
      <c r="C142" s="174"/>
      <c r="D142" s="174"/>
      <c r="E142" s="174"/>
      <c r="F142" s="174"/>
      <c r="G142" s="174"/>
      <c r="H142" s="174"/>
      <c r="I142" s="174"/>
      <c r="K142" s="425"/>
      <c r="P142" s="770"/>
      <c r="Q142" s="770"/>
      <c r="R142" s="732"/>
      <c r="S142" s="732"/>
      <c r="T142" s="732"/>
      <c r="U142" s="732"/>
      <c r="V142" s="732"/>
      <c r="W142" s="772"/>
      <c r="X142" s="771"/>
      <c r="Y142" s="776"/>
      <c r="AL142" s="776"/>
      <c r="AM142" s="776"/>
      <c r="AN142" s="776"/>
      <c r="AO142" s="425"/>
      <c r="AP142" s="425"/>
      <c r="AQ142" s="425"/>
      <c r="AR142" s="425"/>
      <c r="AS142" s="425"/>
      <c r="AT142" s="425"/>
      <c r="AU142" s="425"/>
      <c r="AV142" s="425"/>
      <c r="AW142" s="425"/>
      <c r="AX142" s="425"/>
      <c r="AY142" s="425"/>
      <c r="AZ142" s="425"/>
      <c r="BA142" s="425"/>
      <c r="BB142" s="425"/>
      <c r="BC142" s="425"/>
      <c r="BD142" s="425"/>
      <c r="BE142" s="425"/>
      <c r="BF142" s="425"/>
      <c r="BG142" s="425"/>
      <c r="BH142" s="425"/>
      <c r="BI142" s="425"/>
      <c r="BJ142" s="425"/>
      <c r="BK142" s="425"/>
      <c r="BL142" s="425"/>
    </row>
    <row r="143" spans="1:64" x14ac:dyDescent="0.25">
      <c r="A143" s="998" t="s">
        <v>348</v>
      </c>
      <c r="B143" s="174"/>
      <c r="C143" s="174"/>
      <c r="D143" s="174"/>
      <c r="E143" s="174"/>
      <c r="F143" s="174"/>
      <c r="G143" s="174"/>
      <c r="H143" s="174"/>
      <c r="I143" s="174"/>
      <c r="K143" s="425"/>
      <c r="P143" s="447"/>
      <c r="Q143" s="447"/>
      <c r="S143" s="732"/>
      <c r="T143" s="732"/>
      <c r="U143" s="732"/>
      <c r="V143" s="732"/>
      <c r="W143" s="772"/>
      <c r="X143" s="771"/>
      <c r="Y143" s="776"/>
      <c r="AL143" s="776"/>
      <c r="AM143" s="776"/>
      <c r="AN143" s="776"/>
      <c r="AO143" s="425"/>
      <c r="AP143" s="425"/>
      <c r="AQ143" s="425"/>
      <c r="AR143" s="425"/>
      <c r="AS143" s="425"/>
      <c r="AT143" s="425"/>
      <c r="AU143" s="425"/>
      <c r="AV143" s="425"/>
      <c r="AW143" s="425"/>
      <c r="AX143" s="425"/>
      <c r="AY143" s="425"/>
      <c r="AZ143" s="425"/>
      <c r="BA143" s="425"/>
      <c r="BB143" s="425"/>
      <c r="BC143" s="425"/>
      <c r="BD143" s="425"/>
      <c r="BE143" s="425"/>
      <c r="BF143" s="425"/>
      <c r="BG143" s="425"/>
      <c r="BH143" s="425"/>
      <c r="BI143" s="425"/>
      <c r="BJ143" s="425"/>
      <c r="BK143" s="425"/>
      <c r="BL143" s="425"/>
    </row>
    <row r="144" spans="1:64" x14ac:dyDescent="0.25">
      <c r="J144" s="998"/>
      <c r="K144" s="227"/>
      <c r="L144" s="227"/>
      <c r="M144" s="429"/>
      <c r="P144" s="447"/>
      <c r="Q144" s="447"/>
      <c r="S144" s="732"/>
      <c r="T144" s="732"/>
      <c r="U144" s="732"/>
      <c r="V144" s="732"/>
      <c r="W144" s="772"/>
      <c r="X144" s="771"/>
      <c r="Y144" s="776"/>
      <c r="AL144" s="776"/>
      <c r="AM144" s="776"/>
      <c r="AN144" s="776"/>
      <c r="AO144" s="425"/>
      <c r="AP144" s="425"/>
      <c r="AQ144" s="425"/>
      <c r="AR144" s="425"/>
      <c r="AS144" s="425"/>
      <c r="AT144" s="425"/>
      <c r="AU144" s="425"/>
      <c r="AV144" s="425"/>
      <c r="AW144" s="425"/>
      <c r="AX144" s="425"/>
      <c r="AY144" s="425"/>
      <c r="AZ144" s="425"/>
      <c r="BA144" s="425"/>
      <c r="BB144" s="425"/>
      <c r="BC144" s="425"/>
      <c r="BD144" s="425"/>
      <c r="BE144" s="425"/>
      <c r="BF144" s="425"/>
      <c r="BG144" s="425"/>
      <c r="BH144" s="425"/>
      <c r="BI144" s="425"/>
      <c r="BJ144" s="425"/>
      <c r="BK144" s="425"/>
      <c r="BL144" s="425"/>
    </row>
    <row r="145" spans="1:64" x14ac:dyDescent="0.25">
      <c r="A145" s="708" t="s">
        <v>9</v>
      </c>
      <c r="B145" s="316"/>
      <c r="C145" s="708" t="s">
        <v>349</v>
      </c>
      <c r="E145" s="316"/>
      <c r="F145" s="708" t="s">
        <v>172</v>
      </c>
      <c r="H145" s="316"/>
      <c r="I145" s="202" t="s">
        <v>600</v>
      </c>
      <c r="J145" s="174"/>
      <c r="K145" s="177"/>
      <c r="T145" s="732"/>
      <c r="V145" s="732"/>
      <c r="AO145" s="425"/>
      <c r="AP145" s="425"/>
      <c r="AQ145" s="425"/>
      <c r="AR145" s="425"/>
      <c r="AS145" s="425"/>
      <c r="AT145" s="425"/>
      <c r="AU145" s="425"/>
      <c r="AV145" s="425"/>
      <c r="AW145" s="425"/>
      <c r="AX145" s="425"/>
      <c r="AY145" s="425"/>
      <c r="AZ145" s="425"/>
      <c r="BA145" s="425"/>
      <c r="BB145" s="425"/>
      <c r="BC145" s="425"/>
      <c r="BD145" s="425"/>
      <c r="BE145" s="425"/>
      <c r="BF145" s="425"/>
      <c r="BG145" s="425"/>
      <c r="BH145" s="425"/>
      <c r="BI145" s="425"/>
      <c r="BJ145" s="425"/>
      <c r="BK145" s="425"/>
      <c r="BL145" s="425"/>
    </row>
    <row r="146" spans="1:64" x14ac:dyDescent="0.25">
      <c r="A146" s="708"/>
      <c r="B146" s="316"/>
      <c r="C146" s="708"/>
      <c r="E146" s="316"/>
      <c r="F146" s="708"/>
      <c r="H146" s="316"/>
      <c r="I146" s="202"/>
      <c r="J146" s="174"/>
      <c r="K146" s="177"/>
      <c r="U146" s="691"/>
      <c r="AO146" s="425"/>
      <c r="AP146" s="425"/>
      <c r="AQ146" s="425"/>
      <c r="AR146" s="425"/>
      <c r="AS146" s="425"/>
      <c r="AT146" s="425"/>
      <c r="AU146" s="425"/>
      <c r="AV146" s="425"/>
      <c r="AW146" s="425"/>
      <c r="AX146" s="425"/>
      <c r="AY146" s="425"/>
      <c r="AZ146" s="425"/>
      <c r="BA146" s="425"/>
      <c r="BB146" s="425"/>
      <c r="BC146" s="425"/>
      <c r="BD146" s="425"/>
      <c r="BE146" s="425"/>
      <c r="BF146" s="425"/>
      <c r="BG146" s="425"/>
      <c r="BH146" s="425"/>
      <c r="BI146" s="425"/>
      <c r="BJ146" s="425"/>
      <c r="BK146" s="425"/>
      <c r="BL146" s="425"/>
    </row>
    <row r="147" spans="1:64" x14ac:dyDescent="0.25">
      <c r="A147" s="996" t="s">
        <v>785</v>
      </c>
      <c r="C147" s="996" t="s">
        <v>783</v>
      </c>
      <c r="F147" s="996" t="s">
        <v>784</v>
      </c>
      <c r="I147" s="454">
        <v>-25000</v>
      </c>
      <c r="J147" s="174"/>
      <c r="K147" s="174"/>
      <c r="P147" s="447"/>
      <c r="Q147" s="447"/>
      <c r="AO147" s="425"/>
      <c r="AP147" s="425"/>
      <c r="AQ147" s="425"/>
      <c r="AR147" s="425"/>
      <c r="AS147" s="425"/>
      <c r="AT147" s="425"/>
      <c r="AU147" s="425"/>
      <c r="AV147" s="425"/>
      <c r="AW147" s="425"/>
      <c r="AX147" s="425"/>
      <c r="AY147" s="425"/>
      <c r="AZ147" s="425"/>
      <c r="BA147" s="425"/>
      <c r="BB147" s="425"/>
      <c r="BC147" s="425"/>
      <c r="BD147" s="425"/>
      <c r="BE147" s="425"/>
      <c r="BF147" s="425"/>
      <c r="BG147" s="425"/>
      <c r="BH147" s="425"/>
      <c r="BI147" s="425"/>
      <c r="BJ147" s="425"/>
      <c r="BK147" s="425"/>
      <c r="BL147" s="425"/>
    </row>
    <row r="148" spans="1:64" x14ac:dyDescent="0.25">
      <c r="A148" s="996" t="s">
        <v>785</v>
      </c>
      <c r="C148" s="996" t="s">
        <v>783</v>
      </c>
      <c r="F148" s="996" t="s">
        <v>784</v>
      </c>
      <c r="I148" s="466">
        <v>-95060</v>
      </c>
      <c r="J148" s="174"/>
      <c r="K148" s="174"/>
      <c r="AO148" s="425"/>
      <c r="AP148" s="425"/>
      <c r="AQ148" s="425"/>
      <c r="AR148" s="425"/>
      <c r="AS148" s="425"/>
      <c r="AT148" s="425"/>
      <c r="AU148" s="425"/>
      <c r="AV148" s="425"/>
      <c r="AW148" s="425"/>
      <c r="AX148" s="425"/>
      <c r="AY148" s="425"/>
      <c r="AZ148" s="425"/>
      <c r="BA148" s="425"/>
      <c r="BB148" s="425"/>
      <c r="BC148" s="425"/>
      <c r="BD148" s="425"/>
      <c r="BE148" s="425"/>
      <c r="BF148" s="425"/>
      <c r="BG148" s="425"/>
      <c r="BH148" s="425"/>
      <c r="BI148" s="425"/>
      <c r="BJ148" s="425"/>
      <c r="BK148" s="425"/>
      <c r="BL148" s="425"/>
    </row>
    <row r="149" spans="1:64" x14ac:dyDescent="0.25">
      <c r="A149" s="996" t="s">
        <v>785</v>
      </c>
      <c r="C149" s="996" t="s">
        <v>783</v>
      </c>
      <c r="F149" s="996" t="s">
        <v>784</v>
      </c>
      <c r="I149" s="466">
        <v>-2050</v>
      </c>
      <c r="J149" s="174"/>
      <c r="K149" s="174"/>
      <c r="AO149" s="425"/>
      <c r="AP149" s="425"/>
      <c r="AQ149" s="425"/>
      <c r="AR149" s="425"/>
      <c r="AS149" s="425"/>
      <c r="AT149" s="425"/>
      <c r="AU149" s="425"/>
      <c r="AV149" s="425"/>
      <c r="AW149" s="425"/>
      <c r="AX149" s="425"/>
      <c r="AY149" s="425"/>
      <c r="AZ149" s="425"/>
      <c r="BA149" s="425"/>
      <c r="BB149" s="425"/>
      <c r="BC149" s="425"/>
      <c r="BD149" s="425"/>
      <c r="BE149" s="425"/>
      <c r="BF149" s="425"/>
      <c r="BG149" s="425"/>
      <c r="BH149" s="425"/>
      <c r="BI149" s="425"/>
      <c r="BJ149" s="425"/>
      <c r="BK149" s="425"/>
      <c r="BL149" s="425"/>
    </row>
    <row r="150" spans="1:64" x14ac:dyDescent="0.25">
      <c r="A150" s="996" t="s">
        <v>785</v>
      </c>
      <c r="C150" s="996" t="s">
        <v>783</v>
      </c>
      <c r="F150" s="996" t="s">
        <v>784</v>
      </c>
      <c r="H150" s="466"/>
      <c r="I150" s="466">
        <v>-2000</v>
      </c>
      <c r="J150" s="174"/>
      <c r="K150" s="174"/>
      <c r="AO150" s="425"/>
      <c r="AP150" s="425"/>
      <c r="AQ150" s="425"/>
      <c r="AR150" s="425"/>
      <c r="AS150" s="425"/>
      <c r="AT150" s="425"/>
      <c r="AU150" s="425"/>
      <c r="AV150" s="425"/>
      <c r="AW150" s="425"/>
      <c r="AX150" s="425"/>
      <c r="AY150" s="425"/>
      <c r="AZ150" s="425"/>
      <c r="BA150" s="425"/>
      <c r="BB150" s="425"/>
      <c r="BC150" s="425"/>
      <c r="BD150" s="425"/>
      <c r="BE150" s="425"/>
      <c r="BF150" s="425"/>
      <c r="BG150" s="425"/>
      <c r="BH150" s="425"/>
      <c r="BI150" s="425"/>
      <c r="BJ150" s="425"/>
      <c r="BK150" s="425"/>
      <c r="BL150" s="425"/>
    </row>
    <row r="151" spans="1:64" x14ac:dyDescent="0.25">
      <c r="A151" s="996" t="s">
        <v>786</v>
      </c>
      <c r="C151" s="996" t="s">
        <v>783</v>
      </c>
      <c r="F151" s="996" t="s">
        <v>784</v>
      </c>
      <c r="I151" s="466">
        <v>-4165</v>
      </c>
      <c r="J151" s="174"/>
      <c r="K151" s="174"/>
      <c r="AO151" s="425"/>
      <c r="AP151" s="425"/>
      <c r="AQ151" s="425"/>
      <c r="AR151" s="425"/>
      <c r="AS151" s="425"/>
      <c r="AT151" s="425"/>
      <c r="AU151" s="425"/>
      <c r="AV151" s="425"/>
      <c r="AW151" s="425"/>
      <c r="AX151" s="425"/>
      <c r="AY151" s="425"/>
      <c r="AZ151" s="425"/>
      <c r="BA151" s="425"/>
      <c r="BB151" s="425"/>
      <c r="BC151" s="425"/>
      <c r="BD151" s="425"/>
      <c r="BE151" s="425"/>
      <c r="BF151" s="425"/>
      <c r="BG151" s="425"/>
      <c r="BH151" s="425"/>
      <c r="BI151" s="425"/>
      <c r="BJ151" s="425"/>
      <c r="BK151" s="425"/>
      <c r="BL151" s="425"/>
    </row>
    <row r="152" spans="1:64" x14ac:dyDescent="0.25">
      <c r="A152" s="996" t="s">
        <v>786</v>
      </c>
      <c r="C152" s="996" t="s">
        <v>783</v>
      </c>
      <c r="F152" s="996" t="s">
        <v>784</v>
      </c>
      <c r="I152" s="466">
        <v>-15225</v>
      </c>
      <c r="J152" s="174"/>
      <c r="K152" s="174"/>
      <c r="AO152" s="425"/>
      <c r="AP152" s="425"/>
      <c r="AQ152" s="425"/>
      <c r="AR152" s="425"/>
      <c r="AS152" s="425"/>
      <c r="AT152" s="425"/>
      <c r="AU152" s="425"/>
      <c r="AV152" s="425"/>
      <c r="AW152" s="425"/>
      <c r="AX152" s="425"/>
      <c r="AY152" s="425"/>
      <c r="AZ152" s="425"/>
      <c r="BA152" s="425"/>
      <c r="BB152" s="425"/>
      <c r="BC152" s="425"/>
      <c r="BD152" s="425"/>
      <c r="BE152" s="425"/>
      <c r="BF152" s="425"/>
      <c r="BG152" s="425"/>
      <c r="BH152" s="425"/>
      <c r="BI152" s="425"/>
      <c r="BJ152" s="425"/>
      <c r="BK152" s="425"/>
      <c r="BL152" s="425"/>
    </row>
    <row r="153" spans="1:64" x14ac:dyDescent="0.25">
      <c r="A153" s="996" t="s">
        <v>786</v>
      </c>
      <c r="C153" s="996" t="s">
        <v>783</v>
      </c>
      <c r="F153" s="996" t="s">
        <v>784</v>
      </c>
      <c r="I153" s="466">
        <v>-101615</v>
      </c>
      <c r="J153" s="174"/>
      <c r="K153" s="174"/>
      <c r="AO153" s="425"/>
      <c r="AP153" s="425"/>
      <c r="AQ153" s="425"/>
      <c r="AR153" s="425"/>
      <c r="AS153" s="425"/>
      <c r="AT153" s="425"/>
      <c r="AU153" s="425"/>
      <c r="AV153" s="425"/>
      <c r="AW153" s="425"/>
      <c r="AX153" s="425"/>
      <c r="AY153" s="425"/>
      <c r="AZ153" s="425"/>
      <c r="BA153" s="425"/>
      <c r="BB153" s="425"/>
      <c r="BC153" s="425"/>
      <c r="BD153" s="425"/>
      <c r="BE153" s="425"/>
      <c r="BF153" s="425"/>
      <c r="BG153" s="425"/>
      <c r="BH153" s="425"/>
      <c r="BI153" s="425"/>
      <c r="BJ153" s="425"/>
      <c r="BK153" s="425"/>
      <c r="BL153" s="425"/>
    </row>
    <row r="154" spans="1:64" x14ac:dyDescent="0.25">
      <c r="A154" s="996" t="s">
        <v>787</v>
      </c>
      <c r="C154" s="996" t="s">
        <v>783</v>
      </c>
      <c r="F154" s="996" t="s">
        <v>788</v>
      </c>
      <c r="I154" s="466">
        <v>-78990</v>
      </c>
      <c r="J154" s="174"/>
      <c r="K154" s="174"/>
      <c r="AO154" s="425"/>
      <c r="AP154" s="425"/>
      <c r="AQ154" s="425"/>
      <c r="AR154" s="425"/>
      <c r="AS154" s="425"/>
      <c r="AT154" s="425"/>
      <c r="AU154" s="425"/>
      <c r="AV154" s="425"/>
      <c r="AW154" s="425"/>
      <c r="AX154" s="425"/>
      <c r="AY154" s="425"/>
      <c r="AZ154" s="425"/>
      <c r="BA154" s="425"/>
      <c r="BB154" s="425"/>
      <c r="BC154" s="425"/>
      <c r="BD154" s="425"/>
      <c r="BE154" s="425"/>
      <c r="BF154" s="425"/>
      <c r="BG154" s="425"/>
      <c r="BH154" s="425"/>
      <c r="BI154" s="425"/>
      <c r="BJ154" s="425"/>
      <c r="BK154" s="425"/>
      <c r="BL154" s="425"/>
    </row>
    <row r="155" spans="1:64" x14ac:dyDescent="0.25">
      <c r="I155" s="451"/>
      <c r="J155" s="174"/>
      <c r="K155" s="174"/>
      <c r="AO155" s="425"/>
      <c r="AP155" s="425"/>
      <c r="AQ155" s="425"/>
      <c r="AR155" s="425"/>
      <c r="AS155" s="425"/>
      <c r="AT155" s="425"/>
      <c r="AU155" s="425"/>
      <c r="AV155" s="425"/>
      <c r="AW155" s="425"/>
      <c r="AX155" s="425"/>
      <c r="AY155" s="425"/>
      <c r="AZ155" s="425"/>
      <c r="BA155" s="425"/>
      <c r="BB155" s="425"/>
      <c r="BC155" s="425"/>
      <c r="BD155" s="425"/>
      <c r="BE155" s="425"/>
      <c r="BF155" s="425"/>
      <c r="BG155" s="425"/>
      <c r="BH155" s="425"/>
      <c r="BI155" s="425"/>
      <c r="BJ155" s="425"/>
      <c r="BK155" s="425"/>
      <c r="BL155" s="425"/>
    </row>
    <row r="156" spans="1:64" ht="16.5" thickBot="1" x14ac:dyDescent="0.3">
      <c r="C156" s="996" t="s">
        <v>171</v>
      </c>
      <c r="I156" s="470">
        <f>SUM(I147:I155)</f>
        <v>-324105</v>
      </c>
      <c r="J156" s="174"/>
      <c r="K156" s="174"/>
      <c r="L156" s="990"/>
      <c r="AO156" s="425"/>
      <c r="AP156" s="425"/>
      <c r="AQ156" s="425"/>
      <c r="AR156" s="425"/>
      <c r="AS156" s="425"/>
      <c r="AT156" s="425"/>
      <c r="AU156" s="425"/>
      <c r="AV156" s="425"/>
      <c r="AW156" s="425"/>
      <c r="AX156" s="425"/>
      <c r="AY156" s="425"/>
      <c r="AZ156" s="425"/>
      <c r="BA156" s="425"/>
      <c r="BB156" s="425"/>
      <c r="BC156" s="425"/>
      <c r="BD156" s="425"/>
      <c r="BE156" s="425"/>
      <c r="BF156" s="425"/>
      <c r="BG156" s="425"/>
      <c r="BH156" s="425"/>
      <c r="BI156" s="425"/>
      <c r="BJ156" s="425"/>
      <c r="BK156" s="425"/>
      <c r="BL156" s="425"/>
    </row>
    <row r="157" spans="1:64" ht="24" customHeight="1" thickTop="1" x14ac:dyDescent="0.25">
      <c r="A157" s="1273" t="s">
        <v>1144</v>
      </c>
      <c r="J157" s="174"/>
      <c r="K157" s="174"/>
      <c r="AO157" s="425"/>
      <c r="AP157" s="425"/>
      <c r="AQ157" s="425"/>
      <c r="AR157" s="425"/>
      <c r="AS157" s="425"/>
      <c r="AT157" s="425"/>
      <c r="AU157" s="425"/>
      <c r="AV157" s="425"/>
      <c r="AW157" s="425"/>
      <c r="AX157" s="425"/>
      <c r="AY157" s="425"/>
      <c r="AZ157" s="425"/>
      <c r="BA157" s="425"/>
      <c r="BB157" s="425"/>
      <c r="BC157" s="425"/>
      <c r="BD157" s="425"/>
      <c r="BE157" s="425"/>
      <c r="BF157" s="425"/>
      <c r="BG157" s="425"/>
      <c r="BH157" s="425"/>
      <c r="BI157" s="425"/>
      <c r="BJ157" s="425"/>
      <c r="BK157" s="425"/>
      <c r="BL157" s="425"/>
    </row>
    <row r="158" spans="1:64" x14ac:dyDescent="0.25">
      <c r="A158" s="1273"/>
      <c r="J158" s="174"/>
      <c r="K158" s="174"/>
      <c r="AO158" s="425"/>
      <c r="AP158" s="425"/>
      <c r="AQ158" s="425"/>
      <c r="AR158" s="425"/>
      <c r="AS158" s="425"/>
      <c r="AT158" s="425"/>
      <c r="AU158" s="425"/>
      <c r="AV158" s="425"/>
      <c r="AW158" s="425"/>
      <c r="AX158" s="425"/>
      <c r="AY158" s="425"/>
      <c r="AZ158" s="425"/>
      <c r="BA158" s="425"/>
      <c r="BB158" s="425"/>
      <c r="BC158" s="425"/>
      <c r="BD158" s="425"/>
      <c r="BE158" s="425"/>
      <c r="BF158" s="425"/>
      <c r="BG158" s="425"/>
      <c r="BH158" s="425"/>
      <c r="BI158" s="425"/>
      <c r="BJ158" s="425"/>
      <c r="BK158" s="425"/>
      <c r="BL158" s="425"/>
    </row>
    <row r="159" spans="1:64" x14ac:dyDescent="0.25">
      <c r="A159" s="1441" t="s">
        <v>16</v>
      </c>
      <c r="B159" s="1441"/>
      <c r="C159" s="1441"/>
      <c r="D159" s="1441"/>
      <c r="E159" s="1441"/>
      <c r="F159" s="1441"/>
      <c r="G159" s="1441"/>
      <c r="H159" s="1441"/>
      <c r="I159" s="1441"/>
      <c r="J159" s="174"/>
      <c r="K159" s="174"/>
      <c r="M159" s="429"/>
      <c r="AF159" s="466"/>
      <c r="AG159" s="466"/>
      <c r="AH159" s="466"/>
      <c r="AI159" s="466"/>
      <c r="AO159" s="425"/>
      <c r="AP159" s="425"/>
      <c r="AQ159" s="425"/>
      <c r="AR159" s="425"/>
      <c r="AS159" s="425"/>
      <c r="AT159" s="425"/>
      <c r="AU159" s="425"/>
      <c r="AV159" s="425"/>
      <c r="AW159" s="425"/>
      <c r="AX159" s="425"/>
      <c r="AY159" s="425"/>
      <c r="AZ159" s="425"/>
      <c r="BA159" s="425"/>
      <c r="BB159" s="425"/>
      <c r="BC159" s="425"/>
      <c r="BD159" s="425"/>
      <c r="BE159" s="425"/>
      <c r="BF159" s="425"/>
      <c r="BG159" s="425"/>
      <c r="BH159" s="425"/>
      <c r="BI159" s="425"/>
      <c r="BJ159" s="425"/>
      <c r="BK159" s="425"/>
      <c r="BL159" s="425"/>
    </row>
    <row r="160" spans="1:64" x14ac:dyDescent="0.25">
      <c r="A160" s="174"/>
      <c r="B160" s="174"/>
      <c r="C160" s="174"/>
      <c r="D160" s="174"/>
      <c r="E160" s="174"/>
      <c r="F160" s="174"/>
      <c r="G160" s="174"/>
      <c r="H160" s="174"/>
      <c r="I160" s="174"/>
      <c r="J160" s="174"/>
      <c r="K160" s="174"/>
      <c r="M160" s="429"/>
      <c r="AF160" s="466"/>
      <c r="AG160" s="466"/>
      <c r="AH160" s="466"/>
      <c r="AI160" s="466"/>
      <c r="AO160" s="425"/>
      <c r="AP160" s="425"/>
      <c r="AQ160" s="425"/>
      <c r="AR160" s="425"/>
      <c r="AS160" s="425"/>
      <c r="AT160" s="425"/>
      <c r="AU160" s="425"/>
      <c r="AV160" s="425"/>
      <c r="AW160" s="425"/>
      <c r="AX160" s="425"/>
      <c r="AY160" s="425"/>
      <c r="AZ160" s="425"/>
      <c r="BA160" s="425"/>
      <c r="BB160" s="425"/>
      <c r="BC160" s="425"/>
      <c r="BD160" s="425"/>
      <c r="BE160" s="425"/>
      <c r="BF160" s="425"/>
      <c r="BG160" s="425"/>
      <c r="BH160" s="425"/>
      <c r="BI160" s="425"/>
      <c r="BJ160" s="425"/>
      <c r="BK160" s="425"/>
      <c r="BL160" s="425"/>
    </row>
    <row r="161" spans="1:64" x14ac:dyDescent="0.25">
      <c r="A161" s="1441" t="s">
        <v>611</v>
      </c>
      <c r="B161" s="1441"/>
      <c r="C161" s="1441"/>
      <c r="D161" s="1441"/>
      <c r="E161" s="1441"/>
      <c r="F161" s="1441"/>
      <c r="G161" s="1441"/>
      <c r="H161" s="1441"/>
      <c r="I161" s="1441"/>
      <c r="J161" s="174"/>
      <c r="K161" s="174"/>
      <c r="M161" s="429"/>
      <c r="AF161" s="466"/>
      <c r="AG161" s="466"/>
      <c r="AI161" s="466"/>
      <c r="AO161" s="425"/>
      <c r="AP161" s="425"/>
      <c r="AQ161" s="425"/>
      <c r="AR161" s="425"/>
      <c r="AS161" s="425"/>
      <c r="AT161" s="425"/>
      <c r="AU161" s="425"/>
      <c r="AV161" s="425"/>
      <c r="AW161" s="425"/>
      <c r="AX161" s="425"/>
      <c r="AY161" s="425"/>
      <c r="AZ161" s="425"/>
      <c r="BA161" s="425"/>
      <c r="BB161" s="425"/>
      <c r="BC161" s="425"/>
      <c r="BD161" s="425"/>
      <c r="BE161" s="425"/>
      <c r="BF161" s="425"/>
      <c r="BG161" s="425"/>
      <c r="BH161" s="425"/>
      <c r="BI161" s="425"/>
      <c r="BJ161" s="425"/>
      <c r="BK161" s="425"/>
      <c r="BL161" s="425"/>
    </row>
    <row r="162" spans="1:64" x14ac:dyDescent="0.25">
      <c r="A162" s="174"/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M162" s="429"/>
      <c r="AF162" s="466"/>
      <c r="AG162" s="466"/>
      <c r="AI162" s="466"/>
      <c r="AO162" s="425"/>
      <c r="AP162" s="425"/>
      <c r="AQ162" s="425"/>
      <c r="AR162" s="425"/>
      <c r="AS162" s="425"/>
      <c r="AT162" s="425"/>
      <c r="AU162" s="425"/>
      <c r="AV162" s="425"/>
      <c r="AW162" s="425"/>
      <c r="AX162" s="425"/>
      <c r="AY162" s="425"/>
      <c r="AZ162" s="425"/>
      <c r="BA162" s="425"/>
      <c r="BB162" s="425"/>
      <c r="BC162" s="425"/>
      <c r="BD162" s="425"/>
      <c r="BE162" s="425"/>
      <c r="BF162" s="425"/>
      <c r="BG162" s="425"/>
      <c r="BH162" s="425"/>
      <c r="BI162" s="425"/>
      <c r="BJ162" s="425"/>
      <c r="BK162" s="425"/>
      <c r="BL162" s="425"/>
    </row>
    <row r="163" spans="1:64" x14ac:dyDescent="0.25">
      <c r="A163" s="1445">
        <v>13</v>
      </c>
      <c r="B163" s="1445"/>
      <c r="C163" s="1445"/>
      <c r="D163" s="1445"/>
      <c r="E163" s="1445"/>
      <c r="F163" s="1445"/>
      <c r="G163" s="1445"/>
      <c r="H163" s="1445"/>
      <c r="I163" s="1445"/>
      <c r="J163" s="174"/>
      <c r="K163" s="174"/>
      <c r="M163" s="429"/>
      <c r="P163" s="447"/>
      <c r="Q163" s="447"/>
      <c r="AF163" s="466"/>
      <c r="AG163" s="466"/>
      <c r="AI163" s="466"/>
      <c r="AO163" s="425"/>
      <c r="AP163" s="425"/>
      <c r="AQ163" s="425"/>
      <c r="AR163" s="425"/>
      <c r="AS163" s="425"/>
      <c r="AT163" s="425"/>
      <c r="AU163" s="425"/>
      <c r="AV163" s="425"/>
      <c r="AW163" s="425"/>
      <c r="AX163" s="425"/>
      <c r="AY163" s="425"/>
      <c r="AZ163" s="425"/>
      <c r="BA163" s="425"/>
      <c r="BB163" s="425"/>
      <c r="BC163" s="425"/>
      <c r="BD163" s="425"/>
      <c r="BE163" s="425"/>
      <c r="BF163" s="425"/>
      <c r="BG163" s="425"/>
      <c r="BH163" s="425"/>
      <c r="BI163" s="425"/>
      <c r="BJ163" s="425"/>
      <c r="BK163" s="425"/>
      <c r="BL163" s="425"/>
    </row>
    <row r="164" spans="1:64" x14ac:dyDescent="0.25">
      <c r="A164" s="1436" t="s">
        <v>232</v>
      </c>
      <c r="B164" s="1436"/>
      <c r="C164" s="1436"/>
      <c r="D164" s="1436"/>
      <c r="E164" s="1436"/>
      <c r="F164" s="1436"/>
      <c r="G164" s="1436"/>
      <c r="H164" s="1436"/>
      <c r="I164" s="1436"/>
      <c r="J164" s="174"/>
      <c r="K164" s="177"/>
      <c r="M164" s="429"/>
      <c r="P164" s="447"/>
      <c r="Q164" s="447"/>
      <c r="AF164" s="466"/>
      <c r="AG164" s="466"/>
      <c r="AI164" s="466"/>
      <c r="AO164" s="425"/>
      <c r="AP164" s="425"/>
      <c r="AQ164" s="425"/>
      <c r="AR164" s="425"/>
      <c r="AS164" s="425"/>
      <c r="AT164" s="425"/>
      <c r="AU164" s="425"/>
      <c r="AV164" s="425"/>
      <c r="AW164" s="425"/>
      <c r="AX164" s="425"/>
      <c r="AY164" s="425"/>
      <c r="AZ164" s="425"/>
      <c r="BA164" s="425"/>
      <c r="BB164" s="425"/>
      <c r="BC164" s="425"/>
      <c r="BD164" s="425"/>
      <c r="BE164" s="425"/>
      <c r="BF164" s="425"/>
      <c r="BG164" s="425"/>
      <c r="BH164" s="425"/>
      <c r="BI164" s="425"/>
      <c r="BJ164" s="425"/>
      <c r="BK164" s="425"/>
      <c r="BL164" s="425"/>
    </row>
    <row r="165" spans="1:64" x14ac:dyDescent="0.25">
      <c r="A165" s="174"/>
      <c r="B165" s="174"/>
      <c r="C165" s="174"/>
      <c r="D165" s="174"/>
      <c r="E165" s="174"/>
      <c r="F165" s="174"/>
      <c r="G165" s="174"/>
      <c r="H165" s="174"/>
      <c r="I165" s="1105" t="s">
        <v>17</v>
      </c>
      <c r="J165" s="174"/>
      <c r="K165" s="166"/>
      <c r="L165" s="466"/>
      <c r="M165" s="429"/>
      <c r="P165" s="447"/>
      <c r="Q165" s="447"/>
      <c r="AF165" s="466"/>
      <c r="AG165" s="466"/>
      <c r="AI165" s="466"/>
      <c r="AO165" s="425"/>
      <c r="AP165" s="425"/>
      <c r="AQ165" s="425"/>
      <c r="AR165" s="425"/>
      <c r="AS165" s="425"/>
      <c r="AT165" s="425"/>
      <c r="AU165" s="425"/>
      <c r="AV165" s="425"/>
      <c r="AW165" s="425"/>
      <c r="AX165" s="425"/>
      <c r="AY165" s="425"/>
      <c r="AZ165" s="425"/>
      <c r="BA165" s="425"/>
      <c r="BB165" s="425"/>
      <c r="BC165" s="425"/>
      <c r="BD165" s="425"/>
      <c r="BE165" s="425"/>
      <c r="BF165" s="425"/>
      <c r="BG165" s="425"/>
      <c r="BH165" s="425"/>
      <c r="BI165" s="425"/>
      <c r="BJ165" s="425"/>
      <c r="BK165" s="425"/>
      <c r="BL165" s="425"/>
    </row>
    <row r="166" spans="1:64" x14ac:dyDescent="0.25">
      <c r="A166" s="1443" t="s">
        <v>1037</v>
      </c>
      <c r="B166" s="1443"/>
      <c r="C166" s="1443"/>
      <c r="D166" s="1443"/>
      <c r="E166" s="1443"/>
      <c r="F166" s="1443"/>
      <c r="G166" s="1443"/>
      <c r="H166" s="1443"/>
      <c r="I166" s="1443"/>
      <c r="J166" s="174"/>
      <c r="K166" s="177"/>
      <c r="L166" s="466"/>
      <c r="M166" s="429"/>
      <c r="P166" s="447"/>
      <c r="Q166" s="447"/>
      <c r="AC166" s="466"/>
      <c r="AF166" s="466"/>
      <c r="AG166" s="466"/>
      <c r="AI166" s="466"/>
      <c r="AO166" s="425"/>
      <c r="AP166" s="425"/>
      <c r="AQ166" s="425"/>
      <c r="AR166" s="425"/>
      <c r="AS166" s="425"/>
      <c r="AT166" s="425"/>
      <c r="AU166" s="425"/>
      <c r="AV166" s="425"/>
      <c r="AW166" s="425"/>
      <c r="AX166" s="425"/>
      <c r="AY166" s="425"/>
      <c r="AZ166" s="425"/>
      <c r="BA166" s="425"/>
      <c r="BB166" s="425"/>
      <c r="BC166" s="425"/>
      <c r="BD166" s="425"/>
      <c r="BE166" s="425"/>
      <c r="BF166" s="425"/>
      <c r="BG166" s="425"/>
      <c r="BH166" s="425"/>
      <c r="BI166" s="425"/>
      <c r="BJ166" s="425"/>
      <c r="BK166" s="425"/>
      <c r="BL166" s="425"/>
    </row>
    <row r="167" spans="1:64" x14ac:dyDescent="0.25">
      <c r="A167" s="1444" t="s">
        <v>169</v>
      </c>
      <c r="B167" s="1444"/>
      <c r="C167" s="1444"/>
      <c r="D167" s="1444"/>
      <c r="E167" s="1444"/>
      <c r="F167" s="1444"/>
      <c r="G167" s="1444"/>
      <c r="H167" s="1444"/>
      <c r="I167" s="1444"/>
      <c r="J167" s="174"/>
      <c r="K167" s="177"/>
      <c r="L167" s="466"/>
      <c r="M167" s="429"/>
      <c r="N167" s="466"/>
      <c r="P167" s="447"/>
      <c r="Q167" s="447"/>
      <c r="AO167" s="425"/>
      <c r="AP167" s="425"/>
      <c r="AQ167" s="425"/>
      <c r="AR167" s="425"/>
      <c r="AS167" s="425"/>
      <c r="AT167" s="425"/>
      <c r="AU167" s="425"/>
      <c r="AV167" s="425"/>
      <c r="AW167" s="425"/>
      <c r="AX167" s="425"/>
      <c r="AY167" s="425"/>
      <c r="AZ167" s="425"/>
      <c r="BA167" s="425"/>
      <c r="BB167" s="425"/>
      <c r="BC167" s="425"/>
      <c r="BD167" s="425"/>
      <c r="BE167" s="425"/>
      <c r="BF167" s="425"/>
      <c r="BG167" s="425"/>
      <c r="BH167" s="425"/>
      <c r="BI167" s="425"/>
      <c r="BJ167" s="425"/>
      <c r="BK167" s="425"/>
      <c r="BL167" s="425"/>
    </row>
    <row r="168" spans="1:64" x14ac:dyDescent="0.25">
      <c r="A168" s="65"/>
      <c r="B168" s="174"/>
      <c r="C168" s="174"/>
      <c r="D168" s="174"/>
      <c r="E168" s="174"/>
      <c r="F168" s="174"/>
      <c r="G168" s="174"/>
      <c r="H168" s="174"/>
      <c r="I168" s="174"/>
      <c r="J168" s="174"/>
      <c r="K168" s="177"/>
      <c r="L168" s="466"/>
      <c r="M168" s="429"/>
      <c r="N168" s="466"/>
      <c r="P168" s="447"/>
      <c r="Q168" s="447"/>
      <c r="AO168" s="425"/>
      <c r="AP168" s="425"/>
      <c r="AQ168" s="425"/>
      <c r="AR168" s="425"/>
      <c r="AS168" s="425"/>
      <c r="AT168" s="425"/>
      <c r="AU168" s="425"/>
      <c r="AV168" s="425"/>
      <c r="AW168" s="425"/>
      <c r="AX168" s="425"/>
      <c r="AY168" s="425"/>
      <c r="AZ168" s="425"/>
      <c r="BA168" s="425"/>
      <c r="BB168" s="425"/>
      <c r="BC168" s="425"/>
      <c r="BD168" s="425"/>
      <c r="BE168" s="425"/>
      <c r="BF168" s="425"/>
      <c r="BG168" s="425"/>
      <c r="BH168" s="425"/>
      <c r="BI168" s="425"/>
      <c r="BJ168" s="425"/>
      <c r="BK168" s="425"/>
      <c r="BL168" s="425"/>
    </row>
    <row r="169" spans="1:64" ht="15.75" customHeight="1" x14ac:dyDescent="0.25">
      <c r="A169" s="21" t="s">
        <v>305</v>
      </c>
      <c r="B169" s="21"/>
      <c r="C169" s="21"/>
      <c r="D169" s="21"/>
      <c r="E169" s="21"/>
      <c r="F169" s="21"/>
      <c r="G169" s="21"/>
      <c r="H169" s="21"/>
      <c r="I169" s="21"/>
      <c r="J169" s="1107"/>
      <c r="K169" s="709"/>
      <c r="AO169" s="425"/>
      <c r="AP169" s="425"/>
      <c r="AQ169" s="425"/>
      <c r="AR169" s="425"/>
      <c r="AS169" s="425"/>
      <c r="AT169" s="425"/>
      <c r="AU169" s="425"/>
      <c r="AV169" s="425"/>
      <c r="AW169" s="425"/>
      <c r="AX169" s="425"/>
      <c r="AY169" s="425"/>
      <c r="AZ169" s="425"/>
      <c r="BA169" s="425"/>
      <c r="BB169" s="425"/>
      <c r="BC169" s="425"/>
      <c r="BD169" s="425"/>
      <c r="BE169" s="425"/>
      <c r="BF169" s="425"/>
      <c r="BG169" s="425"/>
      <c r="BH169" s="425"/>
      <c r="BI169" s="425"/>
      <c r="BJ169" s="425"/>
      <c r="BK169" s="425"/>
      <c r="BL169" s="425"/>
    </row>
    <row r="170" spans="1:64" ht="15.75" customHeight="1" x14ac:dyDescent="0.25">
      <c r="A170" s="1107"/>
      <c r="B170" s="1107"/>
      <c r="C170" s="1107"/>
      <c r="D170" s="1107"/>
      <c r="E170" s="1107"/>
      <c r="F170" s="1107"/>
      <c r="G170" s="1107"/>
      <c r="H170" s="1107"/>
      <c r="I170" s="1107"/>
      <c r="J170" s="1107"/>
      <c r="K170" s="709"/>
      <c r="AO170" s="425"/>
      <c r="AP170" s="425"/>
      <c r="AQ170" s="425"/>
      <c r="AR170" s="425"/>
      <c r="AS170" s="425"/>
      <c r="AT170" s="425"/>
      <c r="AU170" s="425"/>
      <c r="AV170" s="425"/>
      <c r="AW170" s="425"/>
      <c r="AX170" s="425"/>
      <c r="AY170" s="425"/>
      <c r="AZ170" s="425"/>
      <c r="BA170" s="425"/>
      <c r="BB170" s="425"/>
      <c r="BC170" s="425"/>
      <c r="BD170" s="425"/>
      <c r="BE170" s="425"/>
      <c r="BF170" s="425"/>
      <c r="BG170" s="425"/>
      <c r="BH170" s="425"/>
      <c r="BI170" s="425"/>
      <c r="BJ170" s="425"/>
      <c r="BK170" s="425"/>
      <c r="BL170" s="425"/>
    </row>
    <row r="171" spans="1:64" ht="15.75" customHeight="1" x14ac:dyDescent="0.25">
      <c r="A171" s="710" t="s">
        <v>1125</v>
      </c>
      <c r="B171" s="1104"/>
      <c r="C171" s="1104"/>
      <c r="D171" s="1104"/>
      <c r="E171" s="1104"/>
      <c r="F171" s="1104"/>
      <c r="G171" s="1104"/>
      <c r="H171" s="1104"/>
      <c r="I171" s="1104"/>
      <c r="K171" s="454"/>
      <c r="AO171" s="425"/>
      <c r="AP171" s="425"/>
      <c r="AQ171" s="425"/>
      <c r="AR171" s="425"/>
      <c r="AS171" s="425"/>
      <c r="AT171" s="425"/>
      <c r="AU171" s="425"/>
      <c r="AV171" s="425"/>
      <c r="AW171" s="425"/>
      <c r="AX171" s="425"/>
      <c r="AY171" s="425"/>
      <c r="AZ171" s="425"/>
      <c r="BA171" s="425"/>
      <c r="BB171" s="425"/>
      <c r="BC171" s="425"/>
      <c r="BD171" s="425"/>
      <c r="BE171" s="425"/>
      <c r="BF171" s="425"/>
      <c r="BG171" s="425"/>
      <c r="BH171" s="425"/>
      <c r="BI171" s="425"/>
      <c r="BJ171" s="425"/>
      <c r="BK171" s="425"/>
      <c r="BL171" s="425"/>
    </row>
    <row r="172" spans="1:64" ht="15.75" customHeight="1" x14ac:dyDescent="0.25">
      <c r="A172" s="710" t="s">
        <v>180</v>
      </c>
      <c r="B172" s="1104"/>
      <c r="C172" s="1104"/>
      <c r="D172" s="1104"/>
      <c r="E172" s="1104"/>
      <c r="F172" s="1104"/>
      <c r="G172" s="1104"/>
      <c r="H172" s="1104"/>
      <c r="I172" s="61"/>
      <c r="J172" s="61"/>
      <c r="K172" s="61"/>
      <c r="R172" s="227"/>
      <c r="S172" s="227"/>
      <c r="AO172" s="425"/>
      <c r="AP172" s="425"/>
      <c r="AQ172" s="425"/>
      <c r="AR172" s="425"/>
      <c r="AS172" s="425"/>
      <c r="AT172" s="425"/>
      <c r="AU172" s="425"/>
      <c r="AV172" s="425"/>
      <c r="AW172" s="425"/>
      <c r="AX172" s="425"/>
      <c r="AY172" s="425"/>
      <c r="AZ172" s="425"/>
      <c r="BA172" s="425"/>
      <c r="BB172" s="425"/>
      <c r="BC172" s="425"/>
      <c r="BD172" s="425"/>
      <c r="BE172" s="425"/>
      <c r="BF172" s="425"/>
      <c r="BG172" s="425"/>
      <c r="BH172" s="425"/>
      <c r="BI172" s="425"/>
      <c r="BJ172" s="425"/>
      <c r="BK172" s="425"/>
      <c r="BL172" s="425"/>
    </row>
    <row r="173" spans="1:64" x14ac:dyDescent="0.25">
      <c r="A173" s="1111"/>
      <c r="B173" s="1104"/>
      <c r="C173" s="1104"/>
      <c r="D173" s="1104"/>
      <c r="E173" s="1104"/>
      <c r="F173" s="1104"/>
      <c r="G173" s="1104"/>
      <c r="H173" s="1104"/>
      <c r="I173" s="61"/>
      <c r="J173" s="61"/>
      <c r="K173" s="61"/>
      <c r="R173" s="227"/>
      <c r="S173" s="227"/>
      <c r="T173" s="227"/>
      <c r="U173" s="99"/>
      <c r="V173" s="99"/>
      <c r="AO173" s="425"/>
      <c r="AP173" s="425"/>
      <c r="AQ173" s="425"/>
      <c r="AR173" s="425"/>
      <c r="AS173" s="425"/>
      <c r="AT173" s="425"/>
      <c r="AU173" s="425"/>
      <c r="AV173" s="425"/>
      <c r="AW173" s="425"/>
      <c r="AX173" s="425"/>
      <c r="AY173" s="425"/>
      <c r="AZ173" s="425"/>
      <c r="BA173" s="425"/>
      <c r="BB173" s="425"/>
      <c r="BC173" s="425"/>
      <c r="BD173" s="425"/>
      <c r="BE173" s="425"/>
      <c r="BF173" s="425"/>
      <c r="BG173" s="425"/>
      <c r="BH173" s="425"/>
      <c r="BI173" s="425"/>
      <c r="BJ173" s="425"/>
      <c r="BK173" s="425"/>
      <c r="BL173" s="425"/>
    </row>
    <row r="174" spans="1:64" x14ac:dyDescent="0.25">
      <c r="A174" s="1104" t="s">
        <v>220</v>
      </c>
      <c r="B174" s="996" t="s">
        <v>1040</v>
      </c>
      <c r="J174" s="425"/>
      <c r="K174" s="454"/>
      <c r="L174" s="131"/>
      <c r="T174" s="227"/>
      <c r="U174" s="99"/>
      <c r="V174" s="99"/>
      <c r="AO174" s="425"/>
      <c r="AP174" s="425"/>
      <c r="AQ174" s="425"/>
      <c r="AR174" s="425"/>
      <c r="AS174" s="425"/>
      <c r="AT174" s="425"/>
      <c r="AU174" s="425"/>
      <c r="AV174" s="425"/>
      <c r="AW174" s="425"/>
      <c r="AX174" s="425"/>
      <c r="AY174" s="425"/>
      <c r="AZ174" s="425"/>
      <c r="BA174" s="425"/>
      <c r="BB174" s="425"/>
      <c r="BC174" s="425"/>
      <c r="BD174" s="425"/>
      <c r="BE174" s="425"/>
      <c r="BF174" s="425"/>
      <c r="BG174" s="425"/>
      <c r="BH174" s="425"/>
      <c r="BI174" s="425"/>
      <c r="BJ174" s="425"/>
      <c r="BK174" s="425"/>
      <c r="BL174" s="425"/>
    </row>
    <row r="175" spans="1:64" x14ac:dyDescent="0.25">
      <c r="A175" s="1104"/>
      <c r="B175" s="996" t="s">
        <v>801</v>
      </c>
      <c r="J175" s="425"/>
      <c r="K175" s="466"/>
      <c r="L175" s="131"/>
      <c r="AO175" s="425"/>
      <c r="AP175" s="425"/>
      <c r="AQ175" s="425"/>
      <c r="AR175" s="425"/>
      <c r="AS175" s="425"/>
      <c r="AT175" s="425"/>
      <c r="AU175" s="425"/>
      <c r="AV175" s="425"/>
      <c r="AW175" s="425"/>
      <c r="AX175" s="425"/>
      <c r="AY175" s="425"/>
      <c r="AZ175" s="425"/>
      <c r="BA175" s="425"/>
      <c r="BB175" s="425"/>
      <c r="BC175" s="425"/>
      <c r="BD175" s="425"/>
      <c r="BE175" s="425"/>
      <c r="BF175" s="425"/>
      <c r="BG175" s="425"/>
      <c r="BH175" s="425"/>
      <c r="BI175" s="425"/>
      <c r="BJ175" s="425"/>
      <c r="BK175" s="425"/>
      <c r="BL175" s="425"/>
    </row>
    <row r="176" spans="1:64" x14ac:dyDescent="0.25">
      <c r="A176" s="1104"/>
      <c r="I176" s="993"/>
      <c r="J176" s="425"/>
      <c r="K176" s="466"/>
      <c r="U176" s="989"/>
      <c r="V176" s="989"/>
      <c r="AO176" s="425"/>
      <c r="AP176" s="425"/>
      <c r="AQ176" s="425"/>
      <c r="AR176" s="425"/>
      <c r="AS176" s="425"/>
      <c r="AT176" s="425"/>
      <c r="AU176" s="425"/>
      <c r="AV176" s="425"/>
      <c r="AW176" s="425"/>
      <c r="AX176" s="425"/>
      <c r="AY176" s="425"/>
      <c r="AZ176" s="425"/>
      <c r="BA176" s="425"/>
      <c r="BB176" s="425"/>
      <c r="BC176" s="425"/>
      <c r="BD176" s="425"/>
      <c r="BE176" s="425"/>
      <c r="BF176" s="425"/>
      <c r="BG176" s="425"/>
      <c r="BH176" s="425"/>
      <c r="BI176" s="425"/>
      <c r="BJ176" s="425"/>
      <c r="BK176" s="425"/>
      <c r="BL176" s="425"/>
    </row>
    <row r="177" spans="1:64" x14ac:dyDescent="0.25">
      <c r="A177" s="1104"/>
      <c r="B177" s="996" t="s">
        <v>1112</v>
      </c>
      <c r="G177" s="454">
        <v>199050</v>
      </c>
      <c r="I177" s="993"/>
      <c r="J177" s="425"/>
      <c r="K177" s="466"/>
      <c r="AO177" s="425"/>
      <c r="AP177" s="425"/>
      <c r="AQ177" s="425"/>
      <c r="AR177" s="425"/>
      <c r="AS177" s="425"/>
      <c r="AT177" s="425"/>
      <c r="AU177" s="425"/>
      <c r="AV177" s="425"/>
      <c r="AW177" s="425"/>
      <c r="AX177" s="425"/>
      <c r="AY177" s="425"/>
      <c r="AZ177" s="425"/>
      <c r="BA177" s="425"/>
      <c r="BB177" s="425"/>
      <c r="BC177" s="425"/>
      <c r="BD177" s="425"/>
      <c r="BE177" s="425"/>
      <c r="BF177" s="425"/>
      <c r="BG177" s="425"/>
      <c r="BH177" s="425"/>
      <c r="BI177" s="425"/>
      <c r="BJ177" s="425"/>
      <c r="BK177" s="425"/>
      <c r="BL177" s="425"/>
    </row>
    <row r="178" spans="1:64" x14ac:dyDescent="0.25">
      <c r="A178" s="425"/>
      <c r="B178" s="996" t="s">
        <v>1041</v>
      </c>
      <c r="E178" s="61"/>
      <c r="F178" s="61"/>
      <c r="G178" s="994">
        <v>-33552</v>
      </c>
      <c r="H178" s="61"/>
      <c r="J178" s="425"/>
      <c r="K178" s="466"/>
      <c r="AJ178" s="466"/>
      <c r="AO178" s="425"/>
      <c r="AP178" s="425"/>
      <c r="AQ178" s="425"/>
      <c r="AR178" s="425"/>
      <c r="AS178" s="425"/>
      <c r="AT178" s="425"/>
      <c r="AU178" s="425"/>
      <c r="AV178" s="425"/>
      <c r="AW178" s="425"/>
      <c r="AX178" s="425"/>
      <c r="AY178" s="425"/>
      <c r="AZ178" s="425"/>
      <c r="BA178" s="425"/>
      <c r="BB178" s="425"/>
      <c r="BC178" s="425"/>
      <c r="BD178" s="425"/>
      <c r="BE178" s="425"/>
      <c r="BF178" s="425"/>
      <c r="BG178" s="425"/>
      <c r="BH178" s="425"/>
      <c r="BI178" s="425"/>
      <c r="BJ178" s="425"/>
      <c r="BK178" s="425"/>
      <c r="BL178" s="425"/>
    </row>
    <row r="179" spans="1:64" x14ac:dyDescent="0.25">
      <c r="A179" s="185"/>
      <c r="C179" s="425"/>
      <c r="D179" s="425"/>
      <c r="E179" s="425"/>
      <c r="F179" s="425"/>
      <c r="G179" s="425"/>
      <c r="H179" s="425"/>
      <c r="I179" s="450"/>
      <c r="J179" s="425"/>
      <c r="K179" s="466"/>
      <c r="AF179" s="466"/>
      <c r="AO179" s="425"/>
      <c r="AP179" s="425"/>
      <c r="AQ179" s="425"/>
      <c r="AR179" s="425"/>
      <c r="AS179" s="425"/>
      <c r="AT179" s="425"/>
      <c r="AU179" s="425"/>
      <c r="AV179" s="425"/>
      <c r="AW179" s="425"/>
      <c r="AX179" s="425"/>
      <c r="AY179" s="425"/>
      <c r="AZ179" s="425"/>
      <c r="BA179" s="425"/>
      <c r="BB179" s="425"/>
      <c r="BC179" s="425"/>
      <c r="BD179" s="425"/>
      <c r="BE179" s="425"/>
      <c r="BF179" s="425"/>
      <c r="BG179" s="425"/>
      <c r="BH179" s="425"/>
      <c r="BI179" s="425"/>
      <c r="BJ179" s="425"/>
      <c r="BK179" s="425"/>
      <c r="BL179" s="425"/>
    </row>
    <row r="180" spans="1:64" x14ac:dyDescent="0.25">
      <c r="A180" s="185"/>
      <c r="C180" s="425" t="s">
        <v>107</v>
      </c>
      <c r="D180" s="425"/>
      <c r="E180" s="425"/>
      <c r="F180" s="425"/>
      <c r="G180" s="425"/>
      <c r="H180" s="425"/>
      <c r="I180" s="209">
        <f>G177+G178</f>
        <v>165498</v>
      </c>
      <c r="J180" s="425"/>
      <c r="K180" s="466"/>
      <c r="AF180" s="466"/>
      <c r="AO180" s="425"/>
      <c r="AP180" s="425"/>
      <c r="AQ180" s="425"/>
      <c r="AR180" s="425"/>
      <c r="AS180" s="425"/>
      <c r="AT180" s="425"/>
      <c r="AU180" s="425"/>
      <c r="AV180" s="425"/>
      <c r="AW180" s="425"/>
      <c r="AX180" s="425"/>
      <c r="AY180" s="425"/>
      <c r="AZ180" s="425"/>
      <c r="BA180" s="425"/>
      <c r="BB180" s="425"/>
      <c r="BC180" s="425"/>
      <c r="BD180" s="425"/>
      <c r="BE180" s="425"/>
      <c r="BF180" s="425"/>
      <c r="BG180" s="425"/>
      <c r="BH180" s="425"/>
      <c r="BI180" s="425"/>
      <c r="BJ180" s="425"/>
      <c r="BK180" s="425"/>
      <c r="BL180" s="425"/>
    </row>
    <row r="181" spans="1:64" x14ac:dyDescent="0.25">
      <c r="A181" s="185"/>
      <c r="C181" s="425"/>
      <c r="D181" s="425"/>
      <c r="E181" s="425"/>
      <c r="F181" s="425"/>
      <c r="G181" s="425"/>
      <c r="H181" s="425"/>
      <c r="I181" s="450"/>
      <c r="J181" s="425"/>
      <c r="K181" s="466"/>
      <c r="AF181" s="466"/>
      <c r="AO181" s="425"/>
      <c r="AP181" s="425"/>
      <c r="AQ181" s="425"/>
      <c r="AR181" s="425"/>
      <c r="AS181" s="425"/>
      <c r="AT181" s="425"/>
      <c r="AU181" s="425"/>
      <c r="AV181" s="425"/>
      <c r="AW181" s="425"/>
      <c r="AX181" s="425"/>
      <c r="AY181" s="425"/>
      <c r="AZ181" s="425"/>
      <c r="BA181" s="425"/>
      <c r="BB181" s="425"/>
      <c r="BC181" s="425"/>
      <c r="BD181" s="425"/>
      <c r="BE181" s="425"/>
      <c r="BF181" s="425"/>
      <c r="BG181" s="425"/>
      <c r="BH181" s="425"/>
      <c r="BI181" s="425"/>
      <c r="BJ181" s="425"/>
      <c r="BK181" s="425"/>
      <c r="BL181" s="425"/>
    </row>
    <row r="182" spans="1:64" x14ac:dyDescent="0.25">
      <c r="A182" s="141" t="s">
        <v>221</v>
      </c>
      <c r="B182" s="996" t="s">
        <v>1042</v>
      </c>
      <c r="I182" s="471"/>
      <c r="J182" s="203"/>
      <c r="K182" s="209"/>
    </row>
    <row r="183" spans="1:64" x14ac:dyDescent="0.25">
      <c r="B183" s="996" t="s">
        <v>519</v>
      </c>
      <c r="I183" s="471"/>
      <c r="J183" s="425"/>
      <c r="K183" s="425"/>
    </row>
    <row r="184" spans="1:64" x14ac:dyDescent="0.25">
      <c r="I184" s="471"/>
      <c r="J184" s="61"/>
      <c r="K184" s="61"/>
      <c r="N184" s="454"/>
    </row>
    <row r="185" spans="1:64" x14ac:dyDescent="0.25">
      <c r="B185" s="996" t="s">
        <v>1111</v>
      </c>
      <c r="G185" s="454">
        <v>147800</v>
      </c>
      <c r="I185" s="471"/>
      <c r="J185" s="425"/>
      <c r="K185" s="425"/>
      <c r="L185" s="475"/>
    </row>
    <row r="186" spans="1:64" x14ac:dyDescent="0.25">
      <c r="B186" s="996" t="s">
        <v>912</v>
      </c>
      <c r="G186" s="994">
        <v>5</v>
      </c>
      <c r="I186" s="471"/>
      <c r="J186" s="425"/>
      <c r="K186" s="425"/>
      <c r="L186" s="131"/>
    </row>
    <row r="187" spans="1:64" x14ac:dyDescent="0.25">
      <c r="I187" s="471"/>
      <c r="J187" s="61"/>
      <c r="K187" s="61"/>
      <c r="AF187" s="454"/>
      <c r="AI187" s="227"/>
      <c r="AJ187" s="227"/>
    </row>
    <row r="188" spans="1:64" x14ac:dyDescent="0.25">
      <c r="C188" s="996" t="s">
        <v>107</v>
      </c>
      <c r="I188" s="450">
        <f>G185/G186</f>
        <v>29560</v>
      </c>
      <c r="J188" s="425"/>
      <c r="K188" s="425"/>
      <c r="O188" s="447"/>
      <c r="W188" s="227"/>
      <c r="X188" s="227"/>
      <c r="AF188" s="466"/>
      <c r="AI188" s="227"/>
      <c r="AJ188" s="227"/>
      <c r="AK188" s="454"/>
    </row>
    <row r="189" spans="1:64" x14ac:dyDescent="0.25">
      <c r="I189" s="471"/>
      <c r="J189" s="425"/>
      <c r="K189" s="454"/>
      <c r="O189" s="447"/>
      <c r="W189" s="227"/>
      <c r="X189" s="227"/>
      <c r="AH189" s="466"/>
      <c r="AI189" s="227"/>
      <c r="AJ189" s="227"/>
    </row>
    <row r="190" spans="1:64" x14ac:dyDescent="0.25">
      <c r="A190" s="141" t="s">
        <v>218</v>
      </c>
      <c r="B190" s="996" t="s">
        <v>1043</v>
      </c>
      <c r="I190" s="471"/>
      <c r="J190" s="425"/>
      <c r="K190" s="466"/>
      <c r="L190" s="475"/>
      <c r="W190" s="227"/>
      <c r="X190" s="227"/>
      <c r="AH190" s="450"/>
      <c r="AI190" s="227"/>
      <c r="AJ190" s="450"/>
    </row>
    <row r="191" spans="1:64" ht="15" customHeight="1" x14ac:dyDescent="0.25">
      <c r="B191" s="996" t="s">
        <v>520</v>
      </c>
      <c r="I191" s="471"/>
      <c r="J191" s="425"/>
      <c r="K191" s="425"/>
      <c r="W191" s="227"/>
      <c r="X191" s="227"/>
      <c r="Y191" s="227"/>
      <c r="Z191" s="227"/>
      <c r="AA191" s="227"/>
      <c r="AB191" s="227"/>
      <c r="AC191" s="227"/>
      <c r="AD191" s="227"/>
      <c r="AE191" s="227"/>
      <c r="AF191" s="227"/>
      <c r="AG191" s="227"/>
      <c r="AH191" s="227"/>
      <c r="AI191" s="227"/>
      <c r="AJ191" s="466"/>
    </row>
    <row r="192" spans="1:64" x14ac:dyDescent="0.25">
      <c r="I192" s="471"/>
      <c r="J192" s="425"/>
      <c r="K192" s="209"/>
      <c r="W192" s="177"/>
      <c r="X192" s="177"/>
    </row>
    <row r="193" spans="1:31" x14ac:dyDescent="0.25">
      <c r="B193" s="996" t="s">
        <v>521</v>
      </c>
      <c r="G193" s="454">
        <v>114000</v>
      </c>
      <c r="I193" s="471"/>
      <c r="K193" s="425"/>
      <c r="U193" s="177"/>
      <c r="V193" s="177"/>
    </row>
    <row r="194" spans="1:31" x14ac:dyDescent="0.25">
      <c r="B194" s="996" t="s">
        <v>522</v>
      </c>
      <c r="G194" s="466">
        <v>114000</v>
      </c>
      <c r="H194" s="466"/>
      <c r="I194" s="450"/>
      <c r="K194" s="425"/>
    </row>
    <row r="195" spans="1:31" x14ac:dyDescent="0.25">
      <c r="B195" s="996" t="s">
        <v>523</v>
      </c>
      <c r="G195" s="994">
        <v>114000</v>
      </c>
      <c r="H195" s="466"/>
      <c r="I195" s="450"/>
      <c r="K195" s="425"/>
    </row>
    <row r="196" spans="1:31" x14ac:dyDescent="0.25">
      <c r="G196" s="466"/>
      <c r="H196" s="466"/>
      <c r="I196" s="450"/>
      <c r="K196" s="425"/>
    </row>
    <row r="197" spans="1:31" x14ac:dyDescent="0.25">
      <c r="C197" s="996" t="s">
        <v>35</v>
      </c>
      <c r="G197" s="466">
        <f>SUM(G193:G196)</f>
        <v>342000</v>
      </c>
      <c r="H197" s="466"/>
      <c r="I197" s="450"/>
      <c r="K197" s="425"/>
    </row>
    <row r="198" spans="1:31" x14ac:dyDescent="0.25">
      <c r="C198" s="996" t="s">
        <v>566</v>
      </c>
      <c r="E198" s="177"/>
      <c r="F198" s="177"/>
      <c r="G198" s="994">
        <v>3</v>
      </c>
      <c r="H198" s="466"/>
      <c r="I198" s="450"/>
      <c r="J198" s="177"/>
      <c r="K198" s="209"/>
      <c r="O198" s="61"/>
      <c r="P198" s="385"/>
      <c r="Q198" s="385"/>
      <c r="R198" s="385"/>
      <c r="S198" s="385"/>
      <c r="W198" s="385"/>
      <c r="X198" s="385"/>
      <c r="AE198" s="466"/>
    </row>
    <row r="199" spans="1:31" x14ac:dyDescent="0.25">
      <c r="E199" s="177"/>
      <c r="F199" s="177"/>
      <c r="G199" s="466"/>
      <c r="H199" s="466"/>
      <c r="I199" s="450"/>
      <c r="J199" s="177"/>
      <c r="K199" s="209"/>
      <c r="P199" s="466"/>
      <c r="Q199" s="466"/>
      <c r="T199" s="385"/>
      <c r="U199" s="385"/>
      <c r="V199" s="385"/>
    </row>
    <row r="200" spans="1:31" x14ac:dyDescent="0.25">
      <c r="B200" s="996" t="s">
        <v>526</v>
      </c>
      <c r="E200" s="177"/>
      <c r="F200" s="177"/>
      <c r="G200" s="466">
        <f>G197/G198</f>
        <v>114000</v>
      </c>
      <c r="H200" s="177"/>
      <c r="I200" s="471"/>
      <c r="J200" s="177"/>
      <c r="K200" s="209"/>
      <c r="O200" s="450"/>
      <c r="P200" s="450"/>
      <c r="Q200" s="450"/>
      <c r="R200" s="450"/>
      <c r="S200" s="450"/>
      <c r="W200" s="450"/>
      <c r="X200" s="450"/>
    </row>
    <row r="201" spans="1:31" x14ac:dyDescent="0.25">
      <c r="B201" s="996" t="s">
        <v>1044</v>
      </c>
      <c r="G201" s="994">
        <v>-114000</v>
      </c>
      <c r="I201" s="471"/>
      <c r="K201" s="425"/>
      <c r="L201" s="454"/>
      <c r="T201" s="450"/>
      <c r="U201" s="450"/>
      <c r="V201" s="450"/>
    </row>
    <row r="202" spans="1:31" x14ac:dyDescent="0.25">
      <c r="I202" s="471"/>
      <c r="K202" s="425"/>
      <c r="P202" s="447"/>
      <c r="Q202" s="447"/>
    </row>
    <row r="203" spans="1:31" x14ac:dyDescent="0.25">
      <c r="C203" s="996" t="s">
        <v>107</v>
      </c>
      <c r="I203" s="450">
        <f>G200+G201</f>
        <v>0</v>
      </c>
      <c r="K203" s="425"/>
      <c r="P203" s="447"/>
      <c r="Q203" s="447"/>
    </row>
    <row r="204" spans="1:31" x14ac:dyDescent="0.25">
      <c r="I204" s="471"/>
      <c r="K204" s="425"/>
    </row>
    <row r="205" spans="1:31" x14ac:dyDescent="0.25">
      <c r="A205" s="1104" t="s">
        <v>193</v>
      </c>
      <c r="B205" s="996" t="s">
        <v>1045</v>
      </c>
      <c r="I205" s="471"/>
      <c r="K205" s="425"/>
    </row>
    <row r="206" spans="1:31" x14ac:dyDescent="0.25">
      <c r="A206" s="1104"/>
      <c r="B206" s="996" t="s">
        <v>580</v>
      </c>
      <c r="I206" s="471"/>
      <c r="K206" s="425"/>
    </row>
    <row r="207" spans="1:31" x14ac:dyDescent="0.25">
      <c r="A207" s="1104"/>
      <c r="I207" s="471"/>
      <c r="K207" s="425"/>
    </row>
    <row r="208" spans="1:31" x14ac:dyDescent="0.25">
      <c r="A208" s="1104"/>
      <c r="B208" s="996" t="s">
        <v>637</v>
      </c>
      <c r="G208" s="997">
        <v>96390</v>
      </c>
      <c r="I208" s="471"/>
      <c r="K208" s="425"/>
    </row>
    <row r="209" spans="1:17" x14ac:dyDescent="0.25">
      <c r="A209" s="1104"/>
      <c r="B209" s="996" t="s">
        <v>1046</v>
      </c>
      <c r="G209" s="994">
        <v>-96390</v>
      </c>
      <c r="I209" s="471"/>
      <c r="K209" s="425"/>
    </row>
    <row r="210" spans="1:17" x14ac:dyDescent="0.25">
      <c r="A210" s="1104"/>
      <c r="G210" s="997"/>
      <c r="I210" s="471"/>
      <c r="K210" s="425"/>
    </row>
    <row r="211" spans="1:17" x14ac:dyDescent="0.25">
      <c r="A211" s="1104"/>
      <c r="C211" s="996" t="s">
        <v>107</v>
      </c>
      <c r="G211" s="997"/>
      <c r="I211" s="471"/>
      <c r="K211" s="425"/>
    </row>
    <row r="212" spans="1:17" x14ac:dyDescent="0.25">
      <c r="G212" s="997"/>
      <c r="I212" s="450">
        <f>G208+G209</f>
        <v>0</v>
      </c>
      <c r="K212" s="425"/>
    </row>
    <row r="213" spans="1:17" x14ac:dyDescent="0.25">
      <c r="A213" s="1104"/>
      <c r="I213" s="471"/>
      <c r="K213" s="425"/>
    </row>
    <row r="214" spans="1:17" x14ac:dyDescent="0.25">
      <c r="A214" s="183" t="s">
        <v>456</v>
      </c>
      <c r="B214" s="996" t="s">
        <v>1047</v>
      </c>
      <c r="I214" s="471"/>
      <c r="K214" s="425"/>
    </row>
    <row r="215" spans="1:17" x14ac:dyDescent="0.25">
      <c r="A215" s="1104"/>
      <c r="B215" s="996" t="s">
        <v>804</v>
      </c>
      <c r="I215" s="471"/>
      <c r="K215" s="425"/>
    </row>
    <row r="216" spans="1:17" x14ac:dyDescent="0.25">
      <c r="A216" s="1104"/>
      <c r="I216" s="471"/>
      <c r="K216" s="425"/>
    </row>
    <row r="217" spans="1:17" x14ac:dyDescent="0.25">
      <c r="A217" s="1104"/>
      <c r="B217" s="996" t="s">
        <v>803</v>
      </c>
      <c r="I217" s="471">
        <v>-65804</v>
      </c>
      <c r="K217" s="425"/>
    </row>
    <row r="218" spans="1:17" x14ac:dyDescent="0.25">
      <c r="A218" s="1104"/>
      <c r="G218" s="997">
        <v>302518</v>
      </c>
      <c r="I218" s="471"/>
      <c r="K218" s="425"/>
    </row>
    <row r="219" spans="1:17" x14ac:dyDescent="0.25">
      <c r="A219" s="1104"/>
      <c r="B219" s="996" t="s">
        <v>919</v>
      </c>
      <c r="G219" s="994">
        <v>-236684</v>
      </c>
      <c r="I219" s="471"/>
      <c r="K219" s="425"/>
    </row>
    <row r="220" spans="1:17" x14ac:dyDescent="0.25">
      <c r="A220" s="1104"/>
      <c r="B220" s="996" t="s">
        <v>1048</v>
      </c>
      <c r="G220" s="997"/>
      <c r="I220" s="471"/>
      <c r="K220" s="425"/>
    </row>
    <row r="221" spans="1:17" x14ac:dyDescent="0.25">
      <c r="A221" s="1104"/>
      <c r="G221" s="997"/>
      <c r="I221" s="450">
        <f>G218+G219</f>
        <v>65834</v>
      </c>
      <c r="K221" s="425"/>
    </row>
    <row r="222" spans="1:17" x14ac:dyDescent="0.25">
      <c r="A222" s="1104"/>
      <c r="C222" s="996" t="s">
        <v>107</v>
      </c>
      <c r="I222" s="471"/>
      <c r="K222" s="425"/>
    </row>
    <row r="223" spans="1:17" x14ac:dyDescent="0.25">
      <c r="A223" s="1104"/>
      <c r="I223" s="471"/>
      <c r="K223" s="425"/>
    </row>
    <row r="224" spans="1:17" x14ac:dyDescent="0.25">
      <c r="A224" s="183" t="s">
        <v>459</v>
      </c>
      <c r="B224" s="996" t="s">
        <v>1049</v>
      </c>
      <c r="I224" s="471"/>
      <c r="K224" s="425"/>
      <c r="P224" s="447"/>
      <c r="Q224" s="447"/>
    </row>
    <row r="225" spans="1:36" x14ac:dyDescent="0.25">
      <c r="B225" s="996" t="s">
        <v>805</v>
      </c>
      <c r="I225" s="471"/>
      <c r="K225" s="425"/>
      <c r="P225" s="447"/>
      <c r="Q225" s="447"/>
    </row>
    <row r="226" spans="1:36" x14ac:dyDescent="0.25">
      <c r="I226" s="471"/>
      <c r="K226" s="425"/>
    </row>
    <row r="227" spans="1:36" x14ac:dyDescent="0.25">
      <c r="B227" s="996" t="s">
        <v>807</v>
      </c>
      <c r="G227" s="997">
        <v>1630073</v>
      </c>
      <c r="I227" s="471"/>
      <c r="K227" s="425"/>
    </row>
    <row r="228" spans="1:36" x14ac:dyDescent="0.25">
      <c r="B228" s="996" t="s">
        <v>1050</v>
      </c>
      <c r="G228" s="994">
        <v>-1754043</v>
      </c>
      <c r="I228" s="471"/>
      <c r="K228" s="425"/>
    </row>
    <row r="229" spans="1:36" x14ac:dyDescent="0.25">
      <c r="G229" s="997"/>
      <c r="I229" s="471"/>
      <c r="J229" s="998"/>
      <c r="K229" s="227"/>
      <c r="AE229" s="466"/>
    </row>
    <row r="230" spans="1:36" x14ac:dyDescent="0.25">
      <c r="C230" s="996" t="s">
        <v>107</v>
      </c>
      <c r="G230" s="997"/>
      <c r="I230" s="450">
        <f>G227+G228</f>
        <v>-123970</v>
      </c>
      <c r="J230" s="998"/>
      <c r="K230" s="227"/>
      <c r="AE230" s="466"/>
    </row>
    <row r="231" spans="1:36" x14ac:dyDescent="0.25">
      <c r="G231" s="997"/>
      <c r="I231" s="450"/>
      <c r="J231" s="998"/>
      <c r="K231" s="227"/>
      <c r="AE231" s="466"/>
    </row>
    <row r="232" spans="1:36" x14ac:dyDescent="0.25">
      <c r="B232" s="996" t="s">
        <v>1008</v>
      </c>
      <c r="G232" s="997">
        <v>110906</v>
      </c>
      <c r="I232" s="450"/>
      <c r="J232" s="998"/>
      <c r="K232" s="227"/>
      <c r="AE232" s="466"/>
    </row>
    <row r="233" spans="1:36" x14ac:dyDescent="0.25">
      <c r="B233" s="996" t="s">
        <v>1050</v>
      </c>
      <c r="G233" s="994">
        <v>-119340</v>
      </c>
      <c r="I233" s="450"/>
      <c r="J233" s="998"/>
      <c r="K233" s="227"/>
      <c r="AE233" s="466"/>
    </row>
    <row r="234" spans="1:36" x14ac:dyDescent="0.25">
      <c r="G234" s="997"/>
      <c r="I234" s="450"/>
      <c r="J234" s="998"/>
      <c r="K234" s="227"/>
      <c r="AE234" s="466"/>
    </row>
    <row r="235" spans="1:36" x14ac:dyDescent="0.25">
      <c r="B235" s="998"/>
      <c r="C235" s="996" t="s">
        <v>107</v>
      </c>
      <c r="I235" s="151">
        <f>G232+G233</f>
        <v>-8434</v>
      </c>
      <c r="J235" s="998"/>
      <c r="K235" s="227"/>
      <c r="AE235" s="466"/>
    </row>
    <row r="236" spans="1:36" x14ac:dyDescent="0.25">
      <c r="B236" s="174"/>
      <c r="C236" s="174"/>
      <c r="D236" s="174"/>
      <c r="E236" s="174"/>
      <c r="F236" s="174"/>
      <c r="G236" s="174"/>
      <c r="H236" s="174"/>
      <c r="I236" s="450"/>
      <c r="J236" s="178"/>
      <c r="K236" s="172"/>
      <c r="AF236" s="61"/>
      <c r="AG236" s="61"/>
      <c r="AH236" s="61"/>
      <c r="AI236" s="61"/>
      <c r="AJ236" s="61"/>
    </row>
    <row r="237" spans="1:36" ht="15" customHeight="1" x14ac:dyDescent="0.25">
      <c r="B237" s="174"/>
      <c r="C237" s="174"/>
      <c r="D237" s="174"/>
      <c r="E237" s="174"/>
      <c r="F237" s="174"/>
      <c r="G237" s="174"/>
      <c r="H237" s="174"/>
      <c r="I237" s="174"/>
      <c r="K237" s="425"/>
    </row>
    <row r="238" spans="1:36" x14ac:dyDescent="0.25">
      <c r="A238" s="174"/>
      <c r="B238" s="174"/>
      <c r="C238" s="174"/>
      <c r="D238" s="174"/>
      <c r="E238" s="174"/>
      <c r="F238" s="174"/>
      <c r="G238" s="174"/>
      <c r="H238" s="174"/>
      <c r="I238" s="174"/>
      <c r="J238" s="1104"/>
      <c r="K238" s="172"/>
      <c r="L238" s="172"/>
      <c r="M238" s="172"/>
      <c r="N238" s="172"/>
      <c r="O238" s="172"/>
      <c r="P238" s="172"/>
      <c r="Q238" s="172"/>
      <c r="R238" s="172"/>
      <c r="S238" s="172"/>
      <c r="W238" s="172"/>
      <c r="X238" s="172"/>
      <c r="Y238" s="172"/>
      <c r="Z238" s="172"/>
      <c r="AA238" s="172"/>
      <c r="AB238" s="172"/>
    </row>
    <row r="239" spans="1:36" x14ac:dyDescent="0.25">
      <c r="A239" s="174" t="s">
        <v>16</v>
      </c>
      <c r="B239" s="174"/>
      <c r="C239" s="174"/>
      <c r="D239" s="174"/>
      <c r="E239" s="174"/>
      <c r="F239" s="174"/>
      <c r="G239" s="174"/>
      <c r="H239" s="174"/>
      <c r="I239" s="174"/>
      <c r="J239" s="1104"/>
      <c r="K239" s="61"/>
      <c r="T239" s="172"/>
      <c r="U239" s="172"/>
      <c r="V239" s="172"/>
    </row>
    <row r="240" spans="1:36" x14ac:dyDescent="0.25">
      <c r="A240" s="174"/>
      <c r="B240" s="174"/>
      <c r="C240" s="174"/>
      <c r="D240" s="174"/>
      <c r="E240" s="174"/>
      <c r="F240" s="174"/>
      <c r="G240" s="174"/>
      <c r="H240" s="174"/>
      <c r="I240" s="174"/>
      <c r="J240" s="1104"/>
      <c r="K240" s="61"/>
    </row>
    <row r="241" spans="1:12" x14ac:dyDescent="0.25">
      <c r="A241" s="174" t="s">
        <v>611</v>
      </c>
      <c r="B241" s="174"/>
      <c r="C241" s="174"/>
      <c r="D241" s="174"/>
      <c r="E241" s="174"/>
      <c r="F241" s="174"/>
      <c r="G241" s="174"/>
      <c r="H241" s="174"/>
      <c r="I241" s="174"/>
      <c r="J241" s="1104"/>
      <c r="K241" s="61"/>
    </row>
    <row r="242" spans="1:12" x14ac:dyDescent="0.25">
      <c r="A242" s="174"/>
      <c r="B242" s="174"/>
      <c r="C242" s="174"/>
      <c r="D242" s="174"/>
      <c r="E242" s="174"/>
      <c r="F242" s="174"/>
      <c r="G242" s="174"/>
      <c r="H242" s="174"/>
      <c r="I242" s="174"/>
      <c r="J242" s="1104"/>
      <c r="K242" s="61"/>
    </row>
    <row r="243" spans="1:12" x14ac:dyDescent="0.25">
      <c r="A243" s="78">
        <v>14</v>
      </c>
      <c r="B243" s="174"/>
      <c r="C243" s="174"/>
      <c r="D243" s="174"/>
      <c r="E243" s="174"/>
      <c r="F243" s="174"/>
      <c r="G243" s="174"/>
      <c r="H243" s="174"/>
      <c r="I243" s="174"/>
      <c r="J243" s="1104"/>
      <c r="K243" s="61"/>
    </row>
    <row r="244" spans="1:12" x14ac:dyDescent="0.25">
      <c r="A244" s="41" t="s">
        <v>232</v>
      </c>
      <c r="B244" s="174"/>
      <c r="C244" s="174"/>
      <c r="D244" s="174"/>
      <c r="E244" s="174"/>
      <c r="F244" s="174"/>
      <c r="G244" s="174"/>
      <c r="H244" s="174"/>
      <c r="I244" s="174"/>
      <c r="J244" s="1104"/>
      <c r="K244" s="61"/>
    </row>
    <row r="245" spans="1:12" x14ac:dyDescent="0.25">
      <c r="A245" s="174"/>
      <c r="B245" s="174"/>
      <c r="C245" s="174"/>
      <c r="D245" s="174"/>
      <c r="E245" s="174"/>
      <c r="F245" s="174"/>
      <c r="G245" s="174"/>
      <c r="H245" s="174"/>
      <c r="I245" s="41" t="s">
        <v>17</v>
      </c>
      <c r="J245" s="1104"/>
      <c r="K245" s="166"/>
    </row>
    <row r="246" spans="1:12" x14ac:dyDescent="0.25">
      <c r="A246" s="136" t="s">
        <v>1037</v>
      </c>
      <c r="B246" s="174"/>
      <c r="C246" s="174"/>
      <c r="D246" s="174"/>
      <c r="E246" s="174"/>
      <c r="F246" s="174"/>
      <c r="G246" s="174"/>
      <c r="H246" s="174"/>
      <c r="I246" s="174"/>
      <c r="J246" s="1104"/>
      <c r="K246" s="61"/>
    </row>
    <row r="247" spans="1:12" x14ac:dyDescent="0.25">
      <c r="A247" s="41" t="s">
        <v>169</v>
      </c>
      <c r="B247" s="174"/>
      <c r="C247" s="174"/>
      <c r="D247" s="174"/>
      <c r="E247" s="174"/>
      <c r="F247" s="174"/>
      <c r="G247" s="174"/>
      <c r="H247" s="174"/>
      <c r="I247" s="174"/>
      <c r="J247" s="1104"/>
      <c r="K247" s="61"/>
    </row>
    <row r="248" spans="1:12" x14ac:dyDescent="0.25">
      <c r="A248" s="41"/>
      <c r="B248" s="174"/>
      <c r="C248" s="174"/>
      <c r="D248" s="174"/>
      <c r="E248" s="174"/>
      <c r="F248" s="174"/>
      <c r="G248" s="174"/>
      <c r="H248" s="174"/>
      <c r="I248" s="174"/>
      <c r="J248" s="1104"/>
      <c r="K248" s="61"/>
    </row>
    <row r="249" spans="1:12" x14ac:dyDescent="0.25">
      <c r="A249" s="227" t="s">
        <v>333</v>
      </c>
      <c r="I249" s="209">
        <f>SUM(I177:I235)</f>
        <v>62684</v>
      </c>
      <c r="K249" s="425"/>
    </row>
    <row r="250" spans="1:12" x14ac:dyDescent="0.25">
      <c r="B250" s="227"/>
      <c r="I250" s="425"/>
    </row>
    <row r="251" spans="1:12" x14ac:dyDescent="0.25">
      <c r="A251" s="183" t="s">
        <v>461</v>
      </c>
      <c r="B251" s="996" t="s">
        <v>1051</v>
      </c>
    </row>
    <row r="252" spans="1:12" x14ac:dyDescent="0.25">
      <c r="A252" s="998"/>
      <c r="B252" s="996" t="s">
        <v>802</v>
      </c>
    </row>
    <row r="253" spans="1:12" x14ac:dyDescent="0.25">
      <c r="A253" s="998"/>
      <c r="B253" s="998"/>
      <c r="I253" s="450"/>
      <c r="J253" s="998"/>
      <c r="K253" s="998"/>
      <c r="L253" s="227"/>
    </row>
    <row r="254" spans="1:12" x14ac:dyDescent="0.25">
      <c r="C254" s="996" t="s">
        <v>107</v>
      </c>
      <c r="I254" s="450">
        <v>-7396</v>
      </c>
      <c r="J254" s="998"/>
      <c r="K254" s="998"/>
      <c r="L254" s="227"/>
    </row>
    <row r="255" spans="1:12" x14ac:dyDescent="0.25">
      <c r="J255" s="998"/>
      <c r="K255" s="998"/>
      <c r="L255" s="227"/>
    </row>
    <row r="256" spans="1:12" x14ac:dyDescent="0.25">
      <c r="A256" s="183" t="s">
        <v>463</v>
      </c>
      <c r="B256" s="998" t="s">
        <v>1052</v>
      </c>
      <c r="C256" s="998"/>
      <c r="D256" s="998"/>
      <c r="E256" s="998"/>
      <c r="F256" s="998"/>
      <c r="G256" s="998"/>
      <c r="H256" s="998"/>
      <c r="I256" s="998"/>
      <c r="J256" s="998"/>
      <c r="K256" s="998"/>
    </row>
    <row r="257" spans="1:24" x14ac:dyDescent="0.25">
      <c r="A257" s="1104"/>
      <c r="B257" s="998" t="s">
        <v>586</v>
      </c>
      <c r="C257" s="998"/>
      <c r="D257" s="998"/>
      <c r="E257" s="998"/>
      <c r="F257" s="998"/>
      <c r="G257" s="998"/>
      <c r="H257" s="998"/>
      <c r="I257" s="998"/>
      <c r="P257" s="447"/>
      <c r="Q257" s="447"/>
    </row>
    <row r="258" spans="1:24" x14ac:dyDescent="0.25">
      <c r="A258" s="1104"/>
      <c r="B258" s="998"/>
      <c r="C258" s="998"/>
      <c r="D258" s="998"/>
      <c r="E258" s="998"/>
      <c r="F258" s="998"/>
      <c r="G258" s="998"/>
      <c r="H258" s="998"/>
      <c r="I258" s="998"/>
      <c r="P258" s="447"/>
      <c r="Q258" s="447"/>
    </row>
    <row r="259" spans="1:24" x14ac:dyDescent="0.25">
      <c r="A259" s="1104"/>
      <c r="B259" s="998" t="s">
        <v>1110</v>
      </c>
      <c r="C259" s="998"/>
      <c r="D259" s="998"/>
      <c r="E259" s="998"/>
      <c r="F259" s="998"/>
      <c r="G259" s="454">
        <v>53700</v>
      </c>
      <c r="H259" s="998"/>
      <c r="L259" s="227"/>
      <c r="P259" s="447"/>
    </row>
    <row r="260" spans="1:24" x14ac:dyDescent="0.25">
      <c r="A260" s="1104"/>
      <c r="B260" s="996" t="s">
        <v>1046</v>
      </c>
      <c r="C260" s="998"/>
      <c r="D260" s="998"/>
      <c r="E260" s="998"/>
      <c r="F260" s="998"/>
      <c r="G260" s="994">
        <v>-51745</v>
      </c>
      <c r="H260" s="998"/>
      <c r="I260" s="450"/>
      <c r="L260" s="227"/>
      <c r="P260" s="447"/>
    </row>
    <row r="261" spans="1:24" x14ac:dyDescent="0.25">
      <c r="A261" s="1104"/>
      <c r="B261" s="998"/>
      <c r="C261" s="998"/>
      <c r="D261" s="998"/>
      <c r="E261" s="998"/>
      <c r="F261" s="998"/>
      <c r="H261" s="998"/>
      <c r="I261" s="450"/>
      <c r="L261" s="227"/>
      <c r="P261" s="447"/>
    </row>
    <row r="262" spans="1:24" x14ac:dyDescent="0.25">
      <c r="C262" s="996" t="s">
        <v>107</v>
      </c>
      <c r="I262" s="450">
        <f>G259+G260</f>
        <v>1955</v>
      </c>
      <c r="J262" s="998"/>
      <c r="K262" s="998"/>
      <c r="L262" s="454"/>
      <c r="P262" s="447"/>
    </row>
    <row r="263" spans="1:24" x14ac:dyDescent="0.25">
      <c r="G263" s="466"/>
      <c r="I263" s="425"/>
      <c r="P263" s="447"/>
    </row>
    <row r="264" spans="1:24" ht="15.75" customHeight="1" x14ac:dyDescent="0.25">
      <c r="A264" s="183" t="s">
        <v>467</v>
      </c>
      <c r="B264" s="996" t="s">
        <v>1053</v>
      </c>
    </row>
    <row r="265" spans="1:24" ht="15.75" customHeight="1" x14ac:dyDescent="0.25">
      <c r="P265" s="61"/>
      <c r="W265" s="61"/>
      <c r="X265" s="61"/>
    </row>
    <row r="266" spans="1:24" ht="15.75" customHeight="1" x14ac:dyDescent="0.25">
      <c r="C266" s="996" t="s">
        <v>107</v>
      </c>
      <c r="G266" s="997"/>
      <c r="I266" s="450">
        <v>30000</v>
      </c>
      <c r="L266" s="475"/>
    </row>
    <row r="267" spans="1:24" ht="15.75" customHeight="1" x14ac:dyDescent="0.25">
      <c r="G267" s="466"/>
      <c r="H267" s="998"/>
      <c r="L267" s="454"/>
      <c r="P267" s="763"/>
      <c r="W267" s="988"/>
      <c r="X267" s="988"/>
    </row>
    <row r="268" spans="1:24" ht="15.75" customHeight="1" x14ac:dyDescent="0.25">
      <c r="A268" s="183" t="s">
        <v>468</v>
      </c>
      <c r="B268" s="996" t="s">
        <v>1054</v>
      </c>
      <c r="G268" s="998"/>
      <c r="H268" s="998"/>
      <c r="P268" s="763"/>
      <c r="U268" s="61"/>
      <c r="V268" s="61"/>
      <c r="W268" s="988"/>
      <c r="X268" s="988"/>
    </row>
    <row r="269" spans="1:24" x14ac:dyDescent="0.25">
      <c r="G269" s="998"/>
      <c r="H269" s="998"/>
      <c r="I269" s="450"/>
      <c r="N269" s="466"/>
      <c r="P269" s="763"/>
      <c r="W269" s="988"/>
      <c r="X269" s="988"/>
    </row>
    <row r="270" spans="1:24" x14ac:dyDescent="0.25">
      <c r="B270" s="998" t="s">
        <v>1110</v>
      </c>
      <c r="G270" s="454">
        <v>39000</v>
      </c>
      <c r="H270" s="998"/>
      <c r="P270" s="363"/>
      <c r="T270" s="61"/>
    </row>
    <row r="271" spans="1:24" x14ac:dyDescent="0.25">
      <c r="B271" s="996" t="s">
        <v>1046</v>
      </c>
      <c r="G271" s="994">
        <v>-43351</v>
      </c>
      <c r="H271" s="998"/>
      <c r="I271" s="450"/>
      <c r="P271" s="363"/>
    </row>
    <row r="272" spans="1:24" x14ac:dyDescent="0.25">
      <c r="G272" s="998"/>
      <c r="H272" s="998"/>
      <c r="P272" s="363"/>
      <c r="T272" s="987"/>
    </row>
    <row r="273" spans="1:24" x14ac:dyDescent="0.25">
      <c r="C273" s="996" t="s">
        <v>107</v>
      </c>
      <c r="I273" s="450">
        <f>G270+G271</f>
        <v>-4351</v>
      </c>
      <c r="P273" s="363"/>
      <c r="T273" s="973"/>
    </row>
    <row r="274" spans="1:24" x14ac:dyDescent="0.25">
      <c r="T274" s="973"/>
    </row>
    <row r="275" spans="1:24" x14ac:dyDescent="0.25">
      <c r="A275" s="183" t="s">
        <v>469</v>
      </c>
      <c r="B275" s="996" t="s">
        <v>1132</v>
      </c>
      <c r="L275" s="227"/>
      <c r="M275" s="227"/>
      <c r="N275" s="466"/>
      <c r="R275" s="466"/>
      <c r="S275" s="466"/>
    </row>
    <row r="276" spans="1:24" x14ac:dyDescent="0.25">
      <c r="I276" s="466"/>
      <c r="L276" s="227"/>
      <c r="M276" s="227"/>
      <c r="N276" s="466"/>
      <c r="R276" s="466"/>
      <c r="S276" s="466"/>
      <c r="T276" s="363"/>
    </row>
    <row r="277" spans="1:24" x14ac:dyDescent="0.25">
      <c r="B277" s="998" t="s">
        <v>1110</v>
      </c>
      <c r="C277" s="998"/>
      <c r="D277" s="998"/>
      <c r="E277" s="998"/>
      <c r="F277" s="998"/>
      <c r="G277" s="454">
        <v>79400</v>
      </c>
      <c r="H277" s="998"/>
      <c r="J277" s="998"/>
      <c r="K277" s="998"/>
      <c r="L277" s="227"/>
      <c r="M277" s="227"/>
    </row>
    <row r="278" spans="1:24" x14ac:dyDescent="0.25">
      <c r="B278" s="996" t="s">
        <v>1046</v>
      </c>
      <c r="G278" s="994">
        <v>-69250</v>
      </c>
      <c r="H278" s="998"/>
      <c r="L278" s="454"/>
      <c r="M278" s="227"/>
      <c r="P278" s="466"/>
      <c r="Q278" s="466"/>
      <c r="U278" s="466"/>
      <c r="V278" s="466"/>
    </row>
    <row r="279" spans="1:24" x14ac:dyDescent="0.25">
      <c r="G279" s="998"/>
      <c r="H279" s="998"/>
      <c r="L279" s="227"/>
      <c r="M279" s="227"/>
      <c r="R279" s="466"/>
      <c r="S279" s="466"/>
      <c r="U279" s="466"/>
      <c r="V279" s="466"/>
    </row>
    <row r="280" spans="1:24" x14ac:dyDescent="0.25">
      <c r="C280" s="996" t="s">
        <v>107</v>
      </c>
      <c r="G280" s="998"/>
      <c r="H280" s="998"/>
      <c r="I280" s="450">
        <f>G277+G278</f>
        <v>10150</v>
      </c>
      <c r="K280" s="450"/>
      <c r="L280" s="227"/>
      <c r="M280" s="227"/>
      <c r="T280" s="466"/>
    </row>
    <row r="281" spans="1:24" x14ac:dyDescent="0.25">
      <c r="D281" s="203"/>
      <c r="E281" s="203"/>
      <c r="F281" s="203"/>
      <c r="G281" s="203"/>
      <c r="H281" s="203"/>
      <c r="L281" s="454"/>
      <c r="M281" s="450"/>
      <c r="O281" s="185"/>
    </row>
    <row r="282" spans="1:24" x14ac:dyDescent="0.25">
      <c r="A282" s="1104" t="s">
        <v>544</v>
      </c>
      <c r="B282" s="996" t="s">
        <v>1131</v>
      </c>
      <c r="E282" s="177"/>
      <c r="F282" s="177"/>
      <c r="G282" s="177"/>
      <c r="H282" s="177"/>
      <c r="I282" s="209"/>
    </row>
    <row r="283" spans="1:24" x14ac:dyDescent="0.25">
      <c r="A283" s="21"/>
      <c r="C283" s="177"/>
      <c r="D283" s="177"/>
      <c r="E283" s="177"/>
      <c r="F283" s="177"/>
      <c r="G283" s="177"/>
      <c r="H283" s="177"/>
      <c r="I283" s="177"/>
      <c r="N283" s="466"/>
      <c r="P283" s="61"/>
      <c r="Q283" s="61"/>
      <c r="U283" s="466"/>
      <c r="V283" s="466"/>
    </row>
    <row r="284" spans="1:24" x14ac:dyDescent="0.25">
      <c r="B284" s="998" t="s">
        <v>1110</v>
      </c>
      <c r="C284" s="425"/>
      <c r="D284" s="425"/>
      <c r="E284" s="425"/>
      <c r="F284" s="425"/>
      <c r="G284" s="454">
        <v>150000</v>
      </c>
      <c r="H284" s="425"/>
      <c r="I284" s="425"/>
      <c r="N284" s="466"/>
      <c r="P284" s="61"/>
      <c r="Q284" s="61"/>
      <c r="U284" s="466"/>
      <c r="V284" s="466"/>
    </row>
    <row r="285" spans="1:24" x14ac:dyDescent="0.25">
      <c r="B285" s="996" t="s">
        <v>1046</v>
      </c>
      <c r="C285" s="425"/>
      <c r="D285" s="425"/>
      <c r="E285" s="425"/>
      <c r="F285" s="425"/>
      <c r="G285" s="151">
        <v>-37500</v>
      </c>
      <c r="H285" s="425"/>
      <c r="I285" s="466"/>
      <c r="L285" s="454"/>
      <c r="N285" s="61"/>
    </row>
    <row r="286" spans="1:24" x14ac:dyDescent="0.25">
      <c r="C286" s="425"/>
      <c r="D286" s="425"/>
      <c r="E286" s="425"/>
      <c r="F286" s="425"/>
      <c r="G286" s="425"/>
      <c r="H286" s="425"/>
      <c r="I286" s="425"/>
      <c r="W286" s="466"/>
      <c r="X286" s="466"/>
    </row>
    <row r="287" spans="1:24" x14ac:dyDescent="0.25">
      <c r="C287" s="996" t="s">
        <v>107</v>
      </c>
      <c r="D287" s="425"/>
      <c r="E287" s="425"/>
      <c r="F287" s="425"/>
      <c r="G287" s="425"/>
      <c r="H287" s="425"/>
      <c r="I287" s="1012">
        <f>G284+G285</f>
        <v>112500</v>
      </c>
    </row>
    <row r="288" spans="1:24" x14ac:dyDescent="0.25">
      <c r="J288" s="177"/>
      <c r="K288" s="209"/>
      <c r="P288" s="447"/>
      <c r="Q288" s="447"/>
    </row>
    <row r="289" spans="1:17" x14ac:dyDescent="0.25">
      <c r="A289" s="183" t="s">
        <v>545</v>
      </c>
      <c r="B289" s="996" t="s">
        <v>806</v>
      </c>
      <c r="E289" s="177"/>
      <c r="F289" s="177"/>
      <c r="G289" s="177"/>
      <c r="H289" s="177"/>
      <c r="I289" s="201"/>
      <c r="J289" s="177"/>
      <c r="K289" s="209"/>
      <c r="P289" s="447"/>
      <c r="Q289" s="447"/>
    </row>
    <row r="290" spans="1:17" x14ac:dyDescent="0.25">
      <c r="E290" s="177"/>
      <c r="F290" s="177"/>
      <c r="G290" s="177"/>
      <c r="H290" s="177"/>
      <c r="I290" s="209"/>
      <c r="J290" s="177"/>
      <c r="K290" s="209"/>
      <c r="P290" s="447"/>
      <c r="Q290" s="447"/>
    </row>
    <row r="291" spans="1:17" x14ac:dyDescent="0.25">
      <c r="B291" s="998" t="s">
        <v>1110</v>
      </c>
      <c r="G291" s="454">
        <v>9141</v>
      </c>
      <c r="H291" s="425"/>
      <c r="I291" s="425"/>
      <c r="J291" s="177"/>
      <c r="K291" s="209"/>
      <c r="P291" s="447"/>
      <c r="Q291" s="447"/>
    </row>
    <row r="292" spans="1:17" x14ac:dyDescent="0.25">
      <c r="B292" s="996" t="s">
        <v>1046</v>
      </c>
      <c r="G292" s="151">
        <v>-4294</v>
      </c>
      <c r="H292" s="425"/>
      <c r="I292" s="466"/>
      <c r="J292" s="177"/>
      <c r="K292" s="209"/>
      <c r="P292" s="447"/>
      <c r="Q292" s="447"/>
    </row>
    <row r="293" spans="1:17" x14ac:dyDescent="0.25">
      <c r="C293" s="998"/>
      <c r="D293" s="998"/>
      <c r="E293" s="998"/>
      <c r="F293" s="998"/>
      <c r="G293" s="425"/>
      <c r="H293" s="425"/>
      <c r="I293" s="425"/>
      <c r="J293" s="177"/>
      <c r="K293" s="209"/>
      <c r="P293" s="447"/>
      <c r="Q293" s="447"/>
    </row>
    <row r="294" spans="1:17" x14ac:dyDescent="0.25">
      <c r="C294" s="996" t="s">
        <v>107</v>
      </c>
      <c r="G294" s="425"/>
      <c r="H294" s="425"/>
      <c r="I294" s="1012">
        <f>G291+G292</f>
        <v>4847</v>
      </c>
      <c r="J294" s="177"/>
      <c r="K294" s="209"/>
      <c r="P294" s="447"/>
      <c r="Q294" s="447"/>
    </row>
    <row r="295" spans="1:17" x14ac:dyDescent="0.25">
      <c r="G295" s="998"/>
      <c r="H295" s="998"/>
      <c r="J295" s="177"/>
      <c r="K295" s="209"/>
      <c r="P295" s="447"/>
      <c r="Q295" s="447"/>
    </row>
    <row r="296" spans="1:17" x14ac:dyDescent="0.25">
      <c r="A296" s="183" t="s">
        <v>546</v>
      </c>
      <c r="B296" s="996" t="s">
        <v>1129</v>
      </c>
      <c r="G296" s="998"/>
      <c r="H296" s="998"/>
      <c r="I296" s="450"/>
      <c r="J296" s="177"/>
      <c r="K296" s="209"/>
      <c r="P296" s="447"/>
      <c r="Q296" s="447"/>
    </row>
    <row r="297" spans="1:17" x14ac:dyDescent="0.25">
      <c r="E297" s="177"/>
      <c r="F297" s="177"/>
      <c r="G297" s="177"/>
      <c r="H297" s="177"/>
      <c r="I297" s="209"/>
      <c r="J297" s="177"/>
      <c r="K297" s="209"/>
      <c r="P297" s="447"/>
      <c r="Q297" s="447"/>
    </row>
    <row r="298" spans="1:17" x14ac:dyDescent="0.25">
      <c r="B298" s="998" t="s">
        <v>1110</v>
      </c>
      <c r="G298" s="454">
        <v>30000</v>
      </c>
      <c r="H298" s="425"/>
      <c r="I298" s="425"/>
      <c r="J298" s="177"/>
      <c r="K298" s="209"/>
      <c r="P298" s="447"/>
      <c r="Q298" s="447"/>
    </row>
    <row r="299" spans="1:17" x14ac:dyDescent="0.25">
      <c r="B299" s="996" t="s">
        <v>1046</v>
      </c>
      <c r="E299" s="177"/>
      <c r="F299" s="177"/>
      <c r="G299" s="151">
        <v>-51299</v>
      </c>
      <c r="H299" s="425"/>
      <c r="I299" s="466"/>
      <c r="J299" s="177"/>
      <c r="K299" s="209"/>
      <c r="P299" s="447"/>
      <c r="Q299" s="447"/>
    </row>
    <row r="300" spans="1:17" x14ac:dyDescent="0.25">
      <c r="C300" s="998"/>
      <c r="D300" s="998"/>
      <c r="E300" s="998"/>
      <c r="F300" s="998"/>
      <c r="G300" s="425"/>
      <c r="H300" s="425"/>
      <c r="I300" s="425"/>
      <c r="J300" s="177"/>
      <c r="K300" s="209"/>
      <c r="P300" s="447"/>
      <c r="Q300" s="447"/>
    </row>
    <row r="301" spans="1:17" x14ac:dyDescent="0.25">
      <c r="C301" s="996" t="s">
        <v>107</v>
      </c>
      <c r="G301" s="425"/>
      <c r="H301" s="425"/>
      <c r="I301" s="1012">
        <f>G298+G299</f>
        <v>-21299</v>
      </c>
      <c r="J301" s="177"/>
      <c r="K301" s="209"/>
      <c r="P301" s="447"/>
      <c r="Q301" s="447"/>
    </row>
    <row r="302" spans="1:17" x14ac:dyDescent="0.25">
      <c r="G302" s="998"/>
      <c r="H302" s="998"/>
      <c r="J302" s="177"/>
      <c r="K302" s="209"/>
      <c r="P302" s="447"/>
      <c r="Q302" s="447"/>
    </row>
    <row r="303" spans="1:17" x14ac:dyDescent="0.25">
      <c r="A303" s="1104" t="s">
        <v>587</v>
      </c>
      <c r="B303" s="996" t="s">
        <v>1130</v>
      </c>
      <c r="J303" s="177"/>
      <c r="K303" s="209"/>
      <c r="P303" s="447"/>
      <c r="Q303" s="447"/>
    </row>
    <row r="304" spans="1:17" x14ac:dyDescent="0.25">
      <c r="E304" s="177"/>
      <c r="F304" s="177"/>
      <c r="G304" s="177"/>
      <c r="H304" s="177"/>
      <c r="I304" s="209"/>
      <c r="J304" s="177"/>
      <c r="K304" s="209"/>
      <c r="P304" s="447"/>
      <c r="Q304" s="447"/>
    </row>
    <row r="305" spans="1:17" x14ac:dyDescent="0.25">
      <c r="B305" s="998" t="s">
        <v>1110</v>
      </c>
      <c r="C305" s="998"/>
      <c r="E305" s="177"/>
      <c r="F305" s="177"/>
      <c r="G305" s="454">
        <v>790388</v>
      </c>
      <c r="H305" s="425"/>
      <c r="I305" s="425"/>
      <c r="J305" s="177"/>
      <c r="K305" s="209"/>
      <c r="P305" s="447"/>
      <c r="Q305" s="447"/>
    </row>
    <row r="306" spans="1:17" x14ac:dyDescent="0.25">
      <c r="B306" s="996" t="s">
        <v>1046</v>
      </c>
      <c r="E306" s="177"/>
      <c r="F306" s="177"/>
      <c r="G306" s="151">
        <v>-694943</v>
      </c>
      <c r="H306" s="425"/>
      <c r="I306" s="466"/>
      <c r="J306" s="177"/>
      <c r="K306" s="209"/>
      <c r="P306" s="447"/>
      <c r="Q306" s="447"/>
    </row>
    <row r="307" spans="1:17" x14ac:dyDescent="0.25">
      <c r="E307" s="177"/>
      <c r="F307" s="177"/>
      <c r="G307" s="425"/>
      <c r="H307" s="425"/>
      <c r="I307" s="425"/>
      <c r="J307" s="177"/>
      <c r="K307" s="209"/>
      <c r="P307" s="447"/>
      <c r="Q307" s="447"/>
    </row>
    <row r="308" spans="1:17" x14ac:dyDescent="0.25">
      <c r="C308" s="996" t="s">
        <v>107</v>
      </c>
      <c r="E308" s="177"/>
      <c r="F308" s="177"/>
      <c r="G308" s="425"/>
      <c r="H308" s="425"/>
      <c r="I308" s="1013">
        <f>G305+G306</f>
        <v>95445</v>
      </c>
      <c r="J308" s="177"/>
      <c r="K308" s="209"/>
      <c r="P308" s="447"/>
      <c r="Q308" s="447"/>
    </row>
    <row r="309" spans="1:17" x14ac:dyDescent="0.25">
      <c r="E309" s="177"/>
      <c r="F309" s="177"/>
      <c r="G309" s="177"/>
      <c r="H309" s="177"/>
      <c r="I309" s="209"/>
      <c r="J309" s="177"/>
      <c r="K309" s="209"/>
      <c r="P309" s="447"/>
      <c r="Q309" s="447"/>
    </row>
    <row r="310" spans="1:17" x14ac:dyDescent="0.25">
      <c r="E310" s="177"/>
      <c r="F310" s="177"/>
      <c r="G310" s="177"/>
      <c r="H310" s="177"/>
      <c r="I310" s="209"/>
      <c r="J310" s="177"/>
      <c r="K310" s="209"/>
      <c r="P310" s="447"/>
      <c r="Q310" s="447"/>
    </row>
    <row r="311" spans="1:17" ht="16.5" thickBot="1" x14ac:dyDescent="0.3">
      <c r="C311" s="996" t="s">
        <v>171</v>
      </c>
      <c r="G311" s="998"/>
      <c r="H311" s="998"/>
      <c r="I311" s="470">
        <f>SUM(I249:I308)</f>
        <v>284535</v>
      </c>
      <c r="L311" s="990"/>
      <c r="P311" s="447"/>
      <c r="Q311" s="447"/>
    </row>
    <row r="312" spans="1:17" ht="16.5" thickTop="1" x14ac:dyDescent="0.25">
      <c r="P312" s="447"/>
      <c r="Q312" s="447"/>
    </row>
    <row r="313" spans="1:17" x14ac:dyDescent="0.25">
      <c r="B313" s="174"/>
      <c r="C313" s="174"/>
      <c r="D313" s="174"/>
      <c r="E313" s="174"/>
      <c r="F313" s="174"/>
      <c r="G313" s="174"/>
      <c r="H313" s="174"/>
      <c r="I313" s="174"/>
      <c r="J313" s="174"/>
      <c r="K313" s="174"/>
    </row>
    <row r="314" spans="1:17" x14ac:dyDescent="0.25">
      <c r="A314" s="1273" t="s">
        <v>1145</v>
      </c>
      <c r="B314" s="174"/>
      <c r="C314" s="174"/>
      <c r="D314" s="174"/>
      <c r="E314" s="174"/>
      <c r="F314" s="174"/>
      <c r="G314" s="174"/>
      <c r="H314" s="174"/>
      <c r="I314" s="174"/>
      <c r="J314" s="1104"/>
      <c r="K314" s="1104"/>
    </row>
    <row r="315" spans="1:17" x14ac:dyDescent="0.25">
      <c r="A315" s="174"/>
      <c r="B315" s="174"/>
      <c r="C315" s="174"/>
      <c r="D315" s="174"/>
      <c r="E315" s="174"/>
      <c r="F315" s="174"/>
      <c r="G315" s="174"/>
      <c r="H315" s="174"/>
      <c r="I315" s="174"/>
      <c r="J315" s="1245"/>
      <c r="K315" s="1245"/>
    </row>
    <row r="316" spans="1:17" x14ac:dyDescent="0.25">
      <c r="A316" s="174"/>
      <c r="B316" s="174"/>
      <c r="C316" s="174"/>
      <c r="D316" s="174"/>
      <c r="E316" s="174"/>
      <c r="F316" s="174"/>
      <c r="G316" s="174"/>
      <c r="H316" s="174"/>
      <c r="I316" s="174"/>
      <c r="J316" s="1245"/>
      <c r="K316" s="1245"/>
    </row>
    <row r="317" spans="1:17" x14ac:dyDescent="0.25">
      <c r="A317" s="174"/>
      <c r="B317" s="174"/>
      <c r="C317" s="174"/>
      <c r="D317" s="174"/>
      <c r="E317" s="174"/>
      <c r="F317" s="174"/>
      <c r="G317" s="174"/>
      <c r="H317" s="174"/>
      <c r="I317" s="174"/>
      <c r="J317" s="1245"/>
      <c r="K317" s="1245"/>
    </row>
    <row r="318" spans="1:17" x14ac:dyDescent="0.25">
      <c r="A318" s="174" t="s">
        <v>16</v>
      </c>
      <c r="B318" s="174"/>
      <c r="C318" s="174"/>
      <c r="D318" s="174"/>
      <c r="E318" s="174"/>
      <c r="F318" s="174"/>
      <c r="G318" s="174"/>
      <c r="H318" s="174"/>
      <c r="I318" s="174"/>
      <c r="J318" s="178"/>
      <c r="K318" s="178"/>
    </row>
    <row r="319" spans="1:17" x14ac:dyDescent="0.25">
      <c r="A319" s="174"/>
      <c r="B319" s="174"/>
      <c r="C319" s="174"/>
      <c r="D319" s="174"/>
      <c r="E319" s="174"/>
      <c r="F319" s="174"/>
      <c r="G319" s="174"/>
      <c r="H319" s="174"/>
      <c r="I319" s="174"/>
      <c r="J319" s="178"/>
      <c r="K319" s="178"/>
    </row>
    <row r="320" spans="1:17" x14ac:dyDescent="0.25">
      <c r="A320" s="1441" t="s">
        <v>611</v>
      </c>
      <c r="B320" s="1441"/>
      <c r="C320" s="1441"/>
      <c r="D320" s="1441"/>
      <c r="E320" s="1441"/>
      <c r="F320" s="1441"/>
      <c r="G320" s="1441"/>
      <c r="H320" s="1441"/>
      <c r="I320" s="1441"/>
      <c r="J320" s="174"/>
      <c r="K320" s="174"/>
    </row>
    <row r="321" spans="1:44" x14ac:dyDescent="0.25">
      <c r="A321" s="174"/>
      <c r="B321" s="174"/>
      <c r="C321" s="174"/>
      <c r="D321" s="174"/>
      <c r="E321" s="174"/>
      <c r="F321" s="174"/>
      <c r="G321" s="174"/>
      <c r="H321" s="174"/>
      <c r="I321" s="174"/>
      <c r="J321" s="174"/>
      <c r="K321" s="174"/>
    </row>
    <row r="322" spans="1:44" x14ac:dyDescent="0.25">
      <c r="A322" s="1446">
        <v>15</v>
      </c>
      <c r="B322" s="1446"/>
      <c r="C322" s="1446"/>
      <c r="D322" s="1446"/>
      <c r="E322" s="1446"/>
      <c r="F322" s="1446"/>
      <c r="G322" s="1446"/>
      <c r="H322" s="1446"/>
      <c r="I322" s="1446"/>
      <c r="J322" s="1417"/>
      <c r="K322" s="1417"/>
    </row>
    <row r="323" spans="1:44" x14ac:dyDescent="0.25">
      <c r="A323" s="1436" t="s">
        <v>232</v>
      </c>
      <c r="B323" s="1436"/>
      <c r="C323" s="1436"/>
      <c r="D323" s="1436"/>
      <c r="E323" s="1436"/>
      <c r="F323" s="1436"/>
      <c r="G323" s="1436"/>
      <c r="H323" s="1436"/>
      <c r="I323" s="1436"/>
      <c r="J323" s="41"/>
      <c r="K323" s="41"/>
    </row>
    <row r="324" spans="1:44" x14ac:dyDescent="0.25">
      <c r="A324" s="174"/>
      <c r="B324" s="174"/>
      <c r="C324" s="174"/>
      <c r="D324" s="174"/>
      <c r="E324" s="174"/>
      <c r="F324" s="174"/>
      <c r="G324" s="174"/>
      <c r="H324" s="174"/>
      <c r="I324" s="1105" t="s">
        <v>17</v>
      </c>
      <c r="J324" s="174"/>
      <c r="K324" s="1105"/>
    </row>
    <row r="325" spans="1:44" x14ac:dyDescent="0.25">
      <c r="A325" s="1436" t="s">
        <v>1037</v>
      </c>
      <c r="B325" s="1436"/>
      <c r="C325" s="1436"/>
      <c r="D325" s="1436"/>
      <c r="E325" s="1436"/>
      <c r="F325" s="1436"/>
      <c r="G325" s="1436"/>
      <c r="H325" s="1436"/>
      <c r="I325" s="1436"/>
      <c r="J325" s="41"/>
      <c r="K325" s="41"/>
    </row>
    <row r="326" spans="1:44" x14ac:dyDescent="0.25">
      <c r="A326" s="1436" t="s">
        <v>169</v>
      </c>
      <c r="B326" s="1436"/>
      <c r="C326" s="1436"/>
      <c r="D326" s="1436"/>
      <c r="E326" s="1436"/>
      <c r="F326" s="1436"/>
      <c r="G326" s="1436"/>
      <c r="H326" s="1436"/>
      <c r="I326" s="1436"/>
      <c r="J326" s="41"/>
      <c r="K326" s="41"/>
    </row>
    <row r="327" spans="1:44" ht="15.75" customHeight="1" x14ac:dyDescent="0.25"/>
    <row r="328" spans="1:44" x14ac:dyDescent="0.25">
      <c r="A328" s="120" t="s">
        <v>646</v>
      </c>
      <c r="B328" s="120"/>
      <c r="C328" s="120"/>
      <c r="D328" s="120"/>
      <c r="E328" s="120"/>
      <c r="F328" s="120"/>
      <c r="G328" s="120"/>
      <c r="H328" s="120"/>
      <c r="I328" s="120"/>
      <c r="N328" s="454"/>
      <c r="U328" s="1397"/>
      <c r="V328" s="1397"/>
    </row>
    <row r="329" spans="1:44" x14ac:dyDescent="0.25">
      <c r="A329" s="425"/>
      <c r="B329" s="425"/>
      <c r="C329" s="425"/>
      <c r="D329" s="425"/>
      <c r="E329" s="425"/>
      <c r="F329" s="425"/>
      <c r="G329" s="425"/>
      <c r="H329" s="425"/>
      <c r="I329" s="425"/>
      <c r="N329" s="454"/>
    </row>
    <row r="330" spans="1:44" x14ac:dyDescent="0.25">
      <c r="A330" s="425" t="s">
        <v>1055</v>
      </c>
      <c r="B330" s="425"/>
      <c r="C330" s="425"/>
      <c r="D330" s="425"/>
      <c r="E330" s="425"/>
      <c r="F330" s="425"/>
      <c r="G330" s="425"/>
      <c r="H330" s="425"/>
      <c r="I330" s="425"/>
      <c r="N330" s="454"/>
      <c r="U330" s="61"/>
      <c r="V330" s="61"/>
      <c r="AE330" s="714"/>
    </row>
    <row r="331" spans="1:44" x14ac:dyDescent="0.25">
      <c r="A331" s="425"/>
      <c r="B331" s="425"/>
      <c r="C331" s="425"/>
      <c r="D331" s="425"/>
      <c r="E331" s="425"/>
      <c r="F331" s="425"/>
      <c r="G331" s="425"/>
      <c r="H331" s="425"/>
      <c r="I331" s="425"/>
      <c r="L331" s="227"/>
      <c r="M331" s="227"/>
      <c r="N331" s="227"/>
      <c r="U331" s="227"/>
      <c r="V331" s="227"/>
      <c r="W331" s="208"/>
      <c r="X331" s="208"/>
      <c r="Y331" s="227"/>
      <c r="Z331" s="227"/>
      <c r="AA331" s="227"/>
      <c r="AE331" s="714"/>
    </row>
    <row r="332" spans="1:44" x14ac:dyDescent="0.25">
      <c r="A332" s="425"/>
      <c r="B332" s="425" t="s">
        <v>574</v>
      </c>
      <c r="C332" s="425"/>
      <c r="D332" s="425"/>
      <c r="E332" s="425"/>
      <c r="F332" s="425"/>
      <c r="G332" s="425"/>
      <c r="H332" s="466"/>
      <c r="I332" s="454">
        <v>57701779</v>
      </c>
      <c r="M332" s="227"/>
      <c r="N332" s="227"/>
      <c r="U332" s="227"/>
      <c r="V332" s="227"/>
      <c r="W332" s="208"/>
      <c r="X332" s="208"/>
      <c r="Y332" s="227"/>
      <c r="Z332" s="227"/>
      <c r="AA332" s="227"/>
      <c r="AB332" s="208"/>
      <c r="AE332" s="714"/>
      <c r="AJ332" s="1442"/>
      <c r="AK332" s="1442"/>
      <c r="AL332" s="1442"/>
      <c r="AM332" s="1442"/>
      <c r="AN332" s="1442"/>
      <c r="AP332" s="1440"/>
      <c r="AQ332" s="1440"/>
      <c r="AR332" s="1440"/>
    </row>
    <row r="333" spans="1:44" x14ac:dyDescent="0.25">
      <c r="A333" s="425"/>
      <c r="B333" s="425" t="s">
        <v>297</v>
      </c>
      <c r="C333" s="425"/>
      <c r="D333" s="425"/>
      <c r="E333" s="425"/>
      <c r="F333" s="425"/>
      <c r="G333" s="425"/>
      <c r="H333" s="466"/>
      <c r="I333" s="466">
        <v>491144</v>
      </c>
      <c r="M333" s="227"/>
      <c r="N333" s="227"/>
      <c r="U333" s="227"/>
      <c r="V333" s="227"/>
      <c r="W333" s="208"/>
      <c r="X333" s="208"/>
      <c r="Y333" s="227"/>
      <c r="Z333" s="227"/>
      <c r="AA333" s="227"/>
      <c r="AB333" s="208"/>
      <c r="AJ333" s="713"/>
      <c r="AK333" s="713"/>
      <c r="AL333" s="713"/>
      <c r="AM333" s="714"/>
      <c r="AN333" s="714"/>
      <c r="AP333" s="714"/>
      <c r="AQ333" s="714"/>
      <c r="AR333" s="714"/>
    </row>
    <row r="334" spans="1:44" x14ac:dyDescent="0.25">
      <c r="A334" s="425"/>
      <c r="B334" s="425" t="s">
        <v>424</v>
      </c>
      <c r="C334" s="425"/>
      <c r="D334" s="425"/>
      <c r="E334" s="425"/>
      <c r="F334" s="425"/>
      <c r="G334" s="425"/>
      <c r="H334" s="363"/>
      <c r="I334" s="466">
        <v>-13223686</v>
      </c>
      <c r="M334" s="227"/>
      <c r="N334" s="227"/>
      <c r="U334" s="227"/>
      <c r="V334" s="227"/>
      <c r="W334" s="227"/>
      <c r="X334" s="227"/>
      <c r="Y334" s="227"/>
      <c r="Z334" s="227"/>
      <c r="AA334" s="227"/>
      <c r="AB334" s="227"/>
      <c r="AE334" s="359"/>
      <c r="AJ334" s="1398"/>
      <c r="AK334" s="713"/>
      <c r="AL334" s="713"/>
      <c r="AM334" s="714"/>
      <c r="AN334" s="714"/>
      <c r="AP334" s="714"/>
      <c r="AQ334" s="1086"/>
      <c r="AR334" s="1086"/>
    </row>
    <row r="335" spans="1:44" x14ac:dyDescent="0.25">
      <c r="A335" s="425"/>
      <c r="B335" s="425" t="s">
        <v>265</v>
      </c>
      <c r="C335" s="425"/>
      <c r="D335" s="425"/>
      <c r="E335" s="425"/>
      <c r="F335" s="425"/>
      <c r="G335" s="425"/>
      <c r="H335" s="363"/>
      <c r="I335" s="466">
        <v>-9099865</v>
      </c>
      <c r="L335" s="475"/>
      <c r="M335" s="227"/>
      <c r="U335" s="227"/>
      <c r="V335" s="227"/>
      <c r="W335" s="363"/>
      <c r="X335" s="466"/>
      <c r="Y335" s="227"/>
      <c r="Z335" s="227"/>
      <c r="AA335" s="227"/>
      <c r="AB335" s="363"/>
      <c r="AE335" s="359"/>
      <c r="AJ335" s="714"/>
      <c r="AK335" s="716"/>
      <c r="AL335" s="716"/>
      <c r="AM335" s="714"/>
      <c r="AN335" s="714"/>
      <c r="AP335" s="714"/>
      <c r="AQ335" s="714"/>
      <c r="AR335" s="714"/>
    </row>
    <row r="336" spans="1:44" x14ac:dyDescent="0.25">
      <c r="A336" s="425"/>
      <c r="B336" s="425" t="s">
        <v>266</v>
      </c>
      <c r="C336" s="425"/>
      <c r="D336" s="425"/>
      <c r="E336" s="425"/>
      <c r="F336" s="425"/>
      <c r="G336" s="425"/>
      <c r="H336" s="363"/>
      <c r="I336" s="466">
        <v>-1000</v>
      </c>
      <c r="N336" s="454"/>
      <c r="U336" s="454"/>
      <c r="V336" s="454"/>
      <c r="W336" s="466"/>
      <c r="X336" s="466"/>
      <c r="AE336" s="359"/>
      <c r="AJ336" s="714"/>
      <c r="AK336" s="714"/>
      <c r="AL336" s="714"/>
      <c r="AM336" s="714"/>
      <c r="AN336" s="714"/>
      <c r="AP336" s="714"/>
      <c r="AQ336" s="714"/>
      <c r="AR336" s="714"/>
    </row>
    <row r="337" spans="1:44" x14ac:dyDescent="0.25">
      <c r="A337" s="425"/>
      <c r="B337" s="425"/>
      <c r="C337" s="425"/>
      <c r="D337" s="425"/>
      <c r="E337" s="425"/>
      <c r="F337" s="425"/>
      <c r="G337" s="425"/>
      <c r="H337" s="363"/>
      <c r="I337" s="451"/>
      <c r="N337" s="454"/>
      <c r="U337" s="454"/>
      <c r="V337" s="454"/>
      <c r="W337" s="466"/>
      <c r="X337" s="466"/>
      <c r="AE337" s="359"/>
      <c r="AJ337" s="714"/>
      <c r="AK337" s="714"/>
      <c r="AL337" s="714"/>
      <c r="AM337" s="714"/>
      <c r="AN337" s="714"/>
      <c r="AP337" s="714"/>
      <c r="AQ337" s="714"/>
      <c r="AR337" s="714"/>
    </row>
    <row r="338" spans="1:44" x14ac:dyDescent="0.25">
      <c r="A338" s="425"/>
      <c r="B338" s="425" t="s">
        <v>1108</v>
      </c>
      <c r="C338" s="425"/>
      <c r="D338" s="425"/>
      <c r="E338" s="425"/>
      <c r="F338" s="425"/>
      <c r="G338" s="425"/>
      <c r="H338" s="363"/>
      <c r="I338" s="466">
        <f>SUM(I332:K337)</f>
        <v>35868372</v>
      </c>
      <c r="N338" s="454"/>
      <c r="O338" s="454"/>
      <c r="P338" s="466"/>
      <c r="Q338" s="466"/>
      <c r="AB338" s="1275"/>
      <c r="AC338" s="714"/>
      <c r="AD338" s="714"/>
      <c r="AE338" s="359"/>
      <c r="AF338" s="1275"/>
      <c r="AG338" s="714"/>
      <c r="AH338" s="1399"/>
      <c r="AJ338" s="1440"/>
      <c r="AK338" s="1440"/>
      <c r="AL338" s="1440"/>
      <c r="AM338" s="1440"/>
      <c r="AN338" s="1440"/>
      <c r="AP338" s="714"/>
      <c r="AQ338" s="714"/>
      <c r="AR338" s="714"/>
    </row>
    <row r="339" spans="1:44" x14ac:dyDescent="0.25">
      <c r="A339" s="425"/>
      <c r="B339" s="425" t="s">
        <v>280</v>
      </c>
      <c r="C339" s="425"/>
      <c r="D339" s="425"/>
      <c r="E339" s="425"/>
      <c r="F339" s="425"/>
      <c r="G339" s="425"/>
      <c r="H339" s="363"/>
      <c r="I339" s="116">
        <v>1.4E-2</v>
      </c>
      <c r="N339" s="454"/>
      <c r="O339" s="454"/>
      <c r="P339" s="466"/>
      <c r="Q339" s="466"/>
      <c r="AB339" s="1400"/>
      <c r="AC339" s="714"/>
      <c r="AD339" s="714"/>
      <c r="AE339" s="359"/>
      <c r="AF339" s="1400"/>
      <c r="AG339" s="714"/>
      <c r="AH339" s="713"/>
      <c r="AJ339" s="714"/>
      <c r="AK339" s="714"/>
      <c r="AL339" s="714"/>
      <c r="AM339" s="714"/>
      <c r="AN339" s="714"/>
      <c r="AP339" s="714"/>
      <c r="AQ339" s="714"/>
      <c r="AR339" s="714"/>
    </row>
    <row r="340" spans="1:44" x14ac:dyDescent="0.25">
      <c r="A340" s="425"/>
      <c r="B340" s="425"/>
      <c r="C340" s="425"/>
      <c r="D340" s="425"/>
      <c r="E340" s="425"/>
      <c r="F340" s="425"/>
      <c r="G340" s="425"/>
      <c r="H340" s="363"/>
      <c r="I340" s="451"/>
      <c r="N340" s="454"/>
      <c r="O340" s="454"/>
      <c r="P340" s="466"/>
      <c r="Q340" s="466"/>
      <c r="U340" s="162"/>
      <c r="V340" s="162"/>
      <c r="W340" s="162"/>
      <c r="X340" s="162"/>
      <c r="AB340" s="1401"/>
      <c r="AC340" s="714"/>
      <c r="AD340" s="1401"/>
      <c r="AE340" s="359"/>
      <c r="AF340" s="1401"/>
      <c r="AG340" s="714"/>
      <c r="AH340" s="713"/>
      <c r="AJ340" s="714"/>
      <c r="AK340" s="714"/>
      <c r="AL340" s="714"/>
      <c r="AM340" s="714"/>
      <c r="AN340" s="714"/>
      <c r="AP340" s="714"/>
      <c r="AQ340" s="714"/>
      <c r="AR340" s="714"/>
    </row>
    <row r="341" spans="1:44" x14ac:dyDescent="0.25">
      <c r="A341" s="425"/>
      <c r="B341" s="425" t="s">
        <v>1109</v>
      </c>
      <c r="C341" s="425"/>
      <c r="D341" s="425"/>
      <c r="E341" s="425"/>
      <c r="F341" s="425"/>
      <c r="G341" s="425"/>
      <c r="H341" s="363"/>
      <c r="I341" s="466">
        <f>ROUND(I338*I339,0)</f>
        <v>502157</v>
      </c>
      <c r="N341" s="454"/>
      <c r="O341" s="454"/>
      <c r="P341" s="466"/>
      <c r="Q341" s="466"/>
      <c r="AE341" s="359"/>
      <c r="AJ341" s="714"/>
      <c r="AK341" s="714"/>
      <c r="AL341" s="718"/>
      <c r="AM341" s="714"/>
      <c r="AN341" s="989"/>
      <c r="AP341" s="714"/>
      <c r="AQ341" s="714"/>
      <c r="AR341" s="714"/>
    </row>
    <row r="342" spans="1:44" x14ac:dyDescent="0.25">
      <c r="A342" s="425"/>
      <c r="B342" s="425" t="s">
        <v>1046</v>
      </c>
      <c r="C342" s="425"/>
      <c r="D342" s="425"/>
      <c r="E342" s="425"/>
      <c r="F342" s="425"/>
      <c r="G342" s="425"/>
      <c r="H342" s="363"/>
      <c r="I342" s="466">
        <v>-483363</v>
      </c>
      <c r="O342" s="454"/>
      <c r="P342" s="466"/>
      <c r="Q342" s="466"/>
      <c r="W342" s="363"/>
      <c r="X342" s="363"/>
      <c r="Y342" s="715"/>
      <c r="Z342" s="715"/>
      <c r="AA342" s="715"/>
      <c r="AB342" s="363"/>
      <c r="AD342" s="363"/>
      <c r="AE342" s="359"/>
      <c r="AF342" s="363"/>
      <c r="AG342" s="359"/>
      <c r="AH342" s="363"/>
      <c r="AJ342" s="714"/>
      <c r="AK342" s="714"/>
      <c r="AL342" s="714"/>
      <c r="AM342" s="714"/>
      <c r="AN342" s="714"/>
      <c r="AP342" s="714"/>
      <c r="AQ342" s="714"/>
      <c r="AR342" s="714"/>
    </row>
    <row r="343" spans="1:44" x14ac:dyDescent="0.25">
      <c r="I343" s="108"/>
      <c r="O343" s="454"/>
      <c r="P343" s="466"/>
      <c r="Q343" s="466"/>
      <c r="W343" s="359"/>
      <c r="X343" s="359"/>
      <c r="AB343" s="359"/>
      <c r="AD343" s="359"/>
      <c r="AE343" s="359"/>
      <c r="AF343" s="359"/>
      <c r="AG343" s="359"/>
      <c r="AH343" s="359"/>
      <c r="AP343" s="714"/>
      <c r="AQ343" s="714"/>
      <c r="AR343" s="714"/>
    </row>
    <row r="344" spans="1:44" ht="16.5" thickBot="1" x14ac:dyDescent="0.3">
      <c r="A344" s="425"/>
      <c r="C344" s="425" t="s">
        <v>171</v>
      </c>
      <c r="D344" s="425"/>
      <c r="E344" s="425"/>
      <c r="F344" s="425"/>
      <c r="G344" s="425"/>
      <c r="H344" s="425"/>
      <c r="I344" s="470">
        <f>I341+I342</f>
        <v>18794</v>
      </c>
      <c r="L344" s="990"/>
      <c r="O344" s="454"/>
      <c r="P344" s="466"/>
      <c r="Q344" s="466"/>
      <c r="W344" s="359"/>
      <c r="X344" s="359"/>
      <c r="AB344" s="359"/>
      <c r="AD344" s="359"/>
      <c r="AE344" s="359"/>
      <c r="AF344" s="359"/>
      <c r="AG344" s="359"/>
      <c r="AH344" s="359"/>
      <c r="AP344" s="714"/>
      <c r="AQ344" s="714"/>
      <c r="AR344" s="1086"/>
    </row>
    <row r="345" spans="1:44" ht="16.5" thickTop="1" x14ac:dyDescent="0.25">
      <c r="A345" s="425"/>
      <c r="C345" s="425"/>
      <c r="D345" s="425"/>
      <c r="E345" s="425"/>
      <c r="F345" s="425"/>
      <c r="G345" s="425"/>
      <c r="H345" s="425"/>
      <c r="I345" s="454"/>
      <c r="L345" s="990"/>
      <c r="O345" s="454"/>
      <c r="P345" s="466"/>
      <c r="Q345" s="466"/>
      <c r="W345" s="359"/>
      <c r="X345" s="359"/>
      <c r="AB345" s="359"/>
      <c r="AD345" s="359"/>
      <c r="AE345" s="359"/>
      <c r="AF345" s="359"/>
      <c r="AG345" s="359"/>
      <c r="AH345" s="359"/>
      <c r="AP345" s="714"/>
      <c r="AQ345" s="714"/>
      <c r="AR345" s="1086"/>
    </row>
    <row r="346" spans="1:44" x14ac:dyDescent="0.25">
      <c r="A346" s="1273" t="s">
        <v>1146</v>
      </c>
      <c r="C346" s="425"/>
      <c r="D346" s="425"/>
      <c r="E346" s="425"/>
      <c r="F346" s="425"/>
      <c r="G346" s="425"/>
      <c r="H346" s="425"/>
      <c r="I346" s="454"/>
      <c r="L346" s="990"/>
      <c r="O346" s="454"/>
      <c r="P346" s="466"/>
      <c r="Q346" s="466"/>
      <c r="W346" s="359"/>
      <c r="X346" s="359"/>
      <c r="AB346" s="359"/>
      <c r="AD346" s="359"/>
      <c r="AE346" s="359"/>
      <c r="AF346" s="359"/>
      <c r="AG346" s="359"/>
      <c r="AH346" s="359"/>
      <c r="AP346" s="714"/>
      <c r="AQ346" s="714"/>
      <c r="AR346" s="1086"/>
    </row>
    <row r="347" spans="1:44" x14ac:dyDescent="0.25">
      <c r="A347" s="425"/>
      <c r="C347" s="425"/>
      <c r="D347" s="425"/>
      <c r="E347" s="425"/>
      <c r="F347" s="425"/>
      <c r="G347" s="425"/>
      <c r="H347" s="425"/>
      <c r="I347" s="454"/>
      <c r="O347" s="454"/>
      <c r="P347" s="466"/>
      <c r="Q347" s="466"/>
      <c r="W347" s="359"/>
      <c r="X347" s="359"/>
      <c r="AB347" s="359"/>
      <c r="AD347" s="359"/>
      <c r="AF347" s="359"/>
      <c r="AG347" s="359"/>
      <c r="AH347" s="359"/>
    </row>
    <row r="348" spans="1:44" x14ac:dyDescent="0.25">
      <c r="A348" s="21" t="s">
        <v>647</v>
      </c>
      <c r="B348" s="21"/>
      <c r="C348" s="21"/>
      <c r="D348" s="21"/>
      <c r="E348" s="21"/>
      <c r="F348" s="21"/>
      <c r="G348" s="21"/>
      <c r="H348" s="21"/>
      <c r="I348" s="21"/>
      <c r="J348" s="425"/>
      <c r="K348" s="425"/>
      <c r="O348" s="454"/>
      <c r="P348" s="466"/>
      <c r="Q348" s="466"/>
      <c r="W348" s="359"/>
      <c r="X348" s="359"/>
      <c r="AD348" s="359"/>
      <c r="AF348" s="359"/>
      <c r="AG348" s="359"/>
      <c r="AH348" s="359"/>
    </row>
    <row r="349" spans="1:44" x14ac:dyDescent="0.25">
      <c r="J349" s="61"/>
      <c r="K349" s="61"/>
      <c r="O349" s="454"/>
      <c r="P349" s="466"/>
      <c r="Q349" s="466"/>
      <c r="W349" s="359"/>
      <c r="X349" s="359"/>
      <c r="AD349" s="359"/>
      <c r="AF349" s="359"/>
      <c r="AG349" s="359"/>
      <c r="AH349" s="359"/>
    </row>
    <row r="350" spans="1:44" x14ac:dyDescent="0.25">
      <c r="A350" s="178" t="s">
        <v>1159</v>
      </c>
      <c r="J350" s="425"/>
      <c r="K350" s="208"/>
      <c r="W350" s="359"/>
      <c r="X350" s="359"/>
      <c r="AD350" s="359"/>
      <c r="AF350" s="359"/>
      <c r="AG350" s="359"/>
      <c r="AH350" s="359"/>
    </row>
    <row r="351" spans="1:44" x14ac:dyDescent="0.25">
      <c r="A351" s="178"/>
      <c r="J351" s="425"/>
      <c r="K351" s="454"/>
      <c r="W351" s="359"/>
      <c r="X351" s="359"/>
      <c r="AD351" s="359"/>
      <c r="AF351" s="359"/>
      <c r="AG351" s="359"/>
      <c r="AH351" s="359"/>
    </row>
    <row r="352" spans="1:44" x14ac:dyDescent="0.25">
      <c r="A352" s="178" t="s">
        <v>556</v>
      </c>
      <c r="B352" s="425"/>
      <c r="C352" s="425"/>
      <c r="D352" s="425"/>
      <c r="E352" s="425"/>
      <c r="F352" s="425"/>
      <c r="H352" s="425"/>
      <c r="J352" s="466"/>
      <c r="K352" s="466"/>
      <c r="L352" s="454"/>
      <c r="P352" s="61"/>
      <c r="W352" s="359"/>
      <c r="X352" s="359"/>
      <c r="AD352" s="359"/>
      <c r="AF352" s="359"/>
      <c r="AG352" s="359"/>
      <c r="AH352" s="359"/>
    </row>
    <row r="353" spans="1:34" ht="15.75" customHeight="1" x14ac:dyDescent="0.25">
      <c r="B353" s="425" t="s">
        <v>73</v>
      </c>
      <c r="C353" s="425"/>
      <c r="D353" s="425"/>
      <c r="E353" s="425"/>
      <c r="F353" s="425"/>
      <c r="G353" s="454">
        <v>1858466</v>
      </c>
      <c r="H353" s="425"/>
      <c r="I353" s="466"/>
      <c r="J353" s="425"/>
      <c r="K353" s="466"/>
      <c r="P353" s="61"/>
      <c r="W353" s="359"/>
      <c r="X353" s="359"/>
      <c r="AD353" s="359"/>
      <c r="AF353" s="359"/>
      <c r="AG353" s="359"/>
      <c r="AH353" s="359"/>
    </row>
    <row r="354" spans="1:34" ht="15.75" customHeight="1" x14ac:dyDescent="0.25">
      <c r="B354" s="996" t="s">
        <v>270</v>
      </c>
      <c r="G354" s="466">
        <v>812306</v>
      </c>
      <c r="W354" s="359"/>
      <c r="X354" s="359"/>
      <c r="AD354" s="359"/>
      <c r="AF354" s="359"/>
      <c r="AG354" s="359"/>
      <c r="AH354" s="359"/>
    </row>
    <row r="355" spans="1:34" ht="15.75" customHeight="1" x14ac:dyDescent="0.25">
      <c r="C355" s="425"/>
      <c r="G355" s="108"/>
      <c r="I355" s="454"/>
      <c r="P355" s="396"/>
      <c r="W355" s="359"/>
      <c r="X355" s="359"/>
      <c r="AD355" s="359"/>
      <c r="AF355" s="359"/>
      <c r="AG355" s="359"/>
      <c r="AH355" s="359"/>
    </row>
    <row r="356" spans="1:34" ht="15.75" customHeight="1" x14ac:dyDescent="0.25">
      <c r="C356" s="425" t="s">
        <v>557</v>
      </c>
      <c r="G356" s="425"/>
      <c r="I356" s="454">
        <f>G353+G354</f>
        <v>2670772</v>
      </c>
      <c r="P356" s="466"/>
    </row>
    <row r="357" spans="1:34" ht="15.75" customHeight="1" x14ac:dyDescent="0.25">
      <c r="C357" s="425" t="s">
        <v>1060</v>
      </c>
      <c r="G357" s="425"/>
      <c r="I357" s="478">
        <v>3.0699999999999998E-3</v>
      </c>
      <c r="P357" s="466"/>
      <c r="W357" s="363"/>
      <c r="X357" s="363"/>
      <c r="AB357" s="363"/>
      <c r="AD357" s="363"/>
      <c r="AF357" s="363"/>
      <c r="AH357" s="363"/>
    </row>
    <row r="358" spans="1:34" ht="15.75" customHeight="1" x14ac:dyDescent="0.25">
      <c r="C358" s="425"/>
      <c r="I358" s="353"/>
      <c r="P358" s="1402"/>
      <c r="AH358" s="359"/>
    </row>
    <row r="359" spans="1:34" ht="15.75" customHeight="1" thickBot="1" x14ac:dyDescent="0.3">
      <c r="C359" s="425" t="s">
        <v>171</v>
      </c>
      <c r="I359" s="470">
        <f>ROUND(I356*I357,0)</f>
        <v>8199</v>
      </c>
      <c r="L359" s="990"/>
      <c r="N359" s="466"/>
    </row>
    <row r="360" spans="1:34" ht="15.75" customHeight="1" thickTop="1" x14ac:dyDescent="0.25">
      <c r="C360" s="425"/>
      <c r="I360" s="454"/>
      <c r="N360" s="466"/>
      <c r="AH360" s="363"/>
    </row>
    <row r="361" spans="1:34" ht="15.75" customHeight="1" x14ac:dyDescent="0.25">
      <c r="A361" s="996" t="s">
        <v>1056</v>
      </c>
      <c r="C361" s="425"/>
      <c r="I361" s="454"/>
      <c r="N361" s="466"/>
    </row>
    <row r="362" spans="1:34" ht="15.75" customHeight="1" x14ac:dyDescent="0.25">
      <c r="A362" s="1273" t="s">
        <v>1147</v>
      </c>
    </row>
    <row r="363" spans="1:34" ht="15.75" customHeight="1" x14ac:dyDescent="0.25"/>
    <row r="364" spans="1:34" ht="15.75" customHeight="1" x14ac:dyDescent="0.25"/>
    <row r="365" spans="1:34" x14ac:dyDescent="0.25">
      <c r="A365" s="21" t="s">
        <v>808</v>
      </c>
      <c r="B365" s="21"/>
      <c r="C365" s="21"/>
      <c r="D365" s="21"/>
      <c r="E365" s="481"/>
      <c r="F365" s="481"/>
      <c r="G365" s="481"/>
      <c r="H365" s="481"/>
      <c r="I365" s="481"/>
    </row>
    <row r="366" spans="1:34" x14ac:dyDescent="0.25">
      <c r="A366" s="755"/>
      <c r="B366" s="995"/>
      <c r="C366" s="755"/>
      <c r="D366" s="755"/>
      <c r="E366" s="61"/>
      <c r="F366" s="61"/>
      <c r="G366" s="61"/>
      <c r="H366" s="61"/>
      <c r="I366" s="61"/>
    </row>
    <row r="367" spans="1:34" x14ac:dyDescent="0.25">
      <c r="A367" s="767" t="s">
        <v>1057</v>
      </c>
      <c r="B367" s="995"/>
      <c r="C367" s="755"/>
      <c r="D367" s="755"/>
      <c r="E367" s="425"/>
      <c r="F367" s="425"/>
      <c r="G367" s="425"/>
      <c r="H367" s="425"/>
      <c r="I367" s="425"/>
      <c r="W367" s="359"/>
      <c r="X367" s="359"/>
    </row>
    <row r="368" spans="1:34" x14ac:dyDescent="0.25">
      <c r="A368" s="755"/>
      <c r="B368" s="995"/>
      <c r="C368" s="755"/>
      <c r="D368" s="755"/>
      <c r="E368" s="425"/>
      <c r="F368" s="425"/>
      <c r="G368" s="425"/>
      <c r="H368" s="425"/>
      <c r="I368" s="425"/>
      <c r="S368" s="61"/>
      <c r="W368" s="359"/>
      <c r="X368" s="359"/>
    </row>
    <row r="369" spans="1:24" x14ac:dyDescent="0.25">
      <c r="A369" s="755"/>
      <c r="B369" s="640" t="s">
        <v>1107</v>
      </c>
      <c r="D369" s="998"/>
      <c r="E369" s="425"/>
      <c r="F369" s="425"/>
      <c r="G369" s="454">
        <v>233378</v>
      </c>
      <c r="H369" s="466"/>
      <c r="I369" s="454"/>
      <c r="N369" s="454"/>
      <c r="T369" s="61"/>
      <c r="W369" s="359"/>
      <c r="X369" s="359"/>
    </row>
    <row r="370" spans="1:24" x14ac:dyDescent="0.25">
      <c r="B370" s="995" t="s">
        <v>1046</v>
      </c>
      <c r="E370" s="425"/>
      <c r="F370" s="425"/>
      <c r="G370" s="994">
        <v>-196449</v>
      </c>
      <c r="H370" s="425"/>
      <c r="I370" s="466"/>
      <c r="J370" s="998"/>
      <c r="K370" s="227"/>
      <c r="N370" s="454"/>
      <c r="S370" s="987"/>
      <c r="W370" s="359"/>
      <c r="X370" s="359"/>
    </row>
    <row r="371" spans="1:24" x14ac:dyDescent="0.25">
      <c r="C371" s="425"/>
      <c r="E371" s="425"/>
      <c r="F371" s="425"/>
      <c r="G371" s="227"/>
      <c r="H371" s="425"/>
      <c r="I371" s="466"/>
      <c r="K371" s="227"/>
      <c r="S371" s="973"/>
      <c r="T371" s="987"/>
      <c r="W371" s="359"/>
      <c r="X371" s="359"/>
    </row>
    <row r="372" spans="1:24" ht="16.5" thickBot="1" x14ac:dyDescent="0.3">
      <c r="A372" s="998"/>
      <c r="B372" s="998"/>
      <c r="C372" s="755" t="s">
        <v>171</v>
      </c>
      <c r="D372" s="998"/>
      <c r="E372" s="425"/>
      <c r="F372" s="425"/>
      <c r="G372" s="227"/>
      <c r="H372" s="425"/>
      <c r="I372" s="470">
        <f>G369+G370</f>
        <v>36929</v>
      </c>
      <c r="K372" s="227"/>
      <c r="L372" s="990"/>
      <c r="N372" s="454"/>
      <c r="T372" s="973"/>
      <c r="W372" s="359"/>
      <c r="X372" s="359"/>
    </row>
    <row r="373" spans="1:24" ht="16.5" thickTop="1" x14ac:dyDescent="0.25">
      <c r="A373" s="998"/>
      <c r="B373" s="998"/>
      <c r="C373" s="755"/>
      <c r="D373" s="998"/>
      <c r="E373" s="425"/>
      <c r="F373" s="425"/>
      <c r="G373" s="227"/>
      <c r="H373" s="425"/>
      <c r="I373" s="454"/>
      <c r="K373" s="227"/>
      <c r="L373" s="990"/>
      <c r="N373" s="454"/>
      <c r="T373" s="973"/>
      <c r="W373" s="359"/>
      <c r="X373" s="359"/>
    </row>
    <row r="374" spans="1:24" x14ac:dyDescent="0.25">
      <c r="A374" s="998"/>
      <c r="B374" s="998"/>
      <c r="C374" s="755"/>
      <c r="D374" s="998"/>
      <c r="E374" s="425"/>
      <c r="F374" s="425"/>
      <c r="G374" s="227"/>
      <c r="H374" s="425"/>
      <c r="I374" s="454"/>
      <c r="K374" s="227"/>
      <c r="L374" s="990"/>
      <c r="N374" s="454"/>
      <c r="T374" s="973"/>
      <c r="W374" s="359"/>
      <c r="X374" s="359"/>
    </row>
    <row r="375" spans="1:24" x14ac:dyDescent="0.25">
      <c r="A375" s="767" t="s">
        <v>1061</v>
      </c>
      <c r="C375" s="995"/>
      <c r="D375" s="755"/>
      <c r="E375" s="755"/>
      <c r="F375" s="425"/>
      <c r="G375" s="227"/>
      <c r="H375" s="425"/>
      <c r="I375" s="454"/>
      <c r="K375" s="227"/>
      <c r="L375" s="990"/>
      <c r="N375" s="454"/>
      <c r="T375" s="973"/>
      <c r="W375" s="359"/>
      <c r="X375" s="359"/>
    </row>
    <row r="376" spans="1:24" x14ac:dyDescent="0.25">
      <c r="A376" s="998"/>
      <c r="B376" s="755"/>
      <c r="C376" s="995"/>
      <c r="D376" s="755"/>
      <c r="E376" s="755"/>
      <c r="F376" s="425"/>
      <c r="G376" s="227"/>
      <c r="H376" s="425"/>
      <c r="I376" s="454"/>
      <c r="K376" s="227"/>
      <c r="L376" s="990"/>
      <c r="N376" s="454"/>
      <c r="T376" s="973"/>
      <c r="W376" s="359"/>
      <c r="X376" s="359"/>
    </row>
    <row r="377" spans="1:24" x14ac:dyDescent="0.25">
      <c r="A377" s="998"/>
      <c r="B377" s="640" t="s">
        <v>1107</v>
      </c>
      <c r="C377" s="998"/>
      <c r="E377" s="998"/>
      <c r="F377" s="425"/>
      <c r="G377" s="454">
        <v>113016</v>
      </c>
      <c r="H377" s="466"/>
      <c r="I377" s="454"/>
      <c r="K377" s="227"/>
      <c r="L377" s="990"/>
      <c r="N377" s="454"/>
      <c r="T377" s="973"/>
      <c r="W377" s="359"/>
      <c r="X377" s="359"/>
    </row>
    <row r="378" spans="1:24" x14ac:dyDescent="0.25">
      <c r="A378" s="998"/>
      <c r="B378" s="995" t="s">
        <v>1046</v>
      </c>
      <c r="C378" s="998"/>
      <c r="F378" s="425"/>
      <c r="G378" s="994">
        <v>-56508</v>
      </c>
      <c r="H378" s="425"/>
      <c r="I378" s="466"/>
      <c r="K378" s="227"/>
      <c r="L378" s="990"/>
      <c r="N378" s="454"/>
      <c r="T378" s="973"/>
      <c r="W378" s="359"/>
      <c r="X378" s="359"/>
    </row>
    <row r="379" spans="1:24" x14ac:dyDescent="0.25">
      <c r="A379" s="998"/>
      <c r="D379" s="425"/>
      <c r="F379" s="425"/>
      <c r="G379" s="227"/>
      <c r="H379" s="425"/>
      <c r="I379" s="466"/>
      <c r="K379" s="227"/>
      <c r="L379" s="990"/>
      <c r="N379" s="454"/>
      <c r="T379" s="973"/>
      <c r="W379" s="359"/>
      <c r="X379" s="359"/>
    </row>
    <row r="380" spans="1:24" ht="16.5" thickBot="1" x14ac:dyDescent="0.3">
      <c r="A380" s="998"/>
      <c r="B380" s="998"/>
      <c r="C380" s="755" t="s">
        <v>171</v>
      </c>
      <c r="D380" s="998"/>
      <c r="F380" s="425"/>
      <c r="G380" s="227"/>
      <c r="H380" s="425"/>
      <c r="I380" s="470">
        <f>G377+G378</f>
        <v>56508</v>
      </c>
      <c r="K380" s="227"/>
      <c r="L380" s="990"/>
      <c r="N380" s="454"/>
      <c r="T380" s="973"/>
      <c r="W380" s="359"/>
      <c r="X380" s="359"/>
    </row>
    <row r="381" spans="1:24" ht="16.5" thickTop="1" x14ac:dyDescent="0.25">
      <c r="A381" s="998"/>
      <c r="B381" s="998"/>
      <c r="C381" s="755"/>
      <c r="D381" s="998"/>
      <c r="E381" s="425"/>
      <c r="F381" s="425"/>
      <c r="G381" s="227"/>
      <c r="H381" s="425"/>
      <c r="I381" s="454"/>
      <c r="K381" s="227"/>
      <c r="L381" s="990"/>
      <c r="N381" s="454"/>
      <c r="T381" s="973"/>
      <c r="W381" s="359"/>
      <c r="X381" s="359"/>
    </row>
    <row r="382" spans="1:24" x14ac:dyDescent="0.25">
      <c r="A382" s="1273" t="s">
        <v>1148</v>
      </c>
      <c r="B382" s="998"/>
      <c r="C382" s="755"/>
      <c r="D382" s="998"/>
      <c r="E382" s="425"/>
      <c r="F382" s="425"/>
      <c r="G382" s="227"/>
      <c r="H382" s="425"/>
      <c r="I382" s="454"/>
      <c r="K382" s="227"/>
      <c r="L382" s="990"/>
      <c r="N382" s="454"/>
      <c r="T382" s="973"/>
      <c r="W382" s="359"/>
      <c r="X382" s="359"/>
    </row>
    <row r="383" spans="1:24" x14ac:dyDescent="0.25">
      <c r="B383" s="998"/>
      <c r="C383" s="755"/>
      <c r="D383" s="998"/>
      <c r="E383" s="425"/>
      <c r="F383" s="425"/>
      <c r="G383" s="227"/>
      <c r="H383" s="425"/>
      <c r="I383" s="454"/>
      <c r="K383" s="227"/>
      <c r="L383" s="990"/>
      <c r="N383" s="454"/>
      <c r="T383" s="973"/>
      <c r="W383" s="359"/>
      <c r="X383" s="359"/>
    </row>
    <row r="384" spans="1:24" x14ac:dyDescent="0.25">
      <c r="A384" s="998"/>
      <c r="B384" s="998"/>
      <c r="C384" s="755"/>
      <c r="D384" s="998"/>
      <c r="E384" s="425"/>
      <c r="F384" s="425"/>
      <c r="G384" s="227"/>
      <c r="H384" s="425"/>
      <c r="I384" s="454"/>
      <c r="K384" s="227"/>
      <c r="L384" s="990"/>
      <c r="N384" s="454"/>
      <c r="T384" s="973"/>
      <c r="W384" s="359"/>
      <c r="X384" s="359"/>
    </row>
    <row r="385" spans="1:24" x14ac:dyDescent="0.25">
      <c r="A385" s="998"/>
      <c r="B385" s="998"/>
      <c r="C385" s="755"/>
      <c r="D385" s="998"/>
      <c r="E385" s="425"/>
      <c r="F385" s="425"/>
      <c r="G385" s="227"/>
      <c r="H385" s="425"/>
      <c r="I385" s="454"/>
      <c r="K385" s="227"/>
      <c r="L385" s="990"/>
      <c r="N385" s="454"/>
      <c r="T385" s="973"/>
      <c r="W385" s="359"/>
      <c r="X385" s="359"/>
    </row>
    <row r="386" spans="1:24" x14ac:dyDescent="0.25">
      <c r="A386" s="998"/>
      <c r="B386" s="998"/>
      <c r="C386" s="755"/>
      <c r="D386" s="998"/>
      <c r="E386" s="425"/>
      <c r="F386" s="425"/>
      <c r="G386" s="227"/>
      <c r="H386" s="425"/>
      <c r="I386" s="454"/>
      <c r="K386" s="227"/>
      <c r="L386" s="990"/>
      <c r="N386" s="454"/>
      <c r="T386" s="973"/>
      <c r="W386" s="359"/>
      <c r="X386" s="359"/>
    </row>
    <row r="387" spans="1:24" x14ac:dyDescent="0.25">
      <c r="A387" s="998"/>
      <c r="B387" s="998"/>
      <c r="C387" s="755"/>
      <c r="D387" s="998"/>
      <c r="E387" s="425"/>
      <c r="F387" s="425"/>
      <c r="G387" s="227"/>
      <c r="H387" s="425"/>
      <c r="I387" s="454"/>
      <c r="K387" s="227"/>
      <c r="L387" s="990"/>
      <c r="N387" s="454"/>
      <c r="T387" s="973"/>
      <c r="W387" s="359"/>
      <c r="X387" s="359"/>
    </row>
    <row r="388" spans="1:24" x14ac:dyDescent="0.25">
      <c r="A388" s="998"/>
      <c r="B388" s="998"/>
      <c r="C388" s="755"/>
      <c r="D388" s="998"/>
      <c r="E388" s="425"/>
      <c r="F388" s="425"/>
      <c r="G388" s="227"/>
      <c r="H388" s="425"/>
      <c r="I388" s="454"/>
      <c r="K388" s="227"/>
      <c r="L388" s="990"/>
      <c r="N388" s="454"/>
      <c r="T388" s="973"/>
      <c r="W388" s="359"/>
      <c r="X388" s="359"/>
    </row>
    <row r="389" spans="1:24" x14ac:dyDescent="0.25">
      <c r="A389" s="998"/>
      <c r="B389" s="998"/>
      <c r="C389" s="755"/>
      <c r="D389" s="998"/>
      <c r="E389" s="425"/>
      <c r="F389" s="425"/>
      <c r="G389" s="227"/>
      <c r="H389" s="425"/>
      <c r="I389" s="454"/>
      <c r="K389" s="227"/>
      <c r="L389" s="990"/>
      <c r="N389" s="454"/>
      <c r="T389" s="973"/>
      <c r="W389" s="359"/>
      <c r="X389" s="359"/>
    </row>
    <row r="390" spans="1:24" x14ac:dyDescent="0.25">
      <c r="A390" s="998"/>
      <c r="B390" s="998"/>
      <c r="C390" s="755"/>
      <c r="D390" s="998"/>
      <c r="E390" s="425"/>
      <c r="F390" s="425"/>
      <c r="G390" s="227"/>
      <c r="H390" s="425"/>
      <c r="I390" s="454"/>
      <c r="K390" s="227"/>
      <c r="L390" s="990"/>
      <c r="N390" s="454"/>
      <c r="T390" s="973"/>
      <c r="W390" s="359"/>
      <c r="X390" s="359"/>
    </row>
    <row r="391" spans="1:24" x14ac:dyDescent="0.25">
      <c r="A391" s="998"/>
      <c r="B391" s="998"/>
      <c r="G391" s="993"/>
      <c r="H391" s="993"/>
      <c r="I391" s="993"/>
      <c r="N391" s="454"/>
      <c r="U391" s="172"/>
      <c r="V391" s="172"/>
      <c r="W391" s="359"/>
      <c r="X391" s="359"/>
    </row>
    <row r="392" spans="1:24" x14ac:dyDescent="0.25">
      <c r="G392" s="993"/>
      <c r="H392" s="993"/>
      <c r="I392" s="993"/>
      <c r="N392" s="454"/>
      <c r="W392" s="359"/>
      <c r="X392" s="359"/>
    </row>
    <row r="393" spans="1:24" ht="15" customHeight="1" x14ac:dyDescent="0.25">
      <c r="J393" s="178"/>
      <c r="K393" s="178"/>
      <c r="N393" s="466"/>
      <c r="R393" s="61"/>
    </row>
    <row r="394" spans="1:24" ht="15" customHeight="1" x14ac:dyDescent="0.25">
      <c r="J394" s="178"/>
      <c r="K394" s="178"/>
      <c r="N394" s="466"/>
      <c r="R394" s="61"/>
    </row>
    <row r="395" spans="1:24" ht="15" customHeight="1" x14ac:dyDescent="0.25">
      <c r="J395" s="178"/>
      <c r="K395" s="178"/>
      <c r="N395" s="466"/>
      <c r="R395" s="61"/>
    </row>
    <row r="396" spans="1:24" ht="15" customHeight="1" x14ac:dyDescent="0.25">
      <c r="J396" s="178"/>
      <c r="K396" s="178"/>
      <c r="N396" s="466"/>
      <c r="R396" s="61"/>
    </row>
    <row r="397" spans="1:24" ht="15" customHeight="1" x14ac:dyDescent="0.25">
      <c r="J397" s="178"/>
      <c r="K397" s="178"/>
      <c r="N397" s="466"/>
      <c r="R397" s="61"/>
    </row>
    <row r="398" spans="1:24" ht="15" customHeight="1" x14ac:dyDescent="0.25">
      <c r="J398" s="178"/>
      <c r="K398" s="178"/>
      <c r="N398" s="466"/>
      <c r="R398" s="61"/>
    </row>
    <row r="399" spans="1:24" ht="15" customHeight="1" x14ac:dyDescent="0.25">
      <c r="J399" s="178"/>
      <c r="K399" s="178"/>
      <c r="N399" s="466"/>
      <c r="R399" s="61"/>
    </row>
    <row r="400" spans="1:24" ht="15" customHeight="1" x14ac:dyDescent="0.25"/>
    <row r="401" spans="1:31" x14ac:dyDescent="0.25">
      <c r="A401" s="174"/>
      <c r="B401" s="174"/>
      <c r="C401" s="174"/>
      <c r="D401" s="174"/>
      <c r="E401" s="174"/>
      <c r="F401" s="174"/>
      <c r="G401" s="174"/>
      <c r="H401" s="174"/>
      <c r="I401" s="174"/>
      <c r="J401" s="1104"/>
      <c r="K401" s="1104"/>
      <c r="R401" s="987"/>
    </row>
    <row r="402" spans="1:31" x14ac:dyDescent="0.25">
      <c r="A402" s="1441" t="s">
        <v>16</v>
      </c>
      <c r="B402" s="1441"/>
      <c r="C402" s="1441"/>
      <c r="D402" s="1441"/>
      <c r="E402" s="1441"/>
      <c r="F402" s="1441"/>
      <c r="G402" s="1441"/>
      <c r="H402" s="1441"/>
      <c r="I402" s="1441"/>
      <c r="J402" s="1104"/>
      <c r="K402" s="1104"/>
      <c r="R402" s="973"/>
    </row>
    <row r="403" spans="1:31" x14ac:dyDescent="0.25">
      <c r="A403" s="174"/>
      <c r="B403" s="174"/>
      <c r="C403" s="174"/>
      <c r="D403" s="174"/>
      <c r="E403" s="174"/>
      <c r="F403" s="174"/>
      <c r="G403" s="174"/>
      <c r="H403" s="174"/>
      <c r="I403" s="174"/>
      <c r="J403" s="1104"/>
      <c r="K403" s="1104"/>
      <c r="P403" s="466"/>
      <c r="Q403" s="466"/>
    </row>
    <row r="404" spans="1:31" x14ac:dyDescent="0.25">
      <c r="A404" s="174" t="s">
        <v>611</v>
      </c>
      <c r="B404" s="174"/>
      <c r="C404" s="174"/>
      <c r="D404" s="174"/>
      <c r="E404" s="174"/>
      <c r="F404" s="174"/>
      <c r="G404" s="174"/>
      <c r="H404" s="174"/>
      <c r="I404" s="174"/>
      <c r="J404" s="1104"/>
      <c r="K404" s="1104"/>
      <c r="P404" s="466"/>
      <c r="Q404" s="466"/>
    </row>
    <row r="405" spans="1:31" ht="16.5" customHeight="1" x14ac:dyDescent="0.25">
      <c r="A405" s="1104"/>
      <c r="B405" s="1104"/>
      <c r="C405" s="1104"/>
      <c r="D405" s="1104"/>
      <c r="E405" s="1104"/>
      <c r="F405" s="1104"/>
      <c r="G405" s="1104"/>
      <c r="H405" s="1104"/>
      <c r="I405" s="1104"/>
      <c r="J405" s="1104"/>
      <c r="K405" s="1104"/>
      <c r="P405" s="466"/>
      <c r="Q405" s="466"/>
      <c r="R405" s="363"/>
      <c r="Y405" s="61"/>
      <c r="Z405" s="61"/>
      <c r="AA405" s="61"/>
      <c r="AB405" s="61"/>
      <c r="AC405" s="61"/>
      <c r="AD405" s="61"/>
      <c r="AE405" s="61"/>
    </row>
    <row r="406" spans="1:31" x14ac:dyDescent="0.25">
      <c r="A406" s="192">
        <v>16</v>
      </c>
      <c r="B406" s="192"/>
      <c r="C406" s="192"/>
      <c r="D406" s="192"/>
      <c r="E406" s="192"/>
      <c r="F406" s="192"/>
      <c r="G406" s="192"/>
      <c r="H406" s="192"/>
      <c r="I406" s="192"/>
      <c r="J406" s="1103"/>
      <c r="K406" s="1103"/>
    </row>
    <row r="407" spans="1:31" x14ac:dyDescent="0.25">
      <c r="A407" s="1437" t="s">
        <v>232</v>
      </c>
      <c r="B407" s="1437"/>
      <c r="C407" s="1437"/>
      <c r="D407" s="1437"/>
      <c r="E407" s="1437"/>
      <c r="F407" s="1437"/>
      <c r="G407" s="1437"/>
      <c r="H407" s="1437"/>
      <c r="I407" s="1437"/>
      <c r="J407" s="136"/>
      <c r="K407" s="136"/>
    </row>
    <row r="408" spans="1:31" x14ac:dyDescent="0.25">
      <c r="A408" s="1104"/>
      <c r="B408" s="1104"/>
      <c r="C408" s="1104"/>
      <c r="D408" s="1104"/>
      <c r="E408" s="1104"/>
      <c r="F408" s="1104"/>
      <c r="G408" s="1104"/>
      <c r="H408" s="1104"/>
      <c r="I408" s="1105" t="s">
        <v>17</v>
      </c>
      <c r="J408" s="1104"/>
      <c r="K408" s="1105"/>
    </row>
    <row r="409" spans="1:31" x14ac:dyDescent="0.25">
      <c r="A409" s="136" t="s">
        <v>1037</v>
      </c>
      <c r="B409" s="136"/>
      <c r="C409" s="136"/>
      <c r="D409" s="136"/>
      <c r="E409" s="136"/>
      <c r="F409" s="136"/>
      <c r="G409" s="136"/>
      <c r="H409" s="136"/>
      <c r="I409" s="136"/>
      <c r="J409" s="117"/>
      <c r="K409" s="117"/>
    </row>
    <row r="410" spans="1:31" x14ac:dyDescent="0.25">
      <c r="A410" s="1436" t="s">
        <v>169</v>
      </c>
      <c r="B410" s="1436"/>
      <c r="C410" s="1436"/>
      <c r="D410" s="1436"/>
      <c r="E410" s="1436"/>
      <c r="F410" s="1436"/>
      <c r="G410" s="1436"/>
      <c r="H410" s="1436"/>
      <c r="I410" s="1436"/>
      <c r="J410" s="1436"/>
      <c r="K410" s="1436"/>
    </row>
    <row r="411" spans="1:31" x14ac:dyDescent="0.25">
      <c r="A411" s="1436"/>
      <c r="B411" s="1436"/>
      <c r="C411" s="1436"/>
      <c r="D411" s="1436"/>
      <c r="E411" s="1436"/>
      <c r="F411" s="1436"/>
      <c r="G411" s="1436"/>
      <c r="H411" s="1436"/>
      <c r="I411" s="1436"/>
      <c r="J411" s="1436"/>
      <c r="K411" s="1436"/>
    </row>
    <row r="412" spans="1:31" ht="15.75" hidden="1" customHeight="1" x14ac:dyDescent="0.25">
      <c r="P412" s="466"/>
      <c r="Q412" s="466"/>
      <c r="W412" s="1274"/>
      <c r="X412" s="1274"/>
      <c r="Y412" s="1274"/>
      <c r="Z412" s="1274"/>
      <c r="AA412" s="1274"/>
    </row>
    <row r="413" spans="1:31" ht="15.75" hidden="1" customHeight="1" x14ac:dyDescent="0.25">
      <c r="A413" s="21" t="s">
        <v>810</v>
      </c>
      <c r="B413" s="174"/>
      <c r="C413" s="174"/>
      <c r="D413" s="174"/>
      <c r="E413" s="174"/>
      <c r="F413" s="174"/>
      <c r="G413" s="174"/>
      <c r="H413" s="174"/>
      <c r="I413" s="174"/>
      <c r="P413" s="466"/>
      <c r="Q413" s="466"/>
      <c r="W413" s="359"/>
      <c r="X413" s="359"/>
    </row>
    <row r="414" spans="1:31" ht="15.75" hidden="1" customHeight="1" x14ac:dyDescent="0.25">
      <c r="P414" s="466"/>
      <c r="Q414" s="466"/>
      <c r="W414" s="359"/>
      <c r="X414" s="359"/>
    </row>
    <row r="415" spans="1:31" ht="15.75" hidden="1" customHeight="1" x14ac:dyDescent="0.25">
      <c r="A415" s="996" t="s">
        <v>688</v>
      </c>
      <c r="P415" s="466"/>
      <c r="Q415" s="466"/>
      <c r="W415" s="359"/>
      <c r="X415" s="359"/>
    </row>
    <row r="416" spans="1:31" ht="15.75" hidden="1" customHeight="1" x14ac:dyDescent="0.25">
      <c r="A416" s="996" t="s">
        <v>689</v>
      </c>
      <c r="P416" s="466"/>
      <c r="Q416" s="466"/>
      <c r="W416" s="359"/>
      <c r="X416" s="359"/>
    </row>
    <row r="417" spans="1:24" ht="15.75" hidden="1" customHeight="1" x14ac:dyDescent="0.25">
      <c r="P417" s="466"/>
      <c r="Q417" s="466"/>
      <c r="W417" s="359"/>
      <c r="X417" s="359"/>
    </row>
    <row r="418" spans="1:24" ht="15.75" hidden="1" customHeight="1" x14ac:dyDescent="0.25">
      <c r="B418" s="996" t="s">
        <v>669</v>
      </c>
      <c r="I418" s="997"/>
      <c r="P418" s="466"/>
      <c r="Q418" s="466"/>
      <c r="W418" s="359"/>
      <c r="X418" s="359"/>
    </row>
    <row r="419" spans="1:24" ht="15.75" hidden="1" customHeight="1" x14ac:dyDescent="0.25">
      <c r="P419" s="466"/>
      <c r="Q419" s="466"/>
      <c r="W419" s="359"/>
      <c r="X419" s="359"/>
    </row>
    <row r="420" spans="1:24" ht="15.75" hidden="1" customHeight="1" x14ac:dyDescent="0.25">
      <c r="B420" s="996" t="s">
        <v>671</v>
      </c>
      <c r="I420" s="466"/>
      <c r="P420" s="466"/>
      <c r="Q420" s="466"/>
      <c r="W420" s="359"/>
      <c r="X420" s="359"/>
    </row>
    <row r="421" spans="1:24" ht="15.75" hidden="1" customHeight="1" x14ac:dyDescent="0.25">
      <c r="I421" s="466"/>
      <c r="P421" s="466"/>
      <c r="Q421" s="466"/>
      <c r="W421" s="359"/>
      <c r="X421" s="359"/>
    </row>
    <row r="422" spans="1:24" ht="15.75" hidden="1" customHeight="1" x14ac:dyDescent="0.25">
      <c r="B422" s="996" t="s">
        <v>680</v>
      </c>
      <c r="I422" s="466"/>
      <c r="O422" s="485"/>
      <c r="P422" s="1274"/>
      <c r="Q422" s="1274"/>
      <c r="R422" s="1274"/>
      <c r="S422" s="1274"/>
      <c r="W422" s="359"/>
      <c r="X422" s="359"/>
    </row>
    <row r="423" spans="1:24" hidden="1" x14ac:dyDescent="0.25">
      <c r="I423" s="993"/>
      <c r="P423" s="466"/>
      <c r="Q423" s="466"/>
      <c r="T423" s="1274"/>
      <c r="W423" s="466"/>
      <c r="X423" s="466"/>
    </row>
    <row r="424" spans="1:24" ht="15.75" hidden="1" customHeight="1" x14ac:dyDescent="0.25">
      <c r="B424" s="170" t="s">
        <v>674</v>
      </c>
      <c r="I424" s="993"/>
      <c r="P424" s="466"/>
      <c r="Q424" s="466"/>
      <c r="W424" s="466"/>
      <c r="X424" s="466"/>
    </row>
    <row r="425" spans="1:24" ht="15.75" hidden="1" customHeight="1" x14ac:dyDescent="0.25">
      <c r="I425" s="993"/>
      <c r="P425" s="466"/>
      <c r="Q425" s="466"/>
      <c r="W425" s="466"/>
      <c r="X425" s="466"/>
    </row>
    <row r="426" spans="1:24" ht="15.75" hidden="1" customHeight="1" x14ac:dyDescent="0.25">
      <c r="B426" s="170" t="s">
        <v>675</v>
      </c>
      <c r="I426" s="994"/>
      <c r="P426" s="466"/>
      <c r="Q426" s="466"/>
    </row>
    <row r="427" spans="1:24" ht="15.75" hidden="1" customHeight="1" x14ac:dyDescent="0.25">
      <c r="I427" s="993"/>
      <c r="P427" s="466"/>
      <c r="Q427" s="466"/>
    </row>
    <row r="428" spans="1:24" ht="15.75" hidden="1" customHeight="1" thickBot="1" x14ac:dyDescent="0.3">
      <c r="C428" s="227" t="s">
        <v>171</v>
      </c>
      <c r="I428" s="470">
        <v>0</v>
      </c>
      <c r="P428" s="466"/>
      <c r="Q428" s="466"/>
    </row>
    <row r="429" spans="1:24" ht="15.75" customHeight="1" x14ac:dyDescent="0.25">
      <c r="I429" s="993"/>
      <c r="P429" s="466"/>
      <c r="Q429" s="466"/>
    </row>
    <row r="430" spans="1:24" ht="15.75" customHeight="1" x14ac:dyDescent="0.25">
      <c r="A430" s="21" t="s">
        <v>918</v>
      </c>
      <c r="B430" s="174"/>
      <c r="C430" s="174"/>
      <c r="D430" s="174"/>
      <c r="E430" s="174"/>
      <c r="F430" s="174"/>
      <c r="G430" s="313"/>
      <c r="H430" s="313"/>
      <c r="I430" s="313"/>
      <c r="J430" s="998"/>
      <c r="K430" s="998"/>
      <c r="P430" s="466"/>
      <c r="Q430" s="466"/>
    </row>
    <row r="431" spans="1:24" ht="15.75" customHeight="1" x14ac:dyDescent="0.25">
      <c r="A431" s="425"/>
      <c r="G431" s="993"/>
      <c r="H431" s="993"/>
      <c r="I431" s="993"/>
      <c r="P431" s="466"/>
      <c r="Q431" s="466"/>
    </row>
    <row r="432" spans="1:24" ht="15.75" customHeight="1" x14ac:dyDescent="0.25">
      <c r="A432" s="425" t="s">
        <v>1058</v>
      </c>
      <c r="G432" s="993"/>
      <c r="H432" s="993"/>
      <c r="I432" s="993"/>
      <c r="P432" s="466"/>
      <c r="Q432" s="466"/>
    </row>
    <row r="433" spans="1:33" ht="15.75" customHeight="1" x14ac:dyDescent="0.25">
      <c r="A433" s="425" t="s">
        <v>568</v>
      </c>
      <c r="G433" s="993"/>
      <c r="H433" s="993"/>
      <c r="I433" s="993"/>
      <c r="P433" s="466"/>
      <c r="Q433" s="466"/>
    </row>
    <row r="434" spans="1:33" ht="15.75" customHeight="1" x14ac:dyDescent="0.25">
      <c r="A434" s="425" t="s">
        <v>672</v>
      </c>
      <c r="G434" s="993"/>
      <c r="H434" s="993"/>
      <c r="I434" s="993"/>
      <c r="P434" s="466"/>
      <c r="Q434" s="466"/>
    </row>
    <row r="435" spans="1:33" ht="15.75" customHeight="1" x14ac:dyDescent="0.25">
      <c r="A435" s="425" t="s">
        <v>527</v>
      </c>
      <c r="G435" s="993"/>
      <c r="H435" s="993"/>
      <c r="I435" s="993"/>
      <c r="P435" s="466"/>
      <c r="Q435" s="466"/>
    </row>
    <row r="436" spans="1:33" ht="15.75" customHeight="1" x14ac:dyDescent="0.25">
      <c r="A436" s="425"/>
      <c r="G436" s="993"/>
      <c r="H436" s="993"/>
      <c r="I436" s="993"/>
      <c r="P436" s="466"/>
      <c r="Q436" s="466"/>
    </row>
    <row r="437" spans="1:33" ht="15.75" customHeight="1" x14ac:dyDescent="0.25">
      <c r="A437" s="1104" t="s">
        <v>220</v>
      </c>
      <c r="B437" s="995" t="s">
        <v>1102</v>
      </c>
      <c r="G437" s="997">
        <v>60000</v>
      </c>
      <c r="H437" s="993"/>
      <c r="I437" s="993"/>
      <c r="P437" s="466"/>
      <c r="Q437" s="466"/>
    </row>
    <row r="438" spans="1:33" ht="15.75" customHeight="1" x14ac:dyDescent="0.25">
      <c r="A438" s="425"/>
      <c r="B438" s="996" t="s">
        <v>1035</v>
      </c>
      <c r="G438" s="993">
        <v>-75333</v>
      </c>
      <c r="H438" s="993"/>
      <c r="I438" s="993"/>
      <c r="L438" s="454"/>
      <c r="P438" s="466"/>
      <c r="Q438" s="466"/>
    </row>
    <row r="439" spans="1:33" ht="15.75" customHeight="1" x14ac:dyDescent="0.25">
      <c r="A439" s="425"/>
      <c r="B439" s="176"/>
      <c r="G439" s="451"/>
      <c r="H439" s="993"/>
      <c r="I439" s="993"/>
      <c r="L439" s="691"/>
      <c r="P439" s="466"/>
      <c r="Q439" s="466"/>
    </row>
    <row r="440" spans="1:33" ht="15.75" customHeight="1" x14ac:dyDescent="0.25">
      <c r="A440" s="425"/>
      <c r="B440" s="176"/>
      <c r="C440" s="996" t="s">
        <v>107</v>
      </c>
      <c r="G440" s="993"/>
      <c r="H440" s="993"/>
      <c r="I440" s="997">
        <f>G437+G438</f>
        <v>-15333</v>
      </c>
      <c r="L440" s="691"/>
      <c r="P440" s="466"/>
      <c r="Q440" s="466"/>
    </row>
    <row r="441" spans="1:33" ht="15.75" customHeight="1" x14ac:dyDescent="0.25">
      <c r="A441" s="425"/>
      <c r="B441" s="176"/>
      <c r="G441" s="993"/>
      <c r="H441" s="993"/>
      <c r="I441" s="993"/>
      <c r="L441" s="691"/>
      <c r="P441" s="466"/>
      <c r="Q441" s="466"/>
      <c r="AG441" s="454"/>
    </row>
    <row r="442" spans="1:33" ht="15.75" customHeight="1" x14ac:dyDescent="0.25">
      <c r="A442" s="185" t="s">
        <v>221</v>
      </c>
      <c r="B442" s="996" t="s">
        <v>1103</v>
      </c>
      <c r="G442" s="993">
        <v>75000</v>
      </c>
      <c r="H442" s="993"/>
      <c r="I442" s="466"/>
      <c r="P442" s="466"/>
      <c r="Q442" s="466"/>
      <c r="AG442" s="454"/>
    </row>
    <row r="443" spans="1:33" ht="15.75" customHeight="1" x14ac:dyDescent="0.25">
      <c r="A443" s="425"/>
      <c r="B443" s="996" t="s">
        <v>1035</v>
      </c>
      <c r="G443" s="993">
        <v>-33745</v>
      </c>
      <c r="H443" s="993"/>
      <c r="I443" s="993"/>
      <c r="L443" s="454"/>
      <c r="P443" s="466"/>
      <c r="Q443" s="466"/>
      <c r="AG443" s="454"/>
    </row>
    <row r="444" spans="1:33" ht="15.75" customHeight="1" x14ac:dyDescent="0.25">
      <c r="A444" s="425"/>
      <c r="B444" s="176"/>
      <c r="G444" s="451"/>
      <c r="H444" s="993"/>
      <c r="I444" s="993"/>
      <c r="L444" s="691"/>
      <c r="P444" s="466"/>
      <c r="Q444" s="466"/>
      <c r="AG444" s="454"/>
    </row>
    <row r="445" spans="1:33" ht="15.75" customHeight="1" x14ac:dyDescent="0.25">
      <c r="A445" s="425"/>
      <c r="B445" s="176"/>
      <c r="C445" s="996" t="s">
        <v>107</v>
      </c>
      <c r="G445" s="993"/>
      <c r="H445" s="993"/>
      <c r="I445" s="993">
        <f>G442+G443</f>
        <v>41255</v>
      </c>
      <c r="L445" s="691"/>
      <c r="P445" s="466"/>
      <c r="Q445" s="466"/>
      <c r="U445" s="61"/>
      <c r="AG445" s="454"/>
    </row>
    <row r="446" spans="1:33" ht="15.75" customHeight="1" x14ac:dyDescent="0.25">
      <c r="A446" s="425"/>
      <c r="B446" s="176"/>
      <c r="G446" s="993"/>
      <c r="H446" s="993"/>
      <c r="I446" s="993"/>
      <c r="L446" s="691"/>
      <c r="P446" s="466"/>
      <c r="Q446" s="466"/>
      <c r="AG446" s="454"/>
    </row>
    <row r="447" spans="1:33" ht="15.75" customHeight="1" x14ac:dyDescent="0.25">
      <c r="A447" s="185" t="s">
        <v>218</v>
      </c>
      <c r="B447" s="996" t="s">
        <v>1104</v>
      </c>
      <c r="G447" s="993">
        <v>525000</v>
      </c>
      <c r="H447" s="993"/>
      <c r="I447" s="993"/>
      <c r="P447" s="466"/>
      <c r="Q447" s="466"/>
      <c r="U447" s="987"/>
      <c r="AG447" s="454"/>
    </row>
    <row r="448" spans="1:33" ht="15.75" customHeight="1" x14ac:dyDescent="0.25">
      <c r="A448" s="425"/>
      <c r="B448" s="996" t="s">
        <v>1035</v>
      </c>
      <c r="G448" s="993">
        <v>-492251</v>
      </c>
      <c r="H448" s="993"/>
      <c r="I448" s="993"/>
      <c r="L448" s="454"/>
      <c r="P448" s="466"/>
      <c r="Q448" s="466"/>
      <c r="U448" s="973"/>
      <c r="AG448" s="454"/>
    </row>
    <row r="449" spans="1:33" ht="15.75" customHeight="1" x14ac:dyDescent="0.25">
      <c r="A449" s="425"/>
      <c r="B449" s="176"/>
      <c r="G449" s="451"/>
      <c r="H449" s="993"/>
      <c r="I449" s="993"/>
      <c r="L449" s="691"/>
      <c r="P449" s="466"/>
      <c r="Q449" s="466"/>
      <c r="AG449" s="454"/>
    </row>
    <row r="450" spans="1:33" ht="15.75" customHeight="1" x14ac:dyDescent="0.25">
      <c r="A450" s="425"/>
      <c r="B450" s="176"/>
      <c r="C450" s="996" t="s">
        <v>107</v>
      </c>
      <c r="G450" s="993"/>
      <c r="H450" s="993"/>
      <c r="I450" s="993">
        <f>G447+G448</f>
        <v>32749</v>
      </c>
      <c r="L450" s="691"/>
      <c r="P450" s="466"/>
      <c r="Q450" s="466"/>
      <c r="T450" s="466"/>
      <c r="U450" s="363"/>
      <c r="V450" s="466"/>
      <c r="AG450" s="454"/>
    </row>
    <row r="451" spans="1:33" ht="15.75" customHeight="1" x14ac:dyDescent="0.25">
      <c r="A451" s="425"/>
      <c r="B451" s="176"/>
      <c r="G451" s="993"/>
      <c r="H451" s="993"/>
      <c r="I451" s="993"/>
      <c r="L451" s="691"/>
      <c r="P451" s="466"/>
      <c r="Q451" s="466"/>
      <c r="V451" s="466"/>
      <c r="AG451" s="454"/>
    </row>
    <row r="452" spans="1:33" ht="15.75" customHeight="1" x14ac:dyDescent="0.25">
      <c r="A452" s="425" t="s">
        <v>193</v>
      </c>
      <c r="B452" s="996" t="s">
        <v>1105</v>
      </c>
      <c r="C452" s="998"/>
      <c r="D452" s="998"/>
      <c r="E452" s="998"/>
      <c r="F452" s="998"/>
      <c r="G452" s="993">
        <v>169000</v>
      </c>
      <c r="H452" s="998"/>
      <c r="I452" s="993"/>
      <c r="P452" s="466"/>
      <c r="Q452" s="466"/>
      <c r="AG452" s="454"/>
    </row>
    <row r="453" spans="1:33" ht="15.75" customHeight="1" x14ac:dyDescent="0.25">
      <c r="A453" s="425"/>
      <c r="B453" s="996" t="s">
        <v>1035</v>
      </c>
      <c r="G453" s="994">
        <v>-127032</v>
      </c>
      <c r="H453" s="993"/>
      <c r="I453" s="993"/>
      <c r="L453" s="227"/>
      <c r="P453" s="466"/>
      <c r="Q453" s="466"/>
      <c r="AG453" s="454"/>
    </row>
    <row r="454" spans="1:33" ht="15.75" customHeight="1" x14ac:dyDescent="0.25">
      <c r="A454" s="425"/>
      <c r="G454" s="993"/>
      <c r="H454" s="993"/>
      <c r="I454" s="993"/>
      <c r="L454" s="691"/>
      <c r="P454" s="466"/>
      <c r="Q454" s="466"/>
      <c r="AG454" s="454"/>
    </row>
    <row r="455" spans="1:33" ht="15.75" customHeight="1" x14ac:dyDescent="0.25">
      <c r="C455" s="996" t="s">
        <v>107</v>
      </c>
      <c r="G455" s="993"/>
      <c r="H455" s="993"/>
      <c r="I455" s="993">
        <f>G452+G453</f>
        <v>41968</v>
      </c>
      <c r="L455" s="691"/>
      <c r="P455" s="466"/>
      <c r="Q455" s="466"/>
      <c r="AG455" s="454"/>
    </row>
    <row r="456" spans="1:33" ht="15.75" customHeight="1" x14ac:dyDescent="0.25">
      <c r="G456" s="993"/>
      <c r="H456" s="993"/>
      <c r="I456" s="466"/>
      <c r="L456" s="691"/>
      <c r="P456" s="466"/>
      <c r="Q456" s="466"/>
      <c r="AG456" s="454"/>
    </row>
    <row r="457" spans="1:33" ht="15.75" customHeight="1" x14ac:dyDescent="0.25">
      <c r="A457" s="170" t="s">
        <v>456</v>
      </c>
      <c r="B457" s="996" t="s">
        <v>1106</v>
      </c>
      <c r="C457" s="998"/>
      <c r="G457" s="993">
        <v>350000</v>
      </c>
      <c r="I457" s="993"/>
      <c r="P457" s="466"/>
      <c r="Q457" s="466"/>
      <c r="AG457" s="454"/>
    </row>
    <row r="458" spans="1:33" ht="15.75" customHeight="1" x14ac:dyDescent="0.25">
      <c r="B458" s="996" t="s">
        <v>1035</v>
      </c>
      <c r="G458" s="994">
        <v>-167458</v>
      </c>
      <c r="H458" s="993"/>
      <c r="I458" s="466"/>
      <c r="P458" s="466"/>
      <c r="Q458" s="466"/>
      <c r="AG458" s="454"/>
    </row>
    <row r="459" spans="1:33" ht="15.75" customHeight="1" x14ac:dyDescent="0.25">
      <c r="G459" s="466"/>
      <c r="H459" s="993"/>
      <c r="I459" s="466"/>
      <c r="P459" s="466"/>
      <c r="Q459" s="466"/>
      <c r="AG459" s="454"/>
    </row>
    <row r="460" spans="1:33" ht="15.75" customHeight="1" x14ac:dyDescent="0.25">
      <c r="C460" s="996" t="s">
        <v>107</v>
      </c>
      <c r="G460" s="466"/>
      <c r="H460" s="993"/>
      <c r="I460" s="993">
        <f>G457+G458</f>
        <v>182542</v>
      </c>
      <c r="P460" s="466"/>
      <c r="Q460" s="466"/>
      <c r="AG460" s="454"/>
    </row>
    <row r="461" spans="1:33" ht="15.75" customHeight="1" x14ac:dyDescent="0.25">
      <c r="P461" s="466"/>
      <c r="Q461" s="466"/>
      <c r="AG461" s="454"/>
    </row>
    <row r="462" spans="1:33" ht="15.75" customHeight="1" thickBot="1" x14ac:dyDescent="0.3">
      <c r="C462" s="227" t="s">
        <v>171</v>
      </c>
      <c r="G462" s="993"/>
      <c r="H462" s="993"/>
      <c r="I462" s="470">
        <f>SUM(I440:I461)</f>
        <v>283181</v>
      </c>
      <c r="L462" s="990"/>
      <c r="P462" s="466"/>
      <c r="Q462" s="466"/>
      <c r="AG462" s="454"/>
    </row>
    <row r="463" spans="1:33" ht="15.75" customHeight="1" thickTop="1" x14ac:dyDescent="0.25">
      <c r="P463" s="466"/>
      <c r="Q463" s="466"/>
      <c r="AG463" s="454"/>
    </row>
    <row r="464" spans="1:33" ht="15.75" customHeight="1" x14ac:dyDescent="0.25">
      <c r="A464" s="1273" t="s">
        <v>1149</v>
      </c>
      <c r="P464" s="466"/>
      <c r="Q464" s="466"/>
      <c r="AG464" s="454"/>
    </row>
    <row r="465" spans="1:33" ht="15.75" customHeight="1" x14ac:dyDescent="0.25">
      <c r="A465" s="1273"/>
      <c r="P465" s="466"/>
      <c r="Q465" s="466"/>
      <c r="AG465" s="454"/>
    </row>
    <row r="466" spans="1:33" ht="15.75" customHeight="1" x14ac:dyDescent="0.25">
      <c r="A466" s="21" t="s">
        <v>1023</v>
      </c>
      <c r="B466" s="174"/>
      <c r="C466" s="174"/>
      <c r="D466" s="174"/>
      <c r="E466" s="174"/>
      <c r="F466" s="174"/>
      <c r="G466" s="313"/>
      <c r="H466" s="313"/>
      <c r="I466" s="313"/>
      <c r="P466" s="466"/>
      <c r="Q466" s="466"/>
      <c r="AG466" s="454"/>
    </row>
    <row r="467" spans="1:33" ht="15.75" customHeight="1" x14ac:dyDescent="0.25">
      <c r="P467" s="466"/>
      <c r="Q467" s="466"/>
      <c r="AG467" s="454"/>
    </row>
    <row r="468" spans="1:33" ht="15.75" customHeight="1" x14ac:dyDescent="0.25">
      <c r="A468" s="996" t="s">
        <v>1101</v>
      </c>
      <c r="P468" s="466"/>
      <c r="Q468" s="466"/>
      <c r="AG468" s="454"/>
    </row>
    <row r="469" spans="1:33" ht="15.75" customHeight="1" x14ac:dyDescent="0.25">
      <c r="P469" s="466"/>
      <c r="Q469" s="466"/>
      <c r="AG469" s="454"/>
    </row>
    <row r="470" spans="1:33" ht="15.75" customHeight="1" x14ac:dyDescent="0.25">
      <c r="A470" s="145" t="s">
        <v>349</v>
      </c>
      <c r="E470" s="1233" t="s">
        <v>1025</v>
      </c>
      <c r="F470" s="1233" t="s">
        <v>1024</v>
      </c>
      <c r="P470" s="466"/>
      <c r="Q470" s="466"/>
      <c r="AG470" s="454"/>
    </row>
    <row r="471" spans="1:33" ht="15.75" customHeight="1" x14ac:dyDescent="0.25">
      <c r="P471" s="466"/>
      <c r="Q471" s="466"/>
      <c r="AG471" s="454"/>
    </row>
    <row r="472" spans="1:33" ht="15.75" customHeight="1" x14ac:dyDescent="0.25">
      <c r="B472" s="996" t="s">
        <v>925</v>
      </c>
      <c r="E472" s="216" t="s">
        <v>83</v>
      </c>
      <c r="F472" s="700">
        <v>2.5399999999999999E-2</v>
      </c>
      <c r="P472" s="466"/>
      <c r="Q472" s="466"/>
      <c r="AG472" s="454"/>
    </row>
    <row r="473" spans="1:33" ht="15.75" customHeight="1" x14ac:dyDescent="0.25">
      <c r="B473" s="996" t="s">
        <v>926</v>
      </c>
      <c r="E473" s="216" t="s">
        <v>84</v>
      </c>
      <c r="F473" s="700">
        <v>3.2599999999999997E-2</v>
      </c>
      <c r="P473" s="466"/>
      <c r="Q473" s="466"/>
      <c r="AG473" s="454"/>
    </row>
    <row r="474" spans="1:33" ht="15.75" customHeight="1" x14ac:dyDescent="0.25">
      <c r="B474" s="996" t="s">
        <v>927</v>
      </c>
      <c r="E474" s="216" t="s">
        <v>100</v>
      </c>
      <c r="F474" s="700">
        <v>6.3299999999999995E-2</v>
      </c>
      <c r="P474" s="466"/>
      <c r="Q474" s="466"/>
      <c r="AG474" s="454"/>
    </row>
    <row r="475" spans="1:33" ht="15.75" customHeight="1" x14ac:dyDescent="0.25">
      <c r="B475" s="996" t="s">
        <v>928</v>
      </c>
      <c r="E475" s="216" t="s">
        <v>101</v>
      </c>
      <c r="F475" s="700">
        <v>3.2000000000000001E-2</v>
      </c>
      <c r="P475" s="466"/>
      <c r="Q475" s="466"/>
      <c r="AG475" s="454"/>
    </row>
    <row r="476" spans="1:33" ht="15.75" customHeight="1" x14ac:dyDescent="0.25">
      <c r="B476" s="996" t="s">
        <v>929</v>
      </c>
      <c r="E476" s="216" t="s">
        <v>102</v>
      </c>
      <c r="F476" s="700">
        <v>4.7699999999999999E-2</v>
      </c>
      <c r="P476" s="466"/>
      <c r="Q476" s="466"/>
      <c r="AG476" s="454"/>
    </row>
    <row r="477" spans="1:33" ht="15.75" customHeight="1" x14ac:dyDescent="0.25">
      <c r="B477" s="996" t="s">
        <v>935</v>
      </c>
      <c r="E477" s="216" t="s">
        <v>217</v>
      </c>
      <c r="F477" s="700">
        <v>1.7899999999999999E-2</v>
      </c>
      <c r="P477" s="466"/>
      <c r="Q477" s="466"/>
      <c r="AG477" s="454"/>
    </row>
    <row r="478" spans="1:33" ht="15.75" customHeight="1" x14ac:dyDescent="0.25">
      <c r="B478" s="996" t="s">
        <v>167</v>
      </c>
      <c r="E478" s="216" t="s">
        <v>214</v>
      </c>
      <c r="F478" s="700">
        <v>4.7E-2</v>
      </c>
      <c r="P478" s="466"/>
      <c r="Q478" s="466"/>
      <c r="AG478" s="454"/>
    </row>
    <row r="479" spans="1:33" ht="15.75" customHeight="1" x14ac:dyDescent="0.25">
      <c r="B479" s="996" t="s">
        <v>930</v>
      </c>
      <c r="E479" s="216" t="s">
        <v>219</v>
      </c>
      <c r="F479" s="700">
        <v>-2.7000000000000001E-3</v>
      </c>
      <c r="P479" s="466"/>
      <c r="Q479" s="466"/>
      <c r="AG479" s="454"/>
    </row>
    <row r="480" spans="1:33" ht="15.75" customHeight="1" x14ac:dyDescent="0.25">
      <c r="B480" s="996" t="s">
        <v>936</v>
      </c>
      <c r="E480" s="216" t="s">
        <v>293</v>
      </c>
      <c r="F480" s="700">
        <v>2.63E-2</v>
      </c>
      <c r="P480" s="466"/>
      <c r="Q480" s="466"/>
      <c r="AG480" s="454"/>
    </row>
    <row r="481" spans="1:33" ht="15.75" customHeight="1" x14ac:dyDescent="0.25">
      <c r="B481" s="996" t="s">
        <v>298</v>
      </c>
      <c r="E481" s="216" t="s">
        <v>439</v>
      </c>
      <c r="F481" s="700">
        <v>2.9499999999999998E-2</v>
      </c>
      <c r="P481" s="466"/>
      <c r="Q481" s="466"/>
      <c r="AG481" s="454"/>
    </row>
    <row r="482" spans="1:33" ht="15.75" customHeight="1" x14ac:dyDescent="0.25">
      <c r="B482" s="996" t="s">
        <v>931</v>
      </c>
      <c r="E482" s="216" t="s">
        <v>207</v>
      </c>
      <c r="F482" s="700">
        <v>2.9899999999999999E-2</v>
      </c>
      <c r="P482" s="466"/>
      <c r="Q482" s="466"/>
      <c r="AG482" s="454"/>
    </row>
    <row r="483" spans="1:33" ht="15.75" customHeight="1" x14ac:dyDescent="0.25">
      <c r="B483" s="996" t="s">
        <v>932</v>
      </c>
      <c r="E483" s="216" t="s">
        <v>415</v>
      </c>
      <c r="F483" s="700">
        <v>9.4999999999999998E-3</v>
      </c>
      <c r="P483" s="466"/>
      <c r="Q483" s="466"/>
      <c r="AG483" s="454"/>
    </row>
    <row r="484" spans="1:33" ht="15.75" customHeight="1" x14ac:dyDescent="0.25">
      <c r="B484" s="996" t="s">
        <v>933</v>
      </c>
      <c r="E484" s="216" t="s">
        <v>201</v>
      </c>
      <c r="F484" s="700">
        <v>1.4444444444444446E-2</v>
      </c>
      <c r="P484" s="466"/>
      <c r="Q484" s="466"/>
      <c r="AG484" s="454"/>
    </row>
    <row r="485" spans="1:33" ht="15.75" customHeight="1" x14ac:dyDescent="0.25">
      <c r="P485" s="466"/>
      <c r="Q485" s="466"/>
      <c r="AG485" s="454"/>
    </row>
    <row r="486" spans="1:33" ht="15.75" customHeight="1" x14ac:dyDescent="0.25">
      <c r="A486" s="152" t="s">
        <v>83</v>
      </c>
      <c r="B486" s="993" t="s">
        <v>967</v>
      </c>
      <c r="P486" s="466"/>
      <c r="Q486" s="466"/>
      <c r="AG486" s="454"/>
    </row>
    <row r="487" spans="1:33" ht="15.75" customHeight="1" x14ac:dyDescent="0.25">
      <c r="A487" s="152" t="s">
        <v>84</v>
      </c>
      <c r="B487" s="993" t="s">
        <v>968</v>
      </c>
      <c r="P487" s="466"/>
      <c r="Q487" s="466"/>
      <c r="AG487" s="454"/>
    </row>
    <row r="488" spans="1:33" ht="15.75" customHeight="1" x14ac:dyDescent="0.25">
      <c r="A488" s="152" t="s">
        <v>100</v>
      </c>
      <c r="B488" s="993" t="s">
        <v>969</v>
      </c>
      <c r="P488" s="466"/>
      <c r="Q488" s="466"/>
      <c r="AG488" s="454"/>
    </row>
    <row r="489" spans="1:33" ht="15.75" customHeight="1" x14ac:dyDescent="0.25">
      <c r="A489" s="152" t="s">
        <v>101</v>
      </c>
      <c r="B489" s="993" t="s">
        <v>970</v>
      </c>
      <c r="P489" s="466"/>
      <c r="Q489" s="466"/>
      <c r="AG489" s="454"/>
    </row>
    <row r="490" spans="1:33" ht="15.75" customHeight="1" x14ac:dyDescent="0.25">
      <c r="A490" s="152" t="s">
        <v>102</v>
      </c>
      <c r="B490" s="993" t="s">
        <v>971</v>
      </c>
      <c r="P490" s="466"/>
      <c r="Q490" s="466"/>
      <c r="AG490" s="454"/>
    </row>
    <row r="491" spans="1:33" ht="15.75" customHeight="1" x14ac:dyDescent="0.25">
      <c r="A491" s="152" t="s">
        <v>217</v>
      </c>
      <c r="B491" s="993" t="s">
        <v>972</v>
      </c>
      <c r="P491" s="466"/>
      <c r="Q491" s="466"/>
    </row>
    <row r="492" spans="1:33" ht="15.75" customHeight="1" x14ac:dyDescent="0.25">
      <c r="A492" s="152" t="s">
        <v>214</v>
      </c>
      <c r="B492" s="993" t="s">
        <v>973</v>
      </c>
      <c r="P492" s="466"/>
      <c r="Q492" s="466"/>
    </row>
    <row r="493" spans="1:33" ht="15.75" customHeight="1" x14ac:dyDescent="0.25">
      <c r="A493" s="152" t="s">
        <v>219</v>
      </c>
      <c r="B493" s="993" t="s">
        <v>974</v>
      </c>
      <c r="P493" s="466"/>
      <c r="Q493" s="466"/>
    </row>
    <row r="494" spans="1:33" ht="15.75" customHeight="1" x14ac:dyDescent="0.25">
      <c r="A494" s="152" t="s">
        <v>293</v>
      </c>
      <c r="B494" s="993" t="s">
        <v>975</v>
      </c>
      <c r="P494" s="466"/>
      <c r="Q494" s="466"/>
    </row>
    <row r="495" spans="1:33" ht="15.75" customHeight="1" x14ac:dyDescent="0.25">
      <c r="A495" s="152" t="s">
        <v>439</v>
      </c>
      <c r="B495" s="993" t="s">
        <v>976</v>
      </c>
      <c r="P495" s="466"/>
      <c r="Q495" s="466"/>
    </row>
    <row r="496" spans="1:33" ht="15.75" customHeight="1" x14ac:dyDescent="0.25">
      <c r="A496" s="152" t="s">
        <v>207</v>
      </c>
      <c r="B496" s="993" t="s">
        <v>977</v>
      </c>
      <c r="P496" s="466"/>
      <c r="Q496" s="466"/>
    </row>
    <row r="497" spans="1:17" ht="15.75" customHeight="1" x14ac:dyDescent="0.25">
      <c r="A497" s="152" t="s">
        <v>415</v>
      </c>
      <c r="B497" s="993" t="s">
        <v>978</v>
      </c>
      <c r="D497" s="177"/>
      <c r="E497" s="177"/>
      <c r="F497" s="177"/>
      <c r="G497" s="177"/>
      <c r="H497" s="177"/>
      <c r="I497" s="177"/>
      <c r="J497" s="177"/>
      <c r="K497" s="357"/>
      <c r="P497" s="466"/>
      <c r="Q497" s="466"/>
    </row>
    <row r="498" spans="1:17" ht="15.75" customHeight="1" x14ac:dyDescent="0.25">
      <c r="A498" s="152" t="s">
        <v>201</v>
      </c>
      <c r="B498" s="993" t="s">
        <v>934</v>
      </c>
      <c r="D498" s="177"/>
      <c r="E498" s="177"/>
      <c r="F498" s="177"/>
      <c r="G498" s="177"/>
      <c r="H498" s="177"/>
      <c r="I498" s="177"/>
      <c r="J498" s="177"/>
      <c r="K498" s="357"/>
      <c r="P498" s="466"/>
      <c r="Q498" s="466"/>
    </row>
    <row r="499" spans="1:17" ht="15.75" customHeight="1" x14ac:dyDescent="0.25">
      <c r="A499" s="177"/>
      <c r="B499" s="177"/>
      <c r="C499" s="177"/>
      <c r="D499" s="177"/>
      <c r="E499" s="177"/>
      <c r="F499" s="177"/>
      <c r="G499" s="177"/>
      <c r="H499" s="177"/>
      <c r="I499" s="177"/>
      <c r="J499" s="177"/>
      <c r="K499" s="357"/>
      <c r="P499" s="466"/>
      <c r="Q499" s="466"/>
    </row>
    <row r="500" spans="1:17" x14ac:dyDescent="0.25">
      <c r="A500" s="1273" t="s">
        <v>1150</v>
      </c>
      <c r="B500" s="177"/>
      <c r="C500" s="177"/>
      <c r="D500" s="177"/>
      <c r="E500" s="177"/>
      <c r="F500" s="177"/>
      <c r="G500" s="177"/>
      <c r="H500" s="177"/>
      <c r="I500" s="177"/>
      <c r="J500" s="177"/>
      <c r="K500" s="357"/>
      <c r="P500" s="466"/>
      <c r="Q500" s="466"/>
    </row>
    <row r="501" spans="1:17" x14ac:dyDescent="0.25">
      <c r="A501" s="1273"/>
      <c r="B501" s="177"/>
      <c r="C501" s="177"/>
      <c r="D501" s="177"/>
      <c r="E501" s="177"/>
      <c r="F501" s="177"/>
      <c r="G501" s="177"/>
      <c r="H501" s="177"/>
      <c r="I501" s="177"/>
      <c r="J501" s="177"/>
      <c r="K501" s="357"/>
      <c r="P501" s="466"/>
      <c r="Q501" s="466"/>
    </row>
    <row r="502" spans="1:17" x14ac:dyDescent="0.25">
      <c r="A502" s="1438" t="s">
        <v>611</v>
      </c>
      <c r="B502" s="1438"/>
      <c r="C502" s="1438"/>
      <c r="D502" s="1438"/>
      <c r="E502" s="1438"/>
      <c r="F502" s="1438"/>
      <c r="G502" s="1438"/>
      <c r="H502" s="1438"/>
      <c r="I502" s="1438"/>
      <c r="J502" s="177"/>
      <c r="K502" s="357"/>
      <c r="P502" s="466"/>
      <c r="Q502" s="466"/>
    </row>
    <row r="503" spans="1:17" ht="15.75" customHeight="1" x14ac:dyDescent="0.25">
      <c r="A503" s="177"/>
      <c r="B503" s="177"/>
      <c r="C503" s="177"/>
      <c r="D503" s="177"/>
      <c r="E503" s="177"/>
      <c r="F503" s="177"/>
      <c r="G503" s="177"/>
      <c r="H503" s="177"/>
      <c r="I503" s="177"/>
      <c r="J503" s="177"/>
      <c r="K503" s="357"/>
      <c r="P503" s="466"/>
      <c r="Q503" s="466"/>
    </row>
    <row r="504" spans="1:17" ht="15.75" customHeight="1" x14ac:dyDescent="0.25">
      <c r="A504" s="1439">
        <v>17</v>
      </c>
      <c r="B504" s="1439"/>
      <c r="C504" s="1439"/>
      <c r="D504" s="1439"/>
      <c r="E504" s="1439"/>
      <c r="F504" s="1439"/>
      <c r="G504" s="1439"/>
      <c r="H504" s="1439"/>
      <c r="I504" s="1439"/>
      <c r="J504" s="41"/>
      <c r="K504" s="41"/>
      <c r="P504" s="466"/>
      <c r="Q504" s="466"/>
    </row>
    <row r="505" spans="1:17" x14ac:dyDescent="0.25">
      <c r="A505" s="1436"/>
      <c r="B505" s="1436"/>
      <c r="C505" s="1436"/>
      <c r="D505" s="1436"/>
      <c r="E505" s="1436"/>
      <c r="F505" s="1436"/>
      <c r="G505" s="1436"/>
      <c r="H505" s="1436"/>
      <c r="I505" s="1436"/>
      <c r="J505" s="1436"/>
      <c r="K505" s="1436"/>
    </row>
    <row r="506" spans="1:17" x14ac:dyDescent="0.25">
      <c r="A506" s="174"/>
      <c r="B506" s="174"/>
      <c r="C506" s="174"/>
      <c r="D506" s="174"/>
      <c r="E506" s="174"/>
      <c r="F506" s="174"/>
      <c r="G506" s="174"/>
      <c r="H506" s="174"/>
      <c r="I506" s="1105"/>
      <c r="J506" s="174"/>
      <c r="K506" s="1105"/>
      <c r="P506" s="466"/>
      <c r="Q506" s="466"/>
    </row>
    <row r="507" spans="1:17" x14ac:dyDescent="0.25">
      <c r="A507" s="1437"/>
      <c r="B507" s="1437"/>
      <c r="C507" s="1437"/>
      <c r="D507" s="1437"/>
      <c r="E507" s="1437"/>
      <c r="F507" s="1437"/>
      <c r="G507" s="1437"/>
      <c r="H507" s="1437"/>
      <c r="I507" s="1437"/>
      <c r="J507" s="1437"/>
      <c r="K507" s="1437"/>
    </row>
    <row r="508" spans="1:17" x14ac:dyDescent="0.25">
      <c r="A508" s="1436"/>
      <c r="B508" s="1436"/>
      <c r="C508" s="1436"/>
      <c r="D508" s="1436"/>
      <c r="E508" s="1436"/>
      <c r="F508" s="1436"/>
      <c r="G508" s="1436"/>
      <c r="H508" s="1436"/>
      <c r="I508" s="1436"/>
      <c r="J508" s="1436"/>
      <c r="K508" s="1436"/>
    </row>
    <row r="509" spans="1:17" x14ac:dyDescent="0.25">
      <c r="A509" s="174"/>
      <c r="B509" s="174"/>
      <c r="C509" s="174"/>
      <c r="D509" s="174"/>
      <c r="E509" s="174"/>
      <c r="F509" s="174"/>
      <c r="G509" s="174"/>
      <c r="H509" s="174"/>
      <c r="I509" s="174"/>
      <c r="J509" s="174"/>
      <c r="K509" s="174"/>
    </row>
    <row r="510" spans="1:17" x14ac:dyDescent="0.25">
      <c r="J510" s="20"/>
      <c r="K510" s="20"/>
    </row>
    <row r="512" spans="1:17" x14ac:dyDescent="0.25">
      <c r="K512" s="997"/>
    </row>
    <row r="513" spans="11:35" x14ac:dyDescent="0.25">
      <c r="K513" s="997"/>
    </row>
    <row r="518" spans="11:35" x14ac:dyDescent="0.25">
      <c r="K518" s="466"/>
    </row>
    <row r="524" spans="11:35" x14ac:dyDescent="0.25">
      <c r="AH524" s="466"/>
      <c r="AI524" s="466"/>
    </row>
    <row r="530" spans="1:11" x14ac:dyDescent="0.25">
      <c r="C530" s="425"/>
      <c r="D530" s="425"/>
      <c r="E530" s="425"/>
      <c r="F530" s="425"/>
      <c r="G530" s="993"/>
      <c r="H530" s="993"/>
      <c r="I530" s="993"/>
    </row>
    <row r="531" spans="1:11" x14ac:dyDescent="0.25">
      <c r="C531" s="425"/>
      <c r="D531" s="425"/>
      <c r="E531" s="425"/>
      <c r="F531" s="425"/>
      <c r="G531" s="993"/>
      <c r="H531" s="993"/>
      <c r="I531" s="993"/>
    </row>
    <row r="532" spans="1:11" x14ac:dyDescent="0.25">
      <c r="C532" s="425"/>
      <c r="D532" s="425"/>
      <c r="E532" s="425"/>
      <c r="F532" s="425"/>
      <c r="G532" s="993"/>
      <c r="H532" s="993"/>
      <c r="I532" s="993"/>
    </row>
    <row r="533" spans="1:11" x14ac:dyDescent="0.25">
      <c r="C533" s="425"/>
      <c r="D533" s="425"/>
      <c r="E533" s="425"/>
      <c r="F533" s="425"/>
      <c r="G533" s="993"/>
      <c r="H533" s="993"/>
      <c r="I533" s="993"/>
    </row>
    <row r="534" spans="1:11" x14ac:dyDescent="0.25">
      <c r="C534" s="425"/>
      <c r="D534" s="425"/>
      <c r="E534" s="425"/>
      <c r="F534" s="425"/>
      <c r="G534" s="993"/>
      <c r="H534" s="993"/>
      <c r="I534" s="993"/>
    </row>
    <row r="540" spans="1:11" x14ac:dyDescent="0.25">
      <c r="A540" s="425"/>
      <c r="B540" s="425"/>
    </row>
    <row r="541" spans="1:11" x14ac:dyDescent="0.25">
      <c r="J541" s="425"/>
      <c r="K541" s="425"/>
    </row>
    <row r="542" spans="1:11" x14ac:dyDescent="0.25">
      <c r="J542" s="425"/>
      <c r="K542" s="466"/>
    </row>
    <row r="543" spans="1:11" x14ac:dyDescent="0.25">
      <c r="J543" s="425"/>
      <c r="K543" s="425"/>
    </row>
    <row r="544" spans="1:11" x14ac:dyDescent="0.25">
      <c r="A544" s="425"/>
      <c r="B544" s="425"/>
      <c r="J544" s="425"/>
      <c r="K544" s="425"/>
    </row>
    <row r="545" spans="1:12" x14ac:dyDescent="0.25">
      <c r="A545" s="425"/>
      <c r="B545" s="425"/>
      <c r="J545" s="425"/>
      <c r="K545" s="425"/>
    </row>
    <row r="546" spans="1:12" x14ac:dyDescent="0.25">
      <c r="A546" s="425"/>
      <c r="B546" s="425"/>
      <c r="J546" s="425"/>
      <c r="K546" s="425"/>
    </row>
    <row r="547" spans="1:12" x14ac:dyDescent="0.25">
      <c r="A547" s="425"/>
      <c r="B547" s="425"/>
      <c r="J547" s="425"/>
      <c r="K547" s="425"/>
    </row>
    <row r="548" spans="1:12" x14ac:dyDescent="0.25">
      <c r="A548" s="425"/>
      <c r="B548" s="425"/>
      <c r="J548" s="425"/>
      <c r="K548" s="425"/>
    </row>
    <row r="549" spans="1:12" x14ac:dyDescent="0.25">
      <c r="A549" s="425"/>
      <c r="B549" s="425"/>
      <c r="C549" s="425"/>
      <c r="D549" s="425"/>
      <c r="E549" s="425"/>
      <c r="F549" s="425"/>
      <c r="G549" s="993"/>
      <c r="H549" s="993"/>
      <c r="I549" s="993"/>
      <c r="J549" s="425"/>
      <c r="K549" s="425"/>
    </row>
    <row r="550" spans="1:12" x14ac:dyDescent="0.25">
      <c r="A550" s="425"/>
      <c r="B550" s="425"/>
      <c r="C550" s="425"/>
      <c r="D550" s="425"/>
      <c r="E550" s="425"/>
      <c r="F550" s="425"/>
      <c r="G550" s="993"/>
      <c r="H550" s="993"/>
      <c r="I550" s="993"/>
      <c r="J550" s="425"/>
      <c r="K550" s="425"/>
      <c r="L550" s="454"/>
    </row>
    <row r="551" spans="1:12" x14ac:dyDescent="0.25">
      <c r="A551" s="177"/>
      <c r="B551" s="177"/>
      <c r="C551" s="177"/>
      <c r="D551" s="177"/>
      <c r="E551" s="177"/>
      <c r="F551" s="177"/>
      <c r="G551" s="993"/>
      <c r="H551" s="993"/>
      <c r="I551" s="993"/>
      <c r="J551" s="177"/>
      <c r="K551" s="177"/>
    </row>
    <row r="552" spans="1:12" x14ac:dyDescent="0.25">
      <c r="A552" s="177"/>
      <c r="B552" s="177"/>
      <c r="C552" s="177"/>
      <c r="D552" s="177"/>
      <c r="E552" s="177"/>
      <c r="F552" s="177"/>
      <c r="G552" s="993"/>
      <c r="H552" s="993"/>
      <c r="I552" s="993"/>
      <c r="J552" s="177"/>
      <c r="K552" s="177"/>
    </row>
    <row r="553" spans="1:12" x14ac:dyDescent="0.25">
      <c r="A553" s="177"/>
      <c r="B553" s="177"/>
      <c r="C553" s="177"/>
      <c r="D553" s="177"/>
      <c r="E553" s="177"/>
      <c r="F553" s="177"/>
      <c r="G553" s="993"/>
      <c r="H553" s="993"/>
      <c r="I553" s="993"/>
      <c r="J553" s="177"/>
      <c r="K553" s="177"/>
    </row>
    <row r="554" spans="1:12" x14ac:dyDescent="0.25">
      <c r="A554" s="177"/>
      <c r="B554" s="177"/>
      <c r="C554" s="177"/>
      <c r="D554" s="177"/>
      <c r="E554" s="177"/>
      <c r="F554" s="177"/>
      <c r="G554" s="993"/>
      <c r="H554" s="993"/>
      <c r="I554" s="993"/>
      <c r="J554" s="177"/>
      <c r="K554" s="177"/>
    </row>
    <row r="555" spans="1:12" x14ac:dyDescent="0.25">
      <c r="A555" s="177"/>
      <c r="B555" s="177"/>
      <c r="C555" s="177"/>
      <c r="D555" s="177"/>
      <c r="E555" s="177"/>
      <c r="F555" s="177"/>
      <c r="G555" s="993"/>
      <c r="H555" s="993"/>
      <c r="I555" s="993"/>
      <c r="J555" s="177"/>
      <c r="K555" s="177"/>
    </row>
    <row r="556" spans="1:12" x14ac:dyDescent="0.25">
      <c r="A556" s="479"/>
      <c r="B556" s="177"/>
      <c r="C556" s="177"/>
      <c r="D556" s="177"/>
      <c r="E556" s="177"/>
      <c r="F556" s="177"/>
      <c r="G556" s="993"/>
      <c r="H556" s="993"/>
      <c r="I556" s="993"/>
      <c r="J556" s="177"/>
      <c r="K556" s="177"/>
    </row>
    <row r="557" spans="1:12" x14ac:dyDescent="0.25">
      <c r="A557" s="189"/>
      <c r="B557" s="177"/>
      <c r="C557" s="177"/>
      <c r="D557" s="177"/>
      <c r="E557" s="177"/>
      <c r="F557" s="177"/>
      <c r="G557" s="993"/>
      <c r="H557" s="993"/>
      <c r="I557" s="993"/>
      <c r="J557" s="177"/>
      <c r="K557" s="177"/>
    </row>
    <row r="558" spans="1:12" ht="12.75" customHeight="1" x14ac:dyDescent="0.25">
      <c r="A558" s="189"/>
      <c r="B558" s="425"/>
      <c r="C558" s="425"/>
      <c r="D558" s="425"/>
      <c r="E558" s="425"/>
      <c r="F558" s="425"/>
      <c r="G558" s="993"/>
      <c r="H558" s="993"/>
      <c r="I558" s="993"/>
      <c r="J558" s="425"/>
      <c r="K558" s="166"/>
      <c r="L558" s="454"/>
    </row>
    <row r="559" spans="1:12" x14ac:dyDescent="0.25">
      <c r="A559" s="480"/>
      <c r="B559" s="177"/>
      <c r="C559" s="177"/>
      <c r="D559" s="177"/>
      <c r="E559" s="177"/>
      <c r="F559" s="177"/>
      <c r="G559" s="993"/>
      <c r="H559" s="993"/>
      <c r="I559" s="993"/>
      <c r="J559" s="177"/>
      <c r="K559" s="177"/>
    </row>
    <row r="560" spans="1:12" x14ac:dyDescent="0.25">
      <c r="A560" s="189"/>
      <c r="B560" s="177"/>
      <c r="C560" s="177"/>
      <c r="D560" s="177"/>
      <c r="E560" s="177"/>
      <c r="F560" s="177"/>
      <c r="G560" s="993"/>
      <c r="H560" s="993"/>
      <c r="I560" s="993"/>
      <c r="J560" s="177"/>
      <c r="K560" s="177"/>
    </row>
    <row r="561" spans="1:17" x14ac:dyDescent="0.25">
      <c r="A561" s="425"/>
      <c r="B561" s="425"/>
      <c r="C561" s="425"/>
      <c r="D561" s="425"/>
      <c r="E561" s="425"/>
      <c r="F561" s="425"/>
      <c r="G561" s="993"/>
      <c r="H561" s="993"/>
      <c r="I561" s="993"/>
      <c r="J561" s="425"/>
      <c r="K561" s="425"/>
      <c r="P561" s="466"/>
      <c r="Q561" s="466"/>
    </row>
    <row r="562" spans="1:17" x14ac:dyDescent="0.25">
      <c r="A562" s="481"/>
      <c r="B562" s="177"/>
      <c r="C562" s="177"/>
      <c r="D562" s="177"/>
      <c r="E562" s="177"/>
      <c r="F562" s="177"/>
      <c r="G562" s="993"/>
      <c r="H562" s="993"/>
      <c r="I562" s="993"/>
      <c r="J562" s="177"/>
      <c r="K562" s="177"/>
      <c r="M562" s="61"/>
    </row>
    <row r="563" spans="1:17" x14ac:dyDescent="0.25">
      <c r="A563" s="466"/>
      <c r="B563" s="466"/>
      <c r="C563" s="466"/>
      <c r="D563" s="466"/>
      <c r="E563" s="466"/>
      <c r="F563" s="466"/>
      <c r="G563" s="993"/>
      <c r="H563" s="993"/>
      <c r="I563" s="993"/>
      <c r="J563" s="466"/>
      <c r="K563" s="425"/>
      <c r="M563" s="61"/>
    </row>
    <row r="564" spans="1:17" x14ac:dyDescent="0.25">
      <c r="A564" s="466"/>
      <c r="B564" s="466"/>
      <c r="C564" s="466"/>
      <c r="D564" s="466"/>
      <c r="E564" s="466"/>
      <c r="F564" s="466"/>
      <c r="G564" s="993"/>
      <c r="H564" s="993"/>
      <c r="I564" s="993"/>
      <c r="J564" s="466"/>
      <c r="K564" s="425"/>
      <c r="M564" s="61"/>
    </row>
    <row r="565" spans="1:17" x14ac:dyDescent="0.25">
      <c r="A565" s="466"/>
      <c r="B565" s="466"/>
      <c r="C565" s="466"/>
      <c r="D565" s="466"/>
      <c r="E565" s="466"/>
      <c r="F565" s="466"/>
      <c r="G565" s="993"/>
      <c r="H565" s="993"/>
      <c r="I565" s="993"/>
      <c r="J565" s="466"/>
      <c r="K565" s="425"/>
      <c r="M565" s="61"/>
    </row>
    <row r="566" spans="1:17" x14ac:dyDescent="0.25">
      <c r="A566" s="466"/>
      <c r="B566" s="466"/>
      <c r="C566" s="466"/>
      <c r="D566" s="466"/>
      <c r="E566" s="466"/>
      <c r="F566" s="466"/>
      <c r="G566" s="993"/>
      <c r="H566" s="993"/>
      <c r="I566" s="993"/>
      <c r="J566" s="466"/>
      <c r="K566" s="425"/>
      <c r="M566" s="61"/>
    </row>
    <row r="567" spans="1:17" x14ac:dyDescent="0.25">
      <c r="A567" s="466"/>
      <c r="B567" s="466"/>
      <c r="C567" s="466"/>
      <c r="D567" s="466"/>
      <c r="E567" s="466"/>
      <c r="F567" s="466"/>
      <c r="G567" s="993"/>
      <c r="H567" s="993"/>
      <c r="I567" s="993"/>
      <c r="J567" s="466"/>
      <c r="K567" s="425"/>
      <c r="M567" s="61"/>
    </row>
    <row r="568" spans="1:17" x14ac:dyDescent="0.25">
      <c r="A568" s="466"/>
      <c r="B568" s="466"/>
      <c r="C568" s="466"/>
      <c r="D568" s="466"/>
      <c r="E568" s="466"/>
      <c r="F568" s="466"/>
      <c r="G568" s="993"/>
      <c r="H568" s="993"/>
      <c r="I568" s="993"/>
      <c r="J568" s="466"/>
      <c r="K568" s="425"/>
      <c r="M568" s="61"/>
    </row>
    <row r="569" spans="1:17" x14ac:dyDescent="0.25">
      <c r="A569" s="466"/>
      <c r="B569" s="466"/>
      <c r="C569" s="466"/>
      <c r="D569" s="466"/>
      <c r="E569" s="466"/>
      <c r="F569" s="466"/>
      <c r="G569" s="993"/>
      <c r="H569" s="993"/>
      <c r="I569" s="993"/>
      <c r="J569" s="466"/>
      <c r="K569" s="425"/>
      <c r="M569" s="454"/>
    </row>
    <row r="570" spans="1:17" x14ac:dyDescent="0.25">
      <c r="A570" s="466"/>
      <c r="B570" s="466"/>
      <c r="J570" s="466"/>
      <c r="K570" s="466"/>
    </row>
    <row r="571" spans="1:17" x14ac:dyDescent="0.25">
      <c r="A571" s="466"/>
      <c r="B571" s="425"/>
      <c r="J571" s="475"/>
      <c r="K571" s="454"/>
    </row>
    <row r="572" spans="1:17" x14ac:dyDescent="0.25">
      <c r="A572" s="177" t="e">
        <v>#REF!</v>
      </c>
      <c r="B572" s="177"/>
      <c r="C572" s="177"/>
      <c r="D572" s="177"/>
      <c r="E572" s="177"/>
      <c r="F572" s="177"/>
      <c r="G572" s="177"/>
      <c r="H572" s="177"/>
      <c r="I572" s="177"/>
      <c r="J572" s="425"/>
      <c r="K572" s="466"/>
    </row>
    <row r="573" spans="1:17" x14ac:dyDescent="0.25">
      <c r="A573" s="177">
        <v>0</v>
      </c>
      <c r="B573" s="177"/>
      <c r="C573" s="177"/>
      <c r="D573" s="177"/>
      <c r="E573" s="177"/>
      <c r="F573" s="177"/>
      <c r="G573" s="177"/>
      <c r="H573" s="177"/>
      <c r="I573" s="177"/>
      <c r="J573" s="425"/>
      <c r="K573" s="425"/>
    </row>
    <row r="574" spans="1:17" x14ac:dyDescent="0.25">
      <c r="A574" s="177" t="s">
        <v>1150</v>
      </c>
      <c r="B574" s="177"/>
      <c r="C574" s="177"/>
      <c r="D574" s="177"/>
      <c r="E574" s="177"/>
      <c r="F574" s="177"/>
      <c r="G574" s="177"/>
      <c r="H574" s="177"/>
      <c r="I574" s="177"/>
      <c r="J574" s="425"/>
      <c r="K574" s="454"/>
      <c r="L574" s="454"/>
    </row>
    <row r="575" spans="1:17" x14ac:dyDescent="0.25">
      <c r="A575" s="177"/>
      <c r="B575" s="177"/>
      <c r="C575" s="177"/>
      <c r="D575" s="177"/>
      <c r="E575" s="177"/>
      <c r="F575" s="177"/>
      <c r="G575" s="177"/>
      <c r="H575" s="177"/>
      <c r="I575" s="177"/>
      <c r="J575" s="425"/>
      <c r="K575" s="425"/>
    </row>
    <row r="576" spans="1:17" x14ac:dyDescent="0.25">
      <c r="A576" s="482">
        <v>18</v>
      </c>
      <c r="B576" s="482"/>
      <c r="C576" s="482"/>
      <c r="D576" s="482"/>
      <c r="E576" s="482"/>
      <c r="F576" s="482"/>
      <c r="G576" s="482"/>
      <c r="H576" s="482"/>
      <c r="I576" s="482"/>
      <c r="J576" s="425"/>
      <c r="K576" s="425"/>
    </row>
    <row r="577" spans="1:15" x14ac:dyDescent="0.25">
      <c r="A577" s="425"/>
      <c r="B577" s="425"/>
      <c r="C577" s="425"/>
      <c r="D577" s="425"/>
      <c r="E577" s="425"/>
      <c r="F577" s="425"/>
      <c r="G577" s="425"/>
      <c r="H577" s="425"/>
      <c r="I577" s="425"/>
      <c r="J577" s="425"/>
      <c r="K577" s="425"/>
    </row>
    <row r="578" spans="1:15" x14ac:dyDescent="0.25">
      <c r="A578" s="425"/>
      <c r="B578" s="425"/>
      <c r="C578" s="425"/>
      <c r="D578" s="425"/>
      <c r="E578" s="425"/>
      <c r="F578" s="425"/>
      <c r="G578" s="425"/>
      <c r="H578" s="425"/>
      <c r="I578" s="425"/>
      <c r="J578" s="425"/>
      <c r="K578" s="425"/>
    </row>
    <row r="579" spans="1:15" x14ac:dyDescent="0.25">
      <c r="A579" s="425"/>
      <c r="B579" s="425"/>
      <c r="C579" s="425"/>
      <c r="D579" s="425"/>
      <c r="E579" s="425"/>
      <c r="F579" s="425"/>
      <c r="G579" s="425"/>
      <c r="H579" s="425"/>
      <c r="I579" s="425"/>
      <c r="J579" s="425"/>
      <c r="K579" s="425"/>
      <c r="O579" s="466"/>
    </row>
    <row r="580" spans="1:15" x14ac:dyDescent="0.25">
      <c r="A580" s="425"/>
      <c r="B580" s="425"/>
      <c r="C580" s="425"/>
      <c r="D580" s="425"/>
      <c r="E580" s="425"/>
      <c r="F580" s="425"/>
      <c r="G580" s="425"/>
      <c r="H580" s="425"/>
      <c r="I580" s="425"/>
      <c r="J580" s="425"/>
      <c r="K580" s="425"/>
    </row>
    <row r="581" spans="1:15" x14ac:dyDescent="0.25">
      <c r="A581" s="425"/>
      <c r="B581" s="425"/>
      <c r="C581" s="425"/>
      <c r="D581" s="425"/>
      <c r="E581" s="425"/>
      <c r="F581" s="425"/>
      <c r="G581" s="425"/>
      <c r="H581" s="425"/>
      <c r="I581" s="425"/>
      <c r="J581" s="425"/>
      <c r="K581" s="425"/>
      <c r="O581" s="483"/>
    </row>
    <row r="582" spans="1:15" x14ac:dyDescent="0.25">
      <c r="A582" s="425"/>
      <c r="B582" s="425"/>
      <c r="C582" s="425"/>
      <c r="D582" s="425"/>
      <c r="E582" s="425"/>
      <c r="F582" s="425"/>
      <c r="G582" s="425"/>
      <c r="H582" s="425"/>
      <c r="I582" s="425"/>
      <c r="J582" s="425"/>
      <c r="K582" s="425"/>
    </row>
    <row r="583" spans="1:15" x14ac:dyDescent="0.25">
      <c r="A583" s="425"/>
      <c r="B583" s="425"/>
      <c r="C583" s="425"/>
      <c r="D583" s="425"/>
      <c r="E583" s="425"/>
      <c r="F583" s="425"/>
      <c r="G583" s="425"/>
      <c r="H583" s="425"/>
      <c r="I583" s="425"/>
      <c r="J583" s="425"/>
      <c r="K583" s="425"/>
    </row>
    <row r="584" spans="1:15" x14ac:dyDescent="0.25">
      <c r="A584" s="21" t="s">
        <v>576</v>
      </c>
      <c r="B584" s="174"/>
      <c r="C584" s="174"/>
      <c r="D584" s="174"/>
      <c r="E584" s="174"/>
      <c r="F584" s="174"/>
      <c r="G584" s="174"/>
      <c r="H584" s="174"/>
      <c r="I584" s="174"/>
      <c r="N584" s="454"/>
    </row>
    <row r="585" spans="1:15" x14ac:dyDescent="0.25">
      <c r="N585" s="454"/>
    </row>
    <row r="586" spans="1:15" x14ac:dyDescent="0.25">
      <c r="A586" s="996" t="s">
        <v>575</v>
      </c>
    </row>
    <row r="587" spans="1:15" x14ac:dyDescent="0.25">
      <c r="G587" s="993"/>
      <c r="H587" s="993"/>
      <c r="I587" s="993"/>
    </row>
    <row r="588" spans="1:15" x14ac:dyDescent="0.25">
      <c r="G588" s="993"/>
      <c r="H588" s="993"/>
      <c r="I588" s="993"/>
    </row>
    <row r="589" spans="1:15" x14ac:dyDescent="0.25">
      <c r="B589" s="996" t="s">
        <v>524</v>
      </c>
      <c r="G589" s="993"/>
      <c r="H589" s="993"/>
      <c r="I589" s="453">
        <v>-1022002</v>
      </c>
    </row>
    <row r="590" spans="1:15" x14ac:dyDescent="0.25">
      <c r="G590" s="993"/>
      <c r="H590" s="993"/>
      <c r="I590" s="997"/>
    </row>
    <row r="591" spans="1:15" x14ac:dyDescent="0.25">
      <c r="B591" s="996" t="s">
        <v>567</v>
      </c>
      <c r="G591" s="993"/>
      <c r="H591" s="993"/>
      <c r="I591" s="993">
        <v>108491</v>
      </c>
      <c r="J591" s="996" t="s">
        <v>529</v>
      </c>
    </row>
    <row r="592" spans="1:15" x14ac:dyDescent="0.25">
      <c r="A592" s="425"/>
      <c r="G592" s="993"/>
      <c r="H592" s="993"/>
      <c r="I592" s="993"/>
    </row>
    <row r="593" spans="1:17" x14ac:dyDescent="0.25">
      <c r="A593" s="425"/>
      <c r="B593" s="996" t="s">
        <v>528</v>
      </c>
      <c r="G593" s="993"/>
      <c r="H593" s="993"/>
      <c r="I593" s="466">
        <v>-7467</v>
      </c>
      <c r="P593" s="484"/>
      <c r="Q593" s="484"/>
    </row>
    <row r="594" spans="1:17" x14ac:dyDescent="0.25">
      <c r="A594" s="425"/>
      <c r="G594" s="993"/>
      <c r="H594" s="993"/>
      <c r="I594" s="466"/>
      <c r="P594" s="466"/>
      <c r="Q594" s="466"/>
    </row>
    <row r="595" spans="1:17" x14ac:dyDescent="0.25">
      <c r="A595" s="425"/>
      <c r="B595" s="996" t="s">
        <v>537</v>
      </c>
      <c r="G595" s="993"/>
      <c r="H595" s="993"/>
      <c r="I595" s="466">
        <v>90704</v>
      </c>
    </row>
    <row r="596" spans="1:17" x14ac:dyDescent="0.25">
      <c r="A596" s="425"/>
      <c r="G596" s="993"/>
      <c r="H596" s="993"/>
      <c r="I596" s="466"/>
    </row>
    <row r="597" spans="1:17" x14ac:dyDescent="0.25">
      <c r="A597" s="425"/>
      <c r="B597" s="996" t="s">
        <v>538</v>
      </c>
      <c r="G597" s="993"/>
      <c r="H597" s="993"/>
      <c r="I597" s="466">
        <v>55776</v>
      </c>
      <c r="J597" s="996" t="s">
        <v>539</v>
      </c>
      <c r="P597" s="454"/>
      <c r="Q597" s="454"/>
    </row>
    <row r="598" spans="1:17" x14ac:dyDescent="0.25">
      <c r="A598" s="425"/>
      <c r="G598" s="993"/>
      <c r="H598" s="993"/>
      <c r="I598" s="451"/>
      <c r="O598" s="483"/>
    </row>
    <row r="599" spans="1:17" ht="16.5" thickBot="1" x14ac:dyDescent="0.3">
      <c r="A599" s="425"/>
      <c r="C599" s="425" t="s">
        <v>171</v>
      </c>
      <c r="G599" s="998"/>
      <c r="I599" s="470">
        <v>-774498</v>
      </c>
      <c r="O599" s="483"/>
      <c r="P599" s="466"/>
      <c r="Q599" s="466"/>
    </row>
    <row r="600" spans="1:17" ht="16.5" thickTop="1" x14ac:dyDescent="0.25">
      <c r="A600" s="425"/>
      <c r="B600" s="425"/>
      <c r="C600" s="425"/>
      <c r="D600" s="425"/>
      <c r="E600" s="425"/>
      <c r="F600" s="425"/>
      <c r="G600" s="425"/>
      <c r="H600" s="425"/>
      <c r="I600" s="425"/>
      <c r="J600" s="425"/>
      <c r="K600" s="425"/>
      <c r="O600" s="483"/>
      <c r="P600" s="115"/>
      <c r="Q600" s="115"/>
    </row>
    <row r="601" spans="1:17" x14ac:dyDescent="0.25">
      <c r="A601" s="998" t="s">
        <v>577</v>
      </c>
      <c r="B601" s="998"/>
      <c r="I601" s="993">
        <v>-58737</v>
      </c>
      <c r="P601" s="115"/>
      <c r="Q601" s="115"/>
    </row>
    <row r="602" spans="1:17" x14ac:dyDescent="0.25">
      <c r="A602" s="425"/>
      <c r="B602" s="425"/>
      <c r="C602" s="425"/>
      <c r="D602" s="425"/>
      <c r="E602" s="425"/>
      <c r="F602" s="425"/>
      <c r="G602" s="425"/>
      <c r="H602" s="425"/>
      <c r="I602" s="425"/>
      <c r="J602" s="425"/>
      <c r="K602" s="425"/>
      <c r="O602" s="483"/>
      <c r="P602" s="115"/>
      <c r="Q602" s="115"/>
    </row>
    <row r="603" spans="1:17" x14ac:dyDescent="0.25">
      <c r="A603" s="127" t="s">
        <v>221</v>
      </c>
      <c r="B603" s="129" t="s">
        <v>565</v>
      </c>
      <c r="C603" s="998"/>
      <c r="D603" s="998"/>
      <c r="G603" s="993"/>
      <c r="H603" s="993"/>
      <c r="I603" s="993"/>
      <c r="J603" s="425"/>
      <c r="K603" s="425"/>
    </row>
    <row r="604" spans="1:17" x14ac:dyDescent="0.25">
      <c r="A604" s="998"/>
      <c r="B604" s="998"/>
      <c r="C604" s="998"/>
      <c r="D604" s="998"/>
      <c r="G604" s="993"/>
      <c r="H604" s="993"/>
      <c r="I604" s="993"/>
      <c r="J604" s="425"/>
      <c r="K604" s="425"/>
    </row>
    <row r="605" spans="1:17" x14ac:dyDescent="0.25">
      <c r="A605" s="998"/>
      <c r="B605" s="998" t="s">
        <v>572</v>
      </c>
      <c r="C605" s="998"/>
      <c r="D605" s="998"/>
      <c r="G605" s="993"/>
      <c r="H605" s="993"/>
      <c r="I605" s="993"/>
      <c r="J605" s="425"/>
      <c r="K605" s="425"/>
    </row>
    <row r="606" spans="1:17" x14ac:dyDescent="0.25">
      <c r="A606" s="998"/>
      <c r="B606" s="998"/>
      <c r="C606" s="998"/>
      <c r="D606" s="998"/>
      <c r="G606" s="993"/>
      <c r="H606" s="993"/>
      <c r="I606" s="993"/>
      <c r="J606" s="425"/>
      <c r="K606" s="425"/>
    </row>
    <row r="607" spans="1:17" x14ac:dyDescent="0.25">
      <c r="C607" s="996" t="s">
        <v>562</v>
      </c>
      <c r="G607" s="997">
        <v>-31724</v>
      </c>
      <c r="H607" s="993"/>
      <c r="I607" s="993"/>
      <c r="J607" s="425"/>
      <c r="K607" s="425"/>
    </row>
    <row r="608" spans="1:17" x14ac:dyDescent="0.25">
      <c r="C608" s="996" t="s">
        <v>561</v>
      </c>
      <c r="G608" s="994">
        <v>15862</v>
      </c>
      <c r="H608" s="993"/>
      <c r="I608" s="993"/>
      <c r="J608" s="177"/>
      <c r="K608" s="177"/>
    </row>
    <row r="609" spans="1:11" x14ac:dyDescent="0.25">
      <c r="G609" s="993"/>
      <c r="H609" s="993"/>
      <c r="I609" s="993"/>
      <c r="J609" s="177"/>
      <c r="K609" s="177"/>
    </row>
    <row r="610" spans="1:11" x14ac:dyDescent="0.25">
      <c r="C610" s="996" t="s">
        <v>107</v>
      </c>
      <c r="G610" s="993"/>
      <c r="H610" s="993"/>
      <c r="I610" s="993">
        <v>-15862</v>
      </c>
      <c r="J610" s="177"/>
      <c r="K610" s="177"/>
    </row>
    <row r="611" spans="1:11" x14ac:dyDescent="0.25">
      <c r="D611" s="998"/>
      <c r="G611" s="993"/>
      <c r="H611" s="993"/>
      <c r="I611" s="993"/>
      <c r="J611" s="177"/>
      <c r="K611" s="177"/>
    </row>
    <row r="612" spans="1:11" x14ac:dyDescent="0.25">
      <c r="A612" s="127" t="s">
        <v>218</v>
      </c>
      <c r="B612" s="129" t="s">
        <v>477</v>
      </c>
      <c r="C612" s="998"/>
      <c r="D612" s="998"/>
      <c r="G612" s="993"/>
      <c r="H612" s="993"/>
      <c r="I612" s="993"/>
      <c r="J612" s="177"/>
      <c r="K612" s="177"/>
    </row>
    <row r="613" spans="1:11" x14ac:dyDescent="0.25">
      <c r="A613" s="998"/>
      <c r="B613" s="998"/>
      <c r="C613" s="998"/>
      <c r="D613" s="998"/>
      <c r="G613" s="993"/>
      <c r="H613" s="993"/>
      <c r="I613" s="993"/>
      <c r="J613" s="177"/>
      <c r="K613" s="177"/>
    </row>
    <row r="614" spans="1:11" x14ac:dyDescent="0.25">
      <c r="A614" s="998"/>
      <c r="B614" s="998" t="s">
        <v>564</v>
      </c>
      <c r="C614" s="998"/>
      <c r="D614" s="998"/>
      <c r="G614" s="993"/>
      <c r="H614" s="993"/>
      <c r="I614" s="993">
        <v>-3420</v>
      </c>
      <c r="J614" s="189"/>
      <c r="K614" s="189"/>
    </row>
    <row r="615" spans="1:11" x14ac:dyDescent="0.25">
      <c r="A615" s="998"/>
      <c r="B615" s="998"/>
      <c r="C615" s="998"/>
      <c r="D615" s="998"/>
      <c r="F615" s="425"/>
      <c r="G615" s="993"/>
      <c r="H615" s="993"/>
      <c r="I615" s="993"/>
      <c r="J615" s="475"/>
      <c r="K615" s="166"/>
    </row>
    <row r="616" spans="1:11" x14ac:dyDescent="0.25">
      <c r="A616" s="998"/>
      <c r="B616" s="998" t="s">
        <v>563</v>
      </c>
      <c r="C616" s="998"/>
      <c r="D616" s="425"/>
      <c r="E616" s="425"/>
      <c r="F616" s="425"/>
      <c r="G616" s="993"/>
      <c r="H616" s="993"/>
      <c r="I616" s="994">
        <v>-6747</v>
      </c>
      <c r="J616" s="189"/>
      <c r="K616" s="189"/>
    </row>
    <row r="617" spans="1:11" x14ac:dyDescent="0.25">
      <c r="A617" s="425"/>
      <c r="B617" s="189"/>
      <c r="C617" s="189"/>
      <c r="D617" s="189"/>
      <c r="E617" s="189"/>
      <c r="F617" s="189"/>
      <c r="G617" s="189"/>
      <c r="H617" s="189"/>
      <c r="I617" s="189"/>
      <c r="J617" s="189"/>
      <c r="K617" s="189"/>
    </row>
    <row r="618" spans="1:11" x14ac:dyDescent="0.25">
      <c r="A618" s="425"/>
      <c r="B618" s="425"/>
      <c r="C618" s="425"/>
      <c r="D618" s="425"/>
      <c r="E618" s="425"/>
      <c r="F618" s="425"/>
      <c r="G618" s="425"/>
      <c r="H618" s="425"/>
      <c r="I618" s="425"/>
      <c r="J618" s="425"/>
      <c r="K618" s="425"/>
    </row>
    <row r="619" spans="1:11" x14ac:dyDescent="0.25">
      <c r="A619" s="425"/>
      <c r="B619" s="425"/>
      <c r="C619" s="425"/>
      <c r="D619" s="425"/>
      <c r="E619" s="425"/>
      <c r="F619" s="425"/>
      <c r="G619" s="425"/>
      <c r="H619" s="425"/>
      <c r="I619" s="425"/>
      <c r="J619" s="425"/>
      <c r="K619" s="425"/>
    </row>
    <row r="620" spans="1:11" x14ac:dyDescent="0.25">
      <c r="A620" s="425"/>
      <c r="B620" s="425"/>
      <c r="C620" s="425"/>
      <c r="D620" s="425"/>
      <c r="E620" s="425"/>
      <c r="F620" s="425"/>
      <c r="G620" s="425"/>
      <c r="H620" s="425"/>
      <c r="I620" s="425"/>
      <c r="J620" s="425"/>
      <c r="K620" s="425"/>
    </row>
    <row r="621" spans="1:11" x14ac:dyDescent="0.25">
      <c r="A621" s="425"/>
      <c r="B621" s="425"/>
      <c r="C621" s="425"/>
      <c r="D621" s="425"/>
      <c r="E621" s="425"/>
      <c r="F621" s="425"/>
      <c r="G621" s="425"/>
      <c r="H621" s="425"/>
      <c r="I621" s="425"/>
      <c r="J621" s="425"/>
      <c r="K621" s="425"/>
    </row>
    <row r="623" spans="1:11" x14ac:dyDescent="0.25">
      <c r="A623" s="120" t="s">
        <v>306</v>
      </c>
      <c r="B623" s="121"/>
      <c r="C623" s="121"/>
      <c r="D623" s="121"/>
      <c r="E623" s="121"/>
      <c r="F623" s="121"/>
      <c r="G623" s="121"/>
      <c r="H623" s="121"/>
      <c r="I623" s="121"/>
      <c r="J623" s="61"/>
      <c r="K623" s="61"/>
    </row>
    <row r="624" spans="1:11" x14ac:dyDescent="0.25">
      <c r="A624" s="425"/>
      <c r="B624" s="425"/>
      <c r="C624" s="425"/>
      <c r="D624" s="425"/>
      <c r="E624" s="425"/>
      <c r="F624" s="425"/>
      <c r="G624" s="425"/>
      <c r="H624" s="425"/>
      <c r="I624" s="425"/>
      <c r="J624" s="425"/>
      <c r="K624" s="425"/>
    </row>
    <row r="625" spans="1:15" x14ac:dyDescent="0.25">
      <c r="A625" s="425" t="s">
        <v>131</v>
      </c>
      <c r="B625" s="425"/>
      <c r="C625" s="425"/>
      <c r="D625" s="425"/>
      <c r="E625" s="425"/>
      <c r="F625" s="425"/>
      <c r="G625" s="425"/>
      <c r="H625" s="425"/>
      <c r="I625" s="454"/>
      <c r="J625" s="425"/>
      <c r="K625" s="425"/>
    </row>
    <row r="626" spans="1:15" x14ac:dyDescent="0.25">
      <c r="A626" s="425"/>
      <c r="B626" s="425"/>
      <c r="C626" s="425"/>
      <c r="D626" s="425"/>
      <c r="E626" s="425"/>
      <c r="F626" s="425"/>
      <c r="G626" s="425"/>
      <c r="H626" s="425"/>
      <c r="I626" s="425"/>
      <c r="J626" s="425"/>
      <c r="L626" s="454"/>
    </row>
    <row r="627" spans="1:15" x14ac:dyDescent="0.25">
      <c r="A627" s="425"/>
      <c r="B627" s="425" t="s">
        <v>427</v>
      </c>
      <c r="C627" s="425"/>
      <c r="D627" s="425"/>
      <c r="E627" s="425"/>
      <c r="F627" s="425"/>
      <c r="G627" s="425"/>
      <c r="H627" s="466"/>
      <c r="I627" s="466">
        <v>60842</v>
      </c>
      <c r="J627" s="425"/>
    </row>
    <row r="628" spans="1:15" x14ac:dyDescent="0.25">
      <c r="A628" s="425"/>
      <c r="B628" s="425" t="s">
        <v>206</v>
      </c>
      <c r="C628" s="425"/>
      <c r="D628" s="425"/>
      <c r="E628" s="425"/>
      <c r="F628" s="425"/>
      <c r="G628" s="425"/>
      <c r="H628" s="363"/>
      <c r="I628" s="112">
        <v>0.95</v>
      </c>
      <c r="J628" s="425"/>
    </row>
    <row r="629" spans="1:15" x14ac:dyDescent="0.25">
      <c r="A629" s="425"/>
      <c r="B629" s="425"/>
      <c r="C629" s="425"/>
      <c r="D629" s="425"/>
      <c r="E629" s="425"/>
      <c r="F629" s="425"/>
      <c r="G629" s="425"/>
      <c r="H629" s="466"/>
      <c r="I629" s="466"/>
      <c r="J629" s="425"/>
    </row>
    <row r="630" spans="1:15" x14ac:dyDescent="0.25">
      <c r="A630" s="425"/>
      <c r="C630" s="996" t="s">
        <v>19</v>
      </c>
      <c r="D630" s="425"/>
      <c r="E630" s="425"/>
      <c r="F630" s="425"/>
      <c r="G630" s="425"/>
      <c r="H630" s="466"/>
      <c r="I630" s="466">
        <v>57800</v>
      </c>
      <c r="J630" s="425"/>
      <c r="L630" s="466"/>
    </row>
    <row r="631" spans="1:15" x14ac:dyDescent="0.25">
      <c r="A631" s="425"/>
      <c r="B631" s="425" t="s">
        <v>170</v>
      </c>
      <c r="C631" s="425"/>
      <c r="D631" s="425"/>
      <c r="E631" s="425"/>
      <c r="F631" s="425"/>
      <c r="G631" s="425"/>
      <c r="H631" s="425"/>
      <c r="I631" s="994" t="e">
        <v>#REF!</v>
      </c>
      <c r="J631" s="425"/>
      <c r="L631" s="454"/>
    </row>
    <row r="632" spans="1:15" ht="16.5" thickBot="1" x14ac:dyDescent="0.3">
      <c r="A632" s="425"/>
      <c r="B632" s="425"/>
      <c r="C632" s="425" t="s">
        <v>171</v>
      </c>
      <c r="D632" s="425"/>
      <c r="E632" s="425"/>
      <c r="F632" s="425"/>
      <c r="G632" s="425"/>
      <c r="H632" s="425"/>
      <c r="I632" s="470" t="e">
        <v>#REF!</v>
      </c>
      <c r="J632" s="425"/>
      <c r="L632" s="454"/>
    </row>
    <row r="633" spans="1:15" ht="16.5" thickTop="1" x14ac:dyDescent="0.25"/>
    <row r="638" spans="1:15" x14ac:dyDescent="0.25">
      <c r="A638" s="10"/>
      <c r="E638" s="996" t="s">
        <v>107</v>
      </c>
      <c r="K638" s="454">
        <v>0</v>
      </c>
      <c r="L638" s="466"/>
      <c r="M638" s="466"/>
      <c r="O638" s="454"/>
    </row>
    <row r="639" spans="1:15" x14ac:dyDescent="0.25">
      <c r="A639" s="9"/>
      <c r="M639" s="210"/>
      <c r="O639" s="466"/>
    </row>
    <row r="640" spans="1:15" x14ac:dyDescent="0.25">
      <c r="A640" s="9"/>
      <c r="C640" s="1104" t="s">
        <v>221</v>
      </c>
      <c r="D640" s="996" t="s">
        <v>421</v>
      </c>
      <c r="I640" s="997">
        <v>1643906</v>
      </c>
      <c r="M640" s="466"/>
    </row>
    <row r="641" spans="1:14" x14ac:dyDescent="0.25">
      <c r="A641" s="9"/>
      <c r="D641" s="425" t="s">
        <v>170</v>
      </c>
      <c r="I641" s="994" t="e">
        <v>#REF!</v>
      </c>
      <c r="M641" s="454"/>
      <c r="N641" s="454"/>
    </row>
    <row r="642" spans="1:14" x14ac:dyDescent="0.25">
      <c r="A642" s="9"/>
    </row>
    <row r="643" spans="1:14" x14ac:dyDescent="0.25">
      <c r="A643" s="9"/>
      <c r="E643" s="996" t="s">
        <v>107</v>
      </c>
      <c r="K643" s="466" t="e">
        <v>#REF!</v>
      </c>
    </row>
    <row r="644" spans="1:14" x14ac:dyDescent="0.25">
      <c r="A644" s="9"/>
      <c r="K644" s="466"/>
    </row>
    <row r="645" spans="1:14" x14ac:dyDescent="0.25">
      <c r="A645" s="9"/>
    </row>
    <row r="646" spans="1:14" x14ac:dyDescent="0.25">
      <c r="A646" s="7"/>
      <c r="C646" s="1104" t="s">
        <v>218</v>
      </c>
      <c r="D646" s="996" t="s">
        <v>420</v>
      </c>
      <c r="I646" s="997">
        <v>652875</v>
      </c>
    </row>
    <row r="647" spans="1:14" x14ac:dyDescent="0.25">
      <c r="D647" s="425" t="s">
        <v>416</v>
      </c>
      <c r="I647" s="994">
        <v>-764806</v>
      </c>
      <c r="N647" s="454"/>
    </row>
    <row r="648" spans="1:14" x14ac:dyDescent="0.25">
      <c r="C648" s="425"/>
    </row>
    <row r="655" spans="1:14" x14ac:dyDescent="0.25">
      <c r="C655" s="996" t="s">
        <v>107</v>
      </c>
      <c r="I655" s="994">
        <v>-111931</v>
      </c>
    </row>
    <row r="658" spans="1:17" x14ac:dyDescent="0.25">
      <c r="L658" s="454"/>
    </row>
    <row r="659" spans="1:17" x14ac:dyDescent="0.25">
      <c r="L659" s="454"/>
    </row>
    <row r="660" spans="1:17" x14ac:dyDescent="0.25">
      <c r="L660" s="454"/>
    </row>
    <row r="664" spans="1:17" x14ac:dyDescent="0.25">
      <c r="A664" s="425"/>
      <c r="B664" s="425"/>
      <c r="C664" s="425"/>
      <c r="D664" s="425"/>
      <c r="E664" s="425"/>
      <c r="F664" s="425"/>
      <c r="G664" s="425"/>
      <c r="H664" s="425"/>
      <c r="I664" s="425"/>
      <c r="J664" s="425"/>
      <c r="K664" s="425"/>
      <c r="N664" s="466"/>
      <c r="O664" s="466"/>
      <c r="P664" s="466"/>
      <c r="Q664" s="466"/>
    </row>
    <row r="665" spans="1:17" x14ac:dyDescent="0.25">
      <c r="A665" s="425"/>
      <c r="B665" s="425"/>
      <c r="C665" s="425"/>
      <c r="D665" s="425"/>
      <c r="E665" s="425"/>
      <c r="F665" s="425"/>
      <c r="G665" s="425"/>
      <c r="H665" s="425"/>
      <c r="I665" s="425"/>
      <c r="J665" s="425"/>
      <c r="K665" s="425"/>
      <c r="N665" s="466"/>
      <c r="O665" s="466"/>
      <c r="P665" s="466"/>
      <c r="Q665" s="466"/>
    </row>
    <row r="666" spans="1:17" x14ac:dyDescent="0.25">
      <c r="A666" s="425"/>
      <c r="B666" s="425"/>
      <c r="C666" s="425"/>
      <c r="D666" s="425"/>
      <c r="E666" s="425"/>
      <c r="F666" s="425"/>
      <c r="G666" s="425"/>
      <c r="H666" s="425"/>
      <c r="I666" s="425"/>
      <c r="J666" s="425"/>
      <c r="K666" s="425"/>
      <c r="N666" s="466"/>
      <c r="O666" s="466"/>
      <c r="P666" s="466"/>
      <c r="Q666" s="466"/>
    </row>
    <row r="667" spans="1:17" x14ac:dyDescent="0.25">
      <c r="A667" s="425"/>
      <c r="B667" s="425"/>
      <c r="C667" s="425"/>
      <c r="D667" s="425"/>
      <c r="E667" s="425"/>
      <c r="F667" s="425"/>
      <c r="G667" s="425"/>
      <c r="H667" s="425"/>
      <c r="I667" s="425"/>
      <c r="J667" s="425"/>
      <c r="K667" s="425"/>
      <c r="N667" s="466"/>
      <c r="O667" s="466"/>
      <c r="P667" s="466"/>
      <c r="Q667" s="466"/>
    </row>
    <row r="668" spans="1:17" x14ac:dyDescent="0.25">
      <c r="A668" s="425"/>
      <c r="B668" s="425"/>
      <c r="C668" s="425"/>
      <c r="D668" s="425"/>
      <c r="E668" s="425"/>
      <c r="F668" s="425"/>
      <c r="G668" s="425"/>
      <c r="H668" s="425"/>
      <c r="I668" s="425"/>
      <c r="J668" s="425"/>
      <c r="K668" s="425"/>
      <c r="N668" s="466"/>
      <c r="O668" s="466"/>
      <c r="P668" s="466"/>
      <c r="Q668" s="466"/>
    </row>
    <row r="669" spans="1:17" x14ac:dyDescent="0.25">
      <c r="A669" s="425"/>
      <c r="B669" s="425"/>
      <c r="C669" s="466"/>
      <c r="D669" s="466"/>
      <c r="E669" s="466"/>
      <c r="F669" s="466"/>
      <c r="G669" s="466"/>
      <c r="H669" s="466"/>
      <c r="I669" s="466"/>
      <c r="J669" s="466"/>
      <c r="K669" s="466"/>
      <c r="N669" s="466"/>
      <c r="O669" s="466"/>
      <c r="P669" s="466"/>
      <c r="Q669" s="466"/>
    </row>
    <row r="670" spans="1:17" x14ac:dyDescent="0.25">
      <c r="A670" s="425"/>
      <c r="B670" s="425"/>
      <c r="C670" s="466"/>
      <c r="D670" s="466"/>
      <c r="E670" s="466"/>
      <c r="F670" s="466"/>
      <c r="G670" s="466"/>
      <c r="H670" s="466"/>
      <c r="I670" s="466"/>
      <c r="J670" s="466"/>
      <c r="K670" s="466"/>
      <c r="N670" s="466"/>
      <c r="O670" s="466"/>
      <c r="P670" s="466"/>
      <c r="Q670" s="466"/>
    </row>
    <row r="671" spans="1:17" x14ac:dyDescent="0.25">
      <c r="A671" s="177"/>
      <c r="B671" s="425"/>
      <c r="C671" s="466"/>
      <c r="D671" s="466"/>
      <c r="E671" s="466"/>
      <c r="F671" s="466"/>
      <c r="G671" s="466"/>
      <c r="H671" s="466"/>
      <c r="I671" s="466"/>
      <c r="J671" s="466"/>
      <c r="K671" s="466"/>
      <c r="N671" s="466"/>
      <c r="O671" s="466"/>
      <c r="P671" s="466"/>
      <c r="Q671" s="466"/>
    </row>
    <row r="672" spans="1:17" x14ac:dyDescent="0.25">
      <c r="A672" s="177"/>
      <c r="B672" s="177"/>
      <c r="C672" s="177"/>
      <c r="D672" s="177"/>
      <c r="E672" s="177"/>
      <c r="F672" s="177"/>
      <c r="G672" s="177"/>
      <c r="H672" s="177"/>
      <c r="I672" s="177"/>
      <c r="J672" s="177"/>
      <c r="K672" s="177"/>
      <c r="M672" s="466"/>
      <c r="O672" s="466"/>
      <c r="P672" s="466"/>
      <c r="Q672" s="466"/>
    </row>
    <row r="673" spans="1:17" x14ac:dyDescent="0.25">
      <c r="A673" s="177"/>
      <c r="B673" s="177"/>
      <c r="C673" s="177"/>
      <c r="D673" s="177"/>
      <c r="E673" s="177"/>
      <c r="F673" s="177"/>
      <c r="G673" s="177"/>
      <c r="H673" s="177"/>
      <c r="I673" s="177"/>
      <c r="J673" s="177"/>
      <c r="K673" s="177"/>
      <c r="N673" s="466"/>
      <c r="O673" s="466"/>
      <c r="P673" s="466"/>
      <c r="Q673" s="466"/>
    </row>
    <row r="674" spans="1:17" x14ac:dyDescent="0.25">
      <c r="A674" s="177"/>
      <c r="B674" s="177"/>
      <c r="C674" s="177"/>
      <c r="D674" s="177"/>
      <c r="E674" s="177"/>
      <c r="F674" s="177"/>
      <c r="G674" s="177"/>
      <c r="H674" s="177"/>
      <c r="I674" s="177"/>
      <c r="J674" s="177"/>
      <c r="K674" s="177"/>
      <c r="O674" s="466"/>
      <c r="P674" s="466"/>
      <c r="Q674" s="466"/>
    </row>
    <row r="675" spans="1:17" x14ac:dyDescent="0.25">
      <c r="A675" s="425"/>
      <c r="B675" s="177"/>
      <c r="C675" s="177"/>
      <c r="D675" s="177"/>
      <c r="E675" s="177"/>
      <c r="F675" s="177"/>
      <c r="G675" s="177"/>
      <c r="H675" s="177"/>
      <c r="I675" s="177"/>
      <c r="J675" s="177"/>
      <c r="K675" s="177"/>
    </row>
    <row r="676" spans="1:17" x14ac:dyDescent="0.25">
      <c r="A676" s="425"/>
      <c r="B676" s="425"/>
      <c r="C676" s="425"/>
      <c r="D676" s="425"/>
      <c r="E676" s="425"/>
      <c r="F676" s="425"/>
      <c r="G676" s="425"/>
      <c r="H676" s="425"/>
      <c r="I676" s="425"/>
      <c r="J676" s="425"/>
      <c r="K676" s="425"/>
    </row>
    <row r="677" spans="1:17" x14ac:dyDescent="0.25">
      <c r="A677" s="425"/>
      <c r="B677" s="425"/>
      <c r="C677" s="425"/>
      <c r="D677" s="425"/>
      <c r="E677" s="425"/>
      <c r="F677" s="425"/>
      <c r="G677" s="425"/>
      <c r="H677" s="425"/>
      <c r="I677" s="425"/>
      <c r="J677" s="425"/>
      <c r="K677" s="425"/>
    </row>
    <row r="678" spans="1:17" x14ac:dyDescent="0.25">
      <c r="A678" s="425"/>
      <c r="B678" s="425"/>
      <c r="C678" s="425"/>
      <c r="D678" s="425"/>
      <c r="E678" s="425"/>
      <c r="F678" s="425"/>
      <c r="G678" s="425"/>
      <c r="H678" s="425"/>
      <c r="I678" s="425"/>
      <c r="J678" s="425"/>
      <c r="K678" s="425"/>
    </row>
    <row r="679" spans="1:17" x14ac:dyDescent="0.25">
      <c r="A679" s="425"/>
      <c r="B679" s="425"/>
      <c r="C679" s="425"/>
      <c r="D679" s="425"/>
      <c r="E679" s="425"/>
      <c r="F679" s="425"/>
      <c r="G679" s="425"/>
      <c r="H679" s="425"/>
      <c r="I679" s="425"/>
      <c r="J679" s="425"/>
      <c r="K679" s="425"/>
    </row>
    <row r="964" spans="23:34" x14ac:dyDescent="0.25">
      <c r="AG964" s="454"/>
    </row>
    <row r="965" spans="23:34" x14ac:dyDescent="0.25">
      <c r="AG965" s="454"/>
    </row>
    <row r="969" spans="23:34" x14ac:dyDescent="0.25">
      <c r="AH969" s="454"/>
    </row>
    <row r="970" spans="23:34" x14ac:dyDescent="0.25">
      <c r="AH970" s="454"/>
    </row>
    <row r="971" spans="23:34" x14ac:dyDescent="0.25">
      <c r="W971" s="481"/>
      <c r="X971" s="481"/>
      <c r="Y971" s="177"/>
      <c r="Z971" s="177"/>
      <c r="AA971" s="177"/>
      <c r="AB971" s="177"/>
      <c r="AC971" s="177"/>
      <c r="AD971" s="177"/>
      <c r="AE971" s="177"/>
      <c r="AF971" s="177"/>
      <c r="AG971" s="177"/>
      <c r="AH971" s="357"/>
    </row>
    <row r="972" spans="23:34" x14ac:dyDescent="0.25">
      <c r="AH972" s="454"/>
    </row>
    <row r="973" spans="23:34" x14ac:dyDescent="0.25">
      <c r="AH973" s="454"/>
    </row>
    <row r="974" spans="23:34" x14ac:dyDescent="0.25">
      <c r="AH974" s="454"/>
    </row>
    <row r="975" spans="23:34" x14ac:dyDescent="0.25">
      <c r="AH975" s="454"/>
    </row>
    <row r="978" spans="21:34" x14ac:dyDescent="0.25">
      <c r="AH978" s="454"/>
    </row>
    <row r="981" spans="21:34" x14ac:dyDescent="0.25">
      <c r="W981" s="481"/>
      <c r="X981" s="481"/>
      <c r="Y981" s="177"/>
      <c r="Z981" s="177"/>
      <c r="AA981" s="177"/>
    </row>
    <row r="982" spans="21:34" x14ac:dyDescent="0.25">
      <c r="U982" s="454"/>
      <c r="V982" s="454"/>
      <c r="AB982" s="177"/>
      <c r="AC982" s="177"/>
      <c r="AD982" s="177"/>
      <c r="AE982" s="177"/>
      <c r="AF982" s="177"/>
      <c r="AG982" s="177"/>
      <c r="AH982" s="177"/>
    </row>
    <row r="983" spans="21:34" x14ac:dyDescent="0.25">
      <c r="U983" s="454"/>
      <c r="V983" s="454"/>
      <c r="W983" s="459"/>
      <c r="X983" s="459"/>
      <c r="Y983" s="459"/>
      <c r="Z983" s="459"/>
      <c r="AA983" s="459"/>
    </row>
    <row r="984" spans="21:34" x14ac:dyDescent="0.25">
      <c r="U984" s="454"/>
      <c r="V984" s="454"/>
      <c r="W984" s="459"/>
      <c r="X984" s="459"/>
      <c r="Y984" s="459"/>
      <c r="Z984" s="459"/>
      <c r="AA984" s="459"/>
      <c r="AH984" s="177"/>
    </row>
    <row r="985" spans="21:34" x14ac:dyDescent="0.25">
      <c r="U985" s="454"/>
      <c r="V985" s="454"/>
      <c r="W985" s="459"/>
      <c r="X985" s="459"/>
      <c r="Y985" s="459"/>
      <c r="Z985" s="459"/>
      <c r="AA985" s="459"/>
      <c r="AH985" s="208"/>
    </row>
    <row r="986" spans="21:34" x14ac:dyDescent="0.25">
      <c r="W986" s="459"/>
      <c r="X986" s="459"/>
      <c r="Y986" s="459"/>
      <c r="Z986" s="459"/>
      <c r="AA986" s="459"/>
    </row>
    <row r="987" spans="21:34" x14ac:dyDescent="0.25">
      <c r="U987" s="454"/>
      <c r="V987" s="454"/>
      <c r="W987" s="459"/>
      <c r="X987" s="459"/>
      <c r="Y987" s="459"/>
      <c r="Z987" s="459"/>
      <c r="AA987" s="459"/>
      <c r="AG987" s="466"/>
      <c r="AH987" s="454"/>
    </row>
    <row r="988" spans="21:34" x14ac:dyDescent="0.25">
      <c r="U988" s="454"/>
      <c r="V988" s="454"/>
      <c r="W988" s="459"/>
      <c r="X988" s="459"/>
      <c r="Y988" s="459"/>
      <c r="Z988" s="459"/>
      <c r="AA988" s="459"/>
      <c r="AG988" s="466"/>
      <c r="AH988" s="466"/>
    </row>
    <row r="989" spans="21:34" x14ac:dyDescent="0.25">
      <c r="U989" s="454"/>
      <c r="V989" s="454"/>
      <c r="W989" s="459"/>
      <c r="X989" s="459"/>
      <c r="Y989" s="459"/>
      <c r="Z989" s="459"/>
      <c r="AA989" s="459"/>
      <c r="AG989" s="466"/>
      <c r="AH989" s="466"/>
    </row>
    <row r="990" spans="21:34" x14ac:dyDescent="0.25">
      <c r="U990" s="454"/>
      <c r="V990" s="454"/>
      <c r="Y990" s="459"/>
      <c r="Z990" s="459"/>
      <c r="AA990" s="459"/>
      <c r="AG990" s="466"/>
      <c r="AH990" s="466"/>
    </row>
    <row r="991" spans="21:34" x14ac:dyDescent="0.25">
      <c r="U991" s="454"/>
      <c r="V991" s="454"/>
      <c r="AG991" s="363"/>
      <c r="AH991" s="210"/>
    </row>
    <row r="992" spans="21:34" x14ac:dyDescent="0.25">
      <c r="U992" s="454"/>
      <c r="V992" s="454"/>
      <c r="AG992" s="466"/>
      <c r="AH992" s="466"/>
    </row>
    <row r="993" spans="21:34" x14ac:dyDescent="0.25">
      <c r="U993" s="454"/>
      <c r="V993" s="454"/>
      <c r="W993" s="454"/>
      <c r="X993" s="454"/>
      <c r="AH993" s="454"/>
    </row>
    <row r="994" spans="21:34" x14ac:dyDescent="0.25">
      <c r="W994" s="466"/>
      <c r="X994" s="466"/>
      <c r="AB994" s="454"/>
      <c r="AC994" s="131"/>
    </row>
    <row r="1003" spans="21:34" x14ac:dyDescent="0.25">
      <c r="W1003" s="1403"/>
      <c r="X1003" s="1403"/>
      <c r="Y1003" s="1403"/>
      <c r="Z1003" s="1403"/>
      <c r="AA1003" s="1403"/>
      <c r="AB1003" s="1403"/>
      <c r="AC1003" s="1403"/>
      <c r="AD1003" s="1403"/>
      <c r="AE1003" s="1403"/>
      <c r="AF1003" s="1403"/>
      <c r="AG1003" s="1403"/>
    </row>
    <row r="1006" spans="21:34" x14ac:dyDescent="0.25">
      <c r="U1006" s="481"/>
      <c r="V1006" s="481"/>
    </row>
    <row r="1009" spans="23:33" x14ac:dyDescent="0.25">
      <c r="W1009" s="485"/>
      <c r="X1009" s="485"/>
      <c r="AG1009" s="177"/>
    </row>
    <row r="1010" spans="23:33" x14ac:dyDescent="0.25">
      <c r="AG1010" s="208"/>
    </row>
    <row r="1011" spans="23:33" x14ac:dyDescent="0.25">
      <c r="AG1011" s="208"/>
    </row>
    <row r="1012" spans="23:33" x14ac:dyDescent="0.25">
      <c r="AG1012" s="208"/>
    </row>
    <row r="1013" spans="23:33" x14ac:dyDescent="0.25">
      <c r="W1013" s="475"/>
      <c r="X1013" s="475"/>
    </row>
    <row r="1014" spans="23:33" x14ac:dyDescent="0.25">
      <c r="AG1014" s="454"/>
    </row>
    <row r="1015" spans="23:33" x14ac:dyDescent="0.25">
      <c r="AG1015" s="466"/>
    </row>
    <row r="1016" spans="23:33" x14ac:dyDescent="0.25">
      <c r="AG1016" s="466"/>
    </row>
    <row r="1017" spans="23:33" x14ac:dyDescent="0.25">
      <c r="AF1017" s="466"/>
      <c r="AG1017" s="466"/>
    </row>
    <row r="1018" spans="23:33" x14ac:dyDescent="0.25">
      <c r="AF1018" s="466"/>
      <c r="AG1018" s="466"/>
    </row>
    <row r="1019" spans="23:33" x14ac:dyDescent="0.25">
      <c r="AF1019" s="466"/>
      <c r="AG1019" s="466"/>
    </row>
    <row r="1020" spans="23:33" x14ac:dyDescent="0.25">
      <c r="W1020" s="475"/>
      <c r="X1020" s="475"/>
      <c r="AF1020" s="466"/>
      <c r="AG1020" s="466"/>
    </row>
    <row r="1021" spans="23:33" x14ac:dyDescent="0.25">
      <c r="AF1021" s="466"/>
      <c r="AG1021" s="466"/>
    </row>
    <row r="1022" spans="23:33" x14ac:dyDescent="0.25">
      <c r="AF1022" s="466"/>
      <c r="AG1022" s="466"/>
    </row>
    <row r="1023" spans="23:33" x14ac:dyDescent="0.25">
      <c r="AF1023" s="466"/>
      <c r="AG1023" s="466"/>
    </row>
    <row r="1024" spans="23:33" x14ac:dyDescent="0.25">
      <c r="AF1024" s="466"/>
      <c r="AG1024" s="466"/>
    </row>
    <row r="1025" spans="18:33" x14ac:dyDescent="0.25">
      <c r="AF1025" s="466"/>
      <c r="AG1025" s="466"/>
    </row>
    <row r="1026" spans="18:33" x14ac:dyDescent="0.25">
      <c r="AF1026" s="466"/>
      <c r="AG1026" s="466"/>
    </row>
    <row r="1027" spans="18:33" x14ac:dyDescent="0.25">
      <c r="AF1027" s="466"/>
      <c r="AG1027" s="466"/>
    </row>
    <row r="1028" spans="18:33" x14ac:dyDescent="0.25">
      <c r="R1028" s="466"/>
      <c r="S1028" s="466"/>
      <c r="AF1028" s="466"/>
      <c r="AG1028" s="466"/>
    </row>
    <row r="1029" spans="18:33" x14ac:dyDescent="0.25">
      <c r="T1029" s="466"/>
      <c r="AF1029" s="466"/>
      <c r="AG1029" s="466"/>
    </row>
    <row r="1030" spans="18:33" x14ac:dyDescent="0.25">
      <c r="AF1030" s="466"/>
      <c r="AG1030" s="466"/>
    </row>
    <row r="1031" spans="18:33" x14ac:dyDescent="0.25">
      <c r="AF1031" s="466"/>
      <c r="AG1031" s="466"/>
    </row>
    <row r="1032" spans="18:33" x14ac:dyDescent="0.25">
      <c r="AF1032" s="466"/>
      <c r="AG1032" s="466"/>
    </row>
    <row r="1033" spans="18:33" x14ac:dyDescent="0.25">
      <c r="AG1033" s="454"/>
    </row>
    <row r="1034" spans="18:33" x14ac:dyDescent="0.25">
      <c r="AG1034" s="454"/>
    </row>
    <row r="1037" spans="18:33" x14ac:dyDescent="0.25">
      <c r="U1037" s="466"/>
      <c r="V1037" s="466"/>
    </row>
    <row r="1038" spans="18:33" x14ac:dyDescent="0.25">
      <c r="U1038" s="466"/>
      <c r="V1038" s="466"/>
    </row>
    <row r="1039" spans="18:33" x14ac:dyDescent="0.25">
      <c r="U1039" s="466"/>
      <c r="V1039" s="466"/>
    </row>
    <row r="1043" spans="18:30" x14ac:dyDescent="0.25">
      <c r="AD1043" s="177"/>
    </row>
    <row r="1047" spans="18:30" x14ac:dyDescent="0.25">
      <c r="Y1047" s="177"/>
      <c r="Z1047" s="177"/>
      <c r="AA1047" s="177"/>
      <c r="AB1047" s="177"/>
      <c r="AC1047" s="177"/>
    </row>
    <row r="1049" spans="18:30" x14ac:dyDescent="0.25">
      <c r="U1049" s="466"/>
      <c r="V1049" s="466"/>
    </row>
    <row r="1050" spans="18:30" x14ac:dyDescent="0.25">
      <c r="U1050" s="466"/>
      <c r="V1050" s="466"/>
    </row>
    <row r="1051" spans="18:30" x14ac:dyDescent="0.25">
      <c r="U1051" s="466"/>
      <c r="V1051" s="466"/>
    </row>
    <row r="1052" spans="18:30" x14ac:dyDescent="0.25">
      <c r="U1052" s="466"/>
      <c r="V1052" s="466"/>
    </row>
    <row r="1056" spans="18:30" x14ac:dyDescent="0.25">
      <c r="R1056" s="466"/>
      <c r="S1056" s="466"/>
    </row>
    <row r="1057" spans="18:24" x14ac:dyDescent="0.25">
      <c r="T1057" s="466"/>
    </row>
    <row r="1061" spans="18:24" x14ac:dyDescent="0.25">
      <c r="R1061" s="466"/>
      <c r="S1061" s="466"/>
    </row>
    <row r="1062" spans="18:24" x14ac:dyDescent="0.25">
      <c r="T1062" s="466"/>
    </row>
    <row r="1072" spans="18:24" x14ac:dyDescent="0.25">
      <c r="W1072" s="177"/>
      <c r="X1072" s="177"/>
    </row>
    <row r="1094" spans="18:30" x14ac:dyDescent="0.25">
      <c r="AD1094" s="466"/>
    </row>
    <row r="1095" spans="18:30" x14ac:dyDescent="0.25">
      <c r="AD1095" s="466"/>
    </row>
    <row r="1097" spans="18:30" x14ac:dyDescent="0.25">
      <c r="R1097" s="466"/>
      <c r="S1097" s="466"/>
      <c r="AD1097" s="466"/>
    </row>
    <row r="1098" spans="18:30" x14ac:dyDescent="0.25">
      <c r="R1098" s="466"/>
      <c r="S1098" s="466"/>
      <c r="T1098" s="466"/>
      <c r="W1098" s="466"/>
      <c r="X1098" s="466"/>
      <c r="Y1098" s="466"/>
      <c r="Z1098" s="466"/>
      <c r="AA1098" s="466"/>
      <c r="AB1098" s="466"/>
      <c r="AC1098" s="466"/>
    </row>
    <row r="1099" spans="18:30" x14ac:dyDescent="0.25">
      <c r="T1099" s="466"/>
      <c r="U1099" s="466"/>
      <c r="V1099" s="466"/>
      <c r="W1099" s="466"/>
      <c r="X1099" s="466"/>
      <c r="Y1099" s="466"/>
      <c r="Z1099" s="466"/>
      <c r="AA1099" s="466"/>
      <c r="AB1099" s="466"/>
      <c r="AC1099" s="466"/>
      <c r="AD1099" s="466"/>
    </row>
    <row r="1100" spans="18:30" x14ac:dyDescent="0.25">
      <c r="U1100" s="466"/>
      <c r="V1100" s="466"/>
    </row>
    <row r="1101" spans="18:30" x14ac:dyDescent="0.25">
      <c r="AD1101" s="423"/>
    </row>
    <row r="1102" spans="18:30" x14ac:dyDescent="0.25">
      <c r="AD1102" s="466"/>
    </row>
    <row r="1103" spans="18:30" x14ac:dyDescent="0.25">
      <c r="AD1103" s="466"/>
    </row>
    <row r="1104" spans="18:30" x14ac:dyDescent="0.25">
      <c r="R1104" s="466"/>
      <c r="S1104" s="466"/>
      <c r="AD1104" s="466"/>
    </row>
    <row r="1105" spans="18:30" x14ac:dyDescent="0.25">
      <c r="R1105" s="466"/>
      <c r="S1105" s="466"/>
      <c r="T1105" s="466"/>
      <c r="W1105" s="466"/>
      <c r="X1105" s="466"/>
      <c r="Y1105" s="466"/>
      <c r="Z1105" s="466"/>
      <c r="AA1105" s="466"/>
      <c r="AB1105" s="466"/>
      <c r="AC1105" s="466"/>
      <c r="AD1105" s="466"/>
    </row>
    <row r="1106" spans="18:30" x14ac:dyDescent="0.25">
      <c r="R1106" s="466"/>
      <c r="S1106" s="466"/>
      <c r="T1106" s="466"/>
      <c r="U1106" s="466"/>
      <c r="V1106" s="466"/>
      <c r="W1106" s="466"/>
      <c r="X1106" s="466"/>
      <c r="Y1106" s="466"/>
      <c r="Z1106" s="466"/>
      <c r="AA1106" s="466"/>
      <c r="AB1106" s="466"/>
      <c r="AC1106" s="466"/>
      <c r="AD1106" s="422"/>
    </row>
    <row r="1107" spans="18:30" x14ac:dyDescent="0.25">
      <c r="R1107" s="466"/>
      <c r="S1107" s="466"/>
      <c r="T1107" s="466"/>
      <c r="U1107" s="466"/>
      <c r="V1107" s="466"/>
      <c r="W1107" s="466"/>
      <c r="X1107" s="466"/>
      <c r="Y1107" s="466"/>
      <c r="Z1107" s="466"/>
      <c r="AA1107" s="466"/>
      <c r="AB1107" s="466"/>
      <c r="AC1107" s="466"/>
    </row>
    <row r="1108" spans="18:30" x14ac:dyDescent="0.25">
      <c r="R1108" s="466"/>
      <c r="S1108" s="466"/>
      <c r="T1108" s="466"/>
      <c r="U1108" s="466"/>
      <c r="V1108" s="466"/>
      <c r="W1108" s="466"/>
      <c r="X1108" s="466"/>
      <c r="Y1108" s="466"/>
      <c r="Z1108" s="466"/>
      <c r="AA1108" s="466"/>
      <c r="AB1108" s="466"/>
      <c r="AC1108" s="466"/>
      <c r="AD1108" s="466"/>
    </row>
    <row r="1109" spans="18:30" x14ac:dyDescent="0.25">
      <c r="R1109" s="466"/>
      <c r="S1109" s="466"/>
      <c r="T1109" s="466"/>
      <c r="U1109" s="466"/>
      <c r="V1109" s="466"/>
      <c r="W1109" s="466"/>
      <c r="X1109" s="466"/>
      <c r="Y1109" s="466"/>
      <c r="Z1109" s="466"/>
      <c r="AA1109" s="466"/>
      <c r="AB1109" s="466"/>
      <c r="AC1109" s="466"/>
      <c r="AD1109" s="466"/>
    </row>
    <row r="1110" spans="18:30" x14ac:dyDescent="0.25">
      <c r="T1110" s="466"/>
      <c r="U1110" s="466"/>
      <c r="V1110" s="466"/>
      <c r="W1110" s="466"/>
      <c r="X1110" s="466"/>
      <c r="Y1110" s="466"/>
      <c r="Z1110" s="466"/>
      <c r="AA1110" s="466"/>
      <c r="AB1110" s="466"/>
      <c r="AC1110" s="466"/>
      <c r="AD1110" s="466"/>
    </row>
    <row r="1111" spans="18:30" x14ac:dyDescent="0.25">
      <c r="R1111" s="466"/>
      <c r="S1111" s="466"/>
      <c r="U1111" s="466"/>
      <c r="V1111" s="466"/>
      <c r="AD1111" s="422"/>
    </row>
    <row r="1112" spans="18:30" x14ac:dyDescent="0.25">
      <c r="R1112" s="466"/>
      <c r="S1112" s="466"/>
      <c r="T1112" s="466"/>
      <c r="W1112" s="466"/>
      <c r="X1112" s="466"/>
      <c r="Y1112" s="466"/>
      <c r="Z1112" s="466"/>
      <c r="AA1112" s="466"/>
      <c r="AB1112" s="466"/>
      <c r="AC1112" s="466"/>
      <c r="AD1112" s="422"/>
    </row>
    <row r="1113" spans="18:30" x14ac:dyDescent="0.25">
      <c r="R1113" s="466"/>
      <c r="S1113" s="466"/>
      <c r="T1113" s="466"/>
      <c r="U1113" s="466"/>
      <c r="V1113" s="466"/>
      <c r="W1113" s="466"/>
      <c r="X1113" s="466"/>
      <c r="Y1113" s="466"/>
      <c r="Z1113" s="466"/>
      <c r="AA1113" s="466"/>
      <c r="AB1113" s="466"/>
      <c r="AC1113" s="466"/>
      <c r="AD1113" s="422"/>
    </row>
    <row r="1114" spans="18:30" x14ac:dyDescent="0.25">
      <c r="R1114" s="466"/>
      <c r="S1114" s="466"/>
      <c r="T1114" s="466"/>
      <c r="U1114" s="466"/>
      <c r="V1114" s="466"/>
      <c r="W1114" s="466"/>
      <c r="X1114" s="466"/>
      <c r="Y1114" s="466"/>
      <c r="Z1114" s="466"/>
      <c r="AA1114" s="466"/>
      <c r="AB1114" s="466"/>
      <c r="AC1114" s="466"/>
    </row>
    <row r="1115" spans="18:30" x14ac:dyDescent="0.25">
      <c r="R1115" s="466"/>
      <c r="S1115" s="466"/>
      <c r="T1115" s="466"/>
      <c r="U1115" s="466"/>
      <c r="V1115" s="466"/>
      <c r="W1115" s="466"/>
      <c r="X1115" s="466"/>
      <c r="Y1115" s="466"/>
      <c r="Z1115" s="466"/>
      <c r="AA1115" s="466"/>
      <c r="AB1115" s="466"/>
      <c r="AC1115" s="466"/>
      <c r="AD1115" s="177"/>
    </row>
    <row r="1116" spans="18:30" x14ac:dyDescent="0.25">
      <c r="R1116" s="466"/>
      <c r="S1116" s="466"/>
      <c r="T1116" s="466"/>
      <c r="U1116" s="466"/>
      <c r="V1116" s="466"/>
      <c r="W1116" s="466"/>
      <c r="X1116" s="466"/>
      <c r="Y1116" s="466"/>
      <c r="Z1116" s="466"/>
      <c r="AA1116" s="466"/>
      <c r="AB1116" s="466"/>
      <c r="AC1116" s="466"/>
    </row>
    <row r="1117" spans="18:30" x14ac:dyDescent="0.25">
      <c r="T1117" s="466"/>
      <c r="U1117" s="466"/>
      <c r="V1117" s="466"/>
      <c r="W1117" s="466"/>
      <c r="X1117" s="466"/>
      <c r="Y1117" s="466"/>
      <c r="Z1117" s="466"/>
      <c r="AA1117" s="466"/>
      <c r="AB1117" s="466"/>
      <c r="AC1117" s="466"/>
      <c r="AD1117" s="466"/>
    </row>
    <row r="1118" spans="18:30" x14ac:dyDescent="0.25">
      <c r="R1118" s="177"/>
      <c r="S1118" s="177"/>
      <c r="U1118" s="466"/>
      <c r="V1118" s="466"/>
      <c r="AD1118" s="223"/>
    </row>
    <row r="1119" spans="18:30" x14ac:dyDescent="0.25">
      <c r="T1119" s="177"/>
      <c r="W1119" s="177"/>
      <c r="X1119" s="177"/>
      <c r="Y1119" s="177"/>
      <c r="Z1119" s="177"/>
      <c r="AA1119" s="177"/>
      <c r="AB1119" s="177"/>
      <c r="AC1119" s="177"/>
      <c r="AD1119" s="486"/>
    </row>
    <row r="1120" spans="18:30" x14ac:dyDescent="0.25">
      <c r="R1120" s="466"/>
      <c r="S1120" s="466"/>
      <c r="U1120" s="177"/>
      <c r="V1120" s="177"/>
      <c r="AD1120" s="466"/>
    </row>
    <row r="1121" spans="18:30" x14ac:dyDescent="0.25">
      <c r="R1121" s="466"/>
      <c r="S1121" s="466"/>
      <c r="T1121" s="466"/>
      <c r="W1121" s="1276"/>
      <c r="X1121" s="1276"/>
      <c r="Y1121" s="466"/>
      <c r="Z1121" s="466"/>
      <c r="AA1121" s="466"/>
      <c r="AB1121" s="466"/>
      <c r="AC1121" s="466"/>
      <c r="AD1121" s="466"/>
    </row>
    <row r="1122" spans="18:30" x14ac:dyDescent="0.25">
      <c r="R1122" s="466"/>
      <c r="S1122" s="466"/>
      <c r="T1122" s="466"/>
      <c r="U1122" s="466"/>
      <c r="V1122" s="466"/>
      <c r="W1122" s="1276"/>
      <c r="X1122" s="1276"/>
      <c r="Y1122" s="466"/>
      <c r="Z1122" s="466"/>
      <c r="AA1122" s="466"/>
      <c r="AB1122" s="223"/>
      <c r="AC1122" s="223"/>
      <c r="AD1122" s="454"/>
    </row>
    <row r="1123" spans="18:30" x14ac:dyDescent="0.25">
      <c r="R1123" s="466"/>
      <c r="S1123" s="466"/>
      <c r="T1123" s="466"/>
      <c r="U1123" s="466"/>
      <c r="V1123" s="466"/>
      <c r="W1123" s="1276"/>
      <c r="X1123" s="1276"/>
      <c r="Y1123" s="466"/>
      <c r="Z1123" s="466"/>
      <c r="AA1123" s="466"/>
      <c r="AB1123" s="486"/>
      <c r="AC1123" s="486"/>
      <c r="AD1123" s="466"/>
    </row>
    <row r="1124" spans="18:30" x14ac:dyDescent="0.25">
      <c r="R1124" s="466"/>
      <c r="S1124" s="466"/>
      <c r="T1124" s="466"/>
      <c r="U1124" s="466"/>
      <c r="V1124" s="466"/>
      <c r="W1124" s="466"/>
      <c r="X1124" s="466"/>
      <c r="Y1124" s="466"/>
      <c r="Z1124" s="466"/>
      <c r="AA1124" s="466"/>
      <c r="AB1124" s="206"/>
      <c r="AC1124" s="466"/>
      <c r="AD1124" s="466"/>
    </row>
    <row r="1125" spans="18:30" x14ac:dyDescent="0.25">
      <c r="R1125" s="466"/>
      <c r="S1125" s="466"/>
      <c r="T1125" s="466"/>
      <c r="U1125" s="466"/>
      <c r="V1125" s="466"/>
      <c r="W1125" s="466"/>
      <c r="X1125" s="466"/>
      <c r="Y1125" s="466"/>
      <c r="Z1125" s="466"/>
      <c r="AA1125" s="466"/>
      <c r="AB1125" s="466"/>
      <c r="AC1125" s="466"/>
      <c r="AD1125" s="466"/>
    </row>
    <row r="1126" spans="18:30" x14ac:dyDescent="0.25">
      <c r="R1126" s="466"/>
      <c r="S1126" s="466"/>
      <c r="T1126" s="466"/>
      <c r="U1126" s="466"/>
      <c r="V1126" s="466"/>
      <c r="W1126" s="466"/>
      <c r="X1126" s="466"/>
      <c r="Y1126" s="466"/>
      <c r="Z1126" s="466"/>
      <c r="AA1126" s="466"/>
      <c r="AB1126" s="359"/>
      <c r="AC1126" s="206"/>
      <c r="AD1126" s="466"/>
    </row>
    <row r="1127" spans="18:30" x14ac:dyDescent="0.25">
      <c r="R1127" s="466"/>
      <c r="S1127" s="466"/>
      <c r="T1127" s="466"/>
      <c r="U1127" s="466"/>
      <c r="V1127" s="466"/>
      <c r="W1127" s="466"/>
      <c r="X1127" s="466"/>
      <c r="Y1127" s="466"/>
      <c r="Z1127" s="466"/>
      <c r="AA1127" s="466"/>
      <c r="AB1127" s="359"/>
      <c r="AC1127" s="206"/>
      <c r="AD1127" s="466"/>
    </row>
    <row r="1128" spans="18:30" x14ac:dyDescent="0.25">
      <c r="R1128" s="466"/>
      <c r="S1128" s="466"/>
      <c r="T1128" s="466"/>
      <c r="U1128" s="466"/>
      <c r="V1128" s="466"/>
      <c r="W1128" s="466"/>
      <c r="X1128" s="466"/>
      <c r="Y1128" s="466"/>
      <c r="Z1128" s="466"/>
      <c r="AA1128" s="466"/>
      <c r="AB1128" s="359"/>
      <c r="AC1128" s="206"/>
      <c r="AD1128" s="466"/>
    </row>
    <row r="1129" spans="18:30" x14ac:dyDescent="0.25">
      <c r="R1129" s="466"/>
      <c r="S1129" s="466"/>
      <c r="T1129" s="466"/>
      <c r="U1129" s="466"/>
      <c r="V1129" s="466"/>
      <c r="W1129" s="466"/>
      <c r="X1129" s="466"/>
      <c r="Y1129" s="466"/>
      <c r="Z1129" s="466"/>
      <c r="AA1129" s="466"/>
      <c r="AB1129" s="447"/>
      <c r="AC1129" s="206"/>
      <c r="AD1129" s="466"/>
    </row>
    <row r="1130" spans="18:30" x14ac:dyDescent="0.25">
      <c r="R1130" s="466"/>
      <c r="S1130" s="466"/>
      <c r="T1130" s="466"/>
      <c r="U1130" s="466"/>
      <c r="V1130" s="466"/>
      <c r="W1130" s="466"/>
      <c r="X1130" s="466"/>
      <c r="Y1130" s="466"/>
      <c r="Z1130" s="466"/>
      <c r="AA1130" s="466"/>
      <c r="AB1130" s="447"/>
      <c r="AC1130" s="206"/>
      <c r="AD1130" s="466"/>
    </row>
    <row r="1131" spans="18:30" x14ac:dyDescent="0.25">
      <c r="R1131" s="466"/>
      <c r="S1131" s="466"/>
      <c r="T1131" s="466"/>
      <c r="U1131" s="466"/>
      <c r="V1131" s="466"/>
      <c r="W1131" s="466"/>
      <c r="X1131" s="466"/>
      <c r="Y1131" s="466"/>
      <c r="Z1131" s="466"/>
      <c r="AA1131" s="466"/>
      <c r="AB1131" s="447"/>
      <c r="AC1131" s="206"/>
      <c r="AD1131" s="466"/>
    </row>
    <row r="1132" spans="18:30" x14ac:dyDescent="0.25">
      <c r="R1132" s="466"/>
      <c r="S1132" s="466"/>
      <c r="T1132" s="466"/>
      <c r="U1132" s="466"/>
      <c r="V1132" s="466"/>
      <c r="W1132" s="466"/>
      <c r="X1132" s="466"/>
      <c r="Y1132" s="466"/>
      <c r="Z1132" s="466"/>
      <c r="AA1132" s="466"/>
      <c r="AB1132" s="447"/>
      <c r="AC1132" s="206"/>
      <c r="AD1132" s="466"/>
    </row>
    <row r="1133" spans="18:30" x14ac:dyDescent="0.25">
      <c r="R1133" s="466"/>
      <c r="S1133" s="466"/>
      <c r="T1133" s="466"/>
      <c r="U1133" s="466"/>
      <c r="V1133" s="466"/>
      <c r="W1133" s="466"/>
      <c r="X1133" s="466"/>
      <c r="Y1133" s="466"/>
      <c r="Z1133" s="466"/>
      <c r="AA1133" s="466"/>
      <c r="AB1133" s="447"/>
      <c r="AC1133" s="206"/>
      <c r="AD1133" s="454"/>
    </row>
    <row r="1134" spans="18:30" x14ac:dyDescent="0.25">
      <c r="R1134" s="466"/>
      <c r="S1134" s="466"/>
      <c r="T1134" s="466"/>
      <c r="U1134" s="466"/>
      <c r="V1134" s="466"/>
      <c r="W1134" s="466"/>
      <c r="X1134" s="466"/>
      <c r="Y1134" s="466"/>
      <c r="Z1134" s="466"/>
      <c r="AA1134" s="466"/>
      <c r="AB1134" s="447"/>
      <c r="AC1134" s="206"/>
    </row>
    <row r="1135" spans="18:30" x14ac:dyDescent="0.25">
      <c r="R1135" s="466"/>
      <c r="S1135" s="466"/>
      <c r="T1135" s="466"/>
      <c r="U1135" s="466"/>
      <c r="V1135" s="466"/>
      <c r="W1135" s="466"/>
      <c r="X1135" s="466"/>
      <c r="Y1135" s="466"/>
      <c r="Z1135" s="466"/>
      <c r="AA1135" s="466"/>
      <c r="AB1135" s="447"/>
      <c r="AC1135" s="206"/>
    </row>
    <row r="1136" spans="18:30" x14ac:dyDescent="0.25">
      <c r="R1136" s="466"/>
      <c r="S1136" s="466"/>
      <c r="T1136" s="466"/>
      <c r="U1136" s="466"/>
      <c r="V1136" s="466"/>
      <c r="W1136" s="466"/>
      <c r="X1136" s="466"/>
      <c r="Y1136" s="466"/>
      <c r="Z1136" s="466"/>
      <c r="AA1136" s="466"/>
      <c r="AB1136" s="466"/>
      <c r="AC1136" s="466"/>
    </row>
    <row r="1137" spans="20:29" x14ac:dyDescent="0.25">
      <c r="T1137" s="466"/>
      <c r="U1137" s="466"/>
      <c r="V1137" s="466"/>
      <c r="W1137" s="466"/>
      <c r="X1137" s="466"/>
      <c r="Y1137" s="466"/>
      <c r="Z1137" s="466"/>
      <c r="AA1137" s="466"/>
      <c r="AB1137" s="466"/>
      <c r="AC1137" s="466"/>
    </row>
    <row r="1138" spans="20:29" x14ac:dyDescent="0.25">
      <c r="U1138" s="466"/>
      <c r="V1138" s="466"/>
    </row>
  </sheetData>
  <mergeCells count="34">
    <mergeCell ref="A79:I79"/>
    <mergeCell ref="A1:I1"/>
    <mergeCell ref="A4:I4"/>
    <mergeCell ref="A62:I62"/>
    <mergeCell ref="A50:I50"/>
    <mergeCell ref="A407:I407"/>
    <mergeCell ref="A323:I323"/>
    <mergeCell ref="A325:I325"/>
    <mergeCell ref="A326:I326"/>
    <mergeCell ref="A320:I320"/>
    <mergeCell ref="A322:I322"/>
    <mergeCell ref="AP332:AR332"/>
    <mergeCell ref="AJ338:AN338"/>
    <mergeCell ref="A402:I402"/>
    <mergeCell ref="AJ332:AN332"/>
    <mergeCell ref="A3:I3"/>
    <mergeCell ref="A164:I164"/>
    <mergeCell ref="A166:I166"/>
    <mergeCell ref="A167:I167"/>
    <mergeCell ref="A159:I159"/>
    <mergeCell ref="A161:I161"/>
    <mergeCell ref="A163:I163"/>
    <mergeCell ref="A80:I80"/>
    <mergeCell ref="A82:I82"/>
    <mergeCell ref="A83:I83"/>
    <mergeCell ref="A75:I75"/>
    <mergeCell ref="A77:I77"/>
    <mergeCell ref="A508:K508"/>
    <mergeCell ref="A410:K410"/>
    <mergeCell ref="A411:K411"/>
    <mergeCell ref="A505:K505"/>
    <mergeCell ref="A507:K507"/>
    <mergeCell ref="A502:I502"/>
    <mergeCell ref="A504:I504"/>
  </mergeCells>
  <printOptions horizontalCentered="1"/>
  <pageMargins left="0.5" right="0.5" top="0.5" bottom="0.25" header="0.5" footer="0.5"/>
  <pageSetup scale="59" fitToHeight="6" orientation="portrait" horizontalDpi="4294967295" verticalDpi="4294967295" r:id="rId1"/>
  <headerFooter alignWithMargins="0"/>
  <rowBreaks count="5" manualBreakCount="5">
    <brk id="79" max="8" man="1"/>
    <brk id="163" max="8" man="1"/>
    <brk id="243" max="8" man="1"/>
    <brk id="322" max="8" man="1"/>
    <brk id="406" max="8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AE356"/>
  <sheetViews>
    <sheetView view="pageBreakPreview" topLeftCell="A10" zoomScale="90" zoomScaleNormal="100" zoomScaleSheetLayoutView="90" workbookViewId="0">
      <selection activeCell="Z26" sqref="Z26"/>
    </sheetView>
  </sheetViews>
  <sheetFormatPr defaultColWidth="9.140625" defaultRowHeight="15.75" x14ac:dyDescent="0.25"/>
  <cols>
    <col min="1" max="1" width="3.85546875" style="178" customWidth="1"/>
    <col min="2" max="2" width="2.7109375" style="178" customWidth="1"/>
    <col min="3" max="3" width="37.140625" style="178" customWidth="1"/>
    <col min="4" max="4" width="1.85546875" style="178" customWidth="1"/>
    <col min="5" max="5" width="13.42578125" style="178" customWidth="1"/>
    <col min="6" max="6" width="2.28515625" style="178" customWidth="1"/>
    <col min="7" max="7" width="13.28515625" style="178" customWidth="1"/>
    <col min="8" max="8" width="3.5703125" style="178" customWidth="1"/>
    <col min="9" max="9" width="13.42578125" style="178" customWidth="1"/>
    <col min="10" max="11" width="2.28515625" style="178" customWidth="1"/>
    <col min="12" max="12" width="13.42578125" style="178" customWidth="1"/>
    <col min="13" max="13" width="2.28515625" style="178" customWidth="1"/>
    <col min="14" max="14" width="13.42578125" style="178" customWidth="1"/>
    <col min="15" max="15" width="2.28515625" style="178" customWidth="1"/>
    <col min="16" max="16" width="5" style="178" bestFit="1" customWidth="1"/>
    <col min="17" max="17" width="2.28515625" style="178" customWidth="1"/>
    <col min="18" max="18" width="13.42578125" style="178" customWidth="1"/>
    <col min="19" max="19" width="2.28515625" style="178" customWidth="1"/>
    <col min="20" max="20" width="13.42578125" style="178" customWidth="1"/>
    <col min="21" max="21" width="2.28515625" style="178" customWidth="1"/>
    <col min="22" max="22" width="13.42578125" style="178" customWidth="1"/>
    <col min="23" max="23" width="1.85546875" style="178" customWidth="1"/>
    <col min="24" max="24" width="15.42578125" style="178" bestFit="1" customWidth="1"/>
    <col min="25" max="25" width="14.42578125" style="178" customWidth="1"/>
    <col min="26" max="26" width="18" style="178" bestFit="1" customWidth="1"/>
    <col min="27" max="16384" width="9.140625" style="178"/>
  </cols>
  <sheetData>
    <row r="1" spans="1:26" x14ac:dyDescent="0.25">
      <c r="A1" s="367" t="str">
        <f>INFO!B1</f>
        <v>EVANSVILLE (INDIANA) WATERWORKS DISTRICT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6" x14ac:dyDescent="0.25">
      <c r="A2" s="367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</row>
    <row r="3" spans="1:26" x14ac:dyDescent="0.25">
      <c r="A3" s="191" t="s">
        <v>375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</row>
    <row r="4" spans="1:26" x14ac:dyDescent="0.25">
      <c r="A4" s="367" t="str">
        <f>"See Explanation of Adjustments, pages "&amp;TEXT('Norm Adj'!$A$61,0)&amp;" to "&amp;TEXT('Norm Adj'!$A$427,0)&amp;"."</f>
        <v>See Explanation of Adjustments, pages 19 to 25.</v>
      </c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67"/>
      <c r="W4" s="367"/>
    </row>
    <row r="5" spans="1:26" x14ac:dyDescent="0.25">
      <c r="A5" s="963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</row>
    <row r="6" spans="1:26" x14ac:dyDescent="0.25">
      <c r="G6" s="1104"/>
      <c r="P6" s="89"/>
      <c r="Q6" s="89"/>
      <c r="R6" s="89"/>
      <c r="S6" s="89"/>
      <c r="T6" s="89"/>
      <c r="U6" s="89"/>
    </row>
    <row r="7" spans="1:26" x14ac:dyDescent="0.25">
      <c r="A7" s="22"/>
      <c r="B7" s="22"/>
      <c r="C7" s="22"/>
      <c r="D7" s="22"/>
      <c r="E7" s="1115" t="s">
        <v>229</v>
      </c>
      <c r="F7" s="171"/>
      <c r="G7" s="1108"/>
      <c r="I7" s="171"/>
      <c r="J7" s="171"/>
      <c r="K7" s="171"/>
      <c r="L7" s="1152"/>
      <c r="M7" s="171"/>
      <c r="N7" s="171"/>
      <c r="O7" s="171"/>
      <c r="P7" s="171"/>
      <c r="Q7" s="171"/>
      <c r="R7" s="171"/>
      <c r="S7" s="171"/>
      <c r="T7" s="171"/>
      <c r="U7" s="171"/>
      <c r="V7" s="1152"/>
      <c r="W7" s="91"/>
    </row>
    <row r="8" spans="1:26" x14ac:dyDescent="0.25">
      <c r="A8" s="22"/>
      <c r="B8" s="22"/>
      <c r="C8" s="22"/>
      <c r="D8" s="22"/>
      <c r="E8" s="43" t="s">
        <v>80</v>
      </c>
      <c r="F8" s="171"/>
      <c r="G8" s="1108" t="s">
        <v>961</v>
      </c>
      <c r="I8" s="1104" t="s">
        <v>165</v>
      </c>
      <c r="J8" s="1104"/>
      <c r="K8" s="91"/>
      <c r="L8" s="171" t="s">
        <v>134</v>
      </c>
      <c r="M8" s="91"/>
      <c r="N8" s="1104" t="s">
        <v>165</v>
      </c>
      <c r="O8" s="1104"/>
      <c r="P8" s="171"/>
      <c r="Q8" s="171"/>
      <c r="R8" s="171"/>
      <c r="S8" s="171"/>
      <c r="T8" s="171" t="s">
        <v>921</v>
      </c>
      <c r="U8" s="171"/>
      <c r="V8" s="171" t="s">
        <v>134</v>
      </c>
      <c r="W8" s="91"/>
    </row>
    <row r="9" spans="1:26" s="1154" customFormat="1" ht="17.25" customHeight="1" x14ac:dyDescent="0.25">
      <c r="A9" s="71"/>
      <c r="B9" s="71"/>
      <c r="C9" s="71"/>
      <c r="D9" s="71"/>
      <c r="E9" s="1116">
        <v>44104</v>
      </c>
      <c r="F9" s="71"/>
      <c r="G9" s="1153" t="s">
        <v>171</v>
      </c>
      <c r="I9" s="72" t="s">
        <v>38</v>
      </c>
      <c r="J9" s="511"/>
      <c r="K9" s="407"/>
      <c r="L9" s="72" t="s">
        <v>135</v>
      </c>
      <c r="M9" s="407"/>
      <c r="N9" s="72" t="s">
        <v>38</v>
      </c>
      <c r="O9" s="511"/>
      <c r="P9" s="72" t="s">
        <v>81</v>
      </c>
      <c r="Q9" s="511"/>
      <c r="R9" s="72" t="s">
        <v>920</v>
      </c>
      <c r="S9" s="511"/>
      <c r="T9" s="72" t="s">
        <v>962</v>
      </c>
      <c r="U9" s="71"/>
      <c r="V9" s="1155" t="s">
        <v>135</v>
      </c>
      <c r="W9" s="1155"/>
    </row>
    <row r="10" spans="1:26" x14ac:dyDescent="0.25">
      <c r="B10" s="22"/>
      <c r="C10" s="22"/>
      <c r="D10" s="22"/>
      <c r="E10" s="469"/>
      <c r="F10" s="22"/>
      <c r="G10" s="1156" t="s">
        <v>220</v>
      </c>
      <c r="I10" s="22"/>
      <c r="J10" s="22"/>
      <c r="K10" s="185"/>
      <c r="L10" s="22"/>
      <c r="M10" s="185"/>
      <c r="N10" s="22"/>
      <c r="O10" s="22"/>
      <c r="P10" s="22"/>
      <c r="Q10" s="22"/>
      <c r="R10" s="22"/>
      <c r="S10" s="22"/>
      <c r="T10" s="22"/>
      <c r="U10" s="22"/>
      <c r="V10" s="1157"/>
      <c r="W10" s="185"/>
    </row>
    <row r="11" spans="1:26" x14ac:dyDescent="0.25">
      <c r="A11" s="1125" t="s">
        <v>72</v>
      </c>
      <c r="B11" s="22"/>
      <c r="C11" s="22"/>
      <c r="D11" s="22"/>
      <c r="E11" s="89"/>
      <c r="F11" s="22"/>
      <c r="G11" s="1126"/>
      <c r="I11" s="22"/>
      <c r="J11" s="22"/>
      <c r="K11" s="185"/>
      <c r="L11" s="22"/>
      <c r="M11" s="185"/>
      <c r="N11" s="22"/>
      <c r="O11" s="22"/>
      <c r="P11" s="22"/>
      <c r="Q11" s="22"/>
      <c r="R11" s="22"/>
      <c r="S11" s="22"/>
      <c r="T11" s="22"/>
      <c r="U11" s="22"/>
      <c r="V11" s="185"/>
      <c r="W11" s="185"/>
      <c r="X11" s="1404" t="s">
        <v>1029</v>
      </c>
      <c r="Y11" s="1404"/>
    </row>
    <row r="12" spans="1:26" x14ac:dyDescent="0.25">
      <c r="A12" s="1125"/>
      <c r="B12" s="22"/>
      <c r="C12" s="22"/>
      <c r="D12" s="22"/>
      <c r="E12" s="22"/>
      <c r="F12" s="22"/>
      <c r="G12" s="22"/>
      <c r="I12" s="22"/>
      <c r="J12" s="22"/>
      <c r="K12" s="172"/>
      <c r="L12" s="22"/>
      <c r="M12" s="172"/>
      <c r="N12" s="22"/>
      <c r="O12" s="22"/>
      <c r="P12" s="22"/>
      <c r="Q12" s="22"/>
      <c r="R12" s="22"/>
      <c r="S12" s="22"/>
      <c r="T12" s="22"/>
      <c r="U12" s="22"/>
      <c r="X12" s="1404"/>
      <c r="Y12" s="1405"/>
      <c r="Z12" s="997"/>
    </row>
    <row r="13" spans="1:26" x14ac:dyDescent="0.25">
      <c r="B13" s="113" t="s">
        <v>73</v>
      </c>
      <c r="C13" s="113"/>
      <c r="D13" s="22"/>
      <c r="E13" s="207">
        <f>CNP!M10</f>
        <v>19390251</v>
      </c>
      <c r="F13" s="997"/>
      <c r="G13" s="997">
        <v>-85916</v>
      </c>
      <c r="H13" s="25"/>
      <c r="I13" s="997">
        <f>'Norm Adj'!J19+'Norm Adj'!N19+'Norm Adj'!P92</f>
        <v>1858466</v>
      </c>
      <c r="J13" s="997"/>
      <c r="K13" s="408"/>
      <c r="L13" s="997">
        <f>E13+G13+I13</f>
        <v>21162801</v>
      </c>
      <c r="M13" s="408"/>
      <c r="N13" s="997"/>
      <c r="O13" s="997"/>
      <c r="R13" s="997">
        <f>L13+N13</f>
        <v>21162801</v>
      </c>
      <c r="T13" s="997">
        <v>-520328</v>
      </c>
      <c r="V13" s="997">
        <f>R13+T13</f>
        <v>20642473</v>
      </c>
      <c r="W13" s="1158"/>
      <c r="X13" s="1406">
        <f>G13/E13</f>
        <v>-4.4308864284428292E-3</v>
      </c>
      <c r="Y13" s="1407"/>
      <c r="Z13" s="993"/>
    </row>
    <row r="14" spans="1:26" x14ac:dyDescent="0.25">
      <c r="B14" s="337" t="s">
        <v>499</v>
      </c>
      <c r="C14" s="113"/>
      <c r="D14" s="22"/>
      <c r="E14" s="200">
        <f>CNP!M11</f>
        <v>5779922</v>
      </c>
      <c r="F14" s="22"/>
      <c r="G14" s="993">
        <v>169808</v>
      </c>
      <c r="H14" s="25"/>
      <c r="I14" s="993">
        <f>'Norm Adj'!J20+'Norm Adj'!N20</f>
        <v>549630</v>
      </c>
      <c r="J14" s="993"/>
      <c r="K14" s="183"/>
      <c r="L14" s="993">
        <f>E14+G14+I14</f>
        <v>6499360</v>
      </c>
      <c r="M14" s="25"/>
      <c r="N14" s="997">
        <f>'Norm Adj'!P421</f>
        <v>-230418</v>
      </c>
      <c r="O14" s="993"/>
      <c r="P14" s="183" t="s">
        <v>219</v>
      </c>
      <c r="Q14" s="183"/>
      <c r="R14" s="993">
        <f>L14+N14</f>
        <v>6268942</v>
      </c>
      <c r="S14" s="183"/>
      <c r="T14" s="993"/>
      <c r="V14" s="993">
        <f>R14+T14</f>
        <v>6268942</v>
      </c>
      <c r="W14" s="132"/>
      <c r="X14" s="1406">
        <f>G14/E14</f>
        <v>2.937894317604978E-2</v>
      </c>
      <c r="Y14" s="1407"/>
      <c r="Z14" s="993"/>
    </row>
    <row r="15" spans="1:26" x14ac:dyDescent="0.25">
      <c r="B15" s="337" t="s">
        <v>270</v>
      </c>
      <c r="C15" s="113"/>
      <c r="D15" s="22"/>
      <c r="E15" s="200">
        <f>CNP!M12</f>
        <v>8257024</v>
      </c>
      <c r="F15" s="22"/>
      <c r="G15" s="993">
        <v>285043</v>
      </c>
      <c r="H15" s="25"/>
      <c r="I15" s="993">
        <f>+'Norm Adj'!J21+'Norm Adj'!N21+'Norm Adj'!P390+'Norm Adj'!P154</f>
        <v>812306</v>
      </c>
      <c r="J15" s="993"/>
      <c r="K15" s="25"/>
      <c r="L15" s="993">
        <f>E15+G15+I15</f>
        <v>9354373</v>
      </c>
      <c r="M15" s="25"/>
      <c r="N15" s="993"/>
      <c r="O15" s="993"/>
      <c r="R15" s="993">
        <f>L15+N15</f>
        <v>9354373</v>
      </c>
      <c r="T15" s="993">
        <v>-168140</v>
      </c>
      <c r="V15" s="993">
        <f>R15+T15</f>
        <v>9186233</v>
      </c>
      <c r="W15" s="132"/>
      <c r="X15" s="1406">
        <f>G15/E15</f>
        <v>3.4521275461958205E-2</v>
      </c>
      <c r="Y15" s="1408"/>
      <c r="Z15" s="466"/>
    </row>
    <row r="16" spans="1:26" x14ac:dyDescent="0.25">
      <c r="B16" s="337" t="s">
        <v>500</v>
      </c>
      <c r="C16" s="113"/>
      <c r="D16" s="22"/>
      <c r="E16" s="200">
        <f>CNP!M13</f>
        <v>1194300</v>
      </c>
      <c r="F16" s="22"/>
      <c r="G16" s="993">
        <v>61285</v>
      </c>
      <c r="H16" s="25"/>
      <c r="I16" s="993">
        <f>'Norm Adj'!J22+'Norm Adj'!N22+'Norm Adj'!P211</f>
        <v>103082</v>
      </c>
      <c r="J16" s="993"/>
      <c r="K16" s="25"/>
      <c r="L16" s="993">
        <f>E16+G16+I16</f>
        <v>1358667</v>
      </c>
      <c r="M16" s="25"/>
      <c r="N16" s="993"/>
      <c r="O16" s="993"/>
      <c r="R16" s="993">
        <f>L16+N16</f>
        <v>1358667</v>
      </c>
      <c r="T16" s="993">
        <v>-27086</v>
      </c>
      <c r="V16" s="993">
        <f>R16+T16</f>
        <v>1331581</v>
      </c>
      <c r="W16" s="132"/>
      <c r="X16" s="1406">
        <f>G16/E16</f>
        <v>5.1314577576823242E-2</v>
      </c>
      <c r="Y16" s="1409"/>
      <c r="Z16" s="172"/>
    </row>
    <row r="17" spans="1:28" x14ac:dyDescent="0.25">
      <c r="B17" s="113" t="s">
        <v>536</v>
      </c>
      <c r="C17" s="113"/>
      <c r="D17" s="22"/>
      <c r="V17" s="200"/>
      <c r="W17" s="132"/>
      <c r="Y17" s="466"/>
      <c r="Z17" s="466"/>
    </row>
    <row r="18" spans="1:28" x14ac:dyDescent="0.25">
      <c r="B18" s="113"/>
      <c r="C18" s="401" t="s">
        <v>434</v>
      </c>
      <c r="D18" s="22"/>
      <c r="E18" s="200">
        <v>3644439</v>
      </c>
      <c r="F18" s="22"/>
      <c r="I18" s="993">
        <f>ROUND('Norm Adj'!$N$267-Norm!E18,0)</f>
        <v>394725</v>
      </c>
      <c r="J18" s="993"/>
      <c r="K18" s="183"/>
      <c r="L18" s="993">
        <f t="shared" ref="L18:L24" si="0">E18+G18+I18</f>
        <v>4039164</v>
      </c>
      <c r="M18" s="25"/>
      <c r="N18" s="993"/>
      <c r="O18" s="993"/>
      <c r="P18" s="216"/>
      <c r="Q18" s="216"/>
      <c r="R18" s="993">
        <f t="shared" ref="R18:R24" si="1">L18+N18</f>
        <v>4039164</v>
      </c>
      <c r="S18" s="216"/>
      <c r="T18" s="216"/>
      <c r="U18" s="216"/>
      <c r="V18" s="993">
        <f t="shared" ref="V18:V24" si="2">R18+T18</f>
        <v>4039164</v>
      </c>
      <c r="W18" s="132"/>
      <c r="Y18" s="466"/>
      <c r="Z18" s="466"/>
    </row>
    <row r="19" spans="1:28" x14ac:dyDescent="0.25">
      <c r="B19" s="113"/>
      <c r="C19" s="401" t="s">
        <v>419</v>
      </c>
      <c r="D19" s="22"/>
      <c r="E19" s="200">
        <v>1553922</v>
      </c>
      <c r="F19" s="22"/>
      <c r="I19" s="993">
        <f>ROUND('Norm Adj'!$N$282-Norm!E19,0)</f>
        <v>172890</v>
      </c>
      <c r="J19" s="993"/>
      <c r="K19" s="183"/>
      <c r="L19" s="993">
        <f t="shared" si="0"/>
        <v>1726812</v>
      </c>
      <c r="M19" s="25"/>
      <c r="N19" s="993"/>
      <c r="O19" s="993"/>
      <c r="P19" s="216"/>
      <c r="Q19" s="216"/>
      <c r="R19" s="993">
        <f t="shared" si="1"/>
        <v>1726812</v>
      </c>
      <c r="S19" s="216"/>
      <c r="T19" s="216"/>
      <c r="U19" s="216"/>
      <c r="V19" s="993">
        <f t="shared" si="2"/>
        <v>1726812</v>
      </c>
      <c r="W19" s="132"/>
      <c r="Y19" s="172"/>
      <c r="Z19" s="172"/>
    </row>
    <row r="20" spans="1:28" x14ac:dyDescent="0.25">
      <c r="B20" s="113"/>
      <c r="C20" s="401" t="s">
        <v>418</v>
      </c>
      <c r="D20" s="22"/>
      <c r="E20" s="200">
        <v>833125</v>
      </c>
      <c r="F20" s="22"/>
      <c r="I20" s="993">
        <f>ROUND('Norm Adj'!$N$326-Norm!E20+'Norm Adj'!J26+'Norm Adj'!N26,0)</f>
        <v>26319</v>
      </c>
      <c r="J20" s="993"/>
      <c r="K20" s="183"/>
      <c r="L20" s="993">
        <f t="shared" si="0"/>
        <v>859444</v>
      </c>
      <c r="M20" s="25"/>
      <c r="N20" s="993"/>
      <c r="O20" s="993"/>
      <c r="P20" s="216"/>
      <c r="Q20" s="216"/>
      <c r="R20" s="993">
        <f t="shared" si="1"/>
        <v>859444</v>
      </c>
      <c r="S20" s="216"/>
      <c r="T20" s="216"/>
      <c r="U20" s="216"/>
      <c r="V20" s="993">
        <f t="shared" si="2"/>
        <v>859444</v>
      </c>
      <c r="W20" s="132"/>
      <c r="Y20" s="172"/>
      <c r="Z20" s="172"/>
    </row>
    <row r="21" spans="1:28" x14ac:dyDescent="0.25">
      <c r="B21" s="113"/>
      <c r="C21" s="401" t="s">
        <v>428</v>
      </c>
      <c r="D21" s="22"/>
      <c r="E21" s="200">
        <v>2361</v>
      </c>
      <c r="F21" s="22"/>
      <c r="I21" s="200"/>
      <c r="J21" s="200"/>
      <c r="K21" s="183"/>
      <c r="L21" s="993">
        <f t="shared" si="0"/>
        <v>2361</v>
      </c>
      <c r="M21" s="25"/>
      <c r="N21" s="993"/>
      <c r="O21" s="993"/>
      <c r="P21" s="216"/>
      <c r="Q21" s="216"/>
      <c r="R21" s="993">
        <f t="shared" si="1"/>
        <v>2361</v>
      </c>
      <c r="S21" s="216"/>
      <c r="T21" s="216"/>
      <c r="U21" s="216"/>
      <c r="V21" s="993">
        <f t="shared" si="2"/>
        <v>2361</v>
      </c>
      <c r="W21" s="132"/>
      <c r="Y21" s="172"/>
      <c r="Z21" s="172"/>
    </row>
    <row r="22" spans="1:28" x14ac:dyDescent="0.25">
      <c r="B22" s="178" t="s">
        <v>245</v>
      </c>
      <c r="C22" s="113"/>
      <c r="D22" s="22"/>
      <c r="E22" s="200">
        <f>CNP!M15</f>
        <v>92791</v>
      </c>
      <c r="F22" s="22"/>
      <c r="G22" s="22"/>
      <c r="I22" s="200">
        <f>'Norm Adj'!N27+'Norm Adj'!J27</f>
        <v>118150</v>
      </c>
      <c r="J22" s="200"/>
      <c r="K22" s="466"/>
      <c r="L22" s="993">
        <f t="shared" si="0"/>
        <v>210941</v>
      </c>
      <c r="M22" s="466"/>
      <c r="N22" s="200"/>
      <c r="O22" s="200"/>
      <c r="P22" s="1110"/>
      <c r="Q22" s="1110"/>
      <c r="R22" s="993">
        <f t="shared" si="1"/>
        <v>210941</v>
      </c>
      <c r="S22" s="1110"/>
      <c r="T22" s="1110"/>
      <c r="U22" s="1110"/>
      <c r="V22" s="993">
        <f t="shared" si="2"/>
        <v>210941</v>
      </c>
      <c r="W22" s="132"/>
      <c r="Y22" s="466"/>
      <c r="Z22" s="466"/>
    </row>
    <row r="23" spans="1:28" x14ac:dyDescent="0.25">
      <c r="B23" s="178" t="s">
        <v>18</v>
      </c>
      <c r="C23" s="113"/>
      <c r="D23" s="22"/>
      <c r="E23" s="200">
        <f>CNP!M16-1</f>
        <v>210142</v>
      </c>
      <c r="F23" s="22"/>
      <c r="G23" s="22"/>
      <c r="I23" s="200"/>
      <c r="J23" s="200"/>
      <c r="K23" s="466"/>
      <c r="L23" s="993">
        <f t="shared" si="0"/>
        <v>210142</v>
      </c>
      <c r="M23" s="466"/>
      <c r="N23" s="997"/>
      <c r="O23" s="997"/>
      <c r="P23" s="216"/>
      <c r="Q23" s="216"/>
      <c r="R23" s="993">
        <f t="shared" si="1"/>
        <v>210142</v>
      </c>
      <c r="S23" s="216"/>
      <c r="T23" s="216"/>
      <c r="U23" s="216"/>
      <c r="V23" s="993">
        <f t="shared" si="2"/>
        <v>210142</v>
      </c>
      <c r="W23" s="993"/>
      <c r="X23" s="172"/>
      <c r="Y23" s="466"/>
      <c r="Z23" s="466"/>
      <c r="AB23" s="22"/>
    </row>
    <row r="24" spans="1:28" x14ac:dyDescent="0.25">
      <c r="B24" s="178" t="s">
        <v>246</v>
      </c>
      <c r="C24" s="113"/>
      <c r="D24" s="22"/>
      <c r="E24" s="205">
        <f>CNP!M17</f>
        <v>11662997</v>
      </c>
      <c r="F24" s="22"/>
      <c r="G24" s="11"/>
      <c r="I24" s="205">
        <f>'Norm Adj'!N349</f>
        <v>642484</v>
      </c>
      <c r="J24" s="200"/>
      <c r="K24" s="466"/>
      <c r="L24" s="994">
        <f t="shared" si="0"/>
        <v>12305481</v>
      </c>
      <c r="M24" s="466"/>
      <c r="N24" s="993">
        <f>+'Norm Adj'!P349</f>
        <v>918205</v>
      </c>
      <c r="O24" s="993"/>
      <c r="P24" s="183" t="s">
        <v>217</v>
      </c>
      <c r="Q24" s="183"/>
      <c r="R24" s="994">
        <f t="shared" si="1"/>
        <v>13223686</v>
      </c>
      <c r="S24" s="183"/>
      <c r="T24" s="993"/>
      <c r="U24" s="183"/>
      <c r="V24" s="993">
        <f t="shared" si="2"/>
        <v>13223686</v>
      </c>
      <c r="W24" s="993"/>
      <c r="X24" s="61"/>
      <c r="Y24" s="61"/>
      <c r="Z24" s="172"/>
    </row>
    <row r="25" spans="1:28" x14ac:dyDescent="0.25">
      <c r="A25" s="22"/>
      <c r="B25" s="22"/>
      <c r="C25" s="22"/>
      <c r="D25" s="22"/>
      <c r="E25" s="87"/>
      <c r="F25" s="22"/>
      <c r="G25" s="22"/>
      <c r="I25" s="87"/>
      <c r="J25" s="87"/>
      <c r="K25" s="87"/>
      <c r="L25" s="87"/>
      <c r="M25" s="87"/>
      <c r="N25" s="433"/>
      <c r="O25" s="87"/>
      <c r="P25" s="171"/>
      <c r="Q25" s="171"/>
      <c r="R25" s="87"/>
      <c r="S25" s="171"/>
      <c r="T25" s="433"/>
      <c r="U25" s="171"/>
      <c r="V25" s="433"/>
      <c r="W25" s="87"/>
      <c r="X25" s="172"/>
      <c r="Y25" s="172"/>
      <c r="Z25" s="172"/>
    </row>
    <row r="26" spans="1:28" ht="16.5" thickBot="1" x14ac:dyDescent="0.3">
      <c r="B26" s="22" t="s">
        <v>158</v>
      </c>
      <c r="C26" s="94"/>
      <c r="D26" s="22"/>
      <c r="E26" s="224">
        <f>SUM(E13:E24)</f>
        <v>52621274</v>
      </c>
      <c r="F26" s="997"/>
      <c r="G26" s="224">
        <f>SUM(G13:G24)</f>
        <v>430220</v>
      </c>
      <c r="I26" s="224">
        <f>SUM(I13:I24)</f>
        <v>4678052</v>
      </c>
      <c r="J26" s="454"/>
      <c r="K26" s="454"/>
      <c r="L26" s="224">
        <f>SUM(L13:L24)</f>
        <v>57729546</v>
      </c>
      <c r="M26" s="454"/>
      <c r="N26" s="224">
        <f>SUM(N13:N24)</f>
        <v>687787</v>
      </c>
      <c r="O26" s="454"/>
      <c r="P26" s="171"/>
      <c r="Q26" s="171"/>
      <c r="R26" s="224">
        <f>SUM(R13:R24)</f>
        <v>58417333</v>
      </c>
      <c r="S26" s="171"/>
      <c r="T26" s="224">
        <f>SUM(T13:T24)</f>
        <v>-715554</v>
      </c>
      <c r="U26" s="171"/>
      <c r="V26" s="224">
        <f>SUM(V13:V24)</f>
        <v>57701779</v>
      </c>
      <c r="W26" s="997"/>
      <c r="X26" s="172"/>
      <c r="Y26" s="172"/>
      <c r="Z26" s="172"/>
    </row>
    <row r="27" spans="1:28" ht="16.5" thickTop="1" x14ac:dyDescent="0.25">
      <c r="A27" s="22"/>
      <c r="B27" s="22"/>
      <c r="C27" s="22"/>
      <c r="D27" s="22"/>
      <c r="E27" s="87"/>
      <c r="F27" s="22"/>
      <c r="G27" s="22"/>
      <c r="I27" s="22"/>
      <c r="J27" s="22"/>
      <c r="K27" s="425"/>
      <c r="L27" s="22"/>
      <c r="M27" s="425"/>
      <c r="N27" s="22"/>
      <c r="O27" s="22"/>
      <c r="P27" s="22"/>
      <c r="Q27" s="22"/>
      <c r="R27" s="22"/>
      <c r="S27" s="22"/>
      <c r="T27" s="22"/>
      <c r="U27" s="22"/>
      <c r="V27" s="5"/>
      <c r="W27" s="425"/>
      <c r="X27" s="172"/>
      <c r="Y27" s="172"/>
      <c r="Z27" s="172"/>
    </row>
    <row r="29" spans="1:28" x14ac:dyDescent="0.25">
      <c r="A29" s="401" t="s">
        <v>535</v>
      </c>
      <c r="B29" s="199"/>
      <c r="C29" s="401" t="s">
        <v>776</v>
      </c>
    </row>
    <row r="31" spans="1:28" x14ac:dyDescent="0.25">
      <c r="A31" s="25" t="s">
        <v>220</v>
      </c>
      <c r="B31" s="178" t="s">
        <v>1083</v>
      </c>
    </row>
    <row r="32" spans="1:28" x14ac:dyDescent="0.25">
      <c r="A32" s="178" t="s">
        <v>964</v>
      </c>
      <c r="B32" s="178" t="s">
        <v>947</v>
      </c>
    </row>
    <row r="34" spans="2:26" x14ac:dyDescent="0.25">
      <c r="C34" s="178" t="s">
        <v>1085</v>
      </c>
      <c r="X34" s="114"/>
    </row>
    <row r="35" spans="2:26" x14ac:dyDescent="0.25">
      <c r="C35" s="178" t="s">
        <v>1086</v>
      </c>
    </row>
    <row r="36" spans="2:26" x14ac:dyDescent="0.25">
      <c r="C36" s="178" t="s">
        <v>963</v>
      </c>
      <c r="Z36" s="168"/>
    </row>
    <row r="37" spans="2:26" x14ac:dyDescent="0.25">
      <c r="C37" s="178" t="s">
        <v>1087</v>
      </c>
    </row>
    <row r="38" spans="2:26" x14ac:dyDescent="0.25">
      <c r="X38" s="401"/>
      <c r="Z38" s="169"/>
    </row>
    <row r="39" spans="2:26" x14ac:dyDescent="0.25">
      <c r="B39" s="174"/>
      <c r="C39" s="174"/>
      <c r="D39" s="174"/>
      <c r="E39" s="174"/>
      <c r="F39" s="174"/>
      <c r="G39" s="174"/>
      <c r="H39" s="174"/>
      <c r="I39" s="174"/>
      <c r="J39" s="174"/>
      <c r="K39" s="174"/>
      <c r="L39" s="174"/>
      <c r="M39" s="174"/>
      <c r="N39" s="174"/>
      <c r="O39" s="174"/>
      <c r="P39" s="174"/>
      <c r="Q39" s="174"/>
      <c r="R39" s="174"/>
      <c r="S39" s="174"/>
      <c r="T39" s="174"/>
      <c r="U39" s="174"/>
      <c r="V39" s="174"/>
      <c r="W39" s="174"/>
      <c r="X39" s="401"/>
      <c r="Z39" s="197"/>
    </row>
    <row r="40" spans="2:26" x14ac:dyDescent="0.25"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401"/>
      <c r="Z40" s="197"/>
    </row>
    <row r="41" spans="2:26" x14ac:dyDescent="0.25">
      <c r="B41" s="174"/>
      <c r="C41" s="174"/>
      <c r="D41" s="174"/>
      <c r="E41" s="174"/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4"/>
      <c r="U41" s="174"/>
      <c r="V41" s="174"/>
      <c r="W41" s="174"/>
      <c r="X41" s="401"/>
      <c r="Z41" s="197"/>
    </row>
    <row r="42" spans="2:26" x14ac:dyDescent="0.25"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401"/>
      <c r="Z42" s="197"/>
    </row>
    <row r="43" spans="2:26" x14ac:dyDescent="0.25"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401"/>
      <c r="Z43" s="197"/>
    </row>
    <row r="44" spans="2:26" x14ac:dyDescent="0.25">
      <c r="B44" s="174"/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401"/>
      <c r="Z44" s="197"/>
    </row>
    <row r="45" spans="2:26" x14ac:dyDescent="0.25">
      <c r="B45" s="174"/>
      <c r="C45" s="174"/>
      <c r="D45" s="174"/>
      <c r="E45" s="174"/>
      <c r="F45" s="174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4"/>
      <c r="U45" s="174"/>
      <c r="V45" s="174"/>
      <c r="W45" s="174"/>
      <c r="X45" s="401"/>
      <c r="Z45" s="197"/>
    </row>
    <row r="46" spans="2:26" x14ac:dyDescent="0.25">
      <c r="B46" s="174"/>
      <c r="C46" s="174"/>
      <c r="D46" s="174"/>
      <c r="E46" s="174"/>
      <c r="F46" s="174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4"/>
      <c r="U46" s="174"/>
      <c r="V46" s="174"/>
      <c r="W46" s="174"/>
      <c r="X46" s="401"/>
      <c r="Z46" s="197"/>
    </row>
    <row r="47" spans="2:26" x14ac:dyDescent="0.25">
      <c r="B47" s="174"/>
      <c r="C47" s="174"/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4"/>
      <c r="U47" s="174"/>
      <c r="V47" s="174"/>
      <c r="W47" s="174"/>
      <c r="X47" s="401"/>
      <c r="Z47" s="197"/>
    </row>
    <row r="48" spans="2:26" x14ac:dyDescent="0.25"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401"/>
      <c r="Z48" s="197"/>
    </row>
    <row r="49" spans="1:31" x14ac:dyDescent="0.25">
      <c r="B49" s="333"/>
      <c r="C49" s="333"/>
      <c r="D49" s="333"/>
      <c r="E49" s="333"/>
      <c r="F49" s="333"/>
      <c r="G49" s="333"/>
      <c r="H49" s="333"/>
      <c r="I49" s="333"/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/>
      <c r="W49" s="333"/>
      <c r="X49" s="401"/>
      <c r="Z49" s="197"/>
      <c r="AE49" s="178" t="s">
        <v>5</v>
      </c>
    </row>
    <row r="50" spans="1:31" x14ac:dyDescent="0.25">
      <c r="A50" s="333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401"/>
      <c r="Z50" s="197"/>
    </row>
    <row r="51" spans="1:31" x14ac:dyDescent="0.25">
      <c r="A51" s="313" t="s">
        <v>16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Z51" s="172"/>
      <c r="AE51" s="178" t="s">
        <v>5</v>
      </c>
    </row>
    <row r="52" spans="1:31" x14ac:dyDescent="0.25">
      <c r="A52" s="333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Z52" s="172"/>
    </row>
    <row r="53" spans="1:31" x14ac:dyDescent="0.25">
      <c r="A53" s="333" t="str">
        <f>INFO!A26</f>
        <v>(See Accountants' Report)</v>
      </c>
      <c r="B53" s="333"/>
      <c r="C53" s="333"/>
      <c r="D53" s="333"/>
      <c r="E53" s="333"/>
      <c r="F53" s="333"/>
      <c r="G53" s="333"/>
      <c r="H53" s="333"/>
      <c r="I53" s="333"/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/>
      <c r="W53" s="333"/>
      <c r="Z53" s="172"/>
    </row>
    <row r="54" spans="1:31" x14ac:dyDescent="0.25">
      <c r="A54" s="333"/>
      <c r="B54" s="333"/>
      <c r="C54" s="333"/>
      <c r="D54" s="333"/>
      <c r="E54" s="333"/>
      <c r="F54" s="333"/>
      <c r="G54" s="333"/>
      <c r="H54" s="333"/>
      <c r="I54" s="333"/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/>
      <c r="W54" s="333"/>
      <c r="Z54" s="169"/>
      <c r="AB54" s="172"/>
      <c r="AD54" s="1159"/>
      <c r="AE54" s="178" t="s">
        <v>5</v>
      </c>
    </row>
    <row r="55" spans="1:31" x14ac:dyDescent="0.25">
      <c r="A55" s="78">
        <f>'PF II Adj'!A504+1</f>
        <v>18</v>
      </c>
      <c r="B55" s="333"/>
      <c r="C55" s="333"/>
      <c r="D55" s="333"/>
      <c r="E55" s="78"/>
      <c r="F55" s="333"/>
      <c r="G55" s="333"/>
      <c r="H55" s="333"/>
      <c r="I55" s="333"/>
      <c r="J55" s="333"/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Z55" s="172"/>
      <c r="AB55" s="87"/>
      <c r="AE55" s="178" t="s">
        <v>5</v>
      </c>
    </row>
    <row r="56" spans="1:31" x14ac:dyDescent="0.25">
      <c r="A56" s="971"/>
      <c r="B56" s="403"/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Z56" s="169"/>
      <c r="AB56" s="459"/>
      <c r="AC56" s="459"/>
      <c r="AD56" s="425"/>
      <c r="AE56" s="455" t="s">
        <v>5</v>
      </c>
    </row>
    <row r="57" spans="1:31" x14ac:dyDescent="0.25">
      <c r="A57" s="971"/>
      <c r="B57" s="403"/>
      <c r="C57" s="403"/>
      <c r="D57" s="403"/>
      <c r="E57" s="403"/>
      <c r="F57" s="403"/>
      <c r="G57" s="403"/>
      <c r="H57" s="403"/>
      <c r="I57" s="403"/>
      <c r="J57" s="403"/>
      <c r="K57" s="403"/>
      <c r="L57" s="403"/>
      <c r="M57" s="403"/>
      <c r="N57" s="403"/>
      <c r="O57" s="403"/>
      <c r="P57" s="403"/>
      <c r="Q57" s="403"/>
      <c r="R57" s="403"/>
      <c r="S57" s="403"/>
      <c r="T57" s="403"/>
      <c r="U57" s="403"/>
      <c r="V57" s="971"/>
      <c r="W57" s="971"/>
      <c r="X57" s="172"/>
      <c r="Y57" s="172"/>
      <c r="Z57" s="172"/>
      <c r="AA57" s="172"/>
      <c r="AB57" s="172"/>
      <c r="AC57" s="172"/>
      <c r="AD57" s="172"/>
      <c r="AE57" s="178" t="s">
        <v>5</v>
      </c>
    </row>
    <row r="58" spans="1:31" x14ac:dyDescent="0.25">
      <c r="A58" s="1160"/>
      <c r="B58" s="403"/>
      <c r="C58" s="1161"/>
      <c r="D58" s="403"/>
      <c r="E58" s="991"/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403"/>
      <c r="W58" s="403"/>
      <c r="X58" s="172"/>
      <c r="Y58" s="172"/>
      <c r="Z58" s="172"/>
      <c r="AA58" s="172"/>
      <c r="AB58" s="172"/>
      <c r="AC58" s="172"/>
      <c r="AD58" s="172"/>
      <c r="AE58" s="178" t="s">
        <v>5</v>
      </c>
    </row>
    <row r="59" spans="1:31" x14ac:dyDescent="0.25">
      <c r="A59" s="971"/>
      <c r="B59" s="403"/>
      <c r="C59" s="403"/>
      <c r="D59" s="403"/>
      <c r="E59" s="403"/>
      <c r="F59" s="403"/>
      <c r="G59" s="403"/>
      <c r="H59" s="403"/>
      <c r="I59" s="403"/>
      <c r="J59" s="403"/>
      <c r="K59" s="403"/>
      <c r="L59" s="403"/>
      <c r="M59" s="403"/>
      <c r="N59" s="403"/>
      <c r="O59" s="403"/>
      <c r="P59" s="403"/>
      <c r="Q59" s="403"/>
      <c r="R59" s="403"/>
      <c r="S59" s="403"/>
      <c r="T59" s="403"/>
      <c r="U59" s="403"/>
      <c r="V59" s="403"/>
      <c r="W59" s="403"/>
      <c r="X59" s="172"/>
      <c r="Y59" s="172"/>
      <c r="Z59" s="172"/>
      <c r="AA59" s="172"/>
      <c r="AB59" s="172"/>
      <c r="AC59" s="172"/>
      <c r="AD59" s="172"/>
    </row>
    <row r="60" spans="1:31" x14ac:dyDescent="0.25">
      <c r="A60" s="406"/>
      <c r="B60" s="406"/>
      <c r="C60" s="1162"/>
      <c r="D60" s="406"/>
      <c r="E60" s="991"/>
      <c r="F60" s="406"/>
      <c r="G60" s="406"/>
      <c r="H60" s="406"/>
      <c r="I60" s="406"/>
      <c r="J60" s="406"/>
      <c r="K60" s="406"/>
      <c r="L60" s="406"/>
      <c r="M60" s="406"/>
      <c r="N60" s="406"/>
      <c r="O60" s="406"/>
      <c r="P60" s="406"/>
      <c r="Q60" s="406"/>
      <c r="R60" s="406"/>
      <c r="S60" s="406"/>
      <c r="T60" s="406"/>
      <c r="U60" s="406"/>
      <c r="V60" s="709"/>
      <c r="W60" s="709"/>
      <c r="X60" s="172"/>
      <c r="Y60" s="172"/>
      <c r="Z60" s="172"/>
      <c r="AA60" s="172"/>
      <c r="AB60" s="172"/>
      <c r="AC60" s="172"/>
      <c r="AD60" s="172"/>
    </row>
    <row r="61" spans="1:31" x14ac:dyDescent="0.25">
      <c r="A61" s="406"/>
      <c r="B61" s="406"/>
      <c r="C61" s="406"/>
      <c r="D61" s="406"/>
      <c r="F61" s="406"/>
      <c r="G61" s="406"/>
      <c r="H61" s="406"/>
      <c r="I61" s="406"/>
      <c r="J61" s="406"/>
      <c r="K61" s="406"/>
      <c r="L61" s="406"/>
      <c r="M61" s="406"/>
      <c r="N61" s="406"/>
      <c r="O61" s="406"/>
      <c r="P61" s="406"/>
      <c r="Q61" s="406"/>
      <c r="R61" s="406"/>
      <c r="S61" s="406"/>
      <c r="T61" s="406"/>
      <c r="U61" s="406"/>
      <c r="V61" s="709"/>
      <c r="W61" s="709"/>
      <c r="X61" s="172"/>
      <c r="Y61" s="172"/>
      <c r="Z61" s="172"/>
      <c r="AA61" s="172"/>
      <c r="AB61" s="172"/>
      <c r="AC61" s="172"/>
      <c r="AD61" s="172"/>
      <c r="AE61" s="178" t="s">
        <v>5</v>
      </c>
    </row>
    <row r="62" spans="1:31" x14ac:dyDescent="0.25">
      <c r="A62" s="87"/>
      <c r="B62" s="148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172"/>
      <c r="W62" s="172"/>
      <c r="X62" s="172"/>
      <c r="Y62" s="172"/>
      <c r="Z62" s="172"/>
      <c r="AA62" s="172"/>
      <c r="AB62" s="172"/>
      <c r="AC62" s="172"/>
      <c r="AD62" s="172"/>
      <c r="AE62" s="178" t="s">
        <v>5</v>
      </c>
    </row>
    <row r="63" spans="1:31" x14ac:dyDescent="0.25">
      <c r="A63" s="87"/>
      <c r="B63" s="148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172"/>
      <c r="W63" s="172"/>
      <c r="X63" s="172"/>
      <c r="Y63" s="172"/>
      <c r="Z63" s="172"/>
      <c r="AA63" s="172"/>
      <c r="AB63" s="172"/>
      <c r="AC63" s="172"/>
      <c r="AD63" s="172"/>
    </row>
    <row r="64" spans="1:31" x14ac:dyDescent="0.25">
      <c r="A64" s="87"/>
      <c r="B64" s="148"/>
      <c r="C64" s="87"/>
      <c r="D64" s="87"/>
      <c r="E64" s="473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172"/>
      <c r="W64" s="172"/>
      <c r="X64" s="172"/>
      <c r="Y64" s="172"/>
      <c r="Z64" s="172"/>
      <c r="AA64" s="172"/>
      <c r="AB64" s="172"/>
      <c r="AC64" s="172"/>
      <c r="AD64" s="172"/>
    </row>
    <row r="65" spans="1:31" x14ac:dyDescent="0.25">
      <c r="A65" s="87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172"/>
      <c r="W65" s="172"/>
      <c r="X65" s="172"/>
      <c r="Y65" s="172"/>
      <c r="Z65" s="172"/>
      <c r="AA65" s="172"/>
      <c r="AB65" s="172"/>
      <c r="AC65" s="172"/>
      <c r="AD65" s="172"/>
    </row>
    <row r="66" spans="1:31" x14ac:dyDescent="0.25">
      <c r="A66" s="89"/>
      <c r="B66" s="1162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61"/>
      <c r="W66" s="61"/>
      <c r="X66" s="172"/>
      <c r="Y66" s="172"/>
      <c r="Z66" s="172"/>
      <c r="AA66" s="172"/>
      <c r="AB66" s="172"/>
      <c r="AC66" s="172"/>
      <c r="AD66" s="172"/>
    </row>
    <row r="67" spans="1:31" x14ac:dyDescent="0.25">
      <c r="A67" s="89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61"/>
      <c r="W67" s="61"/>
      <c r="X67" s="172"/>
      <c r="Y67" s="172"/>
      <c r="Z67" s="172"/>
      <c r="AA67" s="172"/>
      <c r="AB67" s="172"/>
      <c r="AC67" s="172"/>
      <c r="AD67" s="172"/>
    </row>
    <row r="68" spans="1:31" x14ac:dyDescent="0.25">
      <c r="A68" s="89"/>
      <c r="B68" s="89"/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61"/>
      <c r="W68" s="61"/>
      <c r="X68" s="172"/>
      <c r="Y68" s="172"/>
      <c r="Z68" s="172"/>
      <c r="AA68" s="172"/>
      <c r="AB68" s="172"/>
      <c r="AC68" s="172"/>
      <c r="AD68" s="172"/>
    </row>
    <row r="69" spans="1:31" x14ac:dyDescent="0.25">
      <c r="A69" s="89"/>
      <c r="B69" s="89"/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403"/>
      <c r="W69" s="403"/>
      <c r="X69" s="172"/>
      <c r="Y69" s="172"/>
      <c r="Z69" s="172"/>
      <c r="AA69" s="172"/>
      <c r="AB69" s="172"/>
      <c r="AC69" s="172"/>
      <c r="AD69" s="172"/>
    </row>
    <row r="70" spans="1:31" x14ac:dyDescent="0.25">
      <c r="A70" s="87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172"/>
      <c r="Y70" s="172"/>
      <c r="Z70" s="172"/>
      <c r="AA70" s="172"/>
      <c r="AB70" s="172"/>
      <c r="AC70" s="172"/>
      <c r="AD70" s="172"/>
    </row>
    <row r="71" spans="1:31" x14ac:dyDescent="0.25">
      <c r="A71" s="87"/>
      <c r="B71" s="1130"/>
      <c r="C71" s="87"/>
      <c r="D71" s="87"/>
      <c r="E71" s="466"/>
      <c r="F71" s="87"/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454"/>
      <c r="W71" s="454"/>
      <c r="X71" s="87"/>
      <c r="Y71" s="172"/>
      <c r="Z71" s="172"/>
      <c r="AA71" s="172"/>
      <c r="AB71" s="172"/>
      <c r="AC71" s="172"/>
      <c r="AD71" s="172"/>
    </row>
    <row r="72" spans="1:31" x14ac:dyDescent="0.25">
      <c r="A72" s="87"/>
      <c r="B72" s="1163"/>
      <c r="C72" s="87"/>
      <c r="D72" s="87"/>
      <c r="E72" s="466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466"/>
      <c r="W72" s="466"/>
      <c r="X72" s="172"/>
      <c r="Y72" s="172"/>
      <c r="Z72" s="172"/>
      <c r="AA72" s="172"/>
      <c r="AB72" s="172"/>
      <c r="AC72" s="172"/>
      <c r="AD72" s="172"/>
      <c r="AE72" s="178" t="s">
        <v>5</v>
      </c>
    </row>
    <row r="73" spans="1:31" x14ac:dyDescent="0.25">
      <c r="A73" s="87"/>
      <c r="B73" s="1163"/>
      <c r="C73" s="87"/>
      <c r="D73" s="87"/>
      <c r="E73" s="466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466"/>
      <c r="W73" s="466"/>
      <c r="X73" s="172"/>
      <c r="Y73" s="172"/>
      <c r="Z73" s="172"/>
      <c r="AA73" s="172"/>
      <c r="AB73" s="172"/>
      <c r="AC73" s="172"/>
      <c r="AD73" s="172"/>
      <c r="AE73" s="178" t="s">
        <v>5</v>
      </c>
    </row>
    <row r="74" spans="1:31" x14ac:dyDescent="0.25">
      <c r="A74" s="87"/>
      <c r="B74" s="1163"/>
      <c r="C74" s="87"/>
      <c r="D74" s="87"/>
      <c r="E74" s="466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466"/>
      <c r="W74" s="466"/>
      <c r="X74" s="172"/>
      <c r="Y74" s="172"/>
      <c r="Z74" s="172"/>
      <c r="AA74" s="172"/>
      <c r="AB74" s="172"/>
      <c r="AC74" s="172"/>
      <c r="AD74" s="172"/>
      <c r="AE74" s="178" t="s">
        <v>5</v>
      </c>
    </row>
    <row r="75" spans="1:31" x14ac:dyDescent="0.25">
      <c r="A75" s="87"/>
      <c r="B75" s="1163"/>
      <c r="C75" s="87"/>
      <c r="D75" s="87"/>
      <c r="E75" s="466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466"/>
      <c r="W75" s="466"/>
      <c r="X75" s="172"/>
      <c r="Y75" s="172"/>
      <c r="Z75" s="172"/>
      <c r="AA75" s="172"/>
      <c r="AB75" s="172"/>
      <c r="AC75" s="172"/>
      <c r="AD75" s="172"/>
    </row>
    <row r="76" spans="1:31" x14ac:dyDescent="0.25">
      <c r="A76" s="87"/>
      <c r="B76" s="1163"/>
      <c r="C76" s="87"/>
      <c r="D76" s="87"/>
      <c r="E76" s="466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466"/>
      <c r="W76" s="466"/>
      <c r="X76" s="166"/>
      <c r="Y76" s="61"/>
      <c r="Z76" s="61"/>
      <c r="AA76" s="61"/>
      <c r="AB76" s="61"/>
      <c r="AC76" s="61"/>
      <c r="AD76" s="61"/>
      <c r="AE76" s="178" t="s">
        <v>5</v>
      </c>
    </row>
    <row r="77" spans="1:31" x14ac:dyDescent="0.25">
      <c r="A77" s="87"/>
      <c r="B77" s="1163"/>
      <c r="C77" s="87"/>
      <c r="D77" s="87"/>
      <c r="E77" s="466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466"/>
      <c r="W77" s="466"/>
      <c r="X77" s="61"/>
      <c r="Y77" s="61"/>
      <c r="Z77" s="61"/>
      <c r="AA77" s="61"/>
      <c r="AB77" s="61"/>
      <c r="AC77" s="61"/>
      <c r="AD77" s="61"/>
      <c r="AE77" s="178" t="s">
        <v>5</v>
      </c>
    </row>
    <row r="78" spans="1:31" x14ac:dyDescent="0.25">
      <c r="A78" s="87"/>
      <c r="B78" s="1163"/>
      <c r="C78" s="87"/>
      <c r="D78" s="87"/>
      <c r="E78" s="466"/>
      <c r="F78" s="87"/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466"/>
      <c r="W78" s="466"/>
      <c r="X78" s="166"/>
      <c r="Y78" s="61"/>
      <c r="Z78" s="61"/>
      <c r="AA78" s="61"/>
      <c r="AB78" s="61"/>
      <c r="AC78" s="61"/>
      <c r="AD78" s="61"/>
      <c r="AE78" s="178" t="s">
        <v>5</v>
      </c>
    </row>
    <row r="79" spans="1:31" x14ac:dyDescent="0.25">
      <c r="A79" s="87"/>
      <c r="B79" s="1163"/>
      <c r="C79" s="87"/>
      <c r="D79" s="87"/>
      <c r="E79" s="466"/>
      <c r="F79" s="87"/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466"/>
      <c r="W79" s="466"/>
      <c r="X79" s="166"/>
      <c r="Y79" s="61"/>
      <c r="Z79" s="61"/>
      <c r="AA79" s="61"/>
      <c r="AB79" s="61"/>
      <c r="AC79" s="61"/>
      <c r="AD79" s="61"/>
      <c r="AE79" s="178" t="s">
        <v>5</v>
      </c>
    </row>
    <row r="80" spans="1:31" x14ac:dyDescent="0.25">
      <c r="A80" s="87"/>
      <c r="B80" s="1163"/>
      <c r="C80" s="87"/>
      <c r="D80" s="87"/>
      <c r="E80" s="466"/>
      <c r="F80" s="87"/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466"/>
      <c r="W80" s="466"/>
      <c r="X80" s="172"/>
      <c r="Y80" s="172"/>
      <c r="Z80" s="172"/>
      <c r="AA80" s="172"/>
      <c r="AB80" s="172"/>
      <c r="AC80" s="172"/>
      <c r="AD80" s="172"/>
    </row>
    <row r="81" spans="1:30" x14ac:dyDescent="0.25">
      <c r="A81" s="87"/>
      <c r="B81" s="1163"/>
      <c r="C81" s="87"/>
      <c r="D81" s="87"/>
      <c r="E81" s="466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466"/>
      <c r="W81" s="466"/>
      <c r="X81" s="172"/>
      <c r="Y81" s="172"/>
      <c r="Z81" s="172"/>
      <c r="AA81" s="172"/>
      <c r="AB81" s="172"/>
      <c r="AC81" s="172"/>
      <c r="AD81" s="172"/>
    </row>
    <row r="82" spans="1:30" x14ac:dyDescent="0.25">
      <c r="A82" s="87"/>
      <c r="B82" s="1163"/>
      <c r="C82" s="87"/>
      <c r="D82" s="87"/>
      <c r="E82" s="466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466"/>
      <c r="W82" s="466"/>
      <c r="X82" s="148"/>
      <c r="Y82" s="172"/>
      <c r="Z82" s="172"/>
      <c r="AA82" s="172"/>
      <c r="AB82" s="172"/>
      <c r="AC82" s="172"/>
      <c r="AD82" s="172"/>
    </row>
    <row r="83" spans="1:30" x14ac:dyDescent="0.25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341"/>
      <c r="Z83" s="172"/>
      <c r="AA83" s="172"/>
      <c r="AB83" s="87"/>
      <c r="AC83" s="172"/>
      <c r="AD83" s="172"/>
    </row>
    <row r="84" spans="1:30" x14ac:dyDescent="0.25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1164"/>
      <c r="W84" s="1164"/>
      <c r="X84" s="99"/>
      <c r="Y84" s="341"/>
      <c r="Z84" s="172"/>
      <c r="AA84" s="172"/>
      <c r="AB84" s="87"/>
      <c r="AC84" s="172"/>
      <c r="AD84" s="172"/>
    </row>
    <row r="85" spans="1:30" x14ac:dyDescent="0.25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172"/>
      <c r="Z85" s="172"/>
      <c r="AA85" s="172"/>
      <c r="AB85" s="87"/>
      <c r="AC85" s="172"/>
      <c r="AD85" s="172"/>
    </row>
    <row r="86" spans="1:30" x14ac:dyDescent="0.25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172"/>
      <c r="Y86" s="341"/>
      <c r="Z86" s="172"/>
      <c r="AA86" s="172"/>
      <c r="AB86" s="87"/>
      <c r="AC86" s="172"/>
      <c r="AD86" s="172"/>
    </row>
    <row r="87" spans="1:30" x14ac:dyDescent="0.25">
      <c r="A87" s="87"/>
      <c r="B87" s="148"/>
      <c r="C87" s="87"/>
      <c r="D87" s="87"/>
      <c r="E87" s="87"/>
      <c r="F87" s="87"/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172"/>
      <c r="Y87" s="341"/>
      <c r="Z87" s="172"/>
      <c r="AA87" s="87"/>
      <c r="AB87" s="87"/>
      <c r="AC87" s="172"/>
      <c r="AD87" s="172"/>
    </row>
    <row r="88" spans="1:30" x14ac:dyDescent="0.25">
      <c r="A88" s="87"/>
      <c r="B88" s="148"/>
      <c r="C88" s="87"/>
      <c r="D88" s="87"/>
      <c r="E88" s="87"/>
      <c r="F88" s="87"/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172"/>
      <c r="Y88" s="172"/>
      <c r="Z88" s="172"/>
      <c r="AA88" s="87"/>
      <c r="AB88" s="87"/>
      <c r="AC88" s="172"/>
      <c r="AD88" s="172"/>
    </row>
    <row r="89" spans="1:30" x14ac:dyDescent="0.25">
      <c r="A89" s="172"/>
      <c r="B89" s="341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172"/>
      <c r="Y89" s="341"/>
      <c r="Z89" s="172"/>
      <c r="AA89" s="87"/>
      <c r="AB89" s="87"/>
      <c r="AC89" s="172"/>
      <c r="AD89" s="172"/>
    </row>
    <row r="90" spans="1:30" x14ac:dyDescent="0.25">
      <c r="A90" s="172"/>
      <c r="B90" s="172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87"/>
      <c r="AB90" s="87"/>
      <c r="AC90" s="172"/>
      <c r="AD90" s="172"/>
    </row>
    <row r="91" spans="1:30" x14ac:dyDescent="0.25">
      <c r="A91" s="409"/>
      <c r="B91" s="409"/>
      <c r="C91" s="409"/>
      <c r="D91" s="409"/>
      <c r="E91" s="409"/>
      <c r="F91" s="409"/>
      <c r="G91" s="409"/>
      <c r="H91" s="409"/>
      <c r="I91" s="409"/>
      <c r="J91" s="409"/>
      <c r="K91" s="409"/>
      <c r="L91" s="409"/>
      <c r="M91" s="409"/>
      <c r="N91" s="409"/>
      <c r="O91" s="409"/>
      <c r="P91" s="409"/>
      <c r="Q91" s="409"/>
      <c r="R91" s="409"/>
      <c r="S91" s="409"/>
      <c r="T91" s="409"/>
      <c r="U91" s="409"/>
      <c r="V91" s="409"/>
      <c r="W91" s="409"/>
      <c r="X91" s="172"/>
      <c r="Y91" s="341"/>
      <c r="Z91" s="172"/>
      <c r="AA91" s="87"/>
      <c r="AB91" s="99"/>
      <c r="AC91" s="172"/>
      <c r="AD91" s="172"/>
    </row>
    <row r="92" spans="1:30" x14ac:dyDescent="0.25">
      <c r="A92" s="971"/>
      <c r="B92" s="403"/>
      <c r="C92" s="403"/>
      <c r="D92" s="403"/>
      <c r="E92" s="403"/>
      <c r="F92" s="403"/>
      <c r="G92" s="403"/>
      <c r="H92" s="403"/>
      <c r="I92" s="403"/>
      <c r="J92" s="403"/>
      <c r="K92" s="403"/>
      <c r="L92" s="403"/>
      <c r="M92" s="403"/>
      <c r="N92" s="403"/>
      <c r="O92" s="403"/>
      <c r="P92" s="403"/>
      <c r="Q92" s="403"/>
      <c r="R92" s="403"/>
      <c r="S92" s="403"/>
      <c r="T92" s="403"/>
      <c r="U92" s="403"/>
      <c r="V92" s="403"/>
      <c r="W92" s="403"/>
      <c r="X92" s="172"/>
      <c r="Y92" s="172"/>
      <c r="Z92" s="172"/>
      <c r="AA92" s="172"/>
      <c r="AB92" s="172"/>
      <c r="AC92" s="172"/>
      <c r="AD92" s="172"/>
    </row>
    <row r="93" spans="1:30" x14ac:dyDescent="0.25">
      <c r="A93" s="87"/>
      <c r="B93" s="148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</row>
    <row r="94" spans="1:30" x14ac:dyDescent="0.25">
      <c r="A94" s="87"/>
      <c r="B94" s="148"/>
      <c r="C94" s="87"/>
      <c r="D94" s="87"/>
      <c r="E94" s="87"/>
      <c r="F94" s="87"/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172"/>
      <c r="W94" s="172"/>
      <c r="X94" s="172"/>
      <c r="Y94" s="172"/>
      <c r="Z94" s="172"/>
      <c r="AA94" s="172"/>
      <c r="AB94" s="172"/>
      <c r="AC94" s="172"/>
      <c r="AD94" s="172"/>
    </row>
    <row r="95" spans="1:30" x14ac:dyDescent="0.25">
      <c r="A95" s="87"/>
      <c r="B95" s="148"/>
      <c r="C95" s="87"/>
      <c r="D95" s="87"/>
      <c r="E95" s="87"/>
      <c r="F95" s="87"/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172"/>
      <c r="W95" s="172"/>
      <c r="X95" s="148"/>
      <c r="Y95" s="172"/>
      <c r="Z95" s="172"/>
      <c r="AA95" s="172"/>
      <c r="AB95" s="172"/>
      <c r="AC95" s="172"/>
      <c r="AD95" s="172"/>
    </row>
    <row r="96" spans="1:30" x14ac:dyDescent="0.25">
      <c r="A96" s="87"/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172"/>
      <c r="W96" s="172"/>
      <c r="X96" s="87"/>
      <c r="Y96" s="341"/>
      <c r="Z96" s="172"/>
      <c r="AA96" s="172"/>
      <c r="AB96" s="87"/>
      <c r="AC96" s="172"/>
      <c r="AD96" s="172"/>
    </row>
    <row r="97" spans="1:31" x14ac:dyDescent="0.25">
      <c r="A97" s="1162"/>
      <c r="B97" s="1162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61"/>
      <c r="W97" s="61"/>
      <c r="X97" s="99"/>
      <c r="Y97" s="341"/>
      <c r="Z97" s="172"/>
      <c r="AA97" s="172"/>
      <c r="AB97" s="466"/>
      <c r="AC97" s="172"/>
      <c r="AD97" s="172"/>
    </row>
    <row r="98" spans="1:31" x14ac:dyDescent="0.25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61"/>
      <c r="W98" s="61"/>
      <c r="X98" s="87"/>
      <c r="Y98" s="341"/>
      <c r="Z98" s="172"/>
      <c r="AA98" s="172"/>
      <c r="AB98" s="466"/>
      <c r="AC98" s="172"/>
      <c r="AD98" s="172"/>
    </row>
    <row r="99" spans="1:31" x14ac:dyDescent="0.25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61"/>
      <c r="W99" s="61"/>
      <c r="X99" s="172"/>
      <c r="Y99" s="172"/>
      <c r="Z99" s="172"/>
      <c r="AA99" s="172"/>
      <c r="AB99" s="87"/>
      <c r="AC99" s="172"/>
      <c r="AD99" s="172"/>
    </row>
    <row r="100" spans="1:31" x14ac:dyDescent="0.25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403"/>
      <c r="W100" s="403"/>
      <c r="X100" s="172"/>
      <c r="Y100" s="341"/>
      <c r="Z100" s="172"/>
      <c r="AA100" s="172"/>
      <c r="AB100" s="87"/>
      <c r="AC100" s="172"/>
      <c r="AD100" s="172"/>
    </row>
    <row r="101" spans="1:31" x14ac:dyDescent="0.25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172"/>
      <c r="Y101" s="341"/>
      <c r="Z101" s="172"/>
      <c r="AA101" s="87"/>
      <c r="AB101" s="87"/>
      <c r="AC101" s="172"/>
      <c r="AD101" s="172"/>
    </row>
    <row r="102" spans="1:31" x14ac:dyDescent="0.25">
      <c r="A102" s="87"/>
      <c r="B102" s="1130"/>
      <c r="C102" s="87"/>
      <c r="D102" s="87"/>
      <c r="E102" s="466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454"/>
      <c r="W102" s="454"/>
      <c r="X102" s="172"/>
      <c r="Y102" s="172"/>
      <c r="Z102" s="172"/>
      <c r="AA102" s="87"/>
      <c r="AB102" s="87"/>
      <c r="AC102" s="172"/>
      <c r="AD102" s="172"/>
    </row>
    <row r="103" spans="1:31" x14ac:dyDescent="0.25">
      <c r="A103" s="87"/>
      <c r="B103" s="1163"/>
      <c r="C103" s="87"/>
      <c r="D103" s="87"/>
      <c r="E103" s="466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466"/>
      <c r="W103" s="466"/>
      <c r="X103" s="172"/>
      <c r="Y103" s="341"/>
      <c r="Z103" s="172"/>
      <c r="AA103" s="87"/>
      <c r="AB103" s="87"/>
      <c r="AC103" s="172"/>
      <c r="AD103" s="172"/>
    </row>
    <row r="104" spans="1:31" x14ac:dyDescent="0.25">
      <c r="A104" s="87"/>
      <c r="B104" s="1163"/>
      <c r="C104" s="87"/>
      <c r="D104" s="87"/>
      <c r="E104" s="466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466"/>
      <c r="W104" s="466"/>
      <c r="X104" s="172"/>
      <c r="Y104" s="172"/>
      <c r="Z104" s="172"/>
      <c r="AA104" s="87"/>
      <c r="AB104" s="87"/>
      <c r="AC104" s="172"/>
      <c r="AD104" s="172"/>
    </row>
    <row r="105" spans="1:31" x14ac:dyDescent="0.25">
      <c r="A105" s="87"/>
      <c r="B105" s="1163"/>
      <c r="C105" s="87"/>
      <c r="D105" s="87"/>
      <c r="E105" s="466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466"/>
      <c r="W105" s="466"/>
      <c r="X105" s="172"/>
      <c r="Y105" s="172"/>
      <c r="Z105" s="172"/>
      <c r="AA105" s="87"/>
      <c r="AB105" s="87"/>
      <c r="AC105" s="341"/>
      <c r="AD105" s="172"/>
    </row>
    <row r="106" spans="1:31" x14ac:dyDescent="0.25">
      <c r="A106" s="87"/>
      <c r="B106" s="1163"/>
      <c r="C106" s="87"/>
      <c r="D106" s="87"/>
      <c r="E106" s="466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466"/>
      <c r="W106" s="466"/>
      <c r="X106" s="172"/>
      <c r="Y106" s="341"/>
      <c r="Z106" s="172"/>
      <c r="AA106" s="87"/>
      <c r="AB106" s="99"/>
      <c r="AC106" s="172"/>
      <c r="AD106" s="172"/>
    </row>
    <row r="107" spans="1:31" x14ac:dyDescent="0.25">
      <c r="A107" s="87"/>
      <c r="B107" s="1163"/>
      <c r="C107" s="87"/>
      <c r="D107" s="87"/>
      <c r="E107" s="466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466"/>
      <c r="W107" s="466"/>
      <c r="X107" s="172"/>
      <c r="Y107" s="172"/>
      <c r="Z107" s="172"/>
      <c r="AA107" s="172"/>
      <c r="AB107" s="87"/>
      <c r="AC107" s="100"/>
      <c r="AD107" s="1165"/>
    </row>
    <row r="108" spans="1:31" x14ac:dyDescent="0.25">
      <c r="A108" s="87"/>
      <c r="B108" s="1163"/>
      <c r="C108" s="87"/>
      <c r="D108" s="87"/>
      <c r="E108" s="466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466"/>
      <c r="W108" s="466"/>
      <c r="X108" s="172"/>
      <c r="Y108" s="172"/>
      <c r="Z108" s="172"/>
      <c r="AA108" s="172"/>
      <c r="AB108" s="172"/>
      <c r="AC108" s="172"/>
      <c r="AD108" s="172"/>
    </row>
    <row r="109" spans="1:31" x14ac:dyDescent="0.25">
      <c r="A109" s="87"/>
      <c r="B109" s="1163"/>
      <c r="C109" s="87"/>
      <c r="D109" s="87"/>
      <c r="E109" s="466"/>
      <c r="F109" s="87"/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466"/>
      <c r="W109" s="466"/>
      <c r="X109" s="172"/>
      <c r="Y109" s="172"/>
      <c r="Z109" s="172"/>
      <c r="AA109" s="172"/>
      <c r="AB109" s="172"/>
      <c r="AC109" s="100"/>
      <c r="AD109" s="101"/>
    </row>
    <row r="110" spans="1:31" x14ac:dyDescent="0.25">
      <c r="A110" s="87"/>
      <c r="B110" s="1163"/>
      <c r="C110" s="87"/>
      <c r="D110" s="87"/>
      <c r="E110" s="466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466"/>
      <c r="W110" s="466"/>
      <c r="X110" s="172"/>
      <c r="Y110" s="172"/>
      <c r="Z110" s="172"/>
      <c r="AA110" s="172"/>
      <c r="AB110" s="172"/>
      <c r="AC110" s="172"/>
      <c r="AD110" s="100"/>
      <c r="AE110" s="1159"/>
    </row>
    <row r="111" spans="1:31" x14ac:dyDescent="0.25">
      <c r="A111" s="87"/>
      <c r="B111" s="1163"/>
      <c r="C111" s="87"/>
      <c r="D111" s="87"/>
      <c r="E111" s="466"/>
      <c r="F111" s="87"/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466"/>
      <c r="W111" s="466"/>
      <c r="X111" s="172"/>
      <c r="Y111" s="172"/>
      <c r="Z111" s="172"/>
      <c r="AA111" s="172"/>
      <c r="AB111" s="172"/>
      <c r="AC111" s="172"/>
      <c r="AD111" s="100"/>
      <c r="AE111" s="1159"/>
    </row>
    <row r="112" spans="1:31" x14ac:dyDescent="0.25">
      <c r="A112" s="87"/>
      <c r="B112" s="1163"/>
      <c r="C112" s="87"/>
      <c r="D112" s="87"/>
      <c r="E112" s="466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466"/>
      <c r="W112" s="466"/>
      <c r="X112" s="172"/>
      <c r="Y112" s="172"/>
      <c r="Z112" s="172"/>
      <c r="AA112" s="172"/>
      <c r="AB112" s="172"/>
      <c r="AC112" s="172"/>
      <c r="AD112" s="425"/>
    </row>
    <row r="113" spans="1:30" x14ac:dyDescent="0.25">
      <c r="A113" s="87"/>
      <c r="B113" s="1163"/>
      <c r="C113" s="87"/>
      <c r="D113" s="87"/>
      <c r="E113" s="466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466"/>
      <c r="W113" s="466"/>
      <c r="X113" s="172"/>
      <c r="Y113" s="172"/>
      <c r="Z113" s="172"/>
      <c r="AA113" s="172"/>
      <c r="AB113" s="172"/>
      <c r="AC113" s="172"/>
      <c r="AD113" s="425"/>
    </row>
    <row r="114" spans="1:30" x14ac:dyDescent="0.25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172"/>
      <c r="Y114" s="172"/>
      <c r="Z114" s="172"/>
      <c r="AA114" s="172"/>
      <c r="AB114" s="172"/>
      <c r="AC114" s="172"/>
      <c r="AD114" s="425"/>
    </row>
    <row r="115" spans="1:30" ht="15.75" customHeight="1" x14ac:dyDescent="0.25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1164"/>
      <c r="W115" s="1164"/>
      <c r="X115" s="172"/>
      <c r="Y115" s="172"/>
      <c r="Z115" s="172"/>
      <c r="AA115" s="172"/>
      <c r="AB115" s="172"/>
      <c r="AC115" s="172"/>
      <c r="AD115" s="425"/>
    </row>
    <row r="116" spans="1:30" ht="15.75" customHeight="1" x14ac:dyDescent="0.25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172"/>
      <c r="Y116" s="172"/>
      <c r="Z116" s="172"/>
      <c r="AA116" s="172"/>
      <c r="AB116" s="172"/>
      <c r="AC116" s="172"/>
      <c r="AD116" s="425"/>
    </row>
    <row r="117" spans="1:30" ht="15.75" customHeight="1" x14ac:dyDescent="0.25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172"/>
      <c r="Y117" s="172"/>
      <c r="Z117" s="172"/>
      <c r="AA117" s="172"/>
      <c r="AB117" s="172"/>
      <c r="AC117" s="172"/>
      <c r="AD117" s="425"/>
    </row>
    <row r="118" spans="1:30" x14ac:dyDescent="0.25">
      <c r="A118" s="87"/>
      <c r="B118" s="148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172"/>
      <c r="Y118" s="172"/>
      <c r="Z118" s="172"/>
      <c r="AA118" s="172"/>
      <c r="AB118" s="172"/>
      <c r="AC118" s="172"/>
      <c r="AD118" s="425"/>
    </row>
    <row r="119" spans="1:30" x14ac:dyDescent="0.25">
      <c r="A119" s="87"/>
      <c r="B119" s="148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172"/>
      <c r="Y119" s="172"/>
      <c r="Z119" s="172"/>
      <c r="AA119" s="172"/>
      <c r="AB119" s="172"/>
      <c r="AC119" s="172"/>
      <c r="AD119" s="172"/>
    </row>
    <row r="120" spans="1:30" x14ac:dyDescent="0.25">
      <c r="A120" s="172"/>
      <c r="B120" s="341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172"/>
      <c r="Y120" s="172"/>
      <c r="Z120" s="172"/>
      <c r="AA120" s="172"/>
      <c r="AB120" s="172"/>
      <c r="AC120" s="172"/>
      <c r="AD120" s="172"/>
    </row>
    <row r="121" spans="1:30" ht="24" customHeight="1" x14ac:dyDescent="0.25">
      <c r="A121" s="172"/>
      <c r="B121" s="172"/>
      <c r="C121" s="172"/>
      <c r="D121" s="172"/>
      <c r="E121" s="172"/>
      <c r="F121" s="172"/>
      <c r="G121" s="172"/>
      <c r="H121" s="172"/>
      <c r="I121" s="172"/>
      <c r="J121" s="172"/>
      <c r="K121" s="172"/>
      <c r="L121" s="172"/>
      <c r="M121" s="172"/>
      <c r="N121" s="172"/>
      <c r="O121" s="172"/>
      <c r="P121" s="172"/>
      <c r="Q121" s="172"/>
      <c r="R121" s="172"/>
      <c r="S121" s="172"/>
      <c r="T121" s="172"/>
      <c r="U121" s="172"/>
      <c r="V121" s="172"/>
      <c r="W121" s="172"/>
      <c r="X121" s="172"/>
      <c r="Y121" s="172"/>
      <c r="Z121" s="172"/>
      <c r="AA121" s="172"/>
      <c r="AB121" s="172"/>
      <c r="AC121" s="172"/>
      <c r="AD121" s="172"/>
    </row>
    <row r="122" spans="1:30" x14ac:dyDescent="0.25">
      <c r="A122" s="1115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172"/>
      <c r="Y122" s="172"/>
      <c r="Z122" s="172"/>
      <c r="AA122" s="172"/>
      <c r="AB122" s="172"/>
      <c r="AC122" s="172"/>
      <c r="AD122" s="172"/>
    </row>
    <row r="123" spans="1:30" x14ac:dyDescent="0.25">
      <c r="A123" s="172"/>
      <c r="B123" s="172"/>
      <c r="C123" s="172"/>
      <c r="D123" s="172"/>
      <c r="E123" s="172"/>
      <c r="F123" s="172"/>
      <c r="G123" s="172"/>
      <c r="H123" s="172"/>
      <c r="I123" s="172"/>
      <c r="J123" s="172"/>
      <c r="K123" s="172"/>
      <c r="L123" s="172"/>
      <c r="M123" s="172"/>
      <c r="N123" s="172"/>
      <c r="O123" s="172"/>
      <c r="P123" s="172"/>
      <c r="Q123" s="172"/>
      <c r="R123" s="172"/>
      <c r="S123" s="172"/>
      <c r="T123" s="172"/>
      <c r="U123" s="172"/>
      <c r="V123" s="172"/>
      <c r="W123" s="172"/>
      <c r="X123" s="172"/>
      <c r="Y123" s="172"/>
      <c r="Z123" s="172"/>
      <c r="AA123" s="172"/>
      <c r="AB123" s="172"/>
      <c r="AC123" s="172"/>
      <c r="AD123" s="172"/>
    </row>
    <row r="124" spans="1:30" x14ac:dyDescent="0.25">
      <c r="A124" s="403"/>
      <c r="B124" s="403"/>
      <c r="C124" s="403"/>
      <c r="D124" s="403"/>
      <c r="E124" s="403"/>
      <c r="F124" s="403"/>
      <c r="G124" s="403"/>
      <c r="H124" s="403"/>
      <c r="I124" s="403"/>
      <c r="J124" s="403"/>
      <c r="K124" s="403"/>
      <c r="L124" s="403"/>
      <c r="M124" s="403"/>
      <c r="N124" s="403"/>
      <c r="O124" s="403"/>
      <c r="P124" s="403"/>
      <c r="Q124" s="403"/>
      <c r="R124" s="403"/>
      <c r="S124" s="403"/>
      <c r="T124" s="403"/>
      <c r="U124" s="403"/>
      <c r="V124" s="403"/>
      <c r="W124" s="403"/>
      <c r="X124" s="172"/>
      <c r="Y124" s="172"/>
      <c r="Z124" s="172"/>
      <c r="AA124" s="172"/>
      <c r="AB124" s="172"/>
      <c r="AC124" s="172"/>
      <c r="AD124" s="172"/>
    </row>
    <row r="125" spans="1:30" x14ac:dyDescent="0.25">
      <c r="A125" s="403"/>
      <c r="B125" s="403"/>
      <c r="C125" s="403"/>
      <c r="D125" s="403"/>
      <c r="E125" s="403"/>
      <c r="F125" s="403"/>
      <c r="G125" s="403"/>
      <c r="H125" s="403"/>
      <c r="I125" s="403"/>
      <c r="J125" s="403"/>
      <c r="K125" s="403"/>
      <c r="L125" s="403"/>
      <c r="M125" s="403"/>
      <c r="N125" s="403"/>
      <c r="O125" s="403"/>
      <c r="P125" s="403"/>
      <c r="Q125" s="403"/>
      <c r="R125" s="403"/>
      <c r="S125" s="403"/>
      <c r="T125" s="403"/>
      <c r="U125" s="403"/>
      <c r="V125" s="403"/>
      <c r="W125" s="403"/>
      <c r="X125" s="172"/>
      <c r="Y125" s="172"/>
      <c r="Z125" s="172"/>
      <c r="AA125" s="172"/>
      <c r="AB125" s="172"/>
      <c r="AC125" s="172"/>
      <c r="AD125" s="172"/>
    </row>
    <row r="126" spans="1:30" x14ac:dyDescent="0.25">
      <c r="A126" s="403"/>
      <c r="B126" s="403"/>
      <c r="C126" s="403"/>
      <c r="D126" s="403"/>
      <c r="E126" s="403"/>
      <c r="F126" s="403"/>
      <c r="G126" s="403"/>
      <c r="H126" s="403"/>
      <c r="I126" s="403"/>
      <c r="J126" s="403"/>
      <c r="K126" s="403"/>
      <c r="L126" s="403"/>
      <c r="M126" s="403"/>
      <c r="N126" s="403"/>
      <c r="O126" s="403"/>
      <c r="P126" s="403"/>
      <c r="Q126" s="403"/>
      <c r="R126" s="403"/>
      <c r="S126" s="403"/>
      <c r="T126" s="403"/>
      <c r="U126" s="403"/>
      <c r="V126" s="403"/>
      <c r="W126" s="403"/>
      <c r="X126" s="172"/>
      <c r="Y126" s="172"/>
      <c r="Z126" s="172"/>
      <c r="AA126" s="172"/>
      <c r="AB126" s="172"/>
      <c r="AC126" s="172"/>
      <c r="AD126" s="172"/>
    </row>
    <row r="127" spans="1:30" x14ac:dyDescent="0.25">
      <c r="A127" s="403"/>
      <c r="B127" s="403"/>
      <c r="C127" s="403"/>
      <c r="D127" s="403"/>
      <c r="E127" s="403"/>
      <c r="F127" s="403"/>
      <c r="G127" s="403"/>
      <c r="H127" s="403"/>
      <c r="I127" s="403"/>
      <c r="J127" s="403"/>
      <c r="K127" s="403"/>
      <c r="L127" s="403"/>
      <c r="M127" s="403"/>
      <c r="N127" s="403"/>
      <c r="O127" s="403"/>
      <c r="P127" s="403"/>
      <c r="Q127" s="403"/>
      <c r="R127" s="403"/>
      <c r="S127" s="403"/>
      <c r="T127" s="403"/>
      <c r="U127" s="403"/>
      <c r="V127" s="403"/>
      <c r="W127" s="403"/>
      <c r="X127" s="172"/>
      <c r="Y127" s="172"/>
      <c r="Z127" s="172"/>
      <c r="AA127" s="172"/>
      <c r="AB127" s="172"/>
      <c r="AC127" s="172"/>
      <c r="AD127" s="172"/>
    </row>
    <row r="128" spans="1:30" x14ac:dyDescent="0.25">
      <c r="A128" s="1166"/>
      <c r="B128" s="410"/>
      <c r="C128" s="410"/>
      <c r="D128" s="410"/>
      <c r="E128" s="410"/>
      <c r="F128" s="410"/>
      <c r="G128" s="410"/>
      <c r="H128" s="410"/>
      <c r="I128" s="410"/>
      <c r="J128" s="410"/>
      <c r="K128" s="410"/>
      <c r="L128" s="410"/>
      <c r="M128" s="410"/>
      <c r="N128" s="410"/>
      <c r="O128" s="410"/>
      <c r="P128" s="410"/>
      <c r="Q128" s="410"/>
      <c r="R128" s="410"/>
      <c r="S128" s="410"/>
      <c r="T128" s="410"/>
      <c r="U128" s="410"/>
      <c r="V128" s="410"/>
      <c r="W128" s="410"/>
      <c r="X128" s="172"/>
      <c r="Y128" s="172"/>
      <c r="Z128" s="172"/>
      <c r="AA128" s="172"/>
      <c r="AB128" s="172"/>
      <c r="AC128" s="172"/>
      <c r="AD128" s="172"/>
    </row>
    <row r="129" spans="1:30" x14ac:dyDescent="0.25">
      <c r="A129" s="410"/>
      <c r="B129" s="410"/>
      <c r="C129" s="410"/>
      <c r="D129" s="410"/>
      <c r="E129" s="410"/>
      <c r="F129" s="410"/>
      <c r="G129" s="410"/>
      <c r="H129" s="410"/>
      <c r="I129" s="410"/>
      <c r="J129" s="410"/>
      <c r="K129" s="410"/>
      <c r="L129" s="410"/>
      <c r="M129" s="410"/>
      <c r="N129" s="410"/>
      <c r="O129" s="410"/>
      <c r="P129" s="410"/>
      <c r="Q129" s="410"/>
      <c r="R129" s="410"/>
      <c r="S129" s="410"/>
      <c r="T129" s="410"/>
      <c r="U129" s="410"/>
      <c r="V129" s="971"/>
      <c r="W129" s="971"/>
      <c r="X129" s="172"/>
      <c r="Y129" s="172"/>
      <c r="Z129" s="172"/>
      <c r="AA129" s="172"/>
      <c r="AB129" s="172"/>
      <c r="AC129" s="172"/>
      <c r="AD129" s="172"/>
    </row>
    <row r="130" spans="1:30" x14ac:dyDescent="0.25">
      <c r="A130" s="1167"/>
      <c r="B130" s="410"/>
      <c r="C130" s="410"/>
      <c r="D130" s="410"/>
      <c r="E130" s="410"/>
      <c r="F130" s="410"/>
      <c r="G130" s="410"/>
      <c r="H130" s="410"/>
      <c r="I130" s="410"/>
      <c r="J130" s="410"/>
      <c r="K130" s="410"/>
      <c r="L130" s="410"/>
      <c r="M130" s="410"/>
      <c r="N130" s="410"/>
      <c r="O130" s="410"/>
      <c r="P130" s="410"/>
      <c r="Q130" s="410"/>
      <c r="R130" s="410"/>
      <c r="S130" s="410"/>
      <c r="T130" s="410"/>
      <c r="U130" s="410"/>
      <c r="V130" s="410"/>
      <c r="W130" s="410"/>
      <c r="X130" s="172"/>
      <c r="Y130" s="172"/>
      <c r="Z130" s="172"/>
      <c r="AA130" s="172"/>
      <c r="AB130" s="172"/>
      <c r="AC130" s="172"/>
      <c r="AD130" s="172"/>
    </row>
    <row r="131" spans="1:30" x14ac:dyDescent="0.25">
      <c r="A131" s="410"/>
      <c r="B131" s="410"/>
      <c r="C131" s="410"/>
      <c r="D131" s="410"/>
      <c r="E131" s="410"/>
      <c r="F131" s="410"/>
      <c r="G131" s="410"/>
      <c r="H131" s="410"/>
      <c r="I131" s="410"/>
      <c r="J131" s="410"/>
      <c r="K131" s="410"/>
      <c r="L131" s="410"/>
      <c r="M131" s="410"/>
      <c r="N131" s="410"/>
      <c r="O131" s="410"/>
      <c r="P131" s="410"/>
      <c r="Q131" s="410"/>
      <c r="R131" s="410"/>
      <c r="S131" s="410"/>
      <c r="T131" s="410"/>
      <c r="U131" s="410"/>
      <c r="V131" s="410"/>
      <c r="W131" s="410"/>
      <c r="X131" s="172"/>
      <c r="Y131" s="172"/>
      <c r="Z131" s="172"/>
      <c r="AA131" s="172"/>
      <c r="AB131" s="172"/>
      <c r="AC131" s="172"/>
      <c r="AD131" s="172"/>
    </row>
    <row r="132" spans="1:30" x14ac:dyDescent="0.25">
      <c r="A132" s="172"/>
      <c r="B132" s="172"/>
      <c r="C132" s="172"/>
      <c r="D132" s="172"/>
      <c r="E132" s="172"/>
      <c r="F132" s="172"/>
      <c r="G132" s="172"/>
      <c r="H132" s="172"/>
      <c r="I132" s="172"/>
      <c r="J132" s="172"/>
      <c r="K132" s="172"/>
      <c r="L132" s="172"/>
      <c r="M132" s="172"/>
      <c r="N132" s="172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</row>
    <row r="133" spans="1:30" x14ac:dyDescent="0.25">
      <c r="A133" s="172"/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  <c r="P133" s="172"/>
      <c r="Q133" s="172"/>
      <c r="R133" s="172"/>
      <c r="S133" s="172"/>
      <c r="T133" s="172"/>
      <c r="U133" s="172"/>
      <c r="V133" s="172"/>
      <c r="W133" s="172"/>
      <c r="X133" s="172"/>
      <c r="Y133" s="172"/>
      <c r="Z133" s="172"/>
      <c r="AA133" s="172"/>
      <c r="AB133" s="172"/>
      <c r="AC133" s="172"/>
      <c r="AD133" s="172"/>
    </row>
    <row r="134" spans="1:30" x14ac:dyDescent="0.25">
      <c r="A134" s="172"/>
      <c r="B134" s="172"/>
      <c r="C134" s="172"/>
      <c r="D134" s="172"/>
      <c r="E134" s="172"/>
      <c r="F134" s="172"/>
      <c r="G134" s="172"/>
      <c r="H134" s="172"/>
      <c r="I134" s="172"/>
      <c r="J134" s="172"/>
      <c r="K134" s="172"/>
      <c r="L134" s="172"/>
      <c r="M134" s="172"/>
      <c r="N134" s="172"/>
      <c r="O134" s="172"/>
      <c r="P134" s="172"/>
      <c r="Q134" s="172"/>
      <c r="R134" s="172"/>
      <c r="S134" s="172"/>
      <c r="T134" s="172"/>
      <c r="U134" s="172"/>
      <c r="V134" s="172"/>
      <c r="W134" s="172"/>
      <c r="X134" s="172"/>
      <c r="Y134" s="172"/>
      <c r="Z134" s="172"/>
      <c r="AA134" s="172"/>
      <c r="AB134" s="172"/>
      <c r="AC134" s="172"/>
      <c r="AD134" s="172"/>
    </row>
    <row r="135" spans="1:30" x14ac:dyDescent="0.25">
      <c r="A135" s="172"/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  <c r="P135" s="172"/>
      <c r="Q135" s="172"/>
      <c r="R135" s="172"/>
      <c r="S135" s="172"/>
      <c r="T135" s="172"/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</row>
    <row r="136" spans="1:30" x14ac:dyDescent="0.25">
      <c r="A136" s="172"/>
      <c r="B136" s="172"/>
      <c r="C136" s="172"/>
      <c r="D136" s="172"/>
      <c r="E136" s="172"/>
      <c r="F136" s="172"/>
      <c r="G136" s="172"/>
      <c r="H136" s="172"/>
      <c r="I136" s="172"/>
      <c r="J136" s="172"/>
      <c r="K136" s="172"/>
      <c r="L136" s="172"/>
      <c r="M136" s="172"/>
      <c r="N136" s="172"/>
      <c r="O136" s="172"/>
      <c r="P136" s="172"/>
      <c r="Q136" s="172"/>
      <c r="R136" s="172"/>
      <c r="S136" s="172"/>
      <c r="T136" s="172"/>
      <c r="U136" s="172"/>
      <c r="V136" s="172"/>
      <c r="W136" s="172"/>
      <c r="X136" s="172"/>
      <c r="Y136" s="172"/>
      <c r="Z136" s="172"/>
      <c r="AA136" s="172"/>
      <c r="AB136" s="172"/>
      <c r="AC136" s="172"/>
      <c r="AD136" s="172"/>
    </row>
    <row r="137" spans="1:30" x14ac:dyDescent="0.25">
      <c r="A137" s="172"/>
      <c r="B137" s="172"/>
      <c r="C137" s="172"/>
      <c r="D137" s="172"/>
      <c r="E137" s="172"/>
      <c r="F137" s="172"/>
      <c r="G137" s="172"/>
      <c r="H137" s="172"/>
      <c r="I137" s="172"/>
      <c r="J137" s="172"/>
      <c r="K137" s="172"/>
      <c r="L137" s="172"/>
      <c r="M137" s="172"/>
      <c r="N137" s="172"/>
      <c r="O137" s="172"/>
      <c r="P137" s="172"/>
      <c r="Q137" s="172"/>
      <c r="R137" s="172"/>
      <c r="S137" s="172"/>
      <c r="T137" s="172"/>
      <c r="U137" s="172"/>
      <c r="V137" s="172"/>
      <c r="W137" s="172"/>
      <c r="X137" s="172"/>
      <c r="Y137" s="172"/>
      <c r="Z137" s="172"/>
      <c r="AA137" s="172"/>
      <c r="AB137" s="172"/>
      <c r="AC137" s="172"/>
      <c r="AD137" s="172"/>
    </row>
    <row r="138" spans="1:30" x14ac:dyDescent="0.25">
      <c r="A138" s="172"/>
      <c r="B138" s="172"/>
      <c r="C138" s="172"/>
      <c r="D138" s="172"/>
      <c r="E138" s="172"/>
      <c r="F138" s="172"/>
      <c r="G138" s="172"/>
      <c r="H138" s="172"/>
      <c r="I138" s="172"/>
      <c r="J138" s="172"/>
      <c r="K138" s="172"/>
      <c r="L138" s="172"/>
      <c r="M138" s="172"/>
      <c r="N138" s="172"/>
      <c r="O138" s="172"/>
      <c r="P138" s="172"/>
      <c r="Q138" s="172"/>
      <c r="R138" s="172"/>
      <c r="S138" s="172"/>
      <c r="T138" s="172"/>
      <c r="U138" s="172"/>
      <c r="V138" s="172"/>
      <c r="W138" s="172"/>
      <c r="X138" s="172"/>
      <c r="Y138" s="172"/>
      <c r="Z138" s="172"/>
      <c r="AA138" s="172"/>
      <c r="AB138" s="172"/>
      <c r="AC138" s="172"/>
      <c r="AD138" s="172"/>
    </row>
    <row r="139" spans="1:30" x14ac:dyDescent="0.25">
      <c r="A139" s="172"/>
      <c r="B139" s="172"/>
      <c r="C139" s="172"/>
      <c r="D139" s="172"/>
      <c r="E139" s="172"/>
      <c r="F139" s="172"/>
      <c r="G139" s="172"/>
      <c r="H139" s="172"/>
      <c r="I139" s="172"/>
      <c r="J139" s="172"/>
      <c r="K139" s="172"/>
      <c r="L139" s="172"/>
      <c r="M139" s="172"/>
      <c r="N139" s="172"/>
      <c r="O139" s="172"/>
      <c r="P139" s="172"/>
      <c r="Q139" s="172"/>
      <c r="R139" s="172"/>
      <c r="S139" s="172"/>
      <c r="T139" s="172"/>
      <c r="U139" s="172"/>
      <c r="V139" s="172"/>
      <c r="W139" s="172"/>
      <c r="X139" s="172"/>
      <c r="Y139" s="172"/>
      <c r="Z139" s="172"/>
      <c r="AA139" s="172"/>
      <c r="AB139" s="172"/>
      <c r="AC139" s="172"/>
      <c r="AD139" s="172"/>
    </row>
    <row r="140" spans="1:30" x14ac:dyDescent="0.25">
      <c r="A140" s="172"/>
      <c r="B140" s="172"/>
      <c r="C140" s="172"/>
      <c r="D140" s="172"/>
      <c r="E140" s="172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</row>
    <row r="141" spans="1:30" x14ac:dyDescent="0.25">
      <c r="A141" s="172"/>
      <c r="B141" s="172"/>
      <c r="C141" s="172"/>
      <c r="D141" s="172"/>
      <c r="E141" s="172"/>
      <c r="F141" s="172"/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2"/>
      <c r="T141" s="172"/>
      <c r="U141" s="172"/>
      <c r="V141" s="172"/>
      <c r="W141" s="172"/>
      <c r="X141" s="172"/>
      <c r="Y141" s="172"/>
      <c r="Z141" s="172"/>
      <c r="AA141" s="172"/>
      <c r="AB141" s="172"/>
      <c r="AC141" s="172"/>
      <c r="AD141" s="172"/>
    </row>
    <row r="142" spans="1:30" x14ac:dyDescent="0.25">
      <c r="A142" s="172"/>
      <c r="B142" s="172"/>
      <c r="C142" s="172"/>
      <c r="D142" s="172"/>
      <c r="E142" s="172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</row>
    <row r="143" spans="1:30" x14ac:dyDescent="0.25">
      <c r="A143" s="172"/>
      <c r="B143" s="172"/>
      <c r="C143" s="172"/>
      <c r="D143" s="172"/>
      <c r="E143" s="172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</row>
    <row r="144" spans="1:30" x14ac:dyDescent="0.25">
      <c r="A144" s="172"/>
      <c r="B144" s="172"/>
      <c r="C144" s="172"/>
      <c r="D144" s="172"/>
      <c r="E144" s="172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</row>
    <row r="145" spans="1:30" x14ac:dyDescent="0.25">
      <c r="A145" s="172"/>
      <c r="B145" s="172"/>
      <c r="C145" s="172"/>
      <c r="D145" s="172"/>
      <c r="E145" s="172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</row>
    <row r="146" spans="1:30" x14ac:dyDescent="0.25">
      <c r="A146" s="409"/>
      <c r="B146" s="409"/>
      <c r="C146" s="409"/>
      <c r="D146" s="409"/>
      <c r="E146" s="409"/>
      <c r="F146" s="409"/>
      <c r="G146" s="409"/>
      <c r="H146" s="409"/>
      <c r="I146" s="409"/>
      <c r="J146" s="409"/>
      <c r="K146" s="409"/>
      <c r="L146" s="409"/>
      <c r="M146" s="409"/>
      <c r="N146" s="409"/>
      <c r="O146" s="409"/>
      <c r="P146" s="409"/>
      <c r="Q146" s="409"/>
      <c r="R146" s="409"/>
      <c r="S146" s="409"/>
      <c r="T146" s="409"/>
      <c r="U146" s="409"/>
      <c r="V146" s="409"/>
      <c r="W146" s="409"/>
      <c r="X146" s="172"/>
      <c r="Y146" s="172"/>
      <c r="Z146" s="172"/>
      <c r="AA146" s="172"/>
      <c r="AB146" s="172"/>
      <c r="AC146" s="172"/>
      <c r="AD146" s="172"/>
    </row>
    <row r="147" spans="1:30" x14ac:dyDescent="0.25">
      <c r="A147" s="172"/>
      <c r="B147" s="172"/>
      <c r="C147" s="172"/>
      <c r="D147" s="172"/>
      <c r="E147" s="172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</row>
    <row r="148" spans="1:30" x14ac:dyDescent="0.25">
      <c r="A148" s="172"/>
      <c r="B148" s="172"/>
      <c r="C148" s="172"/>
      <c r="D148" s="172"/>
      <c r="E148" s="172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</row>
    <row r="149" spans="1:30" x14ac:dyDescent="0.25">
      <c r="A149" s="172"/>
      <c r="B149" s="172"/>
      <c r="C149" s="172"/>
      <c r="D149" s="172"/>
      <c r="E149" s="172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</row>
    <row r="150" spans="1:30" x14ac:dyDescent="0.25">
      <c r="A150" s="172"/>
      <c r="B150" s="172"/>
      <c r="C150" s="172"/>
      <c r="D150" s="172"/>
      <c r="E150" s="172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</row>
    <row r="151" spans="1:30" x14ac:dyDescent="0.25">
      <c r="A151" s="172"/>
      <c r="B151" s="172"/>
      <c r="C151" s="74"/>
      <c r="D151" s="172"/>
      <c r="E151" s="172"/>
      <c r="F151" s="172"/>
      <c r="G151" s="172"/>
      <c r="H151" s="172"/>
      <c r="I151" s="172"/>
      <c r="J151" s="172"/>
      <c r="K151" s="172"/>
      <c r="L151" s="172"/>
      <c r="M151" s="172"/>
      <c r="N151" s="172"/>
      <c r="O151" s="172"/>
      <c r="P151" s="172"/>
      <c r="Q151" s="172"/>
      <c r="R151" s="172"/>
      <c r="S151" s="172"/>
      <c r="T151" s="172"/>
      <c r="U151" s="172"/>
      <c r="V151" s="172"/>
      <c r="W151" s="172"/>
      <c r="X151" s="172"/>
      <c r="Y151" s="172"/>
      <c r="Z151" s="172"/>
      <c r="AA151" s="172"/>
      <c r="AB151" s="172"/>
      <c r="AC151" s="172"/>
      <c r="AD151" s="172"/>
    </row>
    <row r="152" spans="1:30" x14ac:dyDescent="0.25">
      <c r="A152" s="172"/>
      <c r="B152" s="172"/>
      <c r="C152" s="172"/>
      <c r="D152" s="172"/>
      <c r="E152" s="172"/>
      <c r="F152" s="172"/>
      <c r="G152" s="172"/>
      <c r="H152" s="172"/>
      <c r="I152" s="172"/>
      <c r="J152" s="172"/>
      <c r="K152" s="172"/>
      <c r="L152" s="172"/>
      <c r="M152" s="172"/>
      <c r="N152" s="172"/>
      <c r="O152" s="172"/>
      <c r="P152" s="172"/>
      <c r="Q152" s="172"/>
      <c r="R152" s="172"/>
      <c r="S152" s="172"/>
      <c r="T152" s="172"/>
      <c r="U152" s="172"/>
      <c r="V152" s="172"/>
      <c r="W152" s="172"/>
      <c r="X152" s="172"/>
      <c r="Y152" s="172"/>
      <c r="Z152" s="172"/>
      <c r="AA152" s="172"/>
      <c r="AB152" s="172"/>
      <c r="AC152" s="172"/>
      <c r="AD152" s="172"/>
    </row>
    <row r="153" spans="1:30" x14ac:dyDescent="0.25">
      <c r="A153" s="172"/>
      <c r="B153" s="172"/>
      <c r="C153" s="425"/>
      <c r="D153" s="172"/>
      <c r="E153" s="61"/>
      <c r="F153" s="425"/>
      <c r="G153" s="425"/>
      <c r="H153" s="425"/>
      <c r="I153" s="425"/>
      <c r="J153" s="425"/>
      <c r="K153" s="425"/>
      <c r="L153" s="425"/>
      <c r="M153" s="425"/>
      <c r="N153" s="425"/>
      <c r="O153" s="425"/>
      <c r="P153" s="425"/>
      <c r="Q153" s="425"/>
      <c r="R153" s="425"/>
      <c r="S153" s="425"/>
      <c r="T153" s="425"/>
      <c r="U153" s="425"/>
      <c r="V153" s="425"/>
      <c r="W153" s="425"/>
      <c r="X153" s="172"/>
      <c r="Y153" s="172"/>
      <c r="Z153" s="172"/>
      <c r="AA153" s="172"/>
      <c r="AB153" s="172"/>
      <c r="AC153" s="172"/>
      <c r="AD153" s="172"/>
    </row>
    <row r="154" spans="1:30" x14ac:dyDescent="0.25">
      <c r="A154" s="172"/>
      <c r="B154" s="172"/>
      <c r="C154" s="61"/>
      <c r="D154" s="61"/>
      <c r="E154" s="61"/>
      <c r="F154" s="425"/>
      <c r="G154" s="425"/>
      <c r="H154" s="425"/>
      <c r="I154" s="425"/>
      <c r="J154" s="425"/>
      <c r="K154" s="425"/>
      <c r="L154" s="425"/>
      <c r="M154" s="425"/>
      <c r="N154" s="425"/>
      <c r="O154" s="425"/>
      <c r="P154" s="425"/>
      <c r="Q154" s="425"/>
      <c r="R154" s="425"/>
      <c r="S154" s="425"/>
      <c r="T154" s="425"/>
      <c r="U154" s="425"/>
      <c r="V154" s="61"/>
      <c r="W154" s="61"/>
      <c r="X154" s="172"/>
      <c r="Y154" s="172"/>
      <c r="Z154" s="172"/>
      <c r="AA154" s="172"/>
      <c r="AB154" s="172"/>
      <c r="AC154" s="172"/>
      <c r="AD154" s="172"/>
    </row>
    <row r="155" spans="1:30" x14ac:dyDescent="0.25">
      <c r="A155" s="172"/>
      <c r="B155" s="172"/>
      <c r="C155" s="61"/>
      <c r="D155" s="61"/>
      <c r="E155" s="61"/>
      <c r="F155" s="425"/>
      <c r="G155" s="425"/>
      <c r="H155" s="425"/>
      <c r="I155" s="425"/>
      <c r="J155" s="425"/>
      <c r="K155" s="425"/>
      <c r="L155" s="425"/>
      <c r="M155" s="425"/>
      <c r="N155" s="425"/>
      <c r="O155" s="425"/>
      <c r="P155" s="425"/>
      <c r="Q155" s="425"/>
      <c r="R155" s="425"/>
      <c r="S155" s="425"/>
      <c r="T155" s="425"/>
      <c r="U155" s="425"/>
      <c r="V155" s="61"/>
      <c r="W155" s="61"/>
      <c r="X155" s="172"/>
      <c r="Y155" s="172"/>
      <c r="Z155" s="172"/>
      <c r="AA155" s="172"/>
      <c r="AB155" s="172"/>
      <c r="AC155" s="172"/>
      <c r="AD155" s="172"/>
    </row>
    <row r="156" spans="1:30" x14ac:dyDescent="0.25">
      <c r="A156" s="172"/>
      <c r="B156" s="172"/>
      <c r="C156" s="425"/>
      <c r="D156" s="172"/>
      <c r="E156" s="425"/>
      <c r="F156" s="425"/>
      <c r="G156" s="425"/>
      <c r="H156" s="425"/>
      <c r="I156" s="425"/>
      <c r="J156" s="425"/>
      <c r="K156" s="425"/>
      <c r="L156" s="425"/>
      <c r="M156" s="425"/>
      <c r="N156" s="425"/>
      <c r="O156" s="425"/>
      <c r="P156" s="425"/>
      <c r="Q156" s="425"/>
      <c r="R156" s="425"/>
      <c r="S156" s="425"/>
      <c r="T156" s="425"/>
      <c r="U156" s="425"/>
      <c r="V156" s="425"/>
      <c r="W156" s="425"/>
      <c r="X156" s="172"/>
      <c r="Y156" s="172"/>
      <c r="Z156" s="172"/>
      <c r="AA156" s="172"/>
      <c r="AB156" s="172"/>
      <c r="AC156" s="172"/>
      <c r="AD156" s="172"/>
    </row>
    <row r="157" spans="1:30" x14ac:dyDescent="0.25">
      <c r="A157" s="172"/>
      <c r="B157" s="172"/>
      <c r="C157" s="425"/>
      <c r="D157" s="172"/>
      <c r="E157" s="363"/>
      <c r="F157" s="425"/>
      <c r="G157" s="425"/>
      <c r="H157" s="425"/>
      <c r="I157" s="425"/>
      <c r="J157" s="425"/>
      <c r="K157" s="425"/>
      <c r="L157" s="425"/>
      <c r="M157" s="425"/>
      <c r="N157" s="425"/>
      <c r="O157" s="425"/>
      <c r="P157" s="425"/>
      <c r="Q157" s="425"/>
      <c r="R157" s="425"/>
      <c r="S157" s="425"/>
      <c r="T157" s="425"/>
      <c r="U157" s="425"/>
      <c r="V157" s="454"/>
      <c r="W157" s="454"/>
      <c r="X157" s="172"/>
      <c r="Y157" s="172"/>
      <c r="Z157" s="172"/>
      <c r="AA157" s="172"/>
      <c r="AB157" s="172"/>
      <c r="AC157" s="172"/>
      <c r="AD157" s="172"/>
    </row>
    <row r="158" spans="1:30" x14ac:dyDescent="0.25">
      <c r="A158" s="172"/>
      <c r="B158" s="172"/>
      <c r="C158" s="425"/>
      <c r="D158" s="172"/>
      <c r="E158" s="447"/>
      <c r="F158" s="425"/>
      <c r="G158" s="425"/>
      <c r="H158" s="425"/>
      <c r="I158" s="425"/>
      <c r="J158" s="425"/>
      <c r="K158" s="425"/>
      <c r="L158" s="425"/>
      <c r="M158" s="425"/>
      <c r="N158" s="425"/>
      <c r="O158" s="425"/>
      <c r="P158" s="425"/>
      <c r="Q158" s="425"/>
      <c r="R158" s="425"/>
      <c r="S158" s="425"/>
      <c r="T158" s="425"/>
      <c r="U158" s="425"/>
      <c r="V158" s="466"/>
      <c r="W158" s="466"/>
      <c r="X158" s="172"/>
      <c r="Y158" s="172"/>
      <c r="Z158" s="172"/>
      <c r="AA158" s="172"/>
      <c r="AB158" s="172"/>
      <c r="AC158" s="172"/>
      <c r="AD158" s="172"/>
    </row>
    <row r="159" spans="1:30" x14ac:dyDescent="0.25">
      <c r="A159" s="172"/>
      <c r="B159" s="74"/>
      <c r="C159" s="425"/>
      <c r="D159" s="172"/>
      <c r="E159" s="447"/>
      <c r="F159" s="425"/>
      <c r="G159" s="425"/>
      <c r="H159" s="425"/>
      <c r="I159" s="425"/>
      <c r="J159" s="425"/>
      <c r="K159" s="425"/>
      <c r="L159" s="425"/>
      <c r="M159" s="425"/>
      <c r="N159" s="425"/>
      <c r="O159" s="425"/>
      <c r="P159" s="425"/>
      <c r="Q159" s="425"/>
      <c r="R159" s="425"/>
      <c r="S159" s="425"/>
      <c r="T159" s="425"/>
      <c r="U159" s="425"/>
      <c r="V159" s="466"/>
      <c r="W159" s="466"/>
      <c r="X159" s="172"/>
      <c r="Y159" s="172"/>
      <c r="Z159" s="172"/>
      <c r="AA159" s="172"/>
      <c r="AB159" s="172"/>
      <c r="AC159" s="172"/>
      <c r="AD159" s="172"/>
    </row>
    <row r="160" spans="1:30" x14ac:dyDescent="0.25">
      <c r="A160" s="172"/>
      <c r="B160" s="172"/>
      <c r="C160" s="425"/>
      <c r="D160" s="172"/>
      <c r="E160" s="447"/>
      <c r="F160" s="425"/>
      <c r="G160" s="425"/>
      <c r="H160" s="425"/>
      <c r="I160" s="425"/>
      <c r="J160" s="425"/>
      <c r="K160" s="425"/>
      <c r="L160" s="425"/>
      <c r="M160" s="425"/>
      <c r="N160" s="425"/>
      <c r="O160" s="425"/>
      <c r="P160" s="425"/>
      <c r="Q160" s="425"/>
      <c r="R160" s="425"/>
      <c r="S160" s="425"/>
      <c r="T160" s="425"/>
      <c r="U160" s="425"/>
      <c r="V160" s="466"/>
      <c r="W160" s="466"/>
      <c r="X160" s="172"/>
      <c r="Y160" s="172"/>
      <c r="Z160" s="172"/>
      <c r="AA160" s="172"/>
      <c r="AB160" s="172"/>
      <c r="AC160" s="172"/>
      <c r="AD160" s="172"/>
    </row>
    <row r="161" spans="1:30" x14ac:dyDescent="0.25">
      <c r="A161" s="172"/>
      <c r="B161" s="172"/>
      <c r="C161" s="425"/>
      <c r="D161" s="172"/>
      <c r="E161" s="447"/>
      <c r="F161" s="425"/>
      <c r="G161" s="425"/>
      <c r="H161" s="425"/>
      <c r="I161" s="425"/>
      <c r="J161" s="425"/>
      <c r="K161" s="425"/>
      <c r="L161" s="425"/>
      <c r="M161" s="425"/>
      <c r="N161" s="425"/>
      <c r="O161" s="425"/>
      <c r="P161" s="425"/>
      <c r="Q161" s="425"/>
      <c r="R161" s="425"/>
      <c r="S161" s="425"/>
      <c r="T161" s="425"/>
      <c r="U161" s="425"/>
      <c r="V161" s="466"/>
      <c r="W161" s="466"/>
      <c r="X161" s="172"/>
      <c r="Y161" s="172"/>
      <c r="Z161" s="172"/>
      <c r="AA161" s="172"/>
      <c r="AB161" s="172"/>
      <c r="AC161" s="172"/>
      <c r="AD161" s="172"/>
    </row>
    <row r="162" spans="1:30" x14ac:dyDescent="0.25">
      <c r="A162" s="172"/>
      <c r="B162" s="172"/>
      <c r="C162" s="425"/>
      <c r="D162" s="172"/>
      <c r="E162" s="447"/>
      <c r="F162" s="425"/>
      <c r="G162" s="425"/>
      <c r="H162" s="425"/>
      <c r="I162" s="425"/>
      <c r="J162" s="425"/>
      <c r="K162" s="425"/>
      <c r="L162" s="425"/>
      <c r="M162" s="425"/>
      <c r="N162" s="425"/>
      <c r="O162" s="425"/>
      <c r="P162" s="425"/>
      <c r="Q162" s="425"/>
      <c r="R162" s="425"/>
      <c r="S162" s="425"/>
      <c r="T162" s="425"/>
      <c r="U162" s="425"/>
      <c r="V162" s="466"/>
      <c r="W162" s="466"/>
      <c r="X162" s="172"/>
      <c r="Y162" s="172"/>
      <c r="Z162" s="172"/>
      <c r="AA162" s="172"/>
      <c r="AB162" s="172"/>
      <c r="AC162" s="172"/>
      <c r="AD162" s="172"/>
    </row>
    <row r="163" spans="1:30" x14ac:dyDescent="0.25">
      <c r="A163" s="172"/>
      <c r="B163" s="172"/>
      <c r="C163" s="425"/>
      <c r="D163" s="172"/>
      <c r="E163" s="447"/>
      <c r="F163" s="425"/>
      <c r="G163" s="425"/>
      <c r="H163" s="425"/>
      <c r="I163" s="425"/>
      <c r="J163" s="425"/>
      <c r="K163" s="425"/>
      <c r="L163" s="425"/>
      <c r="M163" s="425"/>
      <c r="N163" s="425"/>
      <c r="O163" s="425"/>
      <c r="P163" s="425"/>
      <c r="Q163" s="425"/>
      <c r="R163" s="425"/>
      <c r="S163" s="425"/>
      <c r="T163" s="425"/>
      <c r="U163" s="425"/>
      <c r="V163" s="466"/>
      <c r="W163" s="466"/>
      <c r="X163" s="172"/>
      <c r="Y163" s="172"/>
      <c r="Z163" s="172"/>
      <c r="AA163" s="172"/>
      <c r="AB163" s="172"/>
      <c r="AC163" s="172"/>
      <c r="AD163" s="172"/>
    </row>
    <row r="164" spans="1:30" x14ac:dyDescent="0.25">
      <c r="A164" s="172"/>
      <c r="B164" s="172"/>
      <c r="C164" s="425"/>
      <c r="D164" s="172"/>
      <c r="E164" s="425"/>
      <c r="F164" s="425"/>
      <c r="G164" s="425"/>
      <c r="H164" s="425"/>
      <c r="I164" s="425"/>
      <c r="J164" s="425"/>
      <c r="K164" s="425"/>
      <c r="L164" s="425"/>
      <c r="M164" s="425"/>
      <c r="N164" s="425"/>
      <c r="O164" s="425"/>
      <c r="P164" s="425"/>
      <c r="Q164" s="425"/>
      <c r="R164" s="425"/>
      <c r="S164" s="425"/>
      <c r="T164" s="425"/>
      <c r="U164" s="425"/>
      <c r="V164" s="425"/>
      <c r="W164" s="425"/>
      <c r="X164" s="172"/>
      <c r="Y164" s="172"/>
      <c r="Z164" s="172"/>
      <c r="AA164" s="172"/>
      <c r="AB164" s="172"/>
      <c r="AC164" s="172"/>
      <c r="AD164" s="172"/>
    </row>
    <row r="165" spans="1:30" x14ac:dyDescent="0.25">
      <c r="A165" s="172"/>
      <c r="B165" s="172"/>
      <c r="C165" s="172"/>
      <c r="D165" s="172"/>
      <c r="E165" s="425"/>
      <c r="F165" s="425"/>
      <c r="G165" s="425"/>
      <c r="H165" s="425"/>
      <c r="I165" s="425"/>
      <c r="J165" s="425"/>
      <c r="K165" s="425"/>
      <c r="L165" s="425"/>
      <c r="M165" s="425"/>
      <c r="N165" s="425"/>
      <c r="O165" s="425"/>
      <c r="P165" s="425"/>
      <c r="Q165" s="425"/>
      <c r="R165" s="425"/>
      <c r="S165" s="425"/>
      <c r="T165" s="425"/>
      <c r="U165" s="425"/>
      <c r="V165" s="454"/>
      <c r="W165" s="454"/>
      <c r="X165" s="172"/>
      <c r="Y165" s="172"/>
      <c r="Z165" s="172"/>
      <c r="AA165" s="172"/>
      <c r="AB165" s="172"/>
      <c r="AC165" s="172"/>
      <c r="AD165" s="172"/>
    </row>
    <row r="166" spans="1:30" x14ac:dyDescent="0.25">
      <c r="A166" s="172"/>
      <c r="B166" s="172"/>
      <c r="C166" s="172"/>
      <c r="D166" s="172"/>
      <c r="E166" s="172"/>
      <c r="F166" s="172"/>
      <c r="G166" s="172"/>
      <c r="H166" s="172"/>
      <c r="I166" s="172"/>
      <c r="J166" s="172"/>
      <c r="K166" s="172"/>
      <c r="L166" s="172"/>
      <c r="M166" s="172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</row>
    <row r="167" spans="1:30" x14ac:dyDescent="0.25">
      <c r="A167" s="409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172"/>
      <c r="Y167" s="172"/>
      <c r="Z167" s="172"/>
      <c r="AA167" s="172"/>
      <c r="AB167" s="172"/>
      <c r="AC167" s="172"/>
      <c r="AD167" s="172"/>
    </row>
    <row r="168" spans="1:30" x14ac:dyDescent="0.25">
      <c r="A168" s="172"/>
      <c r="B168" s="172"/>
      <c r="C168" s="172"/>
      <c r="D168" s="172"/>
      <c r="E168" s="172"/>
      <c r="F168" s="172"/>
      <c r="G168" s="172"/>
      <c r="H168" s="172"/>
      <c r="I168" s="172"/>
      <c r="J168" s="172"/>
      <c r="K168" s="172"/>
      <c r="L168" s="172"/>
      <c r="M168" s="172"/>
      <c r="N168" s="172"/>
      <c r="O168" s="172"/>
      <c r="P168" s="172"/>
      <c r="Q168" s="172"/>
      <c r="R168" s="172"/>
      <c r="S168" s="172"/>
      <c r="T168" s="172"/>
      <c r="U168" s="172"/>
      <c r="V168" s="172"/>
      <c r="W168" s="172"/>
      <c r="X168" s="172"/>
      <c r="Y168" s="172"/>
      <c r="Z168" s="172"/>
      <c r="AA168" s="172"/>
      <c r="AB168" s="172"/>
      <c r="AC168" s="172"/>
      <c r="AD168" s="172"/>
    </row>
    <row r="169" spans="1:30" x14ac:dyDescent="0.25">
      <c r="A169" s="172"/>
      <c r="B169" s="172"/>
      <c r="C169" s="74"/>
      <c r="D169" s="172"/>
      <c r="E169" s="172"/>
      <c r="F169" s="172"/>
      <c r="G169" s="172"/>
      <c r="H169" s="172"/>
      <c r="I169" s="172"/>
      <c r="J169" s="172"/>
      <c r="K169" s="172"/>
      <c r="L169" s="172"/>
      <c r="M169" s="172"/>
      <c r="N169" s="172"/>
      <c r="O169" s="172"/>
      <c r="P169" s="172"/>
      <c r="Q169" s="172"/>
      <c r="R169" s="172"/>
      <c r="S169" s="172"/>
      <c r="T169" s="172"/>
      <c r="U169" s="172"/>
      <c r="V169" s="172"/>
      <c r="W169" s="172"/>
      <c r="X169" s="172"/>
      <c r="Y169" s="172"/>
      <c r="Z169" s="172"/>
      <c r="AA169" s="172"/>
      <c r="AB169" s="172"/>
      <c r="AC169" s="172"/>
      <c r="AD169" s="172"/>
    </row>
    <row r="170" spans="1:30" x14ac:dyDescent="0.25">
      <c r="A170" s="172"/>
      <c r="B170" s="172"/>
      <c r="C170" s="172"/>
      <c r="D170" s="172"/>
      <c r="E170" s="172"/>
      <c r="F170" s="172"/>
      <c r="G170" s="172"/>
      <c r="H170" s="172"/>
      <c r="I170" s="172"/>
      <c r="J170" s="172"/>
      <c r="K170" s="172"/>
      <c r="L170" s="172"/>
      <c r="M170" s="172"/>
      <c r="N170" s="172"/>
      <c r="O170" s="172"/>
      <c r="P170" s="172"/>
      <c r="Q170" s="172"/>
      <c r="R170" s="172"/>
      <c r="S170" s="172"/>
      <c r="T170" s="172"/>
      <c r="U170" s="172"/>
      <c r="V170" s="172"/>
      <c r="W170" s="172"/>
      <c r="X170" s="172"/>
      <c r="Y170" s="172"/>
      <c r="Z170" s="172"/>
      <c r="AA170" s="172"/>
      <c r="AB170" s="172"/>
      <c r="AC170" s="172"/>
      <c r="AD170" s="172"/>
    </row>
    <row r="171" spans="1:30" x14ac:dyDescent="0.25">
      <c r="A171" s="172"/>
      <c r="B171" s="172"/>
      <c r="C171" s="425"/>
      <c r="D171" s="172"/>
      <c r="E171" s="61"/>
      <c r="F171" s="425"/>
      <c r="G171" s="425"/>
      <c r="H171" s="425"/>
      <c r="I171" s="425"/>
      <c r="J171" s="425"/>
      <c r="K171" s="425"/>
      <c r="L171" s="425"/>
      <c r="M171" s="425"/>
      <c r="N171" s="425"/>
      <c r="O171" s="425"/>
      <c r="P171" s="425"/>
      <c r="Q171" s="425"/>
      <c r="R171" s="425"/>
      <c r="S171" s="425"/>
      <c r="T171" s="425"/>
      <c r="U171" s="425"/>
      <c r="V171" s="425"/>
      <c r="W171" s="425"/>
      <c r="X171" s="172"/>
      <c r="Y171" s="172"/>
      <c r="Z171" s="172"/>
      <c r="AA171" s="172"/>
      <c r="AB171" s="172"/>
      <c r="AC171" s="172"/>
      <c r="AD171" s="172"/>
    </row>
    <row r="172" spans="1:30" x14ac:dyDescent="0.25">
      <c r="A172" s="172"/>
      <c r="B172" s="172"/>
      <c r="C172" s="61"/>
      <c r="D172" s="61"/>
      <c r="E172" s="61"/>
      <c r="F172" s="425"/>
      <c r="G172" s="425"/>
      <c r="H172" s="425"/>
      <c r="I172" s="425"/>
      <c r="J172" s="425"/>
      <c r="K172" s="425"/>
      <c r="L172" s="425"/>
      <c r="M172" s="425"/>
      <c r="N172" s="425"/>
      <c r="O172" s="425"/>
      <c r="P172" s="425"/>
      <c r="Q172" s="425"/>
      <c r="R172" s="425"/>
      <c r="S172" s="425"/>
      <c r="T172" s="425"/>
      <c r="U172" s="425"/>
      <c r="V172" s="61"/>
      <c r="W172" s="61"/>
      <c r="X172" s="172"/>
      <c r="Y172" s="172"/>
      <c r="Z172" s="172"/>
      <c r="AA172" s="172"/>
      <c r="AB172" s="172"/>
      <c r="AC172" s="172"/>
      <c r="AD172" s="172"/>
    </row>
    <row r="173" spans="1:30" x14ac:dyDescent="0.25">
      <c r="A173" s="172"/>
      <c r="B173" s="172"/>
      <c r="C173" s="61"/>
      <c r="D173" s="61"/>
      <c r="E173" s="61"/>
      <c r="F173" s="425"/>
      <c r="G173" s="425"/>
      <c r="H173" s="425"/>
      <c r="I173" s="425"/>
      <c r="J173" s="425"/>
      <c r="K173" s="425"/>
      <c r="L173" s="425"/>
      <c r="M173" s="425"/>
      <c r="N173" s="425"/>
      <c r="O173" s="425"/>
      <c r="P173" s="425"/>
      <c r="Q173" s="425"/>
      <c r="R173" s="425"/>
      <c r="S173" s="425"/>
      <c r="T173" s="425"/>
      <c r="U173" s="425"/>
      <c r="V173" s="61"/>
      <c r="W173" s="61"/>
      <c r="X173" s="172"/>
      <c r="Y173" s="172"/>
      <c r="Z173" s="172"/>
      <c r="AA173" s="172"/>
      <c r="AB173" s="172"/>
      <c r="AC173" s="172"/>
      <c r="AD173" s="172"/>
    </row>
    <row r="174" spans="1:30" x14ac:dyDescent="0.25">
      <c r="A174" s="172"/>
      <c r="B174" s="172"/>
      <c r="C174" s="425"/>
      <c r="D174" s="172"/>
      <c r="E174" s="425"/>
      <c r="F174" s="425"/>
      <c r="G174" s="425"/>
      <c r="H174" s="425"/>
      <c r="I174" s="425"/>
      <c r="J174" s="425"/>
      <c r="K174" s="425"/>
      <c r="L174" s="425"/>
      <c r="M174" s="425"/>
      <c r="N174" s="425"/>
      <c r="O174" s="425"/>
      <c r="P174" s="425"/>
      <c r="Q174" s="425"/>
      <c r="R174" s="425"/>
      <c r="S174" s="425"/>
      <c r="T174" s="425"/>
      <c r="U174" s="425"/>
      <c r="V174" s="425"/>
      <c r="W174" s="425"/>
      <c r="X174" s="172"/>
      <c r="Y174" s="172"/>
      <c r="Z174" s="172"/>
      <c r="AA174" s="172"/>
      <c r="AB174" s="172"/>
      <c r="AC174" s="172"/>
      <c r="AD174" s="172"/>
    </row>
    <row r="175" spans="1:30" x14ac:dyDescent="0.25">
      <c r="A175" s="172"/>
      <c r="B175" s="172"/>
      <c r="C175" s="425"/>
      <c r="D175" s="172"/>
      <c r="E175" s="363"/>
      <c r="F175" s="425"/>
      <c r="G175" s="425"/>
      <c r="H175" s="425"/>
      <c r="I175" s="425"/>
      <c r="J175" s="425"/>
      <c r="K175" s="425"/>
      <c r="L175" s="425"/>
      <c r="M175" s="425"/>
      <c r="N175" s="425"/>
      <c r="O175" s="425"/>
      <c r="P175" s="425"/>
      <c r="Q175" s="425"/>
      <c r="R175" s="425"/>
      <c r="S175" s="425"/>
      <c r="T175" s="425"/>
      <c r="U175" s="425"/>
      <c r="V175" s="454"/>
      <c r="W175" s="454"/>
      <c r="X175" s="172"/>
      <c r="Y175" s="172"/>
      <c r="Z175" s="172"/>
      <c r="AA175" s="172"/>
      <c r="AB175" s="172"/>
      <c r="AC175" s="172"/>
      <c r="AD175" s="172"/>
    </row>
    <row r="176" spans="1:30" x14ac:dyDescent="0.25">
      <c r="A176" s="172"/>
      <c r="B176" s="172"/>
      <c r="C176" s="425"/>
      <c r="D176" s="172"/>
      <c r="E176" s="447"/>
      <c r="F176" s="425"/>
      <c r="G176" s="425"/>
      <c r="H176" s="425"/>
      <c r="I176" s="425"/>
      <c r="J176" s="425"/>
      <c r="K176" s="425"/>
      <c r="L176" s="425"/>
      <c r="M176" s="425"/>
      <c r="N176" s="425"/>
      <c r="O176" s="425"/>
      <c r="P176" s="425"/>
      <c r="Q176" s="425"/>
      <c r="R176" s="425"/>
      <c r="S176" s="425"/>
      <c r="T176" s="425"/>
      <c r="U176" s="425"/>
      <c r="V176" s="466"/>
      <c r="W176" s="466"/>
      <c r="X176" s="172"/>
      <c r="Y176" s="172"/>
      <c r="Z176" s="172"/>
      <c r="AA176" s="172"/>
      <c r="AB176" s="172"/>
      <c r="AC176" s="172"/>
      <c r="AD176" s="172"/>
    </row>
    <row r="177" spans="1:30" ht="15.75" customHeight="1" x14ac:dyDescent="0.25">
      <c r="A177" s="172"/>
      <c r="B177" s="172"/>
      <c r="C177" s="425"/>
      <c r="D177" s="172"/>
      <c r="E177" s="447"/>
      <c r="F177" s="425"/>
      <c r="G177" s="425"/>
      <c r="H177" s="425"/>
      <c r="I177" s="425"/>
      <c r="J177" s="425"/>
      <c r="K177" s="425"/>
      <c r="L177" s="425"/>
      <c r="M177" s="425"/>
      <c r="N177" s="425"/>
      <c r="O177" s="425"/>
      <c r="P177" s="425"/>
      <c r="Q177" s="425"/>
      <c r="R177" s="425"/>
      <c r="S177" s="425"/>
      <c r="T177" s="425"/>
      <c r="U177" s="425"/>
      <c r="V177" s="466"/>
      <c r="W177" s="466"/>
      <c r="X177" s="172"/>
      <c r="Y177" s="172"/>
      <c r="Z177" s="172"/>
      <c r="AA177" s="172"/>
      <c r="AB177" s="172"/>
      <c r="AC177" s="172"/>
      <c r="AD177" s="172"/>
    </row>
    <row r="178" spans="1:30" ht="15.75" customHeight="1" x14ac:dyDescent="0.25">
      <c r="A178" s="172"/>
      <c r="B178" s="172"/>
      <c r="C178" s="425"/>
      <c r="D178" s="172"/>
      <c r="E178" s="447"/>
      <c r="F178" s="425"/>
      <c r="G178" s="425"/>
      <c r="H178" s="425"/>
      <c r="I178" s="425"/>
      <c r="J178" s="425"/>
      <c r="K178" s="425"/>
      <c r="L178" s="425"/>
      <c r="M178" s="425"/>
      <c r="N178" s="425"/>
      <c r="O178" s="425"/>
      <c r="P178" s="425"/>
      <c r="Q178" s="425"/>
      <c r="R178" s="425"/>
      <c r="S178" s="425"/>
      <c r="T178" s="425"/>
      <c r="U178" s="425"/>
      <c r="V178" s="466"/>
      <c r="W178" s="466"/>
      <c r="X178" s="172"/>
      <c r="Y178" s="172"/>
      <c r="Z178" s="172"/>
      <c r="AA178" s="172"/>
      <c r="AB178" s="172"/>
      <c r="AC178" s="172"/>
      <c r="AD178" s="172"/>
    </row>
    <row r="179" spans="1:30" ht="15.75" customHeight="1" x14ac:dyDescent="0.25">
      <c r="A179" s="172"/>
      <c r="B179" s="172"/>
      <c r="C179" s="425"/>
      <c r="D179" s="172"/>
      <c r="E179" s="447"/>
      <c r="F179" s="425"/>
      <c r="G179" s="425"/>
      <c r="H179" s="425"/>
      <c r="I179" s="425"/>
      <c r="J179" s="425"/>
      <c r="K179" s="425"/>
      <c r="L179" s="425"/>
      <c r="M179" s="425"/>
      <c r="N179" s="425"/>
      <c r="O179" s="425"/>
      <c r="P179" s="425"/>
      <c r="Q179" s="425"/>
      <c r="R179" s="425"/>
      <c r="S179" s="425"/>
      <c r="T179" s="425"/>
      <c r="U179" s="425"/>
      <c r="V179" s="466"/>
      <c r="W179" s="466"/>
      <c r="X179" s="172"/>
      <c r="Y179" s="172"/>
      <c r="Z179" s="172"/>
      <c r="AA179" s="172"/>
      <c r="AB179" s="172"/>
      <c r="AC179" s="172"/>
      <c r="AD179" s="172"/>
    </row>
    <row r="180" spans="1:30" ht="15.75" customHeight="1" x14ac:dyDescent="0.25">
      <c r="A180" s="172"/>
      <c r="B180" s="172"/>
      <c r="C180" s="425"/>
      <c r="D180" s="172"/>
      <c r="E180" s="447"/>
      <c r="F180" s="425"/>
      <c r="G180" s="425"/>
      <c r="H180" s="425"/>
      <c r="I180" s="425"/>
      <c r="J180" s="425"/>
      <c r="K180" s="425"/>
      <c r="L180" s="425"/>
      <c r="M180" s="425"/>
      <c r="N180" s="425"/>
      <c r="O180" s="425"/>
      <c r="P180" s="425"/>
      <c r="Q180" s="425"/>
      <c r="R180" s="425"/>
      <c r="S180" s="425"/>
      <c r="T180" s="425"/>
      <c r="U180" s="425"/>
      <c r="V180" s="466"/>
      <c r="W180" s="466"/>
      <c r="X180" s="172"/>
      <c r="Y180" s="172"/>
      <c r="Z180" s="172"/>
      <c r="AA180" s="172"/>
      <c r="AB180" s="172"/>
      <c r="AC180" s="172"/>
      <c r="AD180" s="172"/>
    </row>
    <row r="181" spans="1:30" ht="15.75" customHeight="1" x14ac:dyDescent="0.25">
      <c r="A181" s="172"/>
      <c r="B181" s="172"/>
      <c r="C181" s="425"/>
      <c r="D181" s="172"/>
      <c r="E181" s="447"/>
      <c r="F181" s="425"/>
      <c r="G181" s="425"/>
      <c r="H181" s="425"/>
      <c r="I181" s="425"/>
      <c r="J181" s="425"/>
      <c r="K181" s="425"/>
      <c r="L181" s="425"/>
      <c r="M181" s="425"/>
      <c r="N181" s="425"/>
      <c r="O181" s="425"/>
      <c r="P181" s="425"/>
      <c r="Q181" s="425"/>
      <c r="R181" s="425"/>
      <c r="S181" s="425"/>
      <c r="T181" s="425"/>
      <c r="U181" s="425"/>
      <c r="V181" s="466"/>
      <c r="W181" s="466"/>
      <c r="X181" s="172"/>
      <c r="Y181" s="172"/>
      <c r="Z181" s="172"/>
      <c r="AA181" s="172"/>
      <c r="AB181" s="172"/>
      <c r="AC181" s="172"/>
      <c r="AD181" s="172"/>
    </row>
    <row r="182" spans="1:30" x14ac:dyDescent="0.25">
      <c r="A182" s="172"/>
      <c r="B182" s="172"/>
      <c r="C182" s="425"/>
      <c r="D182" s="172"/>
      <c r="E182" s="425"/>
      <c r="F182" s="425"/>
      <c r="G182" s="425"/>
      <c r="H182" s="425"/>
      <c r="I182" s="425"/>
      <c r="J182" s="425"/>
      <c r="K182" s="425"/>
      <c r="L182" s="425"/>
      <c r="M182" s="425"/>
      <c r="N182" s="425"/>
      <c r="O182" s="425"/>
      <c r="P182" s="425"/>
      <c r="Q182" s="425"/>
      <c r="R182" s="425"/>
      <c r="S182" s="425"/>
      <c r="T182" s="425"/>
      <c r="U182" s="425"/>
      <c r="V182" s="425"/>
      <c r="W182" s="425"/>
      <c r="X182" s="172"/>
      <c r="Y182" s="172"/>
      <c r="Z182" s="172"/>
      <c r="AA182" s="172"/>
      <c r="AB182" s="172"/>
      <c r="AC182" s="172"/>
      <c r="AD182" s="172"/>
    </row>
    <row r="183" spans="1:30" x14ac:dyDescent="0.25">
      <c r="A183" s="172"/>
      <c r="B183" s="172"/>
      <c r="C183" s="172"/>
      <c r="D183" s="172"/>
      <c r="E183" s="425"/>
      <c r="F183" s="425"/>
      <c r="G183" s="425"/>
      <c r="H183" s="425"/>
      <c r="I183" s="425"/>
      <c r="J183" s="425"/>
      <c r="K183" s="425"/>
      <c r="L183" s="425"/>
      <c r="M183" s="425"/>
      <c r="N183" s="425"/>
      <c r="O183" s="425"/>
      <c r="P183" s="425"/>
      <c r="Q183" s="425"/>
      <c r="R183" s="425"/>
      <c r="S183" s="425"/>
      <c r="T183" s="425"/>
      <c r="U183" s="425"/>
      <c r="V183" s="454"/>
      <c r="W183" s="454"/>
      <c r="X183" s="172"/>
      <c r="Y183" s="172"/>
      <c r="Z183" s="172"/>
      <c r="AA183" s="172"/>
      <c r="AB183" s="172"/>
      <c r="AC183" s="172"/>
      <c r="AD183" s="172"/>
    </row>
    <row r="184" spans="1:30" x14ac:dyDescent="0.25">
      <c r="A184" s="172"/>
      <c r="B184" s="172"/>
      <c r="C184" s="172"/>
      <c r="D184" s="172"/>
      <c r="E184" s="172"/>
      <c r="F184" s="172"/>
      <c r="G184" s="172"/>
      <c r="H184" s="172"/>
      <c r="I184" s="172"/>
      <c r="J184" s="172"/>
      <c r="K184" s="172"/>
      <c r="L184" s="172"/>
      <c r="M184" s="172"/>
      <c r="N184" s="172"/>
      <c r="O184" s="172"/>
      <c r="P184" s="172"/>
      <c r="Q184" s="172"/>
      <c r="R184" s="172"/>
      <c r="S184" s="172"/>
      <c r="T184" s="172"/>
      <c r="U184" s="172"/>
      <c r="V184" s="172"/>
      <c r="W184" s="172"/>
      <c r="X184" s="172"/>
      <c r="Y184" s="172"/>
      <c r="Z184" s="172"/>
      <c r="AA184" s="172"/>
      <c r="AB184" s="172"/>
      <c r="AC184" s="172"/>
      <c r="AD184" s="172"/>
    </row>
    <row r="185" spans="1:30" ht="16.5" customHeight="1" x14ac:dyDescent="0.25">
      <c r="A185" s="172"/>
      <c r="B185" s="172"/>
      <c r="C185" s="172"/>
      <c r="D185" s="172"/>
      <c r="E185" s="172"/>
      <c r="F185" s="172"/>
      <c r="G185" s="172"/>
      <c r="H185" s="172"/>
      <c r="I185" s="172"/>
      <c r="J185" s="172"/>
      <c r="K185" s="172"/>
      <c r="L185" s="172"/>
      <c r="M185" s="172"/>
      <c r="N185" s="172"/>
      <c r="O185" s="172"/>
      <c r="P185" s="172"/>
      <c r="Q185" s="172"/>
      <c r="R185" s="172"/>
      <c r="S185" s="172"/>
      <c r="T185" s="172"/>
      <c r="U185" s="172"/>
      <c r="V185" s="172"/>
      <c r="W185" s="172"/>
      <c r="X185" s="172"/>
      <c r="Y185" s="172"/>
      <c r="Z185" s="172"/>
      <c r="AA185" s="172"/>
      <c r="AB185" s="172"/>
      <c r="AC185" s="172"/>
      <c r="AD185" s="172"/>
    </row>
    <row r="186" spans="1:30" x14ac:dyDescent="0.25">
      <c r="A186" s="1115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172"/>
      <c r="Y186" s="172"/>
      <c r="Z186" s="172"/>
      <c r="AA186" s="172"/>
      <c r="AB186" s="172"/>
      <c r="AC186" s="172"/>
      <c r="AD186" s="172"/>
    </row>
    <row r="187" spans="1:30" x14ac:dyDescent="0.25">
      <c r="A187" s="172"/>
      <c r="B187" s="172"/>
      <c r="C187" s="172"/>
      <c r="D187" s="172"/>
      <c r="E187" s="172"/>
      <c r="F187" s="172"/>
      <c r="G187" s="172"/>
      <c r="H187" s="172"/>
      <c r="I187" s="172"/>
      <c r="J187" s="172"/>
      <c r="K187" s="172"/>
      <c r="L187" s="172"/>
      <c r="M187" s="172"/>
      <c r="N187" s="172"/>
      <c r="O187" s="172"/>
      <c r="P187" s="172"/>
      <c r="Q187" s="172"/>
      <c r="R187" s="172"/>
      <c r="S187" s="172"/>
      <c r="T187" s="172"/>
      <c r="U187" s="172"/>
      <c r="V187" s="209"/>
      <c r="W187" s="209"/>
      <c r="X187" s="172"/>
      <c r="Y187" s="172"/>
      <c r="Z187" s="172"/>
      <c r="AA187" s="172"/>
      <c r="AB187" s="172"/>
      <c r="AC187" s="172"/>
      <c r="AD187" s="172"/>
    </row>
    <row r="188" spans="1:30" x14ac:dyDescent="0.25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172"/>
      <c r="Y188" s="172"/>
      <c r="Z188" s="172"/>
      <c r="AA188" s="172"/>
      <c r="AB188" s="172"/>
      <c r="AC188" s="172"/>
      <c r="AD188" s="172"/>
    </row>
    <row r="189" spans="1:30" x14ac:dyDescent="0.25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172"/>
      <c r="Y189" s="172"/>
      <c r="Z189" s="172"/>
      <c r="AA189" s="172"/>
      <c r="AB189" s="172"/>
      <c r="AC189" s="172"/>
      <c r="AD189" s="172"/>
    </row>
    <row r="190" spans="1:30" x14ac:dyDescent="0.25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172"/>
      <c r="Y190" s="172"/>
      <c r="Z190" s="172"/>
      <c r="AA190" s="172"/>
      <c r="AB190" s="172"/>
      <c r="AC190" s="172"/>
      <c r="AD190" s="172"/>
    </row>
    <row r="191" spans="1:30" x14ac:dyDescent="0.25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172"/>
      <c r="Y191" s="172"/>
      <c r="Z191" s="172"/>
      <c r="AA191" s="172"/>
      <c r="AB191" s="172"/>
      <c r="AC191" s="172"/>
      <c r="AD191" s="172"/>
    </row>
    <row r="192" spans="1:30" x14ac:dyDescent="0.25">
      <c r="A192" s="166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172"/>
      <c r="Y192" s="172"/>
      <c r="Z192" s="172"/>
      <c r="AA192" s="172"/>
      <c r="AB192" s="172"/>
      <c r="AC192" s="172"/>
      <c r="AD192" s="172"/>
    </row>
    <row r="193" spans="1:30" x14ac:dyDescent="0.25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971"/>
      <c r="W193" s="971"/>
      <c r="X193" s="172"/>
      <c r="Y193" s="172"/>
      <c r="Z193" s="172"/>
      <c r="AA193" s="172"/>
      <c r="AB193" s="172"/>
      <c r="AC193" s="172"/>
      <c r="AD193" s="172"/>
    </row>
    <row r="194" spans="1:30" x14ac:dyDescent="0.25">
      <c r="A194" s="165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172"/>
      <c r="Y194" s="172"/>
      <c r="Z194" s="172"/>
      <c r="AA194" s="172"/>
      <c r="AB194" s="172"/>
      <c r="AC194" s="172"/>
      <c r="AD194" s="172"/>
    </row>
    <row r="195" spans="1:30" x14ac:dyDescent="0.25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172"/>
      <c r="Y195" s="172"/>
      <c r="Z195" s="172"/>
      <c r="AA195" s="172"/>
      <c r="AB195" s="172"/>
      <c r="AC195" s="172"/>
      <c r="AD195" s="172"/>
    </row>
    <row r="196" spans="1:30" x14ac:dyDescent="0.25">
      <c r="A196" s="172"/>
      <c r="B196" s="172"/>
      <c r="C196" s="172"/>
      <c r="D196" s="172"/>
      <c r="E196" s="172"/>
      <c r="F196" s="172"/>
      <c r="G196" s="172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</row>
    <row r="197" spans="1:30" x14ac:dyDescent="0.25">
      <c r="A197" s="172"/>
      <c r="B197" s="172"/>
      <c r="C197" s="172"/>
      <c r="D197" s="172"/>
      <c r="E197" s="172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</row>
    <row r="198" spans="1:30" x14ac:dyDescent="0.25">
      <c r="A198" s="172"/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  <c r="P198" s="172"/>
      <c r="Q198" s="172"/>
      <c r="R198" s="172"/>
      <c r="S198" s="172"/>
      <c r="T198" s="172"/>
      <c r="U198" s="172"/>
      <c r="V198" s="172"/>
      <c r="W198" s="172"/>
      <c r="X198" s="172"/>
      <c r="Y198" s="172"/>
      <c r="Z198" s="172"/>
      <c r="AA198" s="172"/>
      <c r="AB198" s="172"/>
      <c r="AC198" s="172"/>
      <c r="AD198" s="172"/>
    </row>
    <row r="199" spans="1:30" x14ac:dyDescent="0.25">
      <c r="A199" s="172"/>
      <c r="B199" s="172"/>
      <c r="C199" s="172"/>
      <c r="D199" s="172"/>
      <c r="E199" s="172"/>
      <c r="F199" s="172"/>
      <c r="G199" s="172"/>
      <c r="H199" s="172"/>
      <c r="I199" s="172"/>
      <c r="J199" s="172"/>
      <c r="K199" s="172"/>
      <c r="L199" s="172"/>
      <c r="M199" s="172"/>
      <c r="N199" s="172"/>
      <c r="O199" s="172"/>
      <c r="P199" s="172"/>
      <c r="Q199" s="172"/>
      <c r="R199" s="172"/>
      <c r="S199" s="172"/>
      <c r="T199" s="172"/>
      <c r="U199" s="172"/>
      <c r="V199" s="172"/>
      <c r="W199" s="172"/>
      <c r="X199" s="172"/>
      <c r="Y199" s="172"/>
      <c r="Z199" s="172"/>
      <c r="AA199" s="172"/>
      <c r="AB199" s="172"/>
      <c r="AC199" s="172"/>
      <c r="AD199" s="172"/>
    </row>
    <row r="200" spans="1:30" x14ac:dyDescent="0.25">
      <c r="A200" s="172"/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  <c r="P200" s="172"/>
      <c r="Q200" s="172"/>
      <c r="R200" s="172"/>
      <c r="S200" s="172"/>
      <c r="T200" s="172"/>
      <c r="U200" s="172"/>
      <c r="V200" s="172"/>
      <c r="W200" s="172"/>
      <c r="X200" s="172"/>
      <c r="Y200" s="172"/>
      <c r="Z200" s="172"/>
      <c r="AA200" s="172"/>
      <c r="AB200" s="172"/>
      <c r="AC200" s="172"/>
      <c r="AD200" s="172"/>
    </row>
    <row r="201" spans="1:30" x14ac:dyDescent="0.25">
      <c r="A201" s="172"/>
      <c r="B201" s="172"/>
      <c r="C201" s="172"/>
      <c r="D201" s="172"/>
      <c r="E201" s="172"/>
      <c r="F201" s="172"/>
      <c r="G201" s="172"/>
      <c r="H201" s="172"/>
      <c r="I201" s="172"/>
      <c r="J201" s="172"/>
      <c r="K201" s="172"/>
      <c r="L201" s="172"/>
      <c r="M201" s="172"/>
      <c r="N201" s="172"/>
      <c r="O201" s="172"/>
      <c r="P201" s="172"/>
      <c r="Q201" s="172"/>
      <c r="R201" s="172"/>
      <c r="S201" s="172"/>
      <c r="T201" s="172"/>
      <c r="U201" s="172"/>
      <c r="V201" s="172"/>
      <c r="W201" s="172"/>
      <c r="X201" s="172"/>
      <c r="Y201" s="172"/>
      <c r="Z201" s="172"/>
      <c r="AA201" s="172"/>
      <c r="AB201" s="172"/>
      <c r="AC201" s="172"/>
      <c r="AD201" s="172"/>
    </row>
    <row r="202" spans="1:30" x14ac:dyDescent="0.25">
      <c r="A202" s="172"/>
      <c r="B202" s="172"/>
      <c r="C202" s="172"/>
      <c r="D202" s="172"/>
      <c r="E202" s="172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</row>
    <row r="203" spans="1:30" x14ac:dyDescent="0.25">
      <c r="A203" s="172"/>
      <c r="B203" s="172"/>
      <c r="C203" s="74"/>
      <c r="D203" s="172"/>
      <c r="E203" s="172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</row>
    <row r="204" spans="1:30" x14ac:dyDescent="0.25">
      <c r="A204" s="172"/>
      <c r="B204" s="172"/>
      <c r="C204" s="172"/>
      <c r="D204" s="172"/>
      <c r="E204" s="172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</row>
    <row r="205" spans="1:30" x14ac:dyDescent="0.25">
      <c r="A205" s="172"/>
      <c r="B205" s="172"/>
      <c r="C205" s="172"/>
      <c r="D205" s="172"/>
      <c r="E205" s="172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</row>
    <row r="206" spans="1:30" x14ac:dyDescent="0.25">
      <c r="A206" s="172"/>
      <c r="B206" s="172"/>
      <c r="C206" s="61"/>
      <c r="D206" s="61"/>
      <c r="E206" s="172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61"/>
      <c r="W206" s="61"/>
      <c r="X206" s="172"/>
      <c r="Y206" s="172"/>
      <c r="Z206" s="172"/>
      <c r="AA206" s="172"/>
      <c r="AB206" s="172"/>
      <c r="AC206" s="172"/>
      <c r="AD206" s="172"/>
    </row>
    <row r="207" spans="1:30" x14ac:dyDescent="0.25">
      <c r="A207" s="172"/>
      <c r="B207" s="172"/>
      <c r="C207" s="61"/>
      <c r="D207" s="61"/>
      <c r="E207" s="172"/>
      <c r="F207" s="172"/>
      <c r="G207" s="172"/>
      <c r="H207" s="172"/>
      <c r="I207" s="172"/>
      <c r="J207" s="172"/>
      <c r="K207" s="172"/>
      <c r="L207" s="172"/>
      <c r="M207" s="172"/>
      <c r="N207" s="172"/>
      <c r="O207" s="172"/>
      <c r="P207" s="172"/>
      <c r="Q207" s="172"/>
      <c r="R207" s="172"/>
      <c r="S207" s="172"/>
      <c r="T207" s="172"/>
      <c r="U207" s="172"/>
      <c r="V207" s="61"/>
      <c r="W207" s="61"/>
      <c r="X207" s="172"/>
      <c r="Y207" s="172"/>
      <c r="Z207" s="172"/>
      <c r="AA207" s="172"/>
      <c r="AB207" s="172"/>
      <c r="AC207" s="172"/>
      <c r="AD207" s="172"/>
    </row>
    <row r="208" spans="1:30" x14ac:dyDescent="0.25">
      <c r="A208" s="172"/>
      <c r="B208" s="172"/>
      <c r="C208" s="172"/>
      <c r="D208" s="172"/>
      <c r="E208" s="172"/>
      <c r="F208" s="172"/>
      <c r="G208" s="172"/>
      <c r="H208" s="172"/>
      <c r="I208" s="172"/>
      <c r="J208" s="172"/>
      <c r="K208" s="172"/>
      <c r="L208" s="172"/>
      <c r="M208" s="172"/>
      <c r="N208" s="172"/>
      <c r="O208" s="172"/>
      <c r="P208" s="172"/>
      <c r="Q208" s="172"/>
      <c r="R208" s="172"/>
      <c r="S208" s="172"/>
      <c r="T208" s="172"/>
      <c r="U208" s="172"/>
      <c r="V208" s="425"/>
      <c r="W208" s="425"/>
      <c r="X208" s="172"/>
      <c r="Y208" s="172"/>
      <c r="Z208" s="172"/>
      <c r="AA208" s="172"/>
      <c r="AB208" s="172"/>
      <c r="AC208" s="172"/>
      <c r="AD208" s="172"/>
    </row>
    <row r="209" spans="1:30" x14ac:dyDescent="0.25">
      <c r="A209" s="172"/>
      <c r="B209" s="172"/>
      <c r="C209" s="425"/>
      <c r="D209" s="172"/>
      <c r="E209" s="172"/>
      <c r="F209" s="172"/>
      <c r="G209" s="172"/>
      <c r="H209" s="172"/>
      <c r="I209" s="172"/>
      <c r="J209" s="172"/>
      <c r="K209" s="172"/>
      <c r="L209" s="172"/>
      <c r="M209" s="172"/>
      <c r="N209" s="172"/>
      <c r="O209" s="172"/>
      <c r="P209" s="172"/>
      <c r="Q209" s="172"/>
      <c r="R209" s="172"/>
      <c r="S209" s="172"/>
      <c r="T209" s="172"/>
      <c r="U209" s="172"/>
      <c r="V209" s="454"/>
      <c r="W209" s="454"/>
      <c r="X209" s="172"/>
      <c r="Y209" s="172"/>
      <c r="Z209" s="172"/>
      <c r="AA209" s="172"/>
      <c r="AB209" s="172"/>
      <c r="AC209" s="172"/>
      <c r="AD209" s="172"/>
    </row>
    <row r="210" spans="1:30" x14ac:dyDescent="0.25">
      <c r="A210" s="172"/>
      <c r="B210" s="172"/>
      <c r="C210" s="425"/>
      <c r="D210" s="172"/>
      <c r="E210" s="172"/>
      <c r="F210" s="172"/>
      <c r="G210" s="172"/>
      <c r="H210" s="172"/>
      <c r="I210" s="172"/>
      <c r="J210" s="172"/>
      <c r="K210" s="172"/>
      <c r="L210" s="172"/>
      <c r="M210" s="172"/>
      <c r="N210" s="172"/>
      <c r="O210" s="172"/>
      <c r="P210" s="172"/>
      <c r="Q210" s="172"/>
      <c r="R210" s="172"/>
      <c r="S210" s="172"/>
      <c r="T210" s="172"/>
      <c r="U210" s="172"/>
      <c r="V210" s="466"/>
      <c r="W210" s="466"/>
      <c r="X210" s="172"/>
      <c r="Y210" s="172"/>
      <c r="Z210" s="172"/>
      <c r="AA210" s="172"/>
      <c r="AB210" s="172"/>
      <c r="AC210" s="172"/>
      <c r="AD210" s="172"/>
    </row>
    <row r="211" spans="1:30" x14ac:dyDescent="0.25">
      <c r="A211" s="172"/>
      <c r="B211" s="172"/>
      <c r="C211" s="425"/>
      <c r="D211" s="172"/>
      <c r="E211" s="172"/>
      <c r="F211" s="172"/>
      <c r="G211" s="172"/>
      <c r="H211" s="172"/>
      <c r="I211" s="172"/>
      <c r="J211" s="172"/>
      <c r="K211" s="172"/>
      <c r="L211" s="172"/>
      <c r="M211" s="172"/>
      <c r="N211" s="172"/>
      <c r="O211" s="172"/>
      <c r="P211" s="172"/>
      <c r="Q211" s="172"/>
      <c r="R211" s="172"/>
      <c r="S211" s="172"/>
      <c r="T211" s="172"/>
      <c r="U211" s="172"/>
      <c r="V211" s="466"/>
      <c r="W211" s="466"/>
      <c r="X211" s="172"/>
      <c r="Y211" s="172"/>
      <c r="Z211" s="172"/>
      <c r="AA211" s="172"/>
      <c r="AB211" s="172"/>
      <c r="AC211" s="172"/>
      <c r="AD211" s="172"/>
    </row>
    <row r="212" spans="1:30" x14ac:dyDescent="0.25">
      <c r="A212" s="172"/>
      <c r="B212" s="172"/>
      <c r="C212" s="425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  <c r="O212" s="172"/>
      <c r="P212" s="172"/>
      <c r="Q212" s="172"/>
      <c r="R212" s="172"/>
      <c r="S212" s="172"/>
      <c r="T212" s="172"/>
      <c r="U212" s="172"/>
      <c r="V212" s="466"/>
      <c r="W212" s="466"/>
      <c r="X212" s="172"/>
      <c r="Y212" s="172"/>
      <c r="Z212" s="172"/>
      <c r="AA212" s="172"/>
      <c r="AB212" s="172"/>
      <c r="AC212" s="172"/>
      <c r="AD212" s="172"/>
    </row>
    <row r="213" spans="1:30" x14ac:dyDescent="0.25">
      <c r="A213" s="172"/>
      <c r="B213" s="172"/>
      <c r="C213" s="425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466"/>
      <c r="W213" s="466"/>
      <c r="X213" s="172"/>
      <c r="Y213" s="172"/>
      <c r="Z213" s="172"/>
      <c r="AA213" s="172"/>
      <c r="AB213" s="172"/>
      <c r="AC213" s="172"/>
      <c r="AD213" s="172"/>
    </row>
    <row r="214" spans="1:30" x14ac:dyDescent="0.25">
      <c r="A214" s="172"/>
      <c r="B214" s="172"/>
      <c r="C214" s="425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  <c r="O214" s="172"/>
      <c r="P214" s="172"/>
      <c r="Q214" s="172"/>
      <c r="R214" s="172"/>
      <c r="S214" s="172"/>
      <c r="T214" s="172"/>
      <c r="U214" s="172"/>
      <c r="V214" s="466"/>
      <c r="W214" s="466"/>
      <c r="X214" s="172"/>
      <c r="Y214" s="172"/>
      <c r="Z214" s="172"/>
      <c r="AA214" s="172"/>
      <c r="AB214" s="172"/>
      <c r="AC214" s="172"/>
      <c r="AD214" s="172"/>
    </row>
    <row r="215" spans="1:30" x14ac:dyDescent="0.25">
      <c r="A215" s="172"/>
      <c r="B215" s="172"/>
      <c r="C215" s="425"/>
      <c r="D215" s="172"/>
      <c r="E215" s="172"/>
      <c r="F215" s="172"/>
      <c r="G215" s="172"/>
      <c r="H215" s="172"/>
      <c r="I215" s="172"/>
      <c r="J215" s="172"/>
      <c r="K215" s="172"/>
      <c r="L215" s="172"/>
      <c r="M215" s="172"/>
      <c r="N215" s="172"/>
      <c r="O215" s="172"/>
      <c r="P215" s="172"/>
      <c r="Q215" s="172"/>
      <c r="R215" s="172"/>
      <c r="S215" s="172"/>
      <c r="T215" s="172"/>
      <c r="U215" s="172"/>
      <c r="V215" s="466"/>
      <c r="W215" s="466"/>
      <c r="X215" s="172"/>
      <c r="Y215" s="172"/>
      <c r="Z215" s="172"/>
      <c r="AA215" s="172"/>
      <c r="AB215" s="172"/>
      <c r="AC215" s="172"/>
      <c r="AD215" s="172"/>
    </row>
    <row r="216" spans="1:30" x14ac:dyDescent="0.25">
      <c r="A216" s="172"/>
      <c r="B216" s="172"/>
      <c r="C216" s="425"/>
      <c r="D216" s="172"/>
      <c r="E216" s="172"/>
      <c r="F216" s="172"/>
      <c r="G216" s="172"/>
      <c r="H216" s="172"/>
      <c r="I216" s="172"/>
      <c r="J216" s="172"/>
      <c r="K216" s="172"/>
      <c r="L216" s="172"/>
      <c r="M216" s="172"/>
      <c r="N216" s="172"/>
      <c r="O216" s="172"/>
      <c r="P216" s="172"/>
      <c r="Q216" s="172"/>
      <c r="R216" s="172"/>
      <c r="S216" s="172"/>
      <c r="T216" s="172"/>
      <c r="U216" s="172"/>
      <c r="V216" s="466"/>
      <c r="W216" s="466"/>
      <c r="X216" s="172"/>
      <c r="Y216" s="172"/>
      <c r="Z216" s="172"/>
      <c r="AA216" s="172"/>
      <c r="AB216" s="172"/>
      <c r="AC216" s="172"/>
      <c r="AD216" s="172"/>
    </row>
    <row r="217" spans="1:30" x14ac:dyDescent="0.25">
      <c r="A217" s="172"/>
      <c r="B217" s="172"/>
      <c r="C217" s="172"/>
      <c r="D217" s="172"/>
      <c r="E217" s="172"/>
      <c r="F217" s="172"/>
      <c r="G217" s="172"/>
      <c r="H217" s="172"/>
      <c r="I217" s="172"/>
      <c r="J217" s="172"/>
      <c r="K217" s="172"/>
      <c r="L217" s="172"/>
      <c r="M217" s="172"/>
      <c r="N217" s="172"/>
      <c r="O217" s="172"/>
      <c r="P217" s="172"/>
      <c r="Q217" s="172"/>
      <c r="R217" s="172"/>
      <c r="S217" s="172"/>
      <c r="T217" s="172"/>
      <c r="U217" s="172"/>
      <c r="V217" s="425"/>
      <c r="W217" s="425"/>
      <c r="X217" s="172"/>
      <c r="Y217" s="172"/>
      <c r="Z217" s="172"/>
      <c r="AA217" s="172"/>
      <c r="AB217" s="172"/>
      <c r="AC217" s="172"/>
      <c r="AD217" s="172"/>
    </row>
    <row r="218" spans="1:30" x14ac:dyDescent="0.25">
      <c r="A218" s="172"/>
      <c r="B218" s="172"/>
      <c r="C218" s="172"/>
      <c r="D218" s="172"/>
      <c r="E218" s="172"/>
      <c r="F218" s="172"/>
      <c r="G218" s="172"/>
      <c r="H218" s="172"/>
      <c r="I218" s="172"/>
      <c r="J218" s="172"/>
      <c r="K218" s="172"/>
      <c r="L218" s="172"/>
      <c r="M218" s="172"/>
      <c r="N218" s="172"/>
      <c r="O218" s="172"/>
      <c r="P218" s="172"/>
      <c r="Q218" s="172"/>
      <c r="R218" s="172"/>
      <c r="S218" s="172"/>
      <c r="T218" s="172"/>
      <c r="U218" s="172"/>
      <c r="V218" s="454"/>
      <c r="W218" s="454"/>
      <c r="X218" s="172"/>
      <c r="Y218" s="172"/>
      <c r="Z218" s="172"/>
      <c r="AA218" s="172"/>
      <c r="AB218" s="172"/>
      <c r="AC218" s="172"/>
      <c r="AD218" s="172"/>
    </row>
    <row r="219" spans="1:30" x14ac:dyDescent="0.25">
      <c r="A219" s="172"/>
      <c r="B219" s="172"/>
      <c r="C219" s="172"/>
      <c r="D219" s="172"/>
      <c r="E219" s="172"/>
      <c r="F219" s="172"/>
      <c r="G219" s="172"/>
      <c r="H219" s="172"/>
      <c r="I219" s="172"/>
      <c r="J219" s="172"/>
      <c r="K219" s="172"/>
      <c r="L219" s="172"/>
      <c r="M219" s="172"/>
      <c r="N219" s="172"/>
      <c r="O219" s="172"/>
      <c r="P219" s="172"/>
      <c r="Q219" s="172"/>
      <c r="R219" s="172"/>
      <c r="S219" s="172"/>
      <c r="T219" s="172"/>
      <c r="U219" s="172"/>
      <c r="V219" s="172"/>
      <c r="W219" s="172"/>
      <c r="X219" s="172"/>
      <c r="Y219" s="172"/>
      <c r="Z219" s="172"/>
      <c r="AA219" s="172"/>
      <c r="AB219" s="172"/>
      <c r="AC219" s="172"/>
      <c r="AD219" s="172"/>
    </row>
    <row r="220" spans="1:30" x14ac:dyDescent="0.25">
      <c r="A220" s="172"/>
      <c r="B220" s="172"/>
      <c r="C220" s="172"/>
      <c r="D220" s="172"/>
      <c r="E220" s="172"/>
      <c r="F220" s="172"/>
      <c r="G220" s="172"/>
      <c r="H220" s="172"/>
      <c r="I220" s="172"/>
      <c r="J220" s="172"/>
      <c r="K220" s="172"/>
      <c r="L220" s="172"/>
      <c r="M220" s="172"/>
      <c r="N220" s="172"/>
      <c r="O220" s="172"/>
      <c r="P220" s="172"/>
      <c r="Q220" s="172"/>
      <c r="R220" s="172"/>
      <c r="S220" s="172"/>
      <c r="T220" s="172"/>
      <c r="U220" s="172"/>
      <c r="V220" s="209"/>
      <c r="W220" s="209"/>
      <c r="X220" s="172"/>
      <c r="Y220" s="172"/>
      <c r="Z220" s="172"/>
      <c r="AA220" s="172"/>
      <c r="AB220" s="172"/>
      <c r="AC220" s="172"/>
      <c r="AD220" s="172"/>
    </row>
    <row r="221" spans="1:30" x14ac:dyDescent="0.25">
      <c r="A221" s="172"/>
      <c r="B221" s="172"/>
      <c r="C221" s="172"/>
      <c r="D221" s="172"/>
      <c r="E221" s="172"/>
      <c r="F221" s="172"/>
      <c r="G221" s="172"/>
      <c r="H221" s="172"/>
      <c r="I221" s="172"/>
      <c r="J221" s="172"/>
      <c r="K221" s="172"/>
      <c r="L221" s="172"/>
      <c r="M221" s="172"/>
      <c r="N221" s="172"/>
      <c r="O221" s="172"/>
      <c r="P221" s="172"/>
      <c r="Q221" s="172"/>
      <c r="R221" s="172"/>
      <c r="S221" s="172"/>
      <c r="T221" s="172"/>
      <c r="U221" s="172"/>
      <c r="V221" s="201"/>
      <c r="W221" s="201"/>
      <c r="X221" s="172"/>
      <c r="Y221" s="172"/>
      <c r="Z221" s="172"/>
      <c r="AA221" s="172"/>
      <c r="AB221" s="172"/>
      <c r="AC221" s="172"/>
      <c r="AD221" s="172"/>
    </row>
    <row r="222" spans="1:30" x14ac:dyDescent="0.25">
      <c r="A222" s="172"/>
      <c r="B222" s="172"/>
      <c r="C222" s="172"/>
      <c r="D222" s="172"/>
      <c r="E222" s="172"/>
      <c r="F222" s="172"/>
      <c r="G222" s="172"/>
      <c r="H222" s="172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</row>
    <row r="223" spans="1:30" x14ac:dyDescent="0.25">
      <c r="A223" s="172"/>
      <c r="B223" s="172"/>
      <c r="C223" s="172"/>
      <c r="D223" s="172"/>
      <c r="E223" s="172"/>
      <c r="F223" s="172"/>
      <c r="G223" s="172"/>
      <c r="H223" s="172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209"/>
      <c r="W223" s="209"/>
      <c r="X223" s="172"/>
      <c r="Y223" s="172"/>
      <c r="Z223" s="172"/>
      <c r="AA223" s="172"/>
      <c r="AB223" s="172"/>
      <c r="AC223" s="172"/>
      <c r="AD223" s="172"/>
    </row>
    <row r="224" spans="1:30" x14ac:dyDescent="0.25">
      <c r="A224" s="172"/>
      <c r="B224" s="172"/>
      <c r="C224" s="172"/>
      <c r="D224" s="172"/>
      <c r="E224" s="172"/>
      <c r="F224" s="172"/>
      <c r="G224" s="172"/>
      <c r="H224" s="172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</row>
    <row r="225" spans="1:30" x14ac:dyDescent="0.25">
      <c r="A225" s="1168"/>
      <c r="B225" s="410"/>
      <c r="C225" s="410"/>
      <c r="D225" s="410"/>
      <c r="E225" s="410"/>
      <c r="F225" s="410"/>
      <c r="G225" s="410"/>
      <c r="H225" s="410"/>
      <c r="I225" s="410"/>
      <c r="J225" s="410"/>
      <c r="K225" s="410"/>
      <c r="L225" s="410"/>
      <c r="M225" s="410"/>
      <c r="N225" s="410"/>
      <c r="O225" s="410"/>
      <c r="P225" s="410"/>
      <c r="Q225" s="410"/>
      <c r="R225" s="410"/>
      <c r="S225" s="410"/>
      <c r="T225" s="410"/>
      <c r="U225" s="410"/>
      <c r="V225" s="410"/>
      <c r="W225" s="410"/>
      <c r="X225" s="172"/>
      <c r="Y225" s="172"/>
      <c r="Z225" s="172"/>
      <c r="AA225" s="172"/>
      <c r="AB225" s="172"/>
      <c r="AC225" s="172"/>
      <c r="AD225" s="172"/>
    </row>
    <row r="226" spans="1:30" x14ac:dyDescent="0.25">
      <c r="A226" s="172"/>
      <c r="B226" s="172"/>
      <c r="C226" s="172"/>
      <c r="D226" s="172"/>
      <c r="E226" s="172"/>
      <c r="F226" s="172"/>
      <c r="G226" s="172"/>
      <c r="H226" s="172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</row>
    <row r="227" spans="1:30" x14ac:dyDescent="0.25">
      <c r="A227" s="172"/>
      <c r="B227" s="172"/>
      <c r="C227" s="172"/>
      <c r="D227" s="172"/>
      <c r="E227" s="172"/>
      <c r="F227" s="172"/>
      <c r="G227" s="172"/>
      <c r="H227" s="172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</row>
    <row r="228" spans="1:30" x14ac:dyDescent="0.25">
      <c r="A228" s="172"/>
      <c r="B228" s="172"/>
      <c r="C228" s="172"/>
      <c r="D228" s="172"/>
      <c r="E228" s="172"/>
      <c r="F228" s="172"/>
      <c r="G228" s="172"/>
      <c r="H228" s="172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</row>
    <row r="229" spans="1:30" x14ac:dyDescent="0.25">
      <c r="A229" s="172"/>
      <c r="B229" s="172"/>
      <c r="C229" s="172"/>
      <c r="D229" s="172"/>
      <c r="E229" s="172"/>
      <c r="F229" s="172"/>
      <c r="G229" s="172"/>
      <c r="H229" s="172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</row>
    <row r="230" spans="1:30" x14ac:dyDescent="0.25">
      <c r="A230" s="172"/>
      <c r="B230" s="172"/>
      <c r="C230" s="172"/>
      <c r="D230" s="172"/>
      <c r="E230" s="172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209"/>
      <c r="W230" s="209"/>
      <c r="X230" s="172"/>
      <c r="Y230" s="172"/>
      <c r="Z230" s="172"/>
      <c r="AA230" s="172"/>
      <c r="AB230" s="172"/>
      <c r="AC230" s="172"/>
      <c r="AD230" s="172"/>
    </row>
    <row r="231" spans="1:30" x14ac:dyDescent="0.25">
      <c r="A231" s="172"/>
      <c r="B231" s="172"/>
      <c r="C231" s="172"/>
      <c r="D231" s="172"/>
      <c r="E231" s="172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201"/>
      <c r="W231" s="201"/>
      <c r="X231" s="172"/>
      <c r="Y231" s="172"/>
      <c r="Z231" s="172"/>
      <c r="AA231" s="172"/>
      <c r="AB231" s="172"/>
      <c r="AC231" s="172"/>
      <c r="AD231" s="172"/>
    </row>
    <row r="232" spans="1:30" x14ac:dyDescent="0.25">
      <c r="A232" s="172"/>
      <c r="B232" s="172"/>
      <c r="C232" s="172"/>
      <c r="D232" s="172"/>
      <c r="E232" s="172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</row>
    <row r="233" spans="1:30" x14ac:dyDescent="0.25">
      <c r="A233" s="172"/>
      <c r="B233" s="172"/>
      <c r="C233" s="172"/>
      <c r="D233" s="172"/>
      <c r="E233" s="172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209"/>
      <c r="W233" s="209"/>
      <c r="X233" s="172"/>
      <c r="Y233" s="172"/>
      <c r="Z233" s="172"/>
      <c r="AA233" s="172"/>
      <c r="AB233" s="172"/>
      <c r="AC233" s="172"/>
      <c r="AD233" s="172"/>
    </row>
    <row r="234" spans="1:30" x14ac:dyDescent="0.25">
      <c r="A234" s="172"/>
      <c r="B234" s="172"/>
      <c r="C234" s="172"/>
      <c r="D234" s="172"/>
      <c r="E234" s="172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</row>
    <row r="235" spans="1:30" x14ac:dyDescent="0.25">
      <c r="A235" s="409"/>
      <c r="B235" s="61"/>
      <c r="C235" s="61"/>
      <c r="D235" s="61"/>
      <c r="E235" s="61"/>
      <c r="F235" s="61"/>
      <c r="G235" s="61"/>
      <c r="H235" s="61"/>
      <c r="I235" s="61"/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172"/>
      <c r="Y235" s="172"/>
      <c r="Z235" s="172"/>
      <c r="AA235" s="172"/>
      <c r="AB235" s="172"/>
      <c r="AC235" s="172"/>
      <c r="AD235" s="172"/>
    </row>
    <row r="236" spans="1:30" x14ac:dyDescent="0.25">
      <c r="A236" s="172"/>
      <c r="B236" s="172"/>
      <c r="C236" s="172"/>
      <c r="D236" s="172"/>
      <c r="E236" s="172"/>
      <c r="F236" s="172"/>
      <c r="G236" s="172"/>
      <c r="H236" s="172"/>
      <c r="I236" s="172"/>
      <c r="J236" s="172"/>
      <c r="K236" s="172"/>
      <c r="L236" s="172"/>
      <c r="M236" s="172"/>
      <c r="N236" s="172"/>
      <c r="O236" s="172"/>
      <c r="P236" s="172"/>
      <c r="Q236" s="172"/>
      <c r="R236" s="172"/>
      <c r="S236" s="172"/>
      <c r="T236" s="172"/>
      <c r="U236" s="172"/>
      <c r="V236" s="172"/>
      <c r="W236" s="172"/>
      <c r="X236" s="172"/>
      <c r="Y236" s="172"/>
      <c r="Z236" s="172"/>
      <c r="AA236" s="172"/>
      <c r="AB236" s="172"/>
      <c r="AC236" s="172"/>
      <c r="AD236" s="172"/>
    </row>
    <row r="237" spans="1:30" x14ac:dyDescent="0.25">
      <c r="A237" s="172"/>
      <c r="B237" s="172"/>
      <c r="C237" s="172"/>
      <c r="D237" s="172"/>
      <c r="E237" s="172"/>
      <c r="F237" s="172"/>
      <c r="G237" s="172"/>
      <c r="H237" s="172"/>
      <c r="I237" s="172"/>
      <c r="J237" s="172"/>
      <c r="K237" s="172"/>
      <c r="L237" s="172"/>
      <c r="M237" s="172"/>
      <c r="N237" s="172"/>
      <c r="O237" s="172"/>
      <c r="P237" s="172"/>
      <c r="Q237" s="172"/>
      <c r="R237" s="172"/>
      <c r="S237" s="172"/>
      <c r="T237" s="172"/>
      <c r="U237" s="172"/>
      <c r="V237" s="172"/>
      <c r="W237" s="172"/>
      <c r="X237" s="172"/>
      <c r="Y237" s="172"/>
      <c r="Z237" s="172"/>
      <c r="AA237" s="172"/>
      <c r="AB237" s="172"/>
      <c r="AC237" s="172"/>
      <c r="AD237" s="172"/>
    </row>
    <row r="238" spans="1:30" x14ac:dyDescent="0.25">
      <c r="A238" s="172"/>
      <c r="B238" s="172"/>
      <c r="C238" s="172"/>
      <c r="D238" s="172"/>
      <c r="E238" s="172"/>
      <c r="F238" s="172"/>
      <c r="G238" s="172"/>
      <c r="H238" s="172"/>
      <c r="I238" s="172"/>
      <c r="J238" s="172"/>
      <c r="K238" s="172"/>
      <c r="L238" s="172"/>
      <c r="M238" s="172"/>
      <c r="N238" s="172"/>
      <c r="O238" s="172"/>
      <c r="P238" s="172"/>
      <c r="Q238" s="172"/>
      <c r="R238" s="172"/>
      <c r="S238" s="172"/>
      <c r="T238" s="172"/>
      <c r="U238" s="172"/>
      <c r="V238" s="172"/>
      <c r="W238" s="172"/>
      <c r="X238" s="172"/>
      <c r="Y238" s="172"/>
      <c r="Z238" s="172"/>
      <c r="AA238" s="172"/>
      <c r="AB238" s="172"/>
      <c r="AC238" s="172"/>
      <c r="AD238" s="172"/>
    </row>
    <row r="239" spans="1:30" x14ac:dyDescent="0.25">
      <c r="A239" s="172"/>
      <c r="B239" s="172"/>
      <c r="C239" s="172"/>
      <c r="D239" s="172"/>
      <c r="E239" s="172"/>
      <c r="F239" s="172"/>
      <c r="G239" s="172"/>
      <c r="H239" s="172"/>
      <c r="I239" s="172"/>
      <c r="J239" s="172"/>
      <c r="K239" s="172"/>
      <c r="L239" s="172"/>
      <c r="M239" s="172"/>
      <c r="N239" s="172"/>
      <c r="O239" s="172"/>
      <c r="P239" s="172"/>
      <c r="Q239" s="172"/>
      <c r="R239" s="172"/>
      <c r="S239" s="172"/>
      <c r="T239" s="172"/>
      <c r="U239" s="172"/>
      <c r="V239" s="172"/>
      <c r="W239" s="172"/>
      <c r="X239" s="172"/>
      <c r="Y239" s="172"/>
      <c r="Z239" s="172"/>
      <c r="AA239" s="172"/>
      <c r="AB239" s="172"/>
      <c r="AC239" s="172"/>
      <c r="AD239" s="172"/>
    </row>
    <row r="240" spans="1:30" x14ac:dyDescent="0.25">
      <c r="A240" s="172"/>
      <c r="B240" s="172"/>
      <c r="C240" s="172"/>
      <c r="D240" s="172"/>
      <c r="E240" s="172"/>
      <c r="F240" s="172"/>
      <c r="G240" s="172"/>
      <c r="H240" s="172"/>
      <c r="I240" s="172"/>
      <c r="J240" s="172"/>
      <c r="K240" s="172"/>
      <c r="L240" s="172"/>
      <c r="M240" s="172"/>
      <c r="N240" s="172"/>
      <c r="O240" s="172"/>
      <c r="P240" s="172"/>
      <c r="Q240" s="172"/>
      <c r="R240" s="172"/>
      <c r="S240" s="172"/>
      <c r="T240" s="172"/>
      <c r="U240" s="172"/>
      <c r="V240" s="209"/>
      <c r="W240" s="209"/>
      <c r="X240" s="172"/>
      <c r="Y240" s="172"/>
      <c r="Z240" s="172"/>
      <c r="AA240" s="172"/>
      <c r="AB240" s="172"/>
      <c r="AC240" s="172"/>
      <c r="AD240" s="172"/>
    </row>
    <row r="241" spans="1:30" x14ac:dyDescent="0.25">
      <c r="A241" s="172"/>
      <c r="B241" s="172"/>
      <c r="C241" s="172"/>
      <c r="D241" s="172"/>
      <c r="E241" s="172"/>
      <c r="F241" s="172"/>
      <c r="G241" s="172"/>
      <c r="H241" s="172"/>
      <c r="I241" s="172"/>
      <c r="J241" s="172"/>
      <c r="K241" s="172"/>
      <c r="L241" s="172"/>
      <c r="M241" s="172"/>
      <c r="N241" s="172"/>
      <c r="O241" s="172"/>
      <c r="P241" s="172"/>
      <c r="Q241" s="172"/>
      <c r="R241" s="172"/>
      <c r="S241" s="172"/>
      <c r="T241" s="172"/>
      <c r="U241" s="172"/>
      <c r="V241" s="201"/>
      <c r="W241" s="201"/>
      <c r="X241" s="172"/>
      <c r="Y241" s="172"/>
      <c r="Z241" s="172"/>
      <c r="AA241" s="172"/>
      <c r="AB241" s="172"/>
      <c r="AC241" s="172"/>
      <c r="AD241" s="172"/>
    </row>
    <row r="242" spans="1:30" x14ac:dyDescent="0.25">
      <c r="A242" s="172"/>
      <c r="B242" s="172"/>
      <c r="C242" s="172"/>
      <c r="D242" s="172"/>
      <c r="E242" s="172"/>
      <c r="F242" s="172"/>
      <c r="G242" s="172"/>
      <c r="H242" s="172"/>
      <c r="I242" s="172"/>
      <c r="J242" s="172"/>
      <c r="K242" s="172"/>
      <c r="L242" s="172"/>
      <c r="M242" s="172"/>
      <c r="N242" s="172"/>
      <c r="O242" s="172"/>
      <c r="P242" s="172"/>
      <c r="Q242" s="172"/>
      <c r="R242" s="172"/>
      <c r="S242" s="172"/>
      <c r="T242" s="172"/>
      <c r="U242" s="172"/>
      <c r="V242" s="172"/>
      <c r="W242" s="172"/>
      <c r="X242" s="172"/>
      <c r="Y242" s="172"/>
      <c r="Z242" s="172"/>
      <c r="AA242" s="172"/>
      <c r="AB242" s="172"/>
      <c r="AC242" s="172"/>
      <c r="AD242" s="172"/>
    </row>
    <row r="243" spans="1:30" x14ac:dyDescent="0.25">
      <c r="A243" s="172"/>
      <c r="B243" s="172"/>
      <c r="C243" s="172"/>
      <c r="D243" s="172"/>
      <c r="E243" s="172"/>
      <c r="F243" s="172"/>
      <c r="G243" s="172"/>
      <c r="H243" s="172"/>
      <c r="I243" s="172"/>
      <c r="J243" s="172"/>
      <c r="K243" s="172"/>
      <c r="L243" s="172"/>
      <c r="M243" s="172"/>
      <c r="N243" s="172"/>
      <c r="O243" s="172"/>
      <c r="P243" s="172"/>
      <c r="Q243" s="172"/>
      <c r="R243" s="172"/>
      <c r="S243" s="172"/>
      <c r="T243" s="172"/>
      <c r="U243" s="172"/>
      <c r="V243" s="209"/>
      <c r="W243" s="209"/>
      <c r="X243" s="172"/>
      <c r="Y243" s="172"/>
      <c r="Z243" s="172"/>
      <c r="AA243" s="172"/>
      <c r="AB243" s="172"/>
      <c r="AC243" s="172"/>
      <c r="AD243" s="172"/>
    </row>
    <row r="244" spans="1:30" x14ac:dyDescent="0.25">
      <c r="A244" s="172"/>
      <c r="B244" s="172"/>
      <c r="C244" s="172"/>
      <c r="D244" s="172"/>
      <c r="E244" s="172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</row>
    <row r="245" spans="1:30" x14ac:dyDescent="0.25">
      <c r="A245" s="172"/>
      <c r="B245" s="172"/>
      <c r="C245" s="172"/>
      <c r="D245" s="172"/>
      <c r="E245" s="172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</row>
    <row r="246" spans="1:30" x14ac:dyDescent="0.25">
      <c r="A246" s="172"/>
      <c r="B246" s="172"/>
      <c r="C246" s="172"/>
      <c r="D246" s="172"/>
      <c r="E246" s="172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</row>
    <row r="247" spans="1:30" x14ac:dyDescent="0.25">
      <c r="A247" s="172"/>
      <c r="B247" s="172"/>
      <c r="C247" s="172"/>
      <c r="D247" s="172"/>
      <c r="E247" s="172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</row>
    <row r="248" spans="1:30" x14ac:dyDescent="0.25">
      <c r="A248" s="172"/>
      <c r="B248" s="172"/>
      <c r="C248" s="172"/>
      <c r="D248" s="172"/>
      <c r="E248" s="172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</row>
    <row r="249" spans="1:30" x14ac:dyDescent="0.25">
      <c r="A249" s="172"/>
      <c r="B249" s="172"/>
      <c r="C249" s="172"/>
      <c r="D249" s="172"/>
      <c r="E249" s="172"/>
      <c r="F249" s="172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</row>
    <row r="250" spans="1:30" x14ac:dyDescent="0.25">
      <c r="A250" s="172"/>
      <c r="B250" s="172"/>
      <c r="C250" s="172"/>
      <c r="D250" s="172"/>
      <c r="E250" s="172"/>
      <c r="F250" s="172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</row>
    <row r="251" spans="1:30" x14ac:dyDescent="0.25">
      <c r="A251" s="172"/>
      <c r="B251" s="172"/>
      <c r="C251" s="172"/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</row>
    <row r="252" spans="1:30" x14ac:dyDescent="0.25">
      <c r="A252" s="61"/>
      <c r="B252" s="61"/>
      <c r="C252" s="61"/>
      <c r="D252" s="61"/>
      <c r="E252" s="61"/>
      <c r="F252" s="61"/>
      <c r="G252" s="61"/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172"/>
      <c r="Y252" s="172"/>
      <c r="Z252" s="172"/>
      <c r="AA252" s="172"/>
      <c r="AB252" s="172"/>
      <c r="AC252" s="172"/>
      <c r="AD252" s="172"/>
    </row>
    <row r="253" spans="1:30" x14ac:dyDescent="0.25">
      <c r="A253" s="61"/>
      <c r="B253" s="61"/>
      <c r="C253" s="61"/>
      <c r="D253" s="61"/>
      <c r="E253" s="61"/>
      <c r="F253" s="61"/>
      <c r="G253" s="61"/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172"/>
      <c r="Y253" s="172"/>
      <c r="Z253" s="172"/>
      <c r="AA253" s="172"/>
      <c r="AB253" s="172"/>
      <c r="AC253" s="172"/>
      <c r="AD253" s="172"/>
    </row>
    <row r="254" spans="1:30" x14ac:dyDescent="0.25">
      <c r="A254" s="61"/>
      <c r="B254" s="61"/>
      <c r="C254" s="61"/>
      <c r="D254" s="61"/>
      <c r="E254" s="61"/>
      <c r="F254" s="61"/>
      <c r="G254" s="61"/>
      <c r="H254" s="61"/>
      <c r="I254" s="61"/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172"/>
      <c r="Y254" s="172"/>
      <c r="Z254" s="172"/>
      <c r="AA254" s="172"/>
      <c r="AB254" s="172"/>
      <c r="AC254" s="172"/>
      <c r="AD254" s="172"/>
    </row>
    <row r="255" spans="1:30" x14ac:dyDescent="0.25">
      <c r="A255" s="61"/>
      <c r="B255" s="61"/>
      <c r="C255" s="61"/>
      <c r="D255" s="61"/>
      <c r="E255" s="61"/>
      <c r="F255" s="61"/>
      <c r="G255" s="61"/>
      <c r="H255" s="61"/>
      <c r="I255" s="61"/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172"/>
      <c r="Y255" s="172"/>
      <c r="Z255" s="172"/>
      <c r="AA255" s="172"/>
      <c r="AB255" s="172"/>
      <c r="AC255" s="172"/>
      <c r="AD255" s="172"/>
    </row>
    <row r="256" spans="1:30" x14ac:dyDescent="0.25">
      <c r="A256" s="172"/>
      <c r="B256" s="172"/>
      <c r="C256" s="172"/>
      <c r="D256" s="172"/>
      <c r="E256" s="172"/>
      <c r="F256" s="172"/>
      <c r="G256" s="172"/>
      <c r="H256" s="172"/>
      <c r="I256" s="172"/>
      <c r="J256" s="172"/>
      <c r="K256" s="172"/>
      <c r="L256" s="172"/>
      <c r="M256" s="172"/>
      <c r="N256" s="172"/>
      <c r="O256" s="172"/>
      <c r="P256" s="172"/>
      <c r="Q256" s="172"/>
      <c r="R256" s="172"/>
      <c r="S256" s="172"/>
      <c r="T256" s="172"/>
      <c r="U256" s="172"/>
      <c r="V256" s="172"/>
      <c r="W256" s="172"/>
      <c r="X256" s="172"/>
      <c r="Y256" s="172"/>
      <c r="Z256" s="172"/>
      <c r="AA256" s="172"/>
      <c r="AB256" s="172"/>
      <c r="AC256" s="172"/>
      <c r="AD256" s="172"/>
    </row>
    <row r="257" spans="1:30" x14ac:dyDescent="0.25">
      <c r="A257" s="172"/>
      <c r="B257" s="172"/>
      <c r="C257" s="172"/>
      <c r="D257" s="172"/>
      <c r="E257" s="172"/>
      <c r="F257" s="172"/>
      <c r="G257" s="172"/>
      <c r="H257" s="172"/>
      <c r="I257" s="172"/>
      <c r="J257" s="172"/>
      <c r="K257" s="172"/>
      <c r="L257" s="172"/>
      <c r="M257" s="172"/>
      <c r="N257" s="172"/>
      <c r="O257" s="172"/>
      <c r="P257" s="172"/>
      <c r="Q257" s="172"/>
      <c r="R257" s="172"/>
      <c r="S257" s="172"/>
      <c r="T257" s="172"/>
      <c r="U257" s="172"/>
      <c r="V257" s="172"/>
      <c r="W257" s="172"/>
      <c r="X257" s="172"/>
      <c r="Y257" s="172"/>
      <c r="Z257" s="172"/>
      <c r="AA257" s="172"/>
      <c r="AB257" s="172"/>
      <c r="AC257" s="172"/>
      <c r="AD257" s="172"/>
    </row>
    <row r="258" spans="1:30" x14ac:dyDescent="0.25">
      <c r="A258" s="172"/>
      <c r="B258" s="172"/>
      <c r="C258" s="172"/>
      <c r="D258" s="172"/>
      <c r="E258" s="172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</row>
    <row r="259" spans="1:30" x14ac:dyDescent="0.25">
      <c r="A259" s="172"/>
      <c r="B259" s="172"/>
      <c r="C259" s="172"/>
      <c r="D259" s="172"/>
      <c r="E259" s="172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</row>
    <row r="260" spans="1:30" x14ac:dyDescent="0.25">
      <c r="A260" s="172"/>
      <c r="B260" s="172"/>
      <c r="C260" s="172"/>
      <c r="D260" s="172"/>
      <c r="E260" s="172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</row>
    <row r="261" spans="1:30" x14ac:dyDescent="0.25">
      <c r="A261" s="172"/>
      <c r="B261" s="172"/>
      <c r="C261" s="172"/>
      <c r="D261" s="172"/>
      <c r="E261" s="172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</row>
    <row r="262" spans="1:30" x14ac:dyDescent="0.25">
      <c r="A262" s="172"/>
      <c r="B262" s="172"/>
      <c r="C262" s="172"/>
      <c r="D262" s="172"/>
      <c r="E262" s="172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</row>
    <row r="263" spans="1:30" x14ac:dyDescent="0.25">
      <c r="A263" s="172"/>
      <c r="B263" s="172"/>
      <c r="C263" s="172"/>
      <c r="D263" s="172"/>
      <c r="E263" s="172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</row>
    <row r="264" spans="1:30" x14ac:dyDescent="0.25">
      <c r="A264" s="172"/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</row>
    <row r="265" spans="1:30" x14ac:dyDescent="0.25">
      <c r="A265" s="172"/>
      <c r="B265" s="172"/>
      <c r="C265" s="172"/>
      <c r="D265" s="172"/>
      <c r="E265" s="172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</row>
    <row r="266" spans="1:30" x14ac:dyDescent="0.25">
      <c r="A266" s="172"/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</row>
    <row r="267" spans="1:30" x14ac:dyDescent="0.25">
      <c r="A267" s="172"/>
      <c r="B267" s="172"/>
      <c r="C267" s="172"/>
      <c r="D267" s="172"/>
      <c r="E267" s="172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</row>
    <row r="268" spans="1:30" x14ac:dyDescent="0.25">
      <c r="A268" s="172"/>
      <c r="B268" s="172"/>
      <c r="C268" s="172"/>
      <c r="D268" s="172"/>
      <c r="E268" s="172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</row>
    <row r="269" spans="1:30" x14ac:dyDescent="0.25">
      <c r="A269" s="172"/>
      <c r="B269" s="172"/>
      <c r="C269" s="172"/>
      <c r="D269" s="172"/>
      <c r="E269" s="172"/>
      <c r="F269" s="172"/>
      <c r="G269" s="172"/>
      <c r="H269" s="172"/>
      <c r="I269" s="172"/>
      <c r="J269" s="172"/>
      <c r="K269" s="172"/>
      <c r="L269" s="172"/>
      <c r="M269" s="172"/>
      <c r="N269" s="172"/>
      <c r="O269" s="172"/>
      <c r="P269" s="172"/>
      <c r="Q269" s="172"/>
      <c r="R269" s="172"/>
      <c r="S269" s="172"/>
      <c r="T269" s="172"/>
      <c r="U269" s="172"/>
      <c r="V269" s="172"/>
      <c r="W269" s="172"/>
      <c r="X269" s="172"/>
      <c r="Y269" s="172"/>
      <c r="Z269" s="172"/>
      <c r="AA269" s="172"/>
      <c r="AB269" s="172"/>
      <c r="AC269" s="172"/>
      <c r="AD269" s="172"/>
    </row>
    <row r="270" spans="1:30" x14ac:dyDescent="0.25">
      <c r="A270" s="172"/>
      <c r="B270" s="172"/>
      <c r="C270" s="172"/>
      <c r="D270" s="172"/>
      <c r="E270" s="172"/>
      <c r="F270" s="172"/>
      <c r="G270" s="172"/>
      <c r="H270" s="172"/>
      <c r="I270" s="172"/>
      <c r="J270" s="172"/>
      <c r="K270" s="172"/>
      <c r="L270" s="172"/>
      <c r="M270" s="172"/>
      <c r="N270" s="172"/>
      <c r="O270" s="172"/>
      <c r="P270" s="172"/>
      <c r="Q270" s="172"/>
      <c r="R270" s="172"/>
      <c r="S270" s="172"/>
      <c r="T270" s="172"/>
      <c r="U270" s="172"/>
      <c r="V270" s="172"/>
      <c r="W270" s="172"/>
      <c r="X270" s="172"/>
      <c r="Y270" s="172"/>
      <c r="Z270" s="172"/>
      <c r="AA270" s="172"/>
      <c r="AB270" s="172"/>
      <c r="AC270" s="172"/>
      <c r="AD270" s="172"/>
    </row>
    <row r="271" spans="1:30" x14ac:dyDescent="0.25">
      <c r="A271" s="172"/>
      <c r="B271" s="172"/>
      <c r="C271" s="172"/>
      <c r="D271" s="172"/>
      <c r="E271" s="172"/>
      <c r="F271" s="172"/>
      <c r="G271" s="172"/>
      <c r="H271" s="172"/>
      <c r="I271" s="172"/>
      <c r="J271" s="172"/>
      <c r="K271" s="172"/>
      <c r="L271" s="172"/>
      <c r="M271" s="172"/>
      <c r="N271" s="172"/>
      <c r="O271" s="172"/>
      <c r="P271" s="172"/>
      <c r="Q271" s="172"/>
      <c r="R271" s="172"/>
      <c r="S271" s="172"/>
      <c r="T271" s="172"/>
      <c r="U271" s="172"/>
      <c r="V271" s="172"/>
      <c r="W271" s="172"/>
      <c r="X271" s="172"/>
      <c r="Y271" s="172"/>
      <c r="Z271" s="172"/>
      <c r="AA271" s="172"/>
      <c r="AB271" s="172"/>
      <c r="AC271" s="172"/>
      <c r="AD271" s="172"/>
    </row>
    <row r="272" spans="1:30" x14ac:dyDescent="0.25">
      <c r="A272" s="172"/>
      <c r="B272" s="172"/>
      <c r="C272" s="172"/>
      <c r="D272" s="172"/>
      <c r="E272" s="172"/>
      <c r="F272" s="172"/>
      <c r="G272" s="172"/>
      <c r="H272" s="172"/>
      <c r="I272" s="172"/>
      <c r="J272" s="172"/>
      <c r="K272" s="172"/>
      <c r="L272" s="172"/>
      <c r="M272" s="172"/>
      <c r="N272" s="172"/>
      <c r="O272" s="172"/>
      <c r="P272" s="172"/>
      <c r="Q272" s="172"/>
      <c r="R272" s="172"/>
      <c r="S272" s="172"/>
      <c r="T272" s="172"/>
      <c r="U272" s="172"/>
      <c r="V272" s="172"/>
      <c r="W272" s="172"/>
      <c r="X272" s="172"/>
      <c r="Y272" s="172"/>
      <c r="Z272" s="172"/>
      <c r="AA272" s="172"/>
      <c r="AB272" s="172"/>
      <c r="AC272" s="172"/>
      <c r="AD272" s="172"/>
    </row>
    <row r="273" spans="1:30" x14ac:dyDescent="0.25">
      <c r="A273" s="172"/>
      <c r="B273" s="172"/>
      <c r="C273" s="172"/>
      <c r="D273" s="172"/>
      <c r="E273" s="172"/>
      <c r="F273" s="172"/>
      <c r="G273" s="172"/>
      <c r="H273" s="172"/>
      <c r="I273" s="172"/>
      <c r="J273" s="172"/>
      <c r="K273" s="172"/>
      <c r="L273" s="172"/>
      <c r="M273" s="172"/>
      <c r="N273" s="172"/>
      <c r="O273" s="172"/>
      <c r="P273" s="172"/>
      <c r="Q273" s="172"/>
      <c r="R273" s="172"/>
      <c r="S273" s="172"/>
      <c r="T273" s="172"/>
      <c r="U273" s="172"/>
      <c r="V273" s="172"/>
      <c r="W273" s="172"/>
      <c r="X273" s="172"/>
      <c r="Y273" s="172"/>
      <c r="Z273" s="172"/>
      <c r="AA273" s="172"/>
      <c r="AB273" s="172"/>
      <c r="AC273" s="172"/>
      <c r="AD273" s="172"/>
    </row>
    <row r="274" spans="1:30" x14ac:dyDescent="0.25">
      <c r="A274" s="172"/>
      <c r="B274" s="172"/>
      <c r="C274" s="172"/>
      <c r="D274" s="172"/>
      <c r="E274" s="172"/>
      <c r="F274" s="172"/>
      <c r="G274" s="172"/>
      <c r="H274" s="172"/>
      <c r="I274" s="172"/>
      <c r="J274" s="172"/>
      <c r="K274" s="172"/>
      <c r="L274" s="172"/>
      <c r="M274" s="172"/>
      <c r="N274" s="172"/>
      <c r="O274" s="172"/>
      <c r="P274" s="172"/>
      <c r="Q274" s="172"/>
      <c r="R274" s="172"/>
      <c r="S274" s="172"/>
      <c r="T274" s="172"/>
      <c r="U274" s="172"/>
      <c r="V274" s="172"/>
      <c r="W274" s="172"/>
      <c r="X274" s="172"/>
      <c r="Y274" s="172"/>
      <c r="Z274" s="172"/>
      <c r="AA274" s="172"/>
      <c r="AB274" s="172"/>
      <c r="AC274" s="172"/>
      <c r="AD274" s="172"/>
    </row>
    <row r="275" spans="1:30" x14ac:dyDescent="0.25">
      <c r="A275" s="172"/>
      <c r="B275" s="172"/>
      <c r="C275" s="172"/>
      <c r="D275" s="172"/>
      <c r="E275" s="172"/>
      <c r="F275" s="172"/>
      <c r="G275" s="172"/>
      <c r="H275" s="172"/>
      <c r="I275" s="172"/>
      <c r="J275" s="172"/>
      <c r="K275" s="172"/>
      <c r="L275" s="172"/>
      <c r="M275" s="172"/>
      <c r="N275" s="172"/>
      <c r="O275" s="172"/>
      <c r="P275" s="172"/>
      <c r="Q275" s="172"/>
      <c r="R275" s="172"/>
      <c r="S275" s="172"/>
      <c r="T275" s="172"/>
      <c r="U275" s="172"/>
      <c r="V275" s="172"/>
      <c r="W275" s="172"/>
      <c r="X275" s="172"/>
      <c r="Y275" s="172"/>
      <c r="Z275" s="172"/>
      <c r="AA275" s="172"/>
      <c r="AB275" s="172"/>
      <c r="AC275" s="172"/>
      <c r="AD275" s="172"/>
    </row>
    <row r="276" spans="1:30" x14ac:dyDescent="0.25">
      <c r="A276" s="172"/>
      <c r="B276" s="172"/>
      <c r="C276" s="172"/>
      <c r="D276" s="172"/>
      <c r="E276" s="172"/>
      <c r="F276" s="172"/>
      <c r="G276" s="172"/>
      <c r="H276" s="172"/>
      <c r="I276" s="172"/>
      <c r="J276" s="172"/>
      <c r="K276" s="172"/>
      <c r="L276" s="172"/>
      <c r="M276" s="172"/>
      <c r="N276" s="172"/>
      <c r="O276" s="172"/>
      <c r="P276" s="172"/>
      <c r="Q276" s="172"/>
      <c r="R276" s="172"/>
      <c r="S276" s="172"/>
      <c r="T276" s="172"/>
      <c r="U276" s="172"/>
      <c r="V276" s="172"/>
      <c r="W276" s="172"/>
      <c r="X276" s="172"/>
      <c r="Y276" s="172"/>
      <c r="Z276" s="172"/>
      <c r="AA276" s="172"/>
      <c r="AB276" s="172"/>
      <c r="AC276" s="172"/>
      <c r="AD276" s="172"/>
    </row>
    <row r="277" spans="1:30" x14ac:dyDescent="0.25">
      <c r="A277" s="172"/>
      <c r="B277" s="172"/>
      <c r="C277" s="172"/>
      <c r="D277" s="172"/>
      <c r="E277" s="172"/>
      <c r="F277" s="172"/>
      <c r="G277" s="172"/>
      <c r="H277" s="172"/>
      <c r="I277" s="172"/>
      <c r="J277" s="172"/>
      <c r="K277" s="172"/>
      <c r="L277" s="172"/>
      <c r="M277" s="172"/>
      <c r="N277" s="172"/>
      <c r="O277" s="172"/>
      <c r="P277" s="172"/>
      <c r="Q277" s="172"/>
      <c r="R277" s="172"/>
      <c r="S277" s="172"/>
      <c r="T277" s="172"/>
      <c r="U277" s="172"/>
      <c r="V277" s="172"/>
      <c r="W277" s="172"/>
      <c r="X277" s="172"/>
      <c r="Y277" s="172"/>
      <c r="Z277" s="172"/>
      <c r="AA277" s="172"/>
      <c r="AB277" s="172"/>
      <c r="AC277" s="172"/>
      <c r="AD277" s="172"/>
    </row>
    <row r="278" spans="1:30" x14ac:dyDescent="0.25">
      <c r="A278" s="172"/>
      <c r="B278" s="172"/>
      <c r="C278" s="172"/>
      <c r="D278" s="172"/>
      <c r="E278" s="172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</row>
    <row r="279" spans="1:30" x14ac:dyDescent="0.25">
      <c r="A279" s="172"/>
      <c r="B279" s="172"/>
      <c r="C279" s="172"/>
      <c r="D279" s="172"/>
      <c r="E279" s="172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</row>
    <row r="280" spans="1:30" x14ac:dyDescent="0.25">
      <c r="A280" s="172"/>
      <c r="B280" s="172"/>
      <c r="C280" s="172"/>
      <c r="D280" s="172"/>
      <c r="E280" s="172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</row>
    <row r="281" spans="1:30" x14ac:dyDescent="0.25">
      <c r="A281" s="172"/>
      <c r="B281" s="172"/>
      <c r="C281" s="172"/>
      <c r="D281" s="172"/>
      <c r="E281" s="172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</row>
    <row r="282" spans="1:30" x14ac:dyDescent="0.25">
      <c r="A282" s="172"/>
      <c r="B282" s="172"/>
      <c r="C282" s="172"/>
      <c r="D282" s="172"/>
      <c r="E282" s="172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</row>
    <row r="283" spans="1:30" x14ac:dyDescent="0.25">
      <c r="A283" s="172"/>
      <c r="B283" s="172"/>
      <c r="C283" s="172"/>
      <c r="D283" s="172"/>
      <c r="E283" s="172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</row>
    <row r="284" spans="1:30" x14ac:dyDescent="0.25">
      <c r="A284" s="172"/>
      <c r="B284" s="172"/>
      <c r="C284" s="172"/>
      <c r="D284" s="172"/>
      <c r="E284" s="172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</row>
    <row r="285" spans="1:30" x14ac:dyDescent="0.25">
      <c r="A285" s="172"/>
      <c r="B285" s="172"/>
      <c r="C285" s="172"/>
      <c r="D285" s="172"/>
      <c r="E285" s="172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</row>
    <row r="286" spans="1:30" x14ac:dyDescent="0.25">
      <c r="A286" s="172"/>
      <c r="B286" s="172"/>
      <c r="C286" s="172"/>
      <c r="D286" s="172"/>
      <c r="E286" s="172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</row>
    <row r="287" spans="1:30" x14ac:dyDescent="0.25">
      <c r="A287" s="172"/>
      <c r="B287" s="172"/>
      <c r="C287" s="172"/>
      <c r="D287" s="172"/>
      <c r="E287" s="172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</row>
    <row r="288" spans="1:30" x14ac:dyDescent="0.25">
      <c r="A288" s="172"/>
      <c r="B288" s="172"/>
      <c r="C288" s="172"/>
      <c r="D288" s="172"/>
      <c r="E288" s="172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</row>
    <row r="289" spans="1:30" x14ac:dyDescent="0.25">
      <c r="A289" s="172"/>
      <c r="B289" s="172"/>
      <c r="C289" s="172"/>
      <c r="D289" s="172"/>
      <c r="E289" s="172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</row>
    <row r="290" spans="1:30" x14ac:dyDescent="0.25">
      <c r="A290" s="172"/>
      <c r="B290" s="172"/>
      <c r="C290" s="172"/>
      <c r="D290" s="172"/>
      <c r="E290" s="172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</row>
    <row r="291" spans="1:30" x14ac:dyDescent="0.25">
      <c r="A291" s="172"/>
      <c r="B291" s="172"/>
      <c r="C291" s="172"/>
      <c r="D291" s="172"/>
      <c r="E291" s="172"/>
      <c r="F291" s="172"/>
      <c r="G291" s="172"/>
      <c r="H291" s="172"/>
      <c r="I291" s="172"/>
      <c r="J291" s="172"/>
      <c r="K291" s="172"/>
      <c r="L291" s="172"/>
      <c r="M291" s="172"/>
      <c r="N291" s="172"/>
      <c r="O291" s="172"/>
      <c r="P291" s="172"/>
      <c r="Q291" s="172"/>
      <c r="R291" s="172"/>
      <c r="S291" s="172"/>
      <c r="T291" s="172"/>
      <c r="U291" s="172"/>
      <c r="V291" s="172"/>
      <c r="W291" s="172"/>
      <c r="X291" s="172"/>
      <c r="Y291" s="172"/>
      <c r="Z291" s="172"/>
      <c r="AA291" s="172"/>
      <c r="AB291" s="172"/>
      <c r="AC291" s="172"/>
      <c r="AD291" s="172"/>
    </row>
    <row r="292" spans="1:30" x14ac:dyDescent="0.25">
      <c r="A292" s="172"/>
      <c r="B292" s="172"/>
      <c r="C292" s="172"/>
      <c r="D292" s="172"/>
      <c r="E292" s="172"/>
      <c r="F292" s="172"/>
      <c r="G292" s="172"/>
      <c r="H292" s="172"/>
      <c r="I292" s="172"/>
      <c r="J292" s="172"/>
      <c r="K292" s="172"/>
      <c r="L292" s="172"/>
      <c r="M292" s="172"/>
      <c r="N292" s="172"/>
      <c r="O292" s="172"/>
      <c r="P292" s="172"/>
      <c r="Q292" s="172"/>
      <c r="R292" s="172"/>
      <c r="S292" s="172"/>
      <c r="T292" s="172"/>
      <c r="U292" s="172"/>
      <c r="V292" s="172"/>
      <c r="W292" s="172"/>
      <c r="X292" s="172"/>
      <c r="Y292" s="172"/>
      <c r="Z292" s="172"/>
      <c r="AA292" s="172"/>
      <c r="AB292" s="172"/>
      <c r="AC292" s="172"/>
      <c r="AD292" s="172"/>
    </row>
    <row r="293" spans="1:30" x14ac:dyDescent="0.25">
      <c r="A293" s="172"/>
      <c r="B293" s="172"/>
      <c r="C293" s="172"/>
      <c r="D293" s="172"/>
      <c r="E293" s="172"/>
      <c r="F293" s="172"/>
      <c r="G293" s="172"/>
      <c r="H293" s="172"/>
      <c r="I293" s="172"/>
      <c r="J293" s="172"/>
      <c r="K293" s="172"/>
      <c r="L293" s="172"/>
      <c r="M293" s="172"/>
      <c r="N293" s="172"/>
      <c r="O293" s="172"/>
      <c r="P293" s="172"/>
      <c r="Q293" s="172"/>
      <c r="R293" s="172"/>
      <c r="S293" s="172"/>
      <c r="T293" s="172"/>
      <c r="U293" s="172"/>
      <c r="V293" s="172"/>
      <c r="W293" s="172"/>
      <c r="X293" s="172"/>
      <c r="Y293" s="172"/>
      <c r="Z293" s="172"/>
      <c r="AA293" s="172"/>
      <c r="AB293" s="172"/>
      <c r="AC293" s="172"/>
      <c r="AD293" s="172"/>
    </row>
    <row r="294" spans="1:30" x14ac:dyDescent="0.25">
      <c r="A294" s="172"/>
      <c r="B294" s="172"/>
      <c r="C294" s="172"/>
      <c r="D294" s="172"/>
      <c r="E294" s="172"/>
      <c r="F294" s="172"/>
      <c r="G294" s="172"/>
      <c r="H294" s="172"/>
      <c r="I294" s="172"/>
      <c r="J294" s="172"/>
      <c r="K294" s="172"/>
      <c r="L294" s="172"/>
      <c r="M294" s="172"/>
      <c r="N294" s="172"/>
      <c r="O294" s="172"/>
      <c r="P294" s="172"/>
      <c r="Q294" s="172"/>
      <c r="R294" s="172"/>
      <c r="S294" s="172"/>
      <c r="T294" s="172"/>
      <c r="U294" s="172"/>
      <c r="V294" s="172"/>
      <c r="W294" s="172"/>
      <c r="X294" s="172"/>
      <c r="Y294" s="172"/>
      <c r="Z294" s="172"/>
      <c r="AA294" s="172"/>
      <c r="AB294" s="172"/>
      <c r="AC294" s="172"/>
      <c r="AD294" s="172"/>
    </row>
    <row r="295" spans="1:30" x14ac:dyDescent="0.25">
      <c r="A295" s="172"/>
      <c r="B295" s="172"/>
      <c r="C295" s="172"/>
      <c r="D295" s="172"/>
      <c r="E295" s="172"/>
      <c r="F295" s="172"/>
      <c r="G295" s="172"/>
      <c r="H295" s="172"/>
      <c r="I295" s="172"/>
      <c r="J295" s="172"/>
      <c r="K295" s="172"/>
      <c r="L295" s="172"/>
      <c r="M295" s="172"/>
      <c r="N295" s="172"/>
      <c r="O295" s="172"/>
      <c r="P295" s="172"/>
      <c r="Q295" s="172"/>
      <c r="R295" s="172"/>
      <c r="S295" s="172"/>
      <c r="T295" s="172"/>
      <c r="U295" s="172"/>
      <c r="V295" s="172"/>
      <c r="W295" s="172"/>
      <c r="X295" s="172"/>
      <c r="Y295" s="172"/>
      <c r="Z295" s="172"/>
      <c r="AA295" s="172"/>
      <c r="AB295" s="172"/>
      <c r="AC295" s="172"/>
      <c r="AD295" s="172"/>
    </row>
    <row r="296" spans="1:30" x14ac:dyDescent="0.25">
      <c r="A296" s="172"/>
      <c r="B296" s="172"/>
      <c r="C296" s="172"/>
      <c r="D296" s="172"/>
      <c r="E296" s="172"/>
      <c r="F296" s="172"/>
      <c r="G296" s="172"/>
      <c r="H296" s="172"/>
      <c r="I296" s="172"/>
      <c r="J296" s="172"/>
      <c r="K296" s="172"/>
      <c r="L296" s="172"/>
      <c r="M296" s="172"/>
      <c r="N296" s="172"/>
      <c r="O296" s="172"/>
      <c r="P296" s="172"/>
      <c r="Q296" s="172"/>
      <c r="R296" s="172"/>
      <c r="S296" s="172"/>
      <c r="T296" s="172"/>
      <c r="U296" s="172"/>
      <c r="V296" s="172"/>
      <c r="W296" s="172"/>
      <c r="X296" s="172"/>
      <c r="Y296" s="172"/>
      <c r="Z296" s="172"/>
      <c r="AA296" s="172"/>
      <c r="AB296" s="172"/>
      <c r="AC296" s="172"/>
      <c r="AD296" s="172"/>
    </row>
    <row r="297" spans="1:30" x14ac:dyDescent="0.25">
      <c r="A297" s="172"/>
      <c r="B297" s="172"/>
      <c r="C297" s="172"/>
      <c r="D297" s="172"/>
      <c r="E297" s="172"/>
      <c r="F297" s="172"/>
      <c r="G297" s="172"/>
      <c r="H297" s="172"/>
      <c r="I297" s="172"/>
      <c r="J297" s="172"/>
      <c r="K297" s="172"/>
      <c r="L297" s="172"/>
      <c r="M297" s="172"/>
      <c r="N297" s="172"/>
      <c r="O297" s="172"/>
      <c r="P297" s="172"/>
      <c r="Q297" s="172"/>
      <c r="R297" s="172"/>
      <c r="S297" s="172"/>
      <c r="T297" s="172"/>
      <c r="U297" s="172"/>
      <c r="V297" s="172"/>
      <c r="W297" s="172"/>
      <c r="X297" s="172"/>
      <c r="Y297" s="172"/>
      <c r="Z297" s="172"/>
      <c r="AA297" s="172"/>
      <c r="AB297" s="172"/>
      <c r="AC297" s="172"/>
      <c r="AD297" s="172"/>
    </row>
    <row r="298" spans="1:30" x14ac:dyDescent="0.25">
      <c r="A298" s="172"/>
      <c r="B298" s="172"/>
      <c r="C298" s="172"/>
      <c r="D298" s="172"/>
      <c r="E298" s="172"/>
      <c r="F298" s="172"/>
      <c r="G298" s="172"/>
      <c r="H298" s="172"/>
      <c r="I298" s="172"/>
      <c r="J298" s="172"/>
      <c r="K298" s="172"/>
      <c r="L298" s="172"/>
      <c r="M298" s="172"/>
      <c r="N298" s="172"/>
      <c r="O298" s="172"/>
      <c r="P298" s="172"/>
      <c r="Q298" s="172"/>
      <c r="R298" s="172"/>
      <c r="S298" s="172"/>
      <c r="T298" s="172"/>
      <c r="U298" s="172"/>
      <c r="V298" s="172"/>
      <c r="W298" s="172"/>
      <c r="X298" s="172"/>
      <c r="Y298" s="172"/>
      <c r="Z298" s="172"/>
      <c r="AA298" s="172"/>
      <c r="AB298" s="172"/>
      <c r="AC298" s="172"/>
      <c r="AD298" s="172"/>
    </row>
    <row r="299" spans="1:30" x14ac:dyDescent="0.25">
      <c r="A299" s="172"/>
      <c r="B299" s="172"/>
      <c r="C299" s="172"/>
      <c r="D299" s="172"/>
      <c r="E299" s="172"/>
      <c r="F299" s="172"/>
      <c r="G299" s="172"/>
      <c r="H299" s="172"/>
      <c r="I299" s="172"/>
      <c r="J299" s="172"/>
      <c r="K299" s="172"/>
      <c r="L299" s="172"/>
      <c r="M299" s="172"/>
      <c r="N299" s="172"/>
      <c r="O299" s="172"/>
      <c r="P299" s="172"/>
      <c r="Q299" s="172"/>
      <c r="R299" s="172"/>
      <c r="S299" s="172"/>
      <c r="T299" s="172"/>
      <c r="U299" s="172"/>
      <c r="V299" s="172"/>
      <c r="W299" s="172"/>
      <c r="X299" s="172"/>
      <c r="Y299" s="172"/>
      <c r="Z299" s="172"/>
      <c r="AA299" s="172"/>
      <c r="AB299" s="172"/>
      <c r="AC299" s="172"/>
      <c r="AD299" s="172"/>
    </row>
    <row r="300" spans="1:30" x14ac:dyDescent="0.25">
      <c r="A300" s="172"/>
      <c r="B300" s="172"/>
      <c r="C300" s="172"/>
      <c r="D300" s="172"/>
      <c r="E300" s="172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</row>
    <row r="301" spans="1:30" x14ac:dyDescent="0.25">
      <c r="A301" s="172"/>
      <c r="B301" s="172"/>
      <c r="C301" s="172"/>
      <c r="D301" s="172"/>
      <c r="E301" s="172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</row>
    <row r="302" spans="1:30" x14ac:dyDescent="0.25">
      <c r="A302" s="172"/>
      <c r="B302" s="172"/>
      <c r="C302" s="172"/>
      <c r="D302" s="172"/>
      <c r="E302" s="172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</row>
    <row r="303" spans="1:30" x14ac:dyDescent="0.25">
      <c r="A303" s="172"/>
      <c r="B303" s="172"/>
      <c r="C303" s="172"/>
      <c r="D303" s="172"/>
      <c r="E303" s="172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</row>
    <row r="304" spans="1:30" x14ac:dyDescent="0.25">
      <c r="A304" s="172"/>
      <c r="B304" s="172"/>
      <c r="C304" s="172"/>
      <c r="D304" s="172"/>
      <c r="E304" s="172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</row>
    <row r="305" spans="1:30" x14ac:dyDescent="0.25">
      <c r="A305" s="172"/>
      <c r="B305" s="172"/>
      <c r="C305" s="172"/>
      <c r="D305" s="172"/>
      <c r="E305" s="172"/>
      <c r="F305" s="172"/>
      <c r="G305" s="172"/>
      <c r="H305" s="172"/>
      <c r="I305" s="172"/>
      <c r="J305" s="172"/>
      <c r="K305" s="172"/>
      <c r="L305" s="172"/>
      <c r="M305" s="172"/>
      <c r="N305" s="172"/>
      <c r="O305" s="172"/>
      <c r="P305" s="172"/>
      <c r="Q305" s="172"/>
      <c r="R305" s="172"/>
      <c r="S305" s="172"/>
      <c r="T305" s="172"/>
      <c r="U305" s="172"/>
      <c r="V305" s="172"/>
      <c r="W305" s="172"/>
      <c r="X305" s="172"/>
      <c r="Y305" s="172"/>
      <c r="Z305" s="172"/>
      <c r="AA305" s="172"/>
      <c r="AB305" s="172"/>
      <c r="AC305" s="172"/>
      <c r="AD305" s="172"/>
    </row>
    <row r="306" spans="1:30" x14ac:dyDescent="0.25">
      <c r="A306" s="172"/>
      <c r="B306" s="172"/>
      <c r="C306" s="172"/>
      <c r="D306" s="172"/>
      <c r="E306" s="172"/>
      <c r="F306" s="172"/>
      <c r="G306" s="172"/>
      <c r="H306" s="172"/>
      <c r="I306" s="172"/>
      <c r="J306" s="172"/>
      <c r="K306" s="172"/>
      <c r="L306" s="172"/>
      <c r="M306" s="172"/>
      <c r="N306" s="172"/>
      <c r="O306" s="172"/>
      <c r="P306" s="172"/>
      <c r="Q306" s="172"/>
      <c r="R306" s="172"/>
      <c r="S306" s="172"/>
      <c r="T306" s="172"/>
      <c r="U306" s="172"/>
      <c r="V306" s="172"/>
      <c r="W306" s="172"/>
      <c r="X306" s="172"/>
      <c r="Y306" s="172"/>
      <c r="Z306" s="172"/>
      <c r="AA306" s="172"/>
      <c r="AB306" s="172"/>
      <c r="AC306" s="172"/>
      <c r="AD306" s="172"/>
    </row>
    <row r="307" spans="1:30" x14ac:dyDescent="0.25">
      <c r="A307" s="172"/>
      <c r="B307" s="172"/>
      <c r="C307" s="172"/>
      <c r="D307" s="172"/>
      <c r="E307" s="172"/>
      <c r="F307" s="172"/>
      <c r="G307" s="172"/>
      <c r="H307" s="172"/>
      <c r="I307" s="172"/>
      <c r="J307" s="172"/>
      <c r="K307" s="172"/>
      <c r="L307" s="172"/>
      <c r="M307" s="172"/>
      <c r="N307" s="172"/>
      <c r="O307" s="172"/>
      <c r="P307" s="172"/>
      <c r="Q307" s="172"/>
      <c r="R307" s="172"/>
      <c r="S307" s="172"/>
      <c r="T307" s="172"/>
      <c r="U307" s="172"/>
      <c r="V307" s="172"/>
      <c r="W307" s="172"/>
      <c r="X307" s="172"/>
      <c r="Y307" s="172"/>
      <c r="Z307" s="172"/>
      <c r="AA307" s="172"/>
      <c r="AB307" s="172"/>
      <c r="AC307" s="172"/>
      <c r="AD307" s="172"/>
    </row>
    <row r="308" spans="1:30" x14ac:dyDescent="0.25">
      <c r="A308" s="172"/>
      <c r="B308" s="172"/>
      <c r="C308" s="172"/>
      <c r="D308" s="172"/>
      <c r="E308" s="172"/>
      <c r="F308" s="172"/>
      <c r="G308" s="172"/>
      <c r="H308" s="172"/>
      <c r="I308" s="172"/>
      <c r="J308" s="172"/>
      <c r="K308" s="172"/>
      <c r="L308" s="172"/>
      <c r="M308" s="172"/>
      <c r="N308" s="172"/>
      <c r="O308" s="172"/>
      <c r="P308" s="172"/>
      <c r="Q308" s="172"/>
      <c r="R308" s="172"/>
      <c r="S308" s="172"/>
      <c r="T308" s="172"/>
      <c r="U308" s="172"/>
      <c r="V308" s="172"/>
      <c r="W308" s="172"/>
      <c r="X308" s="172"/>
      <c r="Y308" s="172"/>
      <c r="Z308" s="172"/>
      <c r="AA308" s="172"/>
      <c r="AB308" s="172"/>
      <c r="AC308" s="172"/>
      <c r="AD308" s="172"/>
    </row>
    <row r="309" spans="1:30" x14ac:dyDescent="0.25">
      <c r="A309" s="172"/>
      <c r="B309" s="172"/>
      <c r="C309" s="172"/>
      <c r="D309" s="172"/>
      <c r="E309" s="172"/>
      <c r="F309" s="172"/>
      <c r="G309" s="172"/>
      <c r="H309" s="172"/>
      <c r="I309" s="172"/>
      <c r="J309" s="172"/>
      <c r="K309" s="172"/>
      <c r="L309" s="172"/>
      <c r="M309" s="172"/>
      <c r="N309" s="172"/>
      <c r="O309" s="172"/>
      <c r="P309" s="172"/>
      <c r="Q309" s="172"/>
      <c r="R309" s="172"/>
      <c r="S309" s="172"/>
      <c r="T309" s="172"/>
      <c r="U309" s="172"/>
      <c r="V309" s="172"/>
      <c r="W309" s="172"/>
      <c r="X309" s="172"/>
      <c r="Y309" s="172"/>
      <c r="Z309" s="172"/>
      <c r="AA309" s="172"/>
      <c r="AB309" s="172"/>
      <c r="AC309" s="172"/>
      <c r="AD309" s="172"/>
    </row>
    <row r="310" spans="1:30" x14ac:dyDescent="0.25">
      <c r="A310" s="172"/>
      <c r="B310" s="172"/>
      <c r="C310" s="172"/>
      <c r="D310" s="172"/>
      <c r="E310" s="172"/>
      <c r="F310" s="172"/>
      <c r="G310" s="172"/>
      <c r="H310" s="172"/>
      <c r="I310" s="172"/>
      <c r="J310" s="172"/>
      <c r="K310" s="172"/>
      <c r="L310" s="172"/>
      <c r="M310" s="172"/>
      <c r="N310" s="172"/>
      <c r="O310" s="172"/>
      <c r="P310" s="172"/>
      <c r="Q310" s="172"/>
      <c r="R310" s="172"/>
      <c r="S310" s="172"/>
      <c r="T310" s="172"/>
      <c r="U310" s="172"/>
      <c r="V310" s="172"/>
      <c r="W310" s="172"/>
      <c r="X310" s="172"/>
      <c r="Y310" s="172"/>
      <c r="Z310" s="172"/>
      <c r="AA310" s="172"/>
      <c r="AB310" s="172"/>
      <c r="AC310" s="172"/>
      <c r="AD310" s="172"/>
    </row>
    <row r="311" spans="1:30" x14ac:dyDescent="0.25">
      <c r="A311" s="172"/>
      <c r="B311" s="172"/>
      <c r="C311" s="172"/>
      <c r="D311" s="172"/>
      <c r="E311" s="172"/>
      <c r="F311" s="172"/>
      <c r="G311" s="172"/>
      <c r="H311" s="172"/>
      <c r="I311" s="172"/>
      <c r="J311" s="172"/>
      <c r="K311" s="172"/>
      <c r="L311" s="172"/>
      <c r="M311" s="172"/>
      <c r="N311" s="172"/>
      <c r="O311" s="172"/>
      <c r="P311" s="172"/>
      <c r="Q311" s="172"/>
      <c r="R311" s="172"/>
      <c r="S311" s="172"/>
      <c r="T311" s="172"/>
      <c r="U311" s="172"/>
      <c r="V311" s="172"/>
      <c r="W311" s="172"/>
      <c r="X311" s="172"/>
      <c r="Y311" s="172"/>
      <c r="Z311" s="172"/>
      <c r="AA311" s="172"/>
      <c r="AB311" s="172"/>
      <c r="AC311" s="172"/>
      <c r="AD311" s="172"/>
    </row>
    <row r="312" spans="1:30" x14ac:dyDescent="0.25">
      <c r="A312" s="172"/>
      <c r="B312" s="172"/>
      <c r="C312" s="172"/>
      <c r="D312" s="172"/>
      <c r="E312" s="172"/>
      <c r="F312" s="172"/>
      <c r="G312" s="172"/>
      <c r="H312" s="172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</row>
    <row r="313" spans="1:30" x14ac:dyDescent="0.25">
      <c r="A313" s="172"/>
      <c r="B313" s="172"/>
      <c r="C313" s="172"/>
      <c r="D313" s="172"/>
      <c r="E313" s="172"/>
      <c r="F313" s="172"/>
      <c r="G313" s="172"/>
      <c r="H313" s="172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</row>
    <row r="314" spans="1:30" x14ac:dyDescent="0.25">
      <c r="A314" s="172"/>
      <c r="B314" s="172"/>
      <c r="C314" s="172"/>
      <c r="D314" s="172"/>
      <c r="E314" s="172"/>
      <c r="F314" s="172"/>
      <c r="G314" s="172"/>
      <c r="H314" s="172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</row>
    <row r="315" spans="1:30" x14ac:dyDescent="0.25">
      <c r="A315" s="172"/>
      <c r="B315" s="172"/>
      <c r="C315" s="172"/>
      <c r="D315" s="172"/>
      <c r="E315" s="172"/>
      <c r="F315" s="172"/>
      <c r="G315" s="172"/>
      <c r="H315" s="172"/>
      <c r="I315" s="172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</row>
    <row r="316" spans="1:30" x14ac:dyDescent="0.25">
      <c r="A316" s="172"/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</row>
    <row r="317" spans="1:30" x14ac:dyDescent="0.25">
      <c r="A317" s="172"/>
      <c r="B317" s="172"/>
      <c r="C317" s="172"/>
      <c r="D317" s="172"/>
      <c r="E317" s="172"/>
      <c r="F317" s="172"/>
      <c r="G317" s="172"/>
      <c r="H317" s="172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</row>
    <row r="318" spans="1:30" x14ac:dyDescent="0.25">
      <c r="A318" s="172"/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</row>
    <row r="319" spans="1:30" x14ac:dyDescent="0.25">
      <c r="A319" s="172"/>
      <c r="B319" s="172"/>
      <c r="C319" s="172"/>
      <c r="D319" s="172"/>
      <c r="E319" s="172"/>
      <c r="F319" s="172"/>
      <c r="G319" s="172"/>
      <c r="H319" s="172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</row>
    <row r="320" spans="1:30" x14ac:dyDescent="0.25">
      <c r="A320" s="172"/>
      <c r="B320" s="172"/>
      <c r="C320" s="172"/>
      <c r="D320" s="172"/>
      <c r="E320" s="172"/>
      <c r="F320" s="172"/>
      <c r="G320" s="172"/>
      <c r="H320" s="172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</row>
    <row r="321" spans="1:30" x14ac:dyDescent="0.25">
      <c r="A321" s="172"/>
      <c r="B321" s="172"/>
      <c r="C321" s="172"/>
      <c r="D321" s="172"/>
      <c r="E321" s="172"/>
      <c r="F321" s="172"/>
      <c r="G321" s="172"/>
      <c r="H321" s="172"/>
      <c r="I321" s="172"/>
      <c r="J321" s="172"/>
      <c r="K321" s="172"/>
      <c r="L321" s="172"/>
      <c r="M321" s="172"/>
      <c r="N321" s="172"/>
      <c r="O321" s="172"/>
      <c r="P321" s="172"/>
      <c r="Q321" s="172"/>
      <c r="R321" s="172"/>
      <c r="S321" s="172"/>
      <c r="T321" s="172"/>
      <c r="U321" s="172"/>
      <c r="V321" s="172"/>
      <c r="W321" s="172"/>
      <c r="X321" s="172"/>
      <c r="Y321" s="172"/>
      <c r="Z321" s="172"/>
      <c r="AA321" s="172"/>
      <c r="AB321" s="172"/>
      <c r="AC321" s="172"/>
      <c r="AD321" s="172"/>
    </row>
    <row r="322" spans="1:30" x14ac:dyDescent="0.25">
      <c r="A322" s="172"/>
      <c r="B322" s="172"/>
      <c r="C322" s="172"/>
      <c r="D322" s="172"/>
      <c r="E322" s="172"/>
      <c r="F322" s="172"/>
      <c r="G322" s="172"/>
      <c r="H322" s="172"/>
      <c r="I322" s="172"/>
      <c r="J322" s="172"/>
      <c r="K322" s="172"/>
      <c r="L322" s="172"/>
      <c r="M322" s="172"/>
      <c r="N322" s="172"/>
      <c r="O322" s="172"/>
      <c r="P322" s="172"/>
      <c r="Q322" s="172"/>
      <c r="R322" s="172"/>
      <c r="S322" s="172"/>
      <c r="T322" s="172"/>
      <c r="U322" s="172"/>
      <c r="V322" s="172"/>
      <c r="W322" s="172"/>
      <c r="X322" s="172"/>
      <c r="Y322" s="172"/>
      <c r="Z322" s="172"/>
      <c r="AA322" s="172"/>
      <c r="AB322" s="172"/>
      <c r="AC322" s="172"/>
      <c r="AD322" s="172"/>
    </row>
    <row r="323" spans="1:30" x14ac:dyDescent="0.25">
      <c r="A323" s="172"/>
      <c r="B323" s="172"/>
      <c r="C323" s="172"/>
      <c r="D323" s="172"/>
      <c r="E323" s="172"/>
      <c r="F323" s="172"/>
      <c r="G323" s="172"/>
      <c r="H323" s="172"/>
      <c r="I323" s="172"/>
      <c r="J323" s="172"/>
      <c r="K323" s="172"/>
      <c r="L323" s="172"/>
      <c r="M323" s="172"/>
      <c r="N323" s="172"/>
      <c r="O323" s="172"/>
      <c r="P323" s="172"/>
      <c r="Q323" s="172"/>
      <c r="R323" s="172"/>
      <c r="S323" s="172"/>
      <c r="T323" s="172"/>
      <c r="U323" s="172"/>
      <c r="V323" s="172"/>
      <c r="W323" s="172"/>
      <c r="X323" s="172"/>
      <c r="Y323" s="172"/>
      <c r="Z323" s="172"/>
      <c r="AA323" s="172"/>
      <c r="AB323" s="172"/>
      <c r="AC323" s="172"/>
      <c r="AD323" s="172"/>
    </row>
    <row r="324" spans="1:30" x14ac:dyDescent="0.25">
      <c r="A324" s="172"/>
      <c r="B324" s="172"/>
      <c r="C324" s="172"/>
      <c r="D324" s="172"/>
      <c r="E324" s="172"/>
      <c r="F324" s="172"/>
      <c r="G324" s="172"/>
      <c r="H324" s="172"/>
      <c r="I324" s="172"/>
      <c r="J324" s="172"/>
      <c r="K324" s="172"/>
      <c r="L324" s="172"/>
      <c r="M324" s="172"/>
      <c r="N324" s="172"/>
      <c r="O324" s="172"/>
      <c r="P324" s="172"/>
      <c r="Q324" s="172"/>
      <c r="R324" s="172"/>
      <c r="S324" s="172"/>
      <c r="T324" s="172"/>
      <c r="U324" s="172"/>
      <c r="V324" s="172"/>
      <c r="W324" s="172"/>
      <c r="X324" s="172"/>
      <c r="Y324" s="172"/>
      <c r="Z324" s="172"/>
      <c r="AA324" s="172"/>
      <c r="AB324" s="172"/>
      <c r="AC324" s="172"/>
      <c r="AD324" s="172"/>
    </row>
    <row r="325" spans="1:30" x14ac:dyDescent="0.25">
      <c r="A325" s="172"/>
      <c r="B325" s="172"/>
      <c r="C325" s="172"/>
      <c r="D325" s="172"/>
      <c r="E325" s="172"/>
      <c r="F325" s="172"/>
      <c r="G325" s="172"/>
      <c r="H325" s="172"/>
      <c r="I325" s="172"/>
      <c r="J325" s="172"/>
      <c r="K325" s="172"/>
      <c r="L325" s="172"/>
      <c r="M325" s="172"/>
      <c r="N325" s="172"/>
      <c r="O325" s="172"/>
      <c r="P325" s="172"/>
      <c r="Q325" s="172"/>
      <c r="R325" s="172"/>
      <c r="S325" s="172"/>
      <c r="T325" s="172"/>
      <c r="U325" s="172"/>
      <c r="V325" s="172"/>
      <c r="W325" s="172"/>
      <c r="X325" s="172"/>
      <c r="Y325" s="172"/>
      <c r="Z325" s="172"/>
      <c r="AA325" s="172"/>
      <c r="AB325" s="172"/>
      <c r="AC325" s="172"/>
      <c r="AD325" s="172"/>
    </row>
    <row r="326" spans="1:30" x14ac:dyDescent="0.25">
      <c r="A326" s="172"/>
      <c r="B326" s="172"/>
      <c r="C326" s="172"/>
      <c r="D326" s="172"/>
      <c r="E326" s="172"/>
      <c r="F326" s="172"/>
      <c r="G326" s="172"/>
      <c r="H326" s="172"/>
      <c r="I326" s="172"/>
      <c r="J326" s="172"/>
      <c r="K326" s="172"/>
      <c r="L326" s="172"/>
      <c r="M326" s="172"/>
      <c r="N326" s="172"/>
      <c r="O326" s="172"/>
      <c r="P326" s="172"/>
      <c r="Q326" s="172"/>
      <c r="R326" s="172"/>
      <c r="S326" s="172"/>
      <c r="T326" s="172"/>
      <c r="U326" s="172"/>
      <c r="V326" s="172"/>
      <c r="W326" s="172"/>
      <c r="X326" s="172"/>
      <c r="Y326" s="172"/>
      <c r="Z326" s="172"/>
      <c r="AA326" s="172"/>
      <c r="AB326" s="172"/>
      <c r="AC326" s="172"/>
      <c r="AD326" s="172"/>
    </row>
    <row r="327" spans="1:30" x14ac:dyDescent="0.25">
      <c r="A327" s="172"/>
      <c r="B327" s="172"/>
      <c r="C327" s="172"/>
      <c r="D327" s="172"/>
      <c r="E327" s="172"/>
      <c r="F327" s="172"/>
      <c r="G327" s="172"/>
      <c r="H327" s="172"/>
      <c r="I327" s="172"/>
      <c r="J327" s="172"/>
      <c r="K327" s="172"/>
      <c r="L327" s="172"/>
      <c r="M327" s="172"/>
      <c r="N327" s="172"/>
      <c r="O327" s="172"/>
      <c r="P327" s="172"/>
      <c r="Q327" s="172"/>
      <c r="R327" s="172"/>
      <c r="S327" s="172"/>
      <c r="T327" s="172"/>
      <c r="U327" s="172"/>
      <c r="V327" s="172"/>
      <c r="W327" s="172"/>
      <c r="X327" s="172"/>
      <c r="Y327" s="172"/>
      <c r="Z327" s="172"/>
      <c r="AA327" s="172"/>
      <c r="AB327" s="172"/>
      <c r="AC327" s="172"/>
      <c r="AD327" s="172"/>
    </row>
    <row r="328" spans="1:30" x14ac:dyDescent="0.25">
      <c r="A328" s="172"/>
      <c r="B328" s="172"/>
      <c r="C328" s="172"/>
      <c r="D328" s="172"/>
      <c r="E328" s="172"/>
      <c r="F328" s="172"/>
      <c r="G328" s="172"/>
      <c r="H328" s="172"/>
      <c r="I328" s="172"/>
      <c r="J328" s="172"/>
      <c r="K328" s="172"/>
      <c r="L328" s="172"/>
      <c r="M328" s="172"/>
      <c r="N328" s="172"/>
      <c r="O328" s="172"/>
      <c r="P328" s="172"/>
      <c r="Q328" s="172"/>
      <c r="R328" s="172"/>
      <c r="S328" s="172"/>
      <c r="T328" s="172"/>
      <c r="U328" s="172"/>
      <c r="V328" s="172"/>
      <c r="W328" s="172"/>
      <c r="X328" s="172"/>
      <c r="Y328" s="172"/>
      <c r="Z328" s="172"/>
      <c r="AA328" s="172"/>
      <c r="AB328" s="172"/>
      <c r="AC328" s="172"/>
      <c r="AD328" s="172"/>
    </row>
    <row r="329" spans="1:30" x14ac:dyDescent="0.25">
      <c r="A329" s="172"/>
      <c r="B329" s="172"/>
      <c r="C329" s="172"/>
      <c r="D329" s="172"/>
      <c r="E329" s="172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</row>
    <row r="330" spans="1:30" x14ac:dyDescent="0.25">
      <c r="A330" s="172"/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</row>
    <row r="331" spans="1:30" x14ac:dyDescent="0.25">
      <c r="A331" s="172"/>
      <c r="B331" s="172"/>
      <c r="C331" s="172"/>
      <c r="D331" s="172"/>
      <c r="E331" s="172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</row>
    <row r="332" spans="1:30" x14ac:dyDescent="0.25">
      <c r="A332" s="172"/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</row>
    <row r="333" spans="1:30" x14ac:dyDescent="0.25">
      <c r="A333" s="172"/>
      <c r="B333" s="172"/>
      <c r="C333" s="172"/>
      <c r="D333" s="172"/>
      <c r="E333" s="172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</row>
    <row r="334" spans="1:30" x14ac:dyDescent="0.25">
      <c r="A334" s="172"/>
      <c r="B334" s="172"/>
      <c r="C334" s="172"/>
      <c r="D334" s="172"/>
      <c r="E334" s="172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</row>
    <row r="335" spans="1:30" x14ac:dyDescent="0.25">
      <c r="A335" s="172"/>
      <c r="B335" s="172"/>
      <c r="C335" s="172"/>
      <c r="D335" s="172"/>
      <c r="E335" s="172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</row>
    <row r="336" spans="1:30" x14ac:dyDescent="0.25">
      <c r="A336" s="172"/>
      <c r="B336" s="172"/>
      <c r="C336" s="172"/>
      <c r="D336" s="172"/>
      <c r="E336" s="172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</row>
    <row r="337" spans="1:30" x14ac:dyDescent="0.25">
      <c r="A337" s="172"/>
      <c r="B337" s="172"/>
      <c r="C337" s="172"/>
      <c r="D337" s="172"/>
      <c r="E337" s="172"/>
      <c r="F337" s="172"/>
      <c r="G337" s="172"/>
      <c r="H337" s="172"/>
      <c r="I337" s="172"/>
      <c r="J337" s="172"/>
      <c r="K337" s="172"/>
      <c r="L337" s="172"/>
      <c r="M337" s="172"/>
      <c r="N337" s="172"/>
      <c r="O337" s="172"/>
      <c r="P337" s="172"/>
      <c r="Q337" s="172"/>
      <c r="R337" s="172"/>
      <c r="S337" s="172"/>
      <c r="T337" s="172"/>
      <c r="U337" s="172"/>
      <c r="V337" s="172"/>
      <c r="W337" s="172"/>
      <c r="X337" s="172"/>
      <c r="Y337" s="172"/>
      <c r="Z337" s="172"/>
      <c r="AA337" s="172"/>
      <c r="AB337" s="172"/>
      <c r="AC337" s="172"/>
      <c r="AD337" s="172"/>
    </row>
    <row r="338" spans="1:30" x14ac:dyDescent="0.25">
      <c r="A338" s="172"/>
      <c r="B338" s="172"/>
      <c r="C338" s="172"/>
      <c r="D338" s="172"/>
      <c r="E338" s="172"/>
      <c r="F338" s="172"/>
      <c r="G338" s="172"/>
      <c r="H338" s="172"/>
      <c r="I338" s="172"/>
      <c r="J338" s="172"/>
      <c r="K338" s="172"/>
      <c r="L338" s="172"/>
      <c r="M338" s="172"/>
      <c r="N338" s="172"/>
      <c r="O338" s="172"/>
      <c r="P338" s="172"/>
      <c r="Q338" s="172"/>
      <c r="R338" s="172"/>
      <c r="S338" s="172"/>
      <c r="T338" s="172"/>
      <c r="U338" s="172"/>
      <c r="V338" s="172"/>
      <c r="W338" s="172"/>
      <c r="X338" s="172"/>
      <c r="Y338" s="172"/>
      <c r="Z338" s="172"/>
      <c r="AA338" s="172"/>
      <c r="AB338" s="172"/>
      <c r="AC338" s="172"/>
      <c r="AD338" s="172"/>
    </row>
    <row r="339" spans="1:30" x14ac:dyDescent="0.25">
      <c r="A339" s="172"/>
      <c r="B339" s="172"/>
      <c r="C339" s="172"/>
      <c r="D339" s="172"/>
      <c r="E339" s="172"/>
      <c r="F339" s="172"/>
      <c r="G339" s="172"/>
      <c r="H339" s="172"/>
      <c r="I339" s="172"/>
      <c r="J339" s="172"/>
      <c r="K339" s="172"/>
      <c r="L339" s="172"/>
      <c r="M339" s="172"/>
      <c r="N339" s="172"/>
      <c r="O339" s="172"/>
      <c r="P339" s="172"/>
      <c r="Q339" s="172"/>
      <c r="R339" s="172"/>
      <c r="S339" s="172"/>
      <c r="T339" s="172"/>
      <c r="U339" s="172"/>
      <c r="V339" s="172"/>
      <c r="W339" s="172"/>
      <c r="X339" s="172"/>
      <c r="Y339" s="172"/>
      <c r="Z339" s="172"/>
      <c r="AA339" s="172"/>
      <c r="AB339" s="172"/>
      <c r="AC339" s="172"/>
      <c r="AD339" s="172"/>
    </row>
    <row r="340" spans="1:30" x14ac:dyDescent="0.25">
      <c r="A340" s="172"/>
      <c r="B340" s="172"/>
      <c r="C340" s="172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2"/>
      <c r="R340" s="172"/>
      <c r="S340" s="172"/>
      <c r="T340" s="172"/>
      <c r="U340" s="172"/>
      <c r="V340" s="172"/>
      <c r="W340" s="172"/>
      <c r="X340" s="172"/>
      <c r="Y340" s="172"/>
      <c r="Z340" s="172"/>
      <c r="AA340" s="172"/>
      <c r="AB340" s="172"/>
      <c r="AC340" s="172"/>
      <c r="AD340" s="172"/>
    </row>
    <row r="341" spans="1:30" x14ac:dyDescent="0.25">
      <c r="A341" s="172"/>
      <c r="B341" s="172"/>
      <c r="C341" s="172"/>
      <c r="D341" s="172"/>
      <c r="E341" s="172"/>
      <c r="F341" s="172"/>
      <c r="G341" s="172"/>
      <c r="H341" s="172"/>
      <c r="I341" s="172"/>
      <c r="J341" s="172"/>
      <c r="K341" s="172"/>
      <c r="L341" s="172"/>
      <c r="M341" s="172"/>
      <c r="N341" s="172"/>
      <c r="O341" s="172"/>
      <c r="P341" s="172"/>
      <c r="Q341" s="172"/>
      <c r="R341" s="172"/>
      <c r="S341" s="172"/>
      <c r="T341" s="172"/>
      <c r="U341" s="172"/>
      <c r="V341" s="172"/>
      <c r="W341" s="172"/>
      <c r="X341" s="172"/>
      <c r="Y341" s="172"/>
      <c r="Z341" s="172"/>
      <c r="AA341" s="172"/>
      <c r="AB341" s="172"/>
      <c r="AC341" s="172"/>
      <c r="AD341" s="172"/>
    </row>
    <row r="342" spans="1:30" x14ac:dyDescent="0.25">
      <c r="A342" s="172"/>
      <c r="B342" s="172"/>
      <c r="C342" s="172"/>
      <c r="D342" s="172"/>
      <c r="E342" s="172"/>
      <c r="F342" s="172"/>
      <c r="G342" s="172"/>
      <c r="H342" s="172"/>
      <c r="I342" s="172"/>
      <c r="J342" s="172"/>
      <c r="K342" s="172"/>
      <c r="L342" s="172"/>
      <c r="M342" s="172"/>
      <c r="N342" s="172"/>
      <c r="O342" s="172"/>
      <c r="P342" s="172"/>
      <c r="Q342" s="172"/>
      <c r="R342" s="172"/>
      <c r="S342" s="172"/>
      <c r="T342" s="172"/>
      <c r="U342" s="172"/>
      <c r="V342" s="172"/>
      <c r="W342" s="172"/>
      <c r="X342" s="172"/>
      <c r="Y342" s="172"/>
      <c r="Z342" s="172"/>
      <c r="AA342" s="172"/>
      <c r="AB342" s="172"/>
      <c r="AC342" s="172"/>
      <c r="AD342" s="172"/>
    </row>
    <row r="343" spans="1:30" x14ac:dyDescent="0.25">
      <c r="A343" s="172"/>
      <c r="B343" s="172"/>
      <c r="C343" s="172"/>
      <c r="D343" s="172"/>
      <c r="E343" s="172"/>
      <c r="F343" s="172"/>
      <c r="G343" s="172"/>
      <c r="H343" s="172"/>
      <c r="I343" s="172"/>
      <c r="J343" s="172"/>
      <c r="K343" s="172"/>
      <c r="L343" s="172"/>
      <c r="M343" s="172"/>
      <c r="N343" s="172"/>
      <c r="O343" s="172"/>
      <c r="P343" s="172"/>
      <c r="Q343" s="172"/>
      <c r="R343" s="172"/>
      <c r="S343" s="172"/>
      <c r="T343" s="172"/>
      <c r="U343" s="172"/>
      <c r="V343" s="172"/>
      <c r="W343" s="172"/>
      <c r="X343" s="172"/>
      <c r="Y343" s="172"/>
      <c r="Z343" s="172"/>
      <c r="AA343" s="172"/>
      <c r="AB343" s="172"/>
      <c r="AC343" s="172"/>
      <c r="AD343" s="172"/>
    </row>
    <row r="344" spans="1:30" x14ac:dyDescent="0.25">
      <c r="A344" s="172"/>
      <c r="B344" s="172"/>
      <c r="C344" s="172"/>
      <c r="D344" s="172"/>
      <c r="E344" s="172"/>
      <c r="F344" s="172"/>
      <c r="G344" s="172"/>
      <c r="H344" s="172"/>
      <c r="I344" s="172"/>
      <c r="J344" s="172"/>
      <c r="K344" s="172"/>
      <c r="L344" s="172"/>
      <c r="M344" s="172"/>
      <c r="N344" s="172"/>
      <c r="O344" s="172"/>
      <c r="P344" s="172"/>
      <c r="Q344" s="172"/>
      <c r="R344" s="172"/>
      <c r="S344" s="172"/>
      <c r="T344" s="172"/>
      <c r="U344" s="172"/>
      <c r="V344" s="172"/>
      <c r="W344" s="172"/>
      <c r="X344" s="172"/>
      <c r="Y344" s="172"/>
      <c r="Z344" s="172"/>
      <c r="AA344" s="172"/>
      <c r="AB344" s="172"/>
      <c r="AC344" s="172"/>
      <c r="AD344" s="172"/>
    </row>
    <row r="345" spans="1:30" x14ac:dyDescent="0.25">
      <c r="A345" s="172"/>
      <c r="B345" s="172"/>
      <c r="C345" s="172"/>
      <c r="D345" s="172"/>
      <c r="E345" s="172"/>
      <c r="F345" s="172"/>
      <c r="G345" s="172"/>
      <c r="H345" s="172"/>
      <c r="I345" s="172"/>
      <c r="J345" s="172"/>
      <c r="K345" s="172"/>
      <c r="L345" s="172"/>
      <c r="M345" s="172"/>
      <c r="N345" s="172"/>
      <c r="O345" s="172"/>
      <c r="P345" s="172"/>
      <c r="Q345" s="172"/>
      <c r="R345" s="172"/>
      <c r="S345" s="172"/>
      <c r="T345" s="172"/>
      <c r="U345" s="172"/>
      <c r="V345" s="172"/>
      <c r="W345" s="172"/>
      <c r="X345" s="172"/>
      <c r="Y345" s="172"/>
      <c r="Z345" s="172"/>
      <c r="AA345" s="172"/>
      <c r="AB345" s="172"/>
      <c r="AC345" s="172"/>
      <c r="AD345" s="172"/>
    </row>
    <row r="346" spans="1:30" x14ac:dyDescent="0.25">
      <c r="A346" s="172"/>
      <c r="B346" s="172"/>
      <c r="C346" s="172"/>
      <c r="D346" s="172"/>
      <c r="E346" s="172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</row>
    <row r="347" spans="1:30" x14ac:dyDescent="0.25">
      <c r="A347" s="172"/>
      <c r="B347" s="172"/>
      <c r="C347" s="172"/>
      <c r="D347" s="172"/>
      <c r="E347" s="172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</row>
    <row r="348" spans="1:30" x14ac:dyDescent="0.25">
      <c r="A348" s="172"/>
      <c r="B348" s="172"/>
      <c r="C348" s="172"/>
      <c r="D348" s="172"/>
      <c r="E348" s="172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</row>
    <row r="349" spans="1:30" x14ac:dyDescent="0.25">
      <c r="A349" s="172"/>
      <c r="B349" s="172"/>
      <c r="C349" s="172"/>
      <c r="D349" s="172"/>
      <c r="E349" s="172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</row>
    <row r="350" spans="1:30" x14ac:dyDescent="0.25">
      <c r="A350" s="172"/>
      <c r="B350" s="172"/>
      <c r="C350" s="172"/>
      <c r="D350" s="172"/>
      <c r="E350" s="172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</row>
    <row r="351" spans="1:30" x14ac:dyDescent="0.25">
      <c r="A351" s="172"/>
      <c r="B351" s="172"/>
      <c r="C351" s="172"/>
      <c r="D351" s="172"/>
      <c r="E351" s="172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</row>
    <row r="352" spans="1:30" x14ac:dyDescent="0.25">
      <c r="A352" s="172"/>
      <c r="B352" s="172"/>
      <c r="C352" s="172"/>
      <c r="D352" s="172"/>
      <c r="E352" s="172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</row>
    <row r="353" spans="1:30" x14ac:dyDescent="0.25">
      <c r="A353" s="172"/>
      <c r="B353" s="172"/>
      <c r="C353" s="172"/>
      <c r="D353" s="172"/>
      <c r="E353" s="172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</row>
    <row r="354" spans="1:30" x14ac:dyDescent="0.25">
      <c r="A354" s="172"/>
      <c r="B354" s="172"/>
      <c r="C354" s="172"/>
      <c r="D354" s="172"/>
      <c r="E354" s="172"/>
      <c r="F354" s="172"/>
      <c r="G354" s="172"/>
      <c r="H354" s="172"/>
      <c r="I354" s="172"/>
      <c r="J354" s="172"/>
      <c r="K354" s="172"/>
      <c r="L354" s="172"/>
      <c r="M354" s="172"/>
      <c r="N354" s="172"/>
      <c r="O354" s="172"/>
      <c r="P354" s="172"/>
      <c r="Q354" s="172"/>
      <c r="R354" s="172"/>
      <c r="S354" s="172"/>
      <c r="T354" s="172"/>
      <c r="U354" s="172"/>
      <c r="V354" s="172"/>
      <c r="W354" s="172"/>
      <c r="X354" s="172"/>
      <c r="Y354" s="172"/>
      <c r="Z354" s="172"/>
      <c r="AA354" s="172"/>
      <c r="AB354" s="172"/>
      <c r="AC354" s="172"/>
      <c r="AD354" s="172"/>
    </row>
    <row r="355" spans="1:30" x14ac:dyDescent="0.25">
      <c r="A355" s="172"/>
      <c r="B355" s="172"/>
      <c r="C355" s="172"/>
      <c r="D355" s="172"/>
      <c r="E355" s="172"/>
      <c r="F355" s="172"/>
      <c r="G355" s="172"/>
      <c r="H355" s="172"/>
      <c r="I355" s="172"/>
      <c r="J355" s="172"/>
      <c r="K355" s="172"/>
      <c r="L355" s="172"/>
      <c r="M355" s="172"/>
      <c r="N355" s="172"/>
      <c r="O355" s="172"/>
      <c r="P355" s="172"/>
      <c r="Q355" s="172"/>
      <c r="R355" s="172"/>
      <c r="S355" s="172"/>
      <c r="T355" s="172"/>
      <c r="U355" s="172"/>
      <c r="V355" s="172"/>
      <c r="W355" s="172"/>
      <c r="X355" s="172"/>
      <c r="Y355" s="172"/>
      <c r="Z355" s="172"/>
      <c r="AA355" s="172"/>
      <c r="AB355" s="172"/>
      <c r="AC355" s="172"/>
      <c r="AD355" s="172"/>
    </row>
    <row r="356" spans="1:30" x14ac:dyDescent="0.25">
      <c r="A356" s="172"/>
      <c r="B356" s="172"/>
      <c r="C356" s="172"/>
      <c r="D356" s="172"/>
      <c r="E356" s="172"/>
      <c r="F356" s="172"/>
      <c r="G356" s="172"/>
      <c r="H356" s="172"/>
      <c r="I356" s="172"/>
      <c r="J356" s="172"/>
      <c r="K356" s="172"/>
      <c r="L356" s="172"/>
      <c r="M356" s="172"/>
      <c r="N356" s="172"/>
      <c r="O356" s="172"/>
      <c r="P356" s="172"/>
      <c r="Q356" s="172"/>
      <c r="R356" s="172"/>
      <c r="S356" s="172"/>
      <c r="T356" s="172"/>
      <c r="U356" s="172"/>
      <c r="V356" s="172"/>
      <c r="W356" s="172"/>
      <c r="X356" s="172"/>
      <c r="Y356" s="172"/>
      <c r="Z356" s="172"/>
      <c r="AA356" s="172"/>
      <c r="AB356" s="172"/>
      <c r="AC356" s="172"/>
      <c r="AD356" s="172"/>
    </row>
  </sheetData>
  <phoneticPr fontId="0" type="noConversion"/>
  <printOptions horizontalCentered="1"/>
  <pageMargins left="0.75" right="0.75" top="0.75" bottom="0.5" header="0.5" footer="0.5"/>
  <pageSetup scale="64" orientation="landscape" horizontalDpi="4294967295" verticalDpi="4294967295" r:id="rId1"/>
  <headerFooter alignWithMargins="0"/>
  <rowBreaks count="3" manualBreakCount="3">
    <brk id="55" max="12" man="1"/>
    <brk id="127" max="12" man="1"/>
    <brk id="191" max="1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0"/>
  <dimension ref="A1:BQ427"/>
  <sheetViews>
    <sheetView view="pageBreakPreview" topLeftCell="A400" zoomScale="90" zoomScaleNormal="100" zoomScaleSheetLayoutView="90" workbookViewId="0">
      <selection activeCell="H383" sqref="H383"/>
    </sheetView>
  </sheetViews>
  <sheetFormatPr defaultColWidth="16.28515625" defaultRowHeight="15.75" x14ac:dyDescent="0.25"/>
  <cols>
    <col min="1" max="1" width="4.140625" style="178" customWidth="1"/>
    <col min="2" max="2" width="1.85546875" style="178" customWidth="1"/>
    <col min="3" max="3" width="2.28515625" style="178" customWidth="1"/>
    <col min="4" max="4" width="3.28515625" style="178" customWidth="1"/>
    <col min="5" max="5" width="6.7109375" style="178" customWidth="1"/>
    <col min="6" max="6" width="17" style="178" customWidth="1"/>
    <col min="7" max="7" width="1.7109375" style="178" customWidth="1"/>
    <col min="8" max="8" width="15" style="178" customWidth="1"/>
    <col min="9" max="9" width="1.7109375" style="178" customWidth="1"/>
    <col min="10" max="10" width="15" style="178" customWidth="1"/>
    <col min="11" max="11" width="1.7109375" style="178" customWidth="1"/>
    <col min="12" max="12" width="15" style="178" customWidth="1"/>
    <col min="13" max="13" width="1.7109375" style="178" customWidth="1"/>
    <col min="14" max="14" width="15" style="178" customWidth="1"/>
    <col min="15" max="15" width="1.7109375" style="178" customWidth="1"/>
    <col min="16" max="16" width="15" style="178" customWidth="1"/>
    <col min="17" max="17" width="1.7109375" style="178" customWidth="1"/>
    <col min="18" max="18" width="17" style="178" hidden="1" customWidth="1"/>
    <col min="19" max="19" width="1.7109375" style="178" hidden="1" customWidth="1"/>
    <col min="20" max="20" width="17" style="178" hidden="1" customWidth="1"/>
    <col min="21" max="21" width="1.7109375" style="172" hidden="1" customWidth="1"/>
    <col min="22" max="22" width="17" style="178" hidden="1" customWidth="1"/>
    <col min="23" max="23" width="1.7109375" style="178" hidden="1" customWidth="1"/>
    <col min="24" max="24" width="17" style="178" hidden="1" customWidth="1"/>
    <col min="25" max="25" width="1.7109375" style="178" hidden="1" customWidth="1"/>
    <col min="26" max="26" width="17" style="178" hidden="1" customWidth="1"/>
    <col min="27" max="27" width="1.7109375" style="178" hidden="1" customWidth="1"/>
    <col min="28" max="28" width="17" style="178" hidden="1" customWidth="1"/>
    <col min="29" max="29" width="17" style="172" bestFit="1" customWidth="1"/>
    <col min="30" max="31" width="16.28515625" style="172" customWidth="1"/>
    <col min="32" max="32" width="24.7109375" style="172" customWidth="1"/>
    <col min="33" max="33" width="12.42578125" style="172" customWidth="1"/>
    <col min="34" max="35" width="19.42578125" style="172" bestFit="1" customWidth="1"/>
    <col min="36" max="36" width="16" style="172" customWidth="1"/>
    <col min="37" max="37" width="14.5703125" style="172" bestFit="1" customWidth="1"/>
    <col min="38" max="38" width="19.28515625" style="172" customWidth="1"/>
    <col min="39" max="39" width="1.7109375" style="172" customWidth="1"/>
    <col min="40" max="40" width="17.28515625" style="172" bestFit="1" customWidth="1"/>
    <col min="41" max="41" width="1.7109375" style="172" customWidth="1"/>
    <col min="42" max="42" width="19.5703125" style="172" bestFit="1" customWidth="1"/>
    <col min="43" max="43" width="2.7109375" style="172" customWidth="1"/>
    <col min="44" max="44" width="27.140625" style="172" customWidth="1"/>
    <col min="45" max="45" width="2.7109375" style="172" customWidth="1"/>
    <col min="46" max="46" width="32" style="172" customWidth="1"/>
    <col min="47" max="47" width="2.7109375" style="172" customWidth="1"/>
    <col min="48" max="48" width="18.85546875" style="172" customWidth="1"/>
    <col min="49" max="49" width="4.5703125" style="172" customWidth="1"/>
    <col min="50" max="50" width="19.140625" style="172" bestFit="1" customWidth="1"/>
    <col min="51" max="51" width="2.7109375" style="172" customWidth="1"/>
    <col min="52" max="52" width="14.85546875" style="172" customWidth="1"/>
    <col min="53" max="53" width="2.7109375" style="172" customWidth="1"/>
    <col min="54" max="54" width="11.5703125" style="172" bestFit="1" customWidth="1"/>
    <col min="55" max="55" width="2.7109375" style="172" customWidth="1"/>
    <col min="56" max="56" width="11.42578125" style="172" hidden="1" customWidth="1"/>
    <col min="57" max="57" width="2.7109375" style="172" hidden="1" customWidth="1"/>
    <col min="58" max="58" width="12.85546875" style="172" hidden="1" customWidth="1"/>
    <col min="59" max="59" width="2.7109375" style="172" hidden="1" customWidth="1"/>
    <col min="60" max="60" width="10.85546875" style="172" hidden="1" customWidth="1"/>
    <col min="61" max="62" width="0" style="172" hidden="1" customWidth="1"/>
    <col min="63" max="63" width="2.7109375" style="172" hidden="1" customWidth="1"/>
    <col min="64" max="64" width="11.42578125" style="172" bestFit="1" customWidth="1"/>
    <col min="65" max="65" width="2.7109375" style="172" customWidth="1"/>
    <col min="66" max="66" width="17.140625" style="172" bestFit="1" customWidth="1"/>
    <col min="67" max="67" width="2.7109375" style="172" customWidth="1"/>
    <col min="68" max="68" width="16.28515625" style="172"/>
    <col min="69" max="16384" width="16.28515625" style="178"/>
  </cols>
  <sheetData>
    <row r="1" spans="1:28" x14ac:dyDescent="0.25">
      <c r="A1" s="367" t="s">
        <v>232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4"/>
      <c r="V1" s="333"/>
      <c r="W1" s="333"/>
      <c r="X1" s="333"/>
      <c r="Y1" s="333"/>
      <c r="Z1" s="333"/>
      <c r="AA1" s="333"/>
      <c r="AB1" s="333"/>
    </row>
    <row r="2" spans="1:28" x14ac:dyDescent="0.25">
      <c r="A2" s="367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1121" t="s">
        <v>17</v>
      </c>
      <c r="Q2" s="333"/>
      <c r="R2" s="333"/>
      <c r="S2" s="333"/>
      <c r="T2" s="333"/>
      <c r="U2" s="334"/>
      <c r="W2" s="194"/>
      <c r="X2" s="194"/>
      <c r="Y2" s="194"/>
      <c r="Z2" s="194"/>
      <c r="AA2" s="194"/>
    </row>
    <row r="3" spans="1:28" x14ac:dyDescent="0.25">
      <c r="A3" s="191" t="s">
        <v>375</v>
      </c>
      <c r="B3" s="333"/>
      <c r="C3" s="333"/>
      <c r="D3" s="333"/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4"/>
      <c r="V3" s="333"/>
      <c r="W3" s="333"/>
      <c r="X3" s="333"/>
      <c r="Y3" s="333"/>
      <c r="Z3" s="333"/>
      <c r="AA3" s="333"/>
      <c r="AB3" s="333"/>
    </row>
    <row r="4" spans="1:28" x14ac:dyDescent="0.25">
      <c r="A4" s="41" t="s">
        <v>169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</row>
    <row r="5" spans="1:28" x14ac:dyDescent="0.25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7"/>
      <c r="V5" s="174"/>
      <c r="W5" s="174"/>
      <c r="X5" s="174"/>
      <c r="Y5" s="174"/>
      <c r="Z5" s="174"/>
      <c r="AA5" s="174"/>
      <c r="AB5" s="174"/>
    </row>
    <row r="6" spans="1:28" x14ac:dyDescent="0.25">
      <c r="A6" s="21" t="s">
        <v>162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7"/>
      <c r="V6" s="174"/>
      <c r="W6" s="174"/>
      <c r="X6" s="174"/>
      <c r="Y6" s="174"/>
      <c r="Z6" s="174"/>
      <c r="AA6" s="174"/>
      <c r="AB6" s="174"/>
    </row>
    <row r="8" spans="1:28" x14ac:dyDescent="0.25">
      <c r="A8" s="998" t="s">
        <v>1069</v>
      </c>
    </row>
    <row r="9" spans="1:28" x14ac:dyDescent="0.25">
      <c r="A9" s="998" t="s">
        <v>744</v>
      </c>
    </row>
    <row r="10" spans="1:28" x14ac:dyDescent="0.25">
      <c r="U10" s="178"/>
    </row>
    <row r="11" spans="1:28" x14ac:dyDescent="0.25">
      <c r="U11" s="178"/>
    </row>
    <row r="12" spans="1:28" x14ac:dyDescent="0.25">
      <c r="A12" s="127"/>
      <c r="J12" s="1104" t="s">
        <v>353</v>
      </c>
      <c r="N12" s="1104" t="s">
        <v>354</v>
      </c>
      <c r="O12" s="172"/>
      <c r="R12" s="172"/>
      <c r="S12" s="172"/>
      <c r="T12" s="172"/>
      <c r="U12" s="178"/>
    </row>
    <row r="13" spans="1:28" x14ac:dyDescent="0.25">
      <c r="H13" s="1115" t="s">
        <v>229</v>
      </c>
      <c r="J13" s="1108" t="s">
        <v>283</v>
      </c>
      <c r="N13" s="1108" t="s">
        <v>283</v>
      </c>
      <c r="O13" s="172"/>
      <c r="Q13" s="61"/>
      <c r="R13" s="61"/>
      <c r="S13" s="61"/>
      <c r="T13" s="61"/>
      <c r="U13" s="178"/>
      <c r="AA13" s="61"/>
      <c r="AB13" s="61"/>
    </row>
    <row r="14" spans="1:28" x14ac:dyDescent="0.25">
      <c r="H14" s="43" t="s">
        <v>80</v>
      </c>
      <c r="J14" s="1108" t="s">
        <v>288</v>
      </c>
      <c r="N14" s="1108" t="s">
        <v>288</v>
      </c>
      <c r="O14" s="172"/>
      <c r="Q14" s="61"/>
      <c r="R14" s="61"/>
      <c r="S14" s="61"/>
      <c r="T14" s="61"/>
      <c r="U14" s="178"/>
      <c r="AA14" s="61"/>
      <c r="AB14" s="61"/>
    </row>
    <row r="15" spans="1:28" x14ac:dyDescent="0.25">
      <c r="H15" s="1116">
        <v>44104</v>
      </c>
      <c r="J15" s="1122" t="s">
        <v>735</v>
      </c>
      <c r="L15" s="1101" t="s">
        <v>107</v>
      </c>
      <c r="N15" s="1122" t="s">
        <v>736</v>
      </c>
      <c r="O15" s="172"/>
      <c r="P15" s="1101" t="s">
        <v>107</v>
      </c>
      <c r="Q15" s="61"/>
      <c r="R15" s="61"/>
      <c r="S15" s="61"/>
      <c r="T15" s="61"/>
      <c r="U15" s="178"/>
      <c r="AA15" s="61"/>
      <c r="AB15" s="61"/>
    </row>
    <row r="16" spans="1:28" x14ac:dyDescent="0.25">
      <c r="E16" s="22"/>
      <c r="J16" s="1123" t="s">
        <v>733</v>
      </c>
      <c r="N16" s="1124" t="s">
        <v>734</v>
      </c>
      <c r="O16" s="172"/>
      <c r="R16" s="172"/>
      <c r="S16" s="172"/>
      <c r="T16" s="172"/>
      <c r="U16" s="178"/>
    </row>
    <row r="17" spans="1:29" x14ac:dyDescent="0.25">
      <c r="B17" s="1125" t="s">
        <v>540</v>
      </c>
      <c r="C17" s="1125"/>
      <c r="D17" s="1125"/>
      <c r="E17" s="22"/>
      <c r="N17" s="1126"/>
      <c r="O17" s="172"/>
      <c r="R17" s="172"/>
      <c r="S17" s="172"/>
      <c r="T17" s="172"/>
      <c r="U17" s="178"/>
    </row>
    <row r="18" spans="1:29" x14ac:dyDescent="0.25">
      <c r="A18" s="1125"/>
      <c r="B18" s="22"/>
      <c r="C18" s="22"/>
      <c r="D18" s="22"/>
      <c r="E18" s="113"/>
      <c r="O18" s="172"/>
      <c r="R18" s="172"/>
      <c r="S18" s="172"/>
      <c r="T18" s="172"/>
      <c r="U18" s="178"/>
    </row>
    <row r="19" spans="1:29" x14ac:dyDescent="0.25">
      <c r="B19" s="113" t="s">
        <v>73</v>
      </c>
      <c r="C19" s="113"/>
      <c r="D19" s="113"/>
      <c r="E19" s="113"/>
      <c r="H19" s="207">
        <v>19390251</v>
      </c>
      <c r="J19" s="207">
        <v>542352</v>
      </c>
      <c r="L19" s="207">
        <v>19932603</v>
      </c>
      <c r="N19" s="207">
        <v>1101491</v>
      </c>
      <c r="O19" s="172"/>
      <c r="P19" s="207">
        <v>21034094</v>
      </c>
      <c r="Q19" s="207"/>
      <c r="R19" s="209"/>
      <c r="S19" s="209"/>
      <c r="T19" s="209"/>
      <c r="U19" s="178"/>
      <c r="AA19" s="207"/>
      <c r="AB19" s="207"/>
      <c r="AC19" s="201"/>
    </row>
    <row r="20" spans="1:29" x14ac:dyDescent="0.25">
      <c r="B20" s="337" t="s">
        <v>499</v>
      </c>
      <c r="C20" s="337"/>
      <c r="D20" s="337"/>
      <c r="E20" s="113"/>
      <c r="H20" s="200">
        <v>5779922</v>
      </c>
      <c r="J20" s="201">
        <v>209732</v>
      </c>
      <c r="L20" s="200">
        <v>5989654</v>
      </c>
      <c r="N20" s="200">
        <v>339898</v>
      </c>
      <c r="O20" s="172"/>
      <c r="P20" s="200">
        <v>6329552</v>
      </c>
      <c r="Q20" s="200"/>
      <c r="R20" s="201"/>
      <c r="S20" s="201"/>
      <c r="T20" s="201"/>
      <c r="U20" s="178"/>
      <c r="AA20" s="200"/>
      <c r="AB20" s="200"/>
      <c r="AC20" s="201"/>
    </row>
    <row r="21" spans="1:29" x14ac:dyDescent="0.25">
      <c r="B21" s="337" t="s">
        <v>270</v>
      </c>
      <c r="C21" s="337"/>
      <c r="D21" s="337"/>
      <c r="E21" s="113"/>
      <c r="H21" s="200">
        <v>8257024</v>
      </c>
      <c r="J21" s="714">
        <v>254649</v>
      </c>
      <c r="L21" s="200">
        <v>8511673</v>
      </c>
      <c r="N21" s="200">
        <v>488218</v>
      </c>
      <c r="O21" s="172"/>
      <c r="P21" s="200">
        <v>8999891</v>
      </c>
      <c r="Q21" s="200"/>
      <c r="R21" s="201"/>
      <c r="S21" s="201"/>
      <c r="T21" s="201"/>
      <c r="U21" s="178"/>
      <c r="AA21" s="200"/>
      <c r="AB21" s="200"/>
      <c r="AC21" s="201"/>
    </row>
    <row r="22" spans="1:29" x14ac:dyDescent="0.25">
      <c r="B22" s="337" t="s">
        <v>500</v>
      </c>
      <c r="C22" s="337"/>
      <c r="D22" s="337"/>
      <c r="E22" s="113"/>
      <c r="H22" s="200">
        <v>1194300</v>
      </c>
      <c r="J22" s="201">
        <v>38416</v>
      </c>
      <c r="L22" s="200">
        <v>1232716</v>
      </c>
      <c r="N22" s="200">
        <v>71817</v>
      </c>
      <c r="O22" s="172"/>
      <c r="P22" s="200">
        <v>1304533</v>
      </c>
      <c r="Q22" s="200"/>
      <c r="R22" s="201"/>
      <c r="S22" s="201"/>
      <c r="T22" s="201"/>
      <c r="U22" s="178"/>
      <c r="AA22" s="200"/>
      <c r="AB22" s="200"/>
      <c r="AC22" s="201"/>
    </row>
    <row r="23" spans="1:29" x14ac:dyDescent="0.25">
      <c r="B23" s="113" t="s">
        <v>536</v>
      </c>
      <c r="C23" s="113"/>
      <c r="D23" s="113"/>
      <c r="H23" s="200"/>
      <c r="L23" s="200"/>
      <c r="N23" s="200"/>
      <c r="O23" s="172"/>
      <c r="P23" s="200"/>
      <c r="Q23" s="200"/>
      <c r="R23" s="201"/>
      <c r="S23" s="201"/>
      <c r="T23" s="201"/>
      <c r="U23" s="178"/>
      <c r="AA23" s="200"/>
      <c r="AB23" s="200"/>
      <c r="AC23" s="201"/>
    </row>
    <row r="24" spans="1:29" x14ac:dyDescent="0.25">
      <c r="B24" s="401" t="s">
        <v>990</v>
      </c>
      <c r="C24" s="401"/>
      <c r="D24" s="401"/>
      <c r="H24" s="200">
        <v>3644439</v>
      </c>
      <c r="J24" s="200"/>
      <c r="L24" s="200">
        <v>3644439</v>
      </c>
      <c r="N24" s="200"/>
      <c r="O24" s="172"/>
      <c r="P24" s="200">
        <v>3644439</v>
      </c>
      <c r="Q24" s="200"/>
      <c r="R24" s="201"/>
      <c r="S24" s="201"/>
      <c r="T24" s="201"/>
      <c r="U24" s="178"/>
      <c r="AA24" s="200"/>
      <c r="AB24" s="200"/>
      <c r="AC24" s="201"/>
    </row>
    <row r="25" spans="1:29" x14ac:dyDescent="0.25">
      <c r="B25" s="401" t="s">
        <v>991</v>
      </c>
      <c r="C25" s="401"/>
      <c r="D25" s="401"/>
      <c r="H25" s="200">
        <v>1553922</v>
      </c>
      <c r="J25" s="200"/>
      <c r="L25" s="200">
        <v>1553922</v>
      </c>
      <c r="N25" s="200"/>
      <c r="O25" s="172"/>
      <c r="P25" s="200">
        <v>1553922</v>
      </c>
      <c r="Q25" s="200"/>
      <c r="R25" s="201"/>
      <c r="S25" s="201"/>
      <c r="T25" s="201"/>
      <c r="U25" s="178"/>
      <c r="AA25" s="200"/>
      <c r="AB25" s="200"/>
      <c r="AC25" s="201"/>
    </row>
    <row r="26" spans="1:29" x14ac:dyDescent="0.25">
      <c r="B26" s="401" t="s">
        <v>992</v>
      </c>
      <c r="C26" s="401"/>
      <c r="D26" s="401"/>
      <c r="H26" s="200">
        <v>833125</v>
      </c>
      <c r="J26" s="200"/>
      <c r="L26" s="200">
        <v>833125</v>
      </c>
      <c r="N26" s="200"/>
      <c r="O26" s="172"/>
      <c r="P26" s="200">
        <v>833125</v>
      </c>
      <c r="Q26" s="200"/>
      <c r="R26" s="201"/>
      <c r="S26" s="201"/>
      <c r="T26" s="201"/>
      <c r="U26" s="178"/>
      <c r="AA26" s="200"/>
      <c r="AB26" s="200"/>
      <c r="AC26" s="201"/>
    </row>
    <row r="27" spans="1:29" x14ac:dyDescent="0.25">
      <c r="B27" s="178" t="s">
        <v>993</v>
      </c>
      <c r="H27" s="200">
        <v>92791</v>
      </c>
      <c r="J27" s="200">
        <v>106942</v>
      </c>
      <c r="L27" s="200">
        <v>199733</v>
      </c>
      <c r="N27" s="200">
        <v>11208</v>
      </c>
      <c r="O27" s="172"/>
      <c r="P27" s="200">
        <v>210941</v>
      </c>
      <c r="Q27" s="200"/>
      <c r="R27" s="201"/>
      <c r="S27" s="201"/>
      <c r="T27" s="201"/>
      <c r="U27" s="178"/>
      <c r="AA27" s="200"/>
      <c r="AB27" s="200"/>
      <c r="AC27" s="201"/>
    </row>
    <row r="28" spans="1:29" x14ac:dyDescent="0.25">
      <c r="H28" s="98"/>
      <c r="J28" s="98"/>
      <c r="L28" s="98"/>
      <c r="N28" s="98"/>
      <c r="O28" s="172"/>
      <c r="P28" s="98"/>
      <c r="Q28" s="172"/>
      <c r="R28" s="172"/>
      <c r="S28" s="172"/>
      <c r="T28" s="172"/>
      <c r="U28" s="178"/>
      <c r="AA28" s="172"/>
      <c r="AB28" s="172"/>
    </row>
    <row r="29" spans="1:29" ht="16.5" thickBot="1" x14ac:dyDescent="0.3">
      <c r="B29" s="178" t="s">
        <v>27</v>
      </c>
      <c r="H29" s="487">
        <f>SUM(H19:H28)</f>
        <v>40745774</v>
      </c>
      <c r="J29" s="487">
        <f>SUM(J19:J28)</f>
        <v>1152091</v>
      </c>
      <c r="L29" s="487">
        <f>SUM(L19:L28)</f>
        <v>41897865</v>
      </c>
      <c r="N29" s="487">
        <f>SUM(N19:N28)</f>
        <v>2012632</v>
      </c>
      <c r="O29" s="172"/>
      <c r="P29" s="487">
        <f>SUM(P19:P28)</f>
        <v>43910497</v>
      </c>
      <c r="Q29" s="209"/>
      <c r="R29" s="209"/>
      <c r="S29" s="209"/>
      <c r="T29" s="209"/>
      <c r="U29" s="178"/>
      <c r="AA29" s="209"/>
      <c r="AB29" s="209"/>
    </row>
    <row r="30" spans="1:29" ht="16.5" thickTop="1" x14ac:dyDescent="0.25"/>
    <row r="32" spans="1:29" x14ac:dyDescent="0.25">
      <c r="A32" s="25"/>
      <c r="B32" s="358" t="s">
        <v>745</v>
      </c>
      <c r="C32" s="358"/>
      <c r="D32" s="358"/>
    </row>
    <row r="33" spans="1:3" x14ac:dyDescent="0.25">
      <c r="B33" s="178" t="s">
        <v>948</v>
      </c>
    </row>
    <row r="34" spans="1:3" x14ac:dyDescent="0.25">
      <c r="B34" s="178" t="s">
        <v>996</v>
      </c>
    </row>
    <row r="35" spans="1:3" x14ac:dyDescent="0.25">
      <c r="C35" s="178" t="s">
        <v>997</v>
      </c>
    </row>
    <row r="36" spans="1:3" x14ac:dyDescent="0.25">
      <c r="B36" s="178" t="s">
        <v>995</v>
      </c>
    </row>
    <row r="37" spans="1:3" x14ac:dyDescent="0.25">
      <c r="A37" s="25"/>
      <c r="B37" s="178" t="s">
        <v>994</v>
      </c>
    </row>
    <row r="38" spans="1:3" x14ac:dyDescent="0.25">
      <c r="A38" s="25"/>
      <c r="C38" s="178" t="s">
        <v>949</v>
      </c>
    </row>
    <row r="39" spans="1:3" x14ac:dyDescent="0.25">
      <c r="A39" s="201"/>
      <c r="B39" s="174"/>
    </row>
    <row r="40" spans="1:3" x14ac:dyDescent="0.25">
      <c r="A40" s="1273" t="s">
        <v>1151</v>
      </c>
      <c r="B40" s="174"/>
    </row>
    <row r="41" spans="1:3" x14ac:dyDescent="0.25">
      <c r="A41" s="201"/>
      <c r="B41" s="174"/>
    </row>
    <row r="42" spans="1:3" x14ac:dyDescent="0.25">
      <c r="A42" s="201"/>
      <c r="B42" s="174"/>
    </row>
    <row r="43" spans="1:3" x14ac:dyDescent="0.25">
      <c r="A43" s="201"/>
      <c r="B43" s="174"/>
    </row>
    <row r="44" spans="1:3" x14ac:dyDescent="0.25">
      <c r="A44" s="201"/>
      <c r="B44" s="174"/>
    </row>
    <row r="45" spans="1:3" x14ac:dyDescent="0.25">
      <c r="A45" s="201"/>
      <c r="B45" s="174"/>
    </row>
    <row r="46" spans="1:3" x14ac:dyDescent="0.25">
      <c r="A46" s="201"/>
      <c r="B46" s="174"/>
    </row>
    <row r="48" spans="1:3" x14ac:dyDescent="0.25">
      <c r="A48" s="201"/>
      <c r="B48" s="174"/>
    </row>
    <row r="49" spans="1:35" x14ac:dyDescent="0.25">
      <c r="A49" s="201"/>
      <c r="B49" s="174"/>
    </row>
    <row r="50" spans="1:35" x14ac:dyDescent="0.25">
      <c r="A50" s="201"/>
      <c r="B50" s="174"/>
    </row>
    <row r="51" spans="1:35" x14ac:dyDescent="0.25">
      <c r="A51" s="201"/>
      <c r="B51" s="174"/>
    </row>
    <row r="52" spans="1:35" x14ac:dyDescent="0.25">
      <c r="A52" s="201"/>
      <c r="B52" s="174"/>
    </row>
    <row r="53" spans="1:35" x14ac:dyDescent="0.25">
      <c r="A53" s="201"/>
      <c r="B53" s="174"/>
    </row>
    <row r="54" spans="1:35" x14ac:dyDescent="0.25">
      <c r="A54" s="201"/>
      <c r="B54" s="174"/>
    </row>
    <row r="55" spans="1:35" x14ac:dyDescent="0.25">
      <c r="B55" s="174"/>
      <c r="C55" s="174"/>
      <c r="D55" s="174"/>
      <c r="E55" s="174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4"/>
      <c r="U55" s="177"/>
      <c r="V55" s="174"/>
      <c r="W55" s="174"/>
      <c r="X55" s="174"/>
      <c r="Y55" s="174"/>
      <c r="Z55" s="174"/>
      <c r="AA55" s="174"/>
      <c r="AB55" s="174"/>
    </row>
    <row r="56" spans="1:35" x14ac:dyDescent="0.25">
      <c r="A56" s="174"/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7"/>
      <c r="V56" s="174"/>
      <c r="W56" s="174"/>
      <c r="X56" s="174"/>
      <c r="Y56" s="174"/>
      <c r="Z56" s="174"/>
      <c r="AA56" s="174"/>
      <c r="AB56" s="174"/>
    </row>
    <row r="57" spans="1:35" x14ac:dyDescent="0.25">
      <c r="A57" s="174" t="s">
        <v>16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7"/>
      <c r="V57" s="174"/>
      <c r="W57" s="174"/>
      <c r="X57" s="174"/>
      <c r="Y57" s="174"/>
      <c r="Z57" s="174"/>
      <c r="AA57" s="174"/>
      <c r="AB57" s="174"/>
    </row>
    <row r="58" spans="1:35" x14ac:dyDescent="0.25">
      <c r="A58" s="174"/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7"/>
      <c r="V58" s="174"/>
      <c r="W58" s="174"/>
      <c r="X58" s="174"/>
      <c r="Y58" s="174"/>
      <c r="Z58" s="174"/>
      <c r="AA58" s="174"/>
      <c r="AB58" s="174"/>
    </row>
    <row r="59" spans="1:35" x14ac:dyDescent="0.25">
      <c r="A59" s="174" t="s">
        <v>611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7"/>
      <c r="V59" s="174"/>
      <c r="W59" s="174"/>
      <c r="X59" s="174"/>
      <c r="Y59" s="174"/>
      <c r="Z59" s="174"/>
      <c r="AA59" s="174"/>
      <c r="AB59" s="174"/>
    </row>
    <row r="60" spans="1:35" x14ac:dyDescent="0.25">
      <c r="A60" s="174"/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4"/>
      <c r="U60" s="177"/>
      <c r="V60" s="174"/>
      <c r="W60" s="174"/>
      <c r="X60" s="174"/>
      <c r="Y60" s="174"/>
      <c r="Z60" s="174"/>
      <c r="AA60" s="174"/>
      <c r="AB60" s="174"/>
    </row>
    <row r="61" spans="1:35" x14ac:dyDescent="0.25">
      <c r="A61" s="192">
        <v>19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4"/>
      <c r="U61" s="177"/>
      <c r="V61" s="174"/>
      <c r="W61" s="174"/>
      <c r="X61" s="174"/>
      <c r="Y61" s="174"/>
      <c r="Z61" s="174"/>
      <c r="AA61" s="174"/>
      <c r="AB61" s="174"/>
    </row>
    <row r="62" spans="1:35" x14ac:dyDescent="0.25">
      <c r="A62" s="1449" t="s">
        <v>232</v>
      </c>
      <c r="B62" s="1449"/>
      <c r="C62" s="1449"/>
      <c r="D62" s="1449"/>
      <c r="E62" s="1449"/>
      <c r="F62" s="1449"/>
      <c r="G62" s="1449"/>
      <c r="H62" s="1449"/>
      <c r="I62" s="1449"/>
      <c r="J62" s="1449"/>
      <c r="K62" s="1449"/>
      <c r="L62" s="1449"/>
      <c r="M62" s="1449"/>
      <c r="N62" s="1449"/>
      <c r="O62" s="1449"/>
      <c r="P62" s="1449"/>
      <c r="Q62" s="1449"/>
      <c r="R62" s="333"/>
      <c r="S62" s="333"/>
      <c r="T62" s="333"/>
      <c r="U62" s="334"/>
      <c r="V62" s="333"/>
      <c r="W62" s="333"/>
      <c r="X62" s="333"/>
      <c r="Y62" s="333"/>
      <c r="Z62" s="333"/>
      <c r="AA62" s="333"/>
      <c r="AB62" s="333"/>
      <c r="AC62" s="189"/>
      <c r="AD62" s="177"/>
      <c r="AE62" s="177"/>
      <c r="AF62" s="177"/>
      <c r="AG62" s="177"/>
      <c r="AH62" s="177"/>
      <c r="AI62" s="177"/>
    </row>
    <row r="63" spans="1:35" x14ac:dyDescent="0.25">
      <c r="A63" s="367"/>
      <c r="B63" s="333"/>
      <c r="C63" s="333"/>
      <c r="D63" s="333"/>
      <c r="E63" s="333"/>
      <c r="F63" s="333"/>
      <c r="G63" s="333"/>
      <c r="H63" s="333"/>
      <c r="I63" s="333"/>
      <c r="J63" s="333"/>
      <c r="K63" s="333"/>
      <c r="L63" s="333"/>
      <c r="M63" s="333"/>
      <c r="N63" s="333"/>
      <c r="O63" s="333"/>
      <c r="P63" s="1121" t="s">
        <v>17</v>
      </c>
      <c r="Q63" s="333"/>
      <c r="R63" s="333"/>
      <c r="S63" s="333"/>
      <c r="T63" s="333"/>
      <c r="U63" s="334"/>
      <c r="W63" s="194"/>
      <c r="X63" s="194"/>
      <c r="Y63" s="194"/>
      <c r="Z63" s="194"/>
      <c r="AA63" s="194"/>
      <c r="AC63" s="447"/>
    </row>
    <row r="64" spans="1:35" x14ac:dyDescent="0.25">
      <c r="A64" s="191" t="s">
        <v>375</v>
      </c>
      <c r="B64" s="333"/>
      <c r="C64" s="333"/>
      <c r="D64" s="333"/>
      <c r="E64" s="333"/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4"/>
      <c r="V64" s="333"/>
      <c r="W64" s="333"/>
      <c r="X64" s="333"/>
      <c r="Y64" s="333"/>
      <c r="Z64" s="333"/>
      <c r="AA64" s="333"/>
      <c r="AB64" s="333"/>
      <c r="AC64" s="447"/>
    </row>
    <row r="65" spans="1:69" s="996" customFormat="1" ht="14.25" customHeight="1" x14ac:dyDescent="0.25">
      <c r="A65" s="41" t="s">
        <v>169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47"/>
      <c r="AD65" s="425"/>
      <c r="AE65" s="425"/>
      <c r="AF65" s="425"/>
      <c r="AG65" s="425"/>
      <c r="AH65" s="425"/>
      <c r="AI65" s="425"/>
      <c r="AJ65" s="425"/>
      <c r="AK65" s="425"/>
      <c r="AL65" s="425"/>
      <c r="AM65" s="425"/>
      <c r="AN65" s="425"/>
      <c r="AO65" s="425"/>
      <c r="AP65" s="425"/>
      <c r="AQ65" s="425"/>
      <c r="AR65" s="425"/>
      <c r="AS65" s="425"/>
      <c r="AT65" s="61"/>
      <c r="AU65" s="425"/>
      <c r="AV65" s="172"/>
      <c r="AW65" s="425"/>
      <c r="AX65" s="425"/>
      <c r="AY65" s="425"/>
      <c r="AZ65" s="425"/>
      <c r="BA65" s="425"/>
      <c r="BB65" s="425"/>
      <c r="BC65" s="425"/>
      <c r="BD65" s="425"/>
      <c r="BE65" s="425"/>
      <c r="BF65" s="425"/>
      <c r="BG65" s="425"/>
      <c r="BH65" s="425"/>
      <c r="BI65" s="425"/>
      <c r="BJ65" s="425"/>
      <c r="BK65" s="425"/>
      <c r="BL65" s="425"/>
      <c r="BM65" s="425"/>
      <c r="BN65" s="425"/>
      <c r="BO65" s="425"/>
      <c r="BP65" s="425"/>
      <c r="BQ65" s="425"/>
    </row>
    <row r="66" spans="1:69" x14ac:dyDescent="0.25">
      <c r="A66" s="174"/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7"/>
      <c r="V66" s="174"/>
      <c r="W66" s="174"/>
      <c r="X66" s="174"/>
      <c r="Y66" s="174"/>
      <c r="Z66" s="174"/>
      <c r="AA66" s="174"/>
      <c r="AB66" s="174"/>
      <c r="AC66" s="447"/>
      <c r="AN66" s="61"/>
      <c r="AP66" s="61"/>
      <c r="AQ66" s="61"/>
      <c r="AR66" s="61"/>
      <c r="AT66" s="61"/>
      <c r="AV66" s="61"/>
      <c r="AZ66" s="61"/>
      <c r="BB66" s="61"/>
      <c r="BF66" s="61"/>
      <c r="BH66" s="61"/>
      <c r="BJ66" s="61"/>
      <c r="BN66" s="61"/>
      <c r="BP66" s="61"/>
      <c r="BQ66" s="172"/>
    </row>
    <row r="67" spans="1:69" x14ac:dyDescent="0.25">
      <c r="A67" s="21" t="s">
        <v>163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7"/>
      <c r="V67" s="174"/>
      <c r="W67" s="174"/>
      <c r="X67" s="174"/>
      <c r="Y67" s="174"/>
      <c r="Z67" s="174"/>
      <c r="AA67" s="174"/>
      <c r="AB67" s="174"/>
      <c r="AC67" s="447"/>
      <c r="AD67" s="177"/>
      <c r="AE67" s="177"/>
      <c r="AF67" s="177"/>
      <c r="AG67" s="177"/>
      <c r="AH67" s="177"/>
      <c r="AI67" s="177"/>
      <c r="AN67" s="61"/>
      <c r="AP67" s="61"/>
      <c r="AQ67" s="61"/>
      <c r="AR67" s="61"/>
      <c r="AT67" s="61"/>
      <c r="AV67" s="61"/>
      <c r="AX67" s="61"/>
      <c r="AZ67" s="61"/>
      <c r="BB67" s="61"/>
      <c r="BF67" s="61"/>
      <c r="BH67" s="61"/>
      <c r="BJ67" s="61"/>
      <c r="BN67" s="61"/>
      <c r="BP67" s="61"/>
      <c r="BQ67" s="172"/>
    </row>
    <row r="68" spans="1:69" x14ac:dyDescent="0.25">
      <c r="AC68" s="177"/>
      <c r="AD68" s="177"/>
      <c r="AE68" s="177"/>
      <c r="AF68" s="177"/>
      <c r="AG68" s="177"/>
      <c r="AH68" s="177"/>
      <c r="AI68" s="177"/>
      <c r="AL68" s="1130"/>
      <c r="AN68" s="96"/>
      <c r="AP68" s="96"/>
      <c r="AT68" s="96"/>
      <c r="AV68" s="96"/>
      <c r="AX68" s="123"/>
      <c r="AZ68" s="96"/>
      <c r="BB68" s="96"/>
      <c r="BD68" s="123"/>
      <c r="BF68" s="96"/>
      <c r="BH68" s="96"/>
      <c r="BJ68" s="96"/>
      <c r="BL68" s="123"/>
      <c r="BN68" s="96"/>
      <c r="BP68" s="96"/>
      <c r="BQ68" s="172"/>
    </row>
    <row r="69" spans="1:69" x14ac:dyDescent="0.25">
      <c r="A69" s="86" t="s">
        <v>1160</v>
      </c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R69" s="22"/>
      <c r="S69" s="22"/>
      <c r="T69" s="22"/>
      <c r="U69" s="87"/>
      <c r="AC69" s="189"/>
      <c r="AD69" s="177"/>
      <c r="AE69" s="177"/>
      <c r="AF69" s="177"/>
      <c r="AG69" s="177"/>
      <c r="AH69" s="177"/>
      <c r="AI69" s="177"/>
      <c r="AT69" s="96"/>
      <c r="AV69" s="96"/>
      <c r="AX69" s="96"/>
      <c r="AZ69" s="96"/>
      <c r="BB69" s="96"/>
      <c r="BF69" s="96"/>
      <c r="BH69" s="96"/>
      <c r="BJ69" s="96"/>
      <c r="BN69" s="96"/>
      <c r="BP69" s="96"/>
      <c r="BQ69" s="172"/>
    </row>
    <row r="70" spans="1:69" x14ac:dyDescent="0.25">
      <c r="A70" s="200" t="s">
        <v>1098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R70" s="22"/>
      <c r="S70" s="22"/>
      <c r="T70" s="22"/>
      <c r="U70" s="87"/>
      <c r="AC70" s="189"/>
      <c r="AD70" s="177"/>
      <c r="AE70" s="177"/>
      <c r="AF70" s="177"/>
      <c r="AG70" s="177"/>
      <c r="AH70" s="177"/>
      <c r="AI70" s="177"/>
      <c r="AL70" s="1130"/>
      <c r="AN70" s="96"/>
      <c r="AP70" s="1307"/>
      <c r="AR70" s="96"/>
      <c r="AT70" s="96"/>
      <c r="AV70" s="96"/>
      <c r="AX70" s="96"/>
      <c r="AZ70" s="96"/>
      <c r="BB70" s="96"/>
      <c r="BF70" s="96"/>
      <c r="BH70" s="96"/>
      <c r="BJ70" s="96"/>
      <c r="BN70" s="96"/>
      <c r="BP70" s="96"/>
      <c r="BQ70" s="172"/>
    </row>
    <row r="71" spans="1:69" x14ac:dyDescent="0.25">
      <c r="A71" s="86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R71" s="22"/>
      <c r="S71" s="22"/>
      <c r="T71" s="22"/>
      <c r="U71" s="87"/>
      <c r="AN71" s="96"/>
      <c r="AP71" s="1307"/>
      <c r="AR71" s="96"/>
      <c r="AT71" s="96"/>
      <c r="AV71" s="96"/>
      <c r="AX71" s="96"/>
      <c r="AZ71" s="96"/>
      <c r="BB71" s="96"/>
      <c r="BD71" s="123"/>
      <c r="BF71" s="96"/>
      <c r="BH71" s="96"/>
      <c r="BJ71" s="96"/>
      <c r="BL71" s="123"/>
      <c r="BN71" s="96"/>
      <c r="BP71" s="96"/>
      <c r="BQ71" s="172"/>
    </row>
    <row r="72" spans="1:69" x14ac:dyDescent="0.25">
      <c r="A72" s="25"/>
      <c r="U72" s="178"/>
      <c r="AL72" s="1163"/>
      <c r="AN72" s="96"/>
      <c r="AP72" s="1307"/>
      <c r="AR72" s="96"/>
      <c r="AT72" s="96"/>
      <c r="AV72" s="96"/>
      <c r="AX72" s="96"/>
      <c r="AZ72" s="96"/>
      <c r="BB72" s="96"/>
      <c r="BF72" s="96"/>
      <c r="BH72" s="96"/>
      <c r="BJ72" s="96"/>
      <c r="BN72" s="96"/>
      <c r="BP72" s="96"/>
      <c r="BQ72" s="172"/>
    </row>
    <row r="73" spans="1:69" x14ac:dyDescent="0.25">
      <c r="U73" s="178"/>
      <c r="AC73" s="148"/>
      <c r="AH73" s="162"/>
      <c r="AL73" s="1130"/>
      <c r="AN73" s="96"/>
      <c r="AP73" s="1307"/>
      <c r="AR73" s="96"/>
      <c r="AT73" s="96"/>
      <c r="AV73" s="96"/>
      <c r="AX73" s="96"/>
      <c r="AZ73" s="96"/>
      <c r="BB73" s="96"/>
      <c r="BF73" s="96"/>
      <c r="BH73" s="96"/>
      <c r="BJ73" s="96"/>
      <c r="BN73" s="96"/>
      <c r="BP73" s="96"/>
      <c r="BQ73" s="172"/>
    </row>
    <row r="74" spans="1:69" x14ac:dyDescent="0.25">
      <c r="A74" s="171"/>
      <c r="D74" s="88"/>
      <c r="E74" s="171"/>
      <c r="F74" s="171"/>
      <c r="G74" s="171"/>
      <c r="J74" s="171" t="s">
        <v>151</v>
      </c>
      <c r="K74" s="1104"/>
      <c r="L74" s="171"/>
      <c r="M74" s="171"/>
      <c r="N74" s="171" t="s">
        <v>139</v>
      </c>
      <c r="O74" s="89"/>
      <c r="P74" s="1104"/>
      <c r="U74" s="178"/>
      <c r="AA74" s="1104"/>
      <c r="AB74" s="1104"/>
      <c r="AC74" s="87"/>
      <c r="AH74" s="162"/>
      <c r="AL74" s="1163"/>
      <c r="AN74" s="96"/>
      <c r="AP74" s="1307"/>
      <c r="AR74" s="96"/>
      <c r="AT74" s="96"/>
      <c r="AV74" s="96"/>
      <c r="AX74" s="96"/>
      <c r="AZ74" s="96"/>
      <c r="BB74" s="96"/>
      <c r="BF74" s="96"/>
      <c r="BH74" s="96"/>
      <c r="BJ74" s="96"/>
      <c r="BN74" s="96"/>
      <c r="BP74" s="96"/>
      <c r="BQ74" s="172"/>
    </row>
    <row r="75" spans="1:69" x14ac:dyDescent="0.25">
      <c r="A75" s="171"/>
      <c r="F75" s="171"/>
      <c r="G75" s="171"/>
      <c r="H75" s="171" t="s">
        <v>152</v>
      </c>
      <c r="J75" s="171" t="s">
        <v>139</v>
      </c>
      <c r="K75" s="1104"/>
      <c r="L75" s="171" t="s">
        <v>138</v>
      </c>
      <c r="M75" s="171"/>
      <c r="N75" s="171" t="s">
        <v>153</v>
      </c>
      <c r="O75" s="89"/>
      <c r="P75" s="1104"/>
      <c r="U75" s="178"/>
      <c r="AA75" s="1104"/>
      <c r="AB75" s="1104"/>
      <c r="AC75" s="99"/>
      <c r="AD75" s="341"/>
      <c r="AG75" s="87"/>
      <c r="AH75" s="162"/>
      <c r="AL75" s="1163"/>
      <c r="AN75" s="96"/>
      <c r="AP75" s="1307"/>
      <c r="AR75" s="96"/>
      <c r="AT75" s="96"/>
      <c r="AV75" s="96"/>
      <c r="AX75" s="96"/>
      <c r="AZ75" s="96"/>
      <c r="BB75" s="96"/>
      <c r="BF75" s="96"/>
      <c r="BH75" s="96"/>
      <c r="BJ75" s="96"/>
      <c r="BN75" s="96"/>
      <c r="BP75" s="96"/>
      <c r="BQ75" s="172"/>
    </row>
    <row r="76" spans="1:69" x14ac:dyDescent="0.25">
      <c r="A76" s="171"/>
      <c r="F76" s="171" t="s">
        <v>136</v>
      </c>
      <c r="G76" s="171"/>
      <c r="H76" s="171" t="s">
        <v>137</v>
      </c>
      <c r="J76" s="171" t="s">
        <v>138</v>
      </c>
      <c r="K76" s="1104"/>
      <c r="L76" s="171" t="s">
        <v>153</v>
      </c>
      <c r="M76" s="171"/>
      <c r="N76" s="1104" t="s">
        <v>73</v>
      </c>
      <c r="O76" s="89"/>
      <c r="P76" s="1104"/>
      <c r="U76" s="178"/>
      <c r="AA76" s="1104"/>
      <c r="AB76" s="1104"/>
      <c r="AC76" s="87"/>
      <c r="AD76" s="341"/>
      <c r="AG76" s="87"/>
      <c r="AH76" s="162"/>
      <c r="AL76" s="1163"/>
      <c r="AN76" s="96"/>
      <c r="AP76" s="1307"/>
      <c r="AR76" s="96"/>
      <c r="AT76" s="96"/>
      <c r="AV76" s="96"/>
      <c r="AX76" s="96"/>
      <c r="AZ76" s="96"/>
      <c r="BB76" s="96"/>
      <c r="BF76" s="96"/>
      <c r="BH76" s="96"/>
      <c r="BJ76" s="96"/>
      <c r="BN76" s="96"/>
      <c r="BP76" s="96"/>
      <c r="BQ76" s="172"/>
    </row>
    <row r="77" spans="1:69" x14ac:dyDescent="0.25">
      <c r="A77" s="171"/>
      <c r="F77" s="171" t="s">
        <v>140</v>
      </c>
      <c r="G77" s="171"/>
      <c r="H77" s="171" t="s">
        <v>676</v>
      </c>
      <c r="J77" s="171" t="s">
        <v>141</v>
      </c>
      <c r="K77" s="1104"/>
      <c r="L77" s="171" t="s">
        <v>155</v>
      </c>
      <c r="M77" s="171"/>
      <c r="N77" s="171" t="s">
        <v>677</v>
      </c>
      <c r="O77" s="89"/>
      <c r="P77" s="91" t="s">
        <v>171</v>
      </c>
      <c r="U77" s="178"/>
      <c r="AA77" s="91"/>
      <c r="AB77" s="91"/>
      <c r="AH77" s="162"/>
      <c r="AL77" s="1163"/>
      <c r="AN77" s="96"/>
      <c r="AP77" s="1307"/>
      <c r="AR77" s="96"/>
      <c r="AT77" s="96"/>
      <c r="AV77" s="96"/>
      <c r="AX77" s="96"/>
      <c r="AZ77" s="96"/>
      <c r="BB77" s="96"/>
      <c r="BF77" s="96"/>
      <c r="BH77" s="96"/>
      <c r="BN77" s="96"/>
      <c r="BP77" s="96"/>
      <c r="BQ77" s="172"/>
    </row>
    <row r="78" spans="1:69" x14ac:dyDescent="0.25">
      <c r="A78" s="22"/>
      <c r="F78" s="73"/>
      <c r="G78" s="87"/>
      <c r="H78" s="73"/>
      <c r="J78" s="73"/>
      <c r="L78" s="73"/>
      <c r="M78" s="22"/>
      <c r="N78" s="73"/>
      <c r="O78" s="87"/>
      <c r="P78" s="73"/>
      <c r="U78" s="178"/>
      <c r="AA78" s="87"/>
      <c r="AB78" s="87"/>
      <c r="AG78" s="786"/>
      <c r="AH78" s="162"/>
      <c r="AN78" s="96"/>
      <c r="AP78" s="1307"/>
      <c r="AR78" s="96"/>
      <c r="AT78" s="96"/>
      <c r="AV78" s="96"/>
      <c r="AX78" s="96"/>
      <c r="AZ78" s="96"/>
      <c r="BB78" s="96"/>
      <c r="BF78" s="96"/>
      <c r="BH78" s="96"/>
      <c r="BN78" s="96"/>
      <c r="BP78" s="96"/>
      <c r="BQ78" s="172"/>
    </row>
    <row r="79" spans="1:69" x14ac:dyDescent="0.25">
      <c r="A79" s="22"/>
      <c r="F79" s="92" t="s">
        <v>737</v>
      </c>
      <c r="G79" s="92"/>
      <c r="H79" s="993">
        <v>-47</v>
      </c>
      <c r="J79" s="171">
        <v>0</v>
      </c>
      <c r="L79" s="993">
        <v>0</v>
      </c>
      <c r="M79" s="22"/>
      <c r="N79" s="95">
        <v>25.13</v>
      </c>
      <c r="O79" s="93"/>
      <c r="P79" s="711">
        <v>0</v>
      </c>
      <c r="U79" s="178"/>
      <c r="AA79" s="997"/>
      <c r="AB79" s="997"/>
      <c r="AG79" s="23"/>
      <c r="AH79" s="1308"/>
      <c r="AL79" s="1163"/>
      <c r="AN79" s="96"/>
      <c r="AP79" s="1307"/>
      <c r="AR79" s="96"/>
      <c r="AT79" s="96"/>
      <c r="AV79" s="96"/>
      <c r="AX79" s="96"/>
      <c r="AZ79" s="96"/>
      <c r="BB79" s="96"/>
      <c r="BF79" s="96"/>
      <c r="BH79" s="96"/>
      <c r="BN79" s="96"/>
      <c r="BP79" s="96"/>
      <c r="BQ79" s="172"/>
    </row>
    <row r="80" spans="1:69" x14ac:dyDescent="0.25">
      <c r="A80" s="22"/>
      <c r="F80" s="178" t="s">
        <v>148</v>
      </c>
      <c r="H80" s="993">
        <v>-267</v>
      </c>
      <c r="J80" s="171">
        <v>1</v>
      </c>
      <c r="L80" s="993">
        <v>-267</v>
      </c>
      <c r="M80" s="22"/>
      <c r="N80" s="102">
        <v>25.13</v>
      </c>
      <c r="O80" s="93"/>
      <c r="P80" s="993">
        <v>-6710</v>
      </c>
      <c r="U80" s="178"/>
      <c r="AA80" s="993"/>
      <c r="AB80" s="993"/>
      <c r="AD80" s="341"/>
      <c r="AG80" s="99"/>
      <c r="AH80" s="162"/>
      <c r="AL80" s="1163"/>
      <c r="AN80" s="96"/>
      <c r="AP80" s="1307"/>
      <c r="AR80" s="96"/>
      <c r="AT80" s="96"/>
      <c r="AV80" s="96"/>
      <c r="AX80" s="96"/>
      <c r="AZ80" s="96"/>
      <c r="BB80" s="96"/>
      <c r="BF80" s="96"/>
      <c r="BH80" s="96"/>
      <c r="BJ80" s="96"/>
      <c r="BN80" s="96"/>
      <c r="BP80" s="96"/>
      <c r="BQ80" s="172"/>
    </row>
    <row r="81" spans="1:69" x14ac:dyDescent="0.25">
      <c r="A81" s="22"/>
      <c r="F81" s="94" t="s">
        <v>149</v>
      </c>
      <c r="G81" s="94"/>
      <c r="H81" s="993">
        <v>204</v>
      </c>
      <c r="J81" s="171">
        <v>2</v>
      </c>
      <c r="L81" s="993">
        <v>408</v>
      </c>
      <c r="M81" s="22"/>
      <c r="N81" s="102">
        <v>25.13</v>
      </c>
      <c r="O81" s="93"/>
      <c r="P81" s="993">
        <v>10253</v>
      </c>
      <c r="U81" s="178"/>
      <c r="AA81" s="993"/>
      <c r="AB81" s="993"/>
      <c r="AH81" s="1308"/>
      <c r="AL81" s="1163"/>
      <c r="AN81" s="96"/>
      <c r="AP81" s="1307"/>
      <c r="AR81" s="96"/>
      <c r="AT81" s="96"/>
      <c r="AV81" s="96"/>
      <c r="AX81" s="96"/>
      <c r="AZ81" s="96"/>
      <c r="BB81" s="96"/>
      <c r="BF81" s="96"/>
      <c r="BH81" s="96"/>
      <c r="BJ81" s="96"/>
      <c r="BN81" s="96"/>
      <c r="BP81" s="96"/>
      <c r="BQ81" s="172"/>
    </row>
    <row r="82" spans="1:69" x14ac:dyDescent="0.25">
      <c r="A82" s="22"/>
      <c r="F82" s="92" t="s">
        <v>738</v>
      </c>
      <c r="G82" s="92"/>
      <c r="H82" s="993">
        <v>5</v>
      </c>
      <c r="J82" s="171">
        <v>3</v>
      </c>
      <c r="L82" s="993">
        <v>15</v>
      </c>
      <c r="M82" s="22"/>
      <c r="N82" s="102">
        <v>28.31</v>
      </c>
      <c r="O82" s="93"/>
      <c r="P82" s="993">
        <v>425</v>
      </c>
      <c r="U82" s="178"/>
      <c r="AA82" s="993"/>
      <c r="AB82" s="993"/>
      <c r="AD82" s="341"/>
      <c r="AF82" s="87"/>
      <c r="AG82" s="99"/>
      <c r="AH82" s="162"/>
      <c r="AN82" s="96"/>
      <c r="AP82" s="96"/>
      <c r="AR82" s="96"/>
      <c r="AT82" s="96"/>
      <c r="AV82" s="96"/>
      <c r="AX82" s="96"/>
      <c r="BB82" s="96"/>
      <c r="BH82" s="96"/>
      <c r="BJ82" s="96"/>
      <c r="BP82" s="96"/>
      <c r="BQ82" s="172"/>
    </row>
    <row r="83" spans="1:69" x14ac:dyDescent="0.25">
      <c r="A83" s="22"/>
      <c r="F83" s="94" t="s">
        <v>142</v>
      </c>
      <c r="G83" s="94"/>
      <c r="H83" s="993">
        <v>-64</v>
      </c>
      <c r="J83" s="171">
        <v>4</v>
      </c>
      <c r="L83" s="993">
        <v>-256</v>
      </c>
      <c r="M83" s="22"/>
      <c r="N83" s="102">
        <v>28.31</v>
      </c>
      <c r="O83" s="93"/>
      <c r="P83" s="993">
        <v>-7247</v>
      </c>
      <c r="U83" s="178"/>
      <c r="AA83" s="993"/>
      <c r="AB83" s="993"/>
      <c r="AH83" s="162"/>
      <c r="AN83" s="96"/>
      <c r="AP83" s="96"/>
      <c r="AR83" s="96"/>
      <c r="AT83" s="96"/>
      <c r="AV83" s="96"/>
      <c r="AX83" s="96"/>
      <c r="BQ83" s="172"/>
    </row>
    <row r="84" spans="1:69" x14ac:dyDescent="0.25">
      <c r="A84" s="22"/>
      <c r="F84" s="94" t="s">
        <v>157</v>
      </c>
      <c r="G84" s="94"/>
      <c r="H84" s="993">
        <v>15</v>
      </c>
      <c r="J84" s="171">
        <v>5</v>
      </c>
      <c r="L84" s="993">
        <v>75</v>
      </c>
      <c r="M84" s="22"/>
      <c r="N84" s="102">
        <v>28.31</v>
      </c>
      <c r="O84" s="93"/>
      <c r="P84" s="993">
        <v>2123</v>
      </c>
      <c r="U84" s="178"/>
      <c r="AA84" s="993"/>
      <c r="AB84" s="993"/>
      <c r="AD84" s="341"/>
      <c r="AF84" s="87"/>
      <c r="AG84" s="717"/>
      <c r="AH84" s="162"/>
      <c r="BQ84" s="172"/>
    </row>
    <row r="85" spans="1:69" x14ac:dyDescent="0.25">
      <c r="A85" s="22"/>
      <c r="F85" s="94" t="s">
        <v>143</v>
      </c>
      <c r="G85" s="94"/>
      <c r="H85" s="993">
        <v>168</v>
      </c>
      <c r="J85" s="171">
        <v>6</v>
      </c>
      <c r="L85" s="993">
        <v>1008</v>
      </c>
      <c r="M85" s="22"/>
      <c r="N85" s="102">
        <v>28.31</v>
      </c>
      <c r="O85" s="93"/>
      <c r="P85" s="993">
        <v>28536</v>
      </c>
      <c r="U85" s="178"/>
      <c r="AA85" s="993"/>
      <c r="AB85" s="993"/>
      <c r="AH85" s="162"/>
      <c r="AN85" s="96"/>
      <c r="AP85" s="96"/>
      <c r="AR85" s="96"/>
      <c r="AT85" s="96"/>
      <c r="AV85" s="96"/>
      <c r="AX85" s="96"/>
      <c r="BQ85" s="172"/>
    </row>
    <row r="86" spans="1:69" x14ac:dyDescent="0.25">
      <c r="A86" s="22"/>
      <c r="F86" s="94" t="s">
        <v>144</v>
      </c>
      <c r="G86" s="94"/>
      <c r="H86" s="993">
        <v>155</v>
      </c>
      <c r="J86" s="171">
        <v>7</v>
      </c>
      <c r="L86" s="993">
        <v>1085</v>
      </c>
      <c r="M86" s="22"/>
      <c r="N86" s="102">
        <v>28.31</v>
      </c>
      <c r="O86" s="93"/>
      <c r="P86" s="993">
        <v>30716</v>
      </c>
      <c r="U86" s="178"/>
      <c r="AA86" s="993"/>
      <c r="AB86" s="993"/>
      <c r="AH86" s="162"/>
      <c r="BQ86" s="172"/>
    </row>
    <row r="87" spans="1:69" x14ac:dyDescent="0.25">
      <c r="A87" s="22"/>
      <c r="F87" s="178" t="s">
        <v>145</v>
      </c>
      <c r="H87" s="993">
        <v>216</v>
      </c>
      <c r="J87" s="171">
        <v>8</v>
      </c>
      <c r="L87" s="993">
        <v>1728</v>
      </c>
      <c r="M87" s="22"/>
      <c r="N87" s="102">
        <v>28.31</v>
      </c>
      <c r="O87" s="93"/>
      <c r="P87" s="993">
        <v>48920</v>
      </c>
      <c r="U87" s="178"/>
      <c r="AA87" s="993"/>
      <c r="AB87" s="993"/>
      <c r="AN87" s="96"/>
    </row>
    <row r="88" spans="1:69" ht="15.75" customHeight="1" x14ac:dyDescent="0.25">
      <c r="A88" s="22"/>
      <c r="F88" s="94" t="s">
        <v>1</v>
      </c>
      <c r="G88" s="94"/>
      <c r="H88" s="993">
        <v>278</v>
      </c>
      <c r="J88" s="171">
        <v>9</v>
      </c>
      <c r="L88" s="993">
        <v>2502</v>
      </c>
      <c r="M88" s="22"/>
      <c r="N88" s="102">
        <v>28.31</v>
      </c>
      <c r="O88" s="99"/>
      <c r="P88" s="993">
        <v>70832</v>
      </c>
      <c r="U88" s="178"/>
      <c r="AA88" s="993"/>
      <c r="AB88" s="993"/>
      <c r="AC88" s="1309"/>
    </row>
    <row r="89" spans="1:69" ht="18.75" x14ac:dyDescent="0.3">
      <c r="A89" s="22"/>
      <c r="F89" s="94" t="s">
        <v>146</v>
      </c>
      <c r="G89" s="94"/>
      <c r="H89" s="993">
        <v>120</v>
      </c>
      <c r="J89" s="171">
        <v>10</v>
      </c>
      <c r="L89" s="993">
        <v>1200</v>
      </c>
      <c r="M89" s="22"/>
      <c r="N89" s="102">
        <v>28.31</v>
      </c>
      <c r="O89" s="93"/>
      <c r="P89" s="993">
        <v>33972</v>
      </c>
      <c r="U89" s="178"/>
      <c r="AA89" s="993"/>
      <c r="AB89" s="993"/>
      <c r="AC89" s="162"/>
      <c r="AM89" s="111"/>
      <c r="AO89" s="111"/>
      <c r="AP89" s="104"/>
      <c r="AQ89" s="104"/>
      <c r="AS89" s="489"/>
      <c r="AT89" s="104"/>
      <c r="AV89" s="61"/>
      <c r="AX89" s="61"/>
    </row>
    <row r="90" spans="1:69" ht="18.75" x14ac:dyDescent="0.3">
      <c r="A90" s="22"/>
      <c r="F90" s="94" t="s">
        <v>147</v>
      </c>
      <c r="G90" s="94"/>
      <c r="H90" s="993">
        <v>9</v>
      </c>
      <c r="J90" s="171">
        <v>11</v>
      </c>
      <c r="L90" s="993">
        <v>99</v>
      </c>
      <c r="M90" s="22"/>
      <c r="N90" s="102">
        <v>28.31</v>
      </c>
      <c r="O90" s="93"/>
      <c r="P90" s="993">
        <v>2803</v>
      </c>
      <c r="U90" s="178"/>
      <c r="AA90" s="993"/>
      <c r="AB90" s="993"/>
      <c r="AM90" s="110"/>
      <c r="AO90" s="110"/>
      <c r="AP90" s="104"/>
      <c r="AQ90" s="104"/>
      <c r="AS90" s="104"/>
      <c r="AT90" s="490"/>
    </row>
    <row r="91" spans="1:69" x14ac:dyDescent="0.25">
      <c r="A91" s="22"/>
      <c r="H91" s="73"/>
      <c r="L91" s="73"/>
      <c r="M91" s="22"/>
      <c r="N91" s="102"/>
      <c r="O91" s="93"/>
      <c r="P91" s="73"/>
      <c r="V91" s="172"/>
      <c r="AA91" s="87"/>
      <c r="AB91" s="87"/>
    </row>
    <row r="92" spans="1:69" ht="16.5" thickBot="1" x14ac:dyDescent="0.3">
      <c r="A92" s="22"/>
      <c r="F92" s="22" t="s">
        <v>158</v>
      </c>
      <c r="G92" s="22"/>
      <c r="H92" s="477">
        <f>SUM(H79:H91)</f>
        <v>792</v>
      </c>
      <c r="L92" s="477">
        <f>SUM(L79:L91)</f>
        <v>7597</v>
      </c>
      <c r="M92" s="22"/>
      <c r="N92" s="93"/>
      <c r="O92" s="93"/>
      <c r="P92" s="470">
        <f>SUM(P79:P91)</f>
        <v>214623</v>
      </c>
      <c r="V92" s="172"/>
      <c r="AA92" s="997"/>
      <c r="AB92" s="997"/>
    </row>
    <row r="93" spans="1:69" ht="16.5" thickTop="1" x14ac:dyDescent="0.25">
      <c r="A93" s="22"/>
      <c r="D93" s="22"/>
      <c r="E93" s="22"/>
      <c r="F93" s="87"/>
      <c r="G93" s="87"/>
      <c r="H93" s="87"/>
      <c r="I93" s="87"/>
      <c r="J93" s="87"/>
      <c r="K93" s="87"/>
      <c r="L93" s="87"/>
      <c r="M93" s="87"/>
      <c r="N93" s="87"/>
      <c r="O93" s="22"/>
      <c r="R93" s="87"/>
      <c r="S93" s="22"/>
      <c r="T93" s="22"/>
      <c r="U93" s="87"/>
      <c r="V93" s="87"/>
      <c r="W93" s="87"/>
      <c r="X93" s="87"/>
      <c r="Y93" s="87"/>
      <c r="Z93" s="87"/>
      <c r="AA93" s="87"/>
      <c r="AB93" s="87"/>
    </row>
    <row r="94" spans="1:69" ht="18.75" x14ac:dyDescent="0.3">
      <c r="A94" s="22"/>
      <c r="D94" s="22"/>
      <c r="E94" s="22"/>
      <c r="F94" s="87"/>
      <c r="G94" s="87"/>
      <c r="H94" s="22"/>
      <c r="I94" s="22"/>
      <c r="J94" s="22"/>
      <c r="K94" s="22"/>
      <c r="L94" s="22"/>
      <c r="M94" s="22"/>
      <c r="N94" s="22"/>
      <c r="O94" s="22"/>
      <c r="P94" s="87"/>
      <c r="Q94" s="22"/>
      <c r="R94" s="87"/>
      <c r="T94" s="87"/>
      <c r="U94" s="22"/>
      <c r="V94" s="87"/>
      <c r="W94" s="22"/>
      <c r="X94" s="22"/>
      <c r="Y94" s="22"/>
      <c r="Z94" s="22"/>
      <c r="AA94" s="22"/>
      <c r="AB94" s="22"/>
      <c r="AK94" s="1127"/>
      <c r="AM94" s="209"/>
      <c r="AO94" s="209"/>
      <c r="AR94" s="209"/>
      <c r="AT94" s="209"/>
    </row>
    <row r="95" spans="1:69" ht="18.75" x14ac:dyDescent="0.3">
      <c r="A95" s="86" t="s">
        <v>678</v>
      </c>
      <c r="C95" s="86"/>
      <c r="D95" s="86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R95" s="22"/>
      <c r="S95" s="22"/>
      <c r="T95" s="22"/>
      <c r="U95" s="87"/>
      <c r="V95" s="22"/>
      <c r="W95" s="22"/>
      <c r="X95" s="22"/>
      <c r="Y95" s="22"/>
      <c r="Z95" s="22"/>
      <c r="AA95" s="22"/>
      <c r="AB95" s="22"/>
      <c r="AK95" s="1127"/>
      <c r="AM95" s="201"/>
      <c r="AO95" s="201"/>
      <c r="AP95" s="201"/>
      <c r="AQ95" s="201"/>
      <c r="AR95" s="201"/>
      <c r="AS95" s="201"/>
      <c r="AT95" s="201"/>
    </row>
    <row r="96" spans="1:69" x14ac:dyDescent="0.25">
      <c r="A96" s="22" t="s">
        <v>1161</v>
      </c>
      <c r="C96" s="22"/>
      <c r="D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R96" s="22"/>
      <c r="S96" s="22"/>
      <c r="T96" s="22"/>
      <c r="U96" s="87"/>
      <c r="V96" s="22"/>
      <c r="W96" s="22"/>
      <c r="X96" s="22"/>
      <c r="Y96" s="22"/>
      <c r="Z96" s="22"/>
      <c r="AA96" s="22"/>
      <c r="AB96" s="22"/>
    </row>
    <row r="97" spans="1:28" x14ac:dyDescent="0.25">
      <c r="A97" s="113" t="s">
        <v>1133</v>
      </c>
      <c r="C97" s="113"/>
      <c r="D97" s="113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R97" s="22"/>
      <c r="S97" s="22"/>
      <c r="T97" s="22"/>
      <c r="U97" s="87"/>
      <c r="V97" s="22"/>
      <c r="W97" s="22"/>
      <c r="X97" s="22"/>
      <c r="Y97" s="22"/>
      <c r="Z97" s="22"/>
      <c r="AA97" s="22"/>
      <c r="AB97" s="22"/>
    </row>
    <row r="98" spans="1:28" x14ac:dyDescent="0.25">
      <c r="A98" s="25" t="s">
        <v>679</v>
      </c>
      <c r="C98" s="25"/>
      <c r="D98" s="25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R98" s="22"/>
      <c r="S98" s="22"/>
      <c r="T98" s="22"/>
      <c r="U98" s="87"/>
      <c r="V98" s="22"/>
      <c r="W98" s="22"/>
      <c r="X98" s="22"/>
      <c r="Y98" s="22"/>
      <c r="Z98" s="22"/>
      <c r="AA98" s="22"/>
      <c r="AB98" s="22"/>
    </row>
    <row r="99" spans="1:28" x14ac:dyDescent="0.25">
      <c r="B99" s="113"/>
      <c r="C99" s="113"/>
      <c r="D99" s="113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R99" s="22"/>
      <c r="S99" s="22"/>
      <c r="T99" s="22"/>
      <c r="U99" s="87"/>
      <c r="V99" s="22"/>
      <c r="W99" s="22"/>
      <c r="X99" s="22"/>
      <c r="Y99" s="22"/>
      <c r="Z99" s="22"/>
      <c r="AA99" s="22"/>
      <c r="AB99" s="22"/>
    </row>
    <row r="100" spans="1:28" x14ac:dyDescent="0.25">
      <c r="A100" s="1273" t="s">
        <v>1152</v>
      </c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R100" s="22"/>
      <c r="S100" s="22"/>
      <c r="T100" s="22"/>
      <c r="U100" s="87"/>
      <c r="V100" s="22"/>
      <c r="W100" s="22"/>
      <c r="X100" s="22"/>
      <c r="Y100" s="22"/>
      <c r="Z100" s="22"/>
      <c r="AA100" s="22"/>
      <c r="AB100" s="22"/>
    </row>
    <row r="101" spans="1:28" x14ac:dyDescent="0.25">
      <c r="A101" s="25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R101" s="22"/>
      <c r="S101" s="22"/>
      <c r="T101" s="22"/>
      <c r="U101" s="87"/>
      <c r="V101" s="22"/>
      <c r="W101" s="22"/>
      <c r="X101" s="22"/>
      <c r="Y101" s="22"/>
      <c r="Z101" s="22"/>
      <c r="AA101" s="22"/>
      <c r="AB101" s="22"/>
    </row>
    <row r="102" spans="1:28" x14ac:dyDescent="0.25">
      <c r="B102" s="113"/>
      <c r="C102" s="113"/>
      <c r="D102" s="113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R102" s="22"/>
      <c r="S102" s="22"/>
      <c r="T102" s="22"/>
      <c r="U102" s="87"/>
      <c r="V102" s="22"/>
      <c r="W102" s="22"/>
      <c r="X102" s="22"/>
      <c r="Y102" s="22"/>
      <c r="Z102" s="22"/>
      <c r="AA102" s="22"/>
      <c r="AB102" s="22"/>
    </row>
    <row r="103" spans="1:28" x14ac:dyDescent="0.25">
      <c r="B103" s="113"/>
      <c r="C103" s="113"/>
      <c r="D103" s="113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R103" s="22"/>
      <c r="S103" s="22"/>
      <c r="T103" s="22"/>
      <c r="U103" s="87"/>
      <c r="V103" s="22"/>
      <c r="W103" s="22"/>
      <c r="X103" s="22"/>
      <c r="Y103" s="22"/>
      <c r="Z103" s="22"/>
      <c r="AA103" s="22"/>
      <c r="AB103" s="22"/>
    </row>
    <row r="104" spans="1:28" x14ac:dyDescent="0.25">
      <c r="B104" s="113"/>
      <c r="C104" s="113"/>
      <c r="D104" s="113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R104" s="22"/>
      <c r="S104" s="22"/>
      <c r="T104" s="22"/>
      <c r="U104" s="87"/>
      <c r="V104" s="22"/>
      <c r="W104" s="22"/>
      <c r="X104" s="22"/>
      <c r="Y104" s="22"/>
      <c r="Z104" s="22"/>
      <c r="AA104" s="22"/>
      <c r="AB104" s="22"/>
    </row>
    <row r="105" spans="1:28" x14ac:dyDescent="0.25">
      <c r="B105" s="113"/>
      <c r="C105" s="113"/>
      <c r="D105" s="113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R105" s="22"/>
      <c r="S105" s="22"/>
      <c r="T105" s="22"/>
      <c r="U105" s="87"/>
      <c r="V105" s="22"/>
      <c r="W105" s="22"/>
      <c r="X105" s="22"/>
      <c r="Y105" s="22"/>
      <c r="Z105" s="22"/>
      <c r="AA105" s="22"/>
      <c r="AB105" s="22"/>
    </row>
    <row r="106" spans="1:28" x14ac:dyDescent="0.25">
      <c r="B106" s="113"/>
      <c r="C106" s="113"/>
      <c r="D106" s="113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R106" s="22"/>
      <c r="S106" s="22"/>
      <c r="T106" s="22"/>
      <c r="U106" s="87"/>
      <c r="V106" s="22"/>
      <c r="W106" s="22"/>
      <c r="X106" s="22"/>
      <c r="Y106" s="22"/>
      <c r="Z106" s="22"/>
      <c r="AA106" s="22"/>
      <c r="AB106" s="22"/>
    </row>
    <row r="107" spans="1:28" x14ac:dyDescent="0.25">
      <c r="B107" s="113"/>
      <c r="C107" s="113"/>
      <c r="D107" s="113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R107" s="22"/>
      <c r="S107" s="22"/>
      <c r="T107" s="22"/>
      <c r="U107" s="87"/>
      <c r="V107" s="22"/>
      <c r="W107" s="22"/>
      <c r="X107" s="22"/>
      <c r="Y107" s="22"/>
      <c r="Z107" s="22"/>
      <c r="AA107" s="22"/>
      <c r="AB107" s="22"/>
    </row>
    <row r="108" spans="1:28" x14ac:dyDescent="0.25">
      <c r="B108" s="113"/>
      <c r="C108" s="113"/>
      <c r="D108" s="113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R108" s="22"/>
      <c r="S108" s="22"/>
      <c r="T108" s="22"/>
      <c r="U108" s="87"/>
      <c r="V108" s="22"/>
      <c r="W108" s="22"/>
      <c r="X108" s="22"/>
      <c r="Y108" s="22"/>
      <c r="Z108" s="22"/>
      <c r="AA108" s="22"/>
      <c r="AB108" s="22"/>
    </row>
    <row r="109" spans="1:28" x14ac:dyDescent="0.25">
      <c r="B109" s="113"/>
      <c r="C109" s="113"/>
      <c r="D109" s="113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R109" s="22"/>
      <c r="S109" s="22"/>
      <c r="T109" s="22"/>
      <c r="U109" s="87"/>
      <c r="V109" s="22"/>
      <c r="W109" s="22"/>
      <c r="X109" s="22"/>
      <c r="Y109" s="22"/>
      <c r="Z109" s="22"/>
      <c r="AA109" s="22"/>
      <c r="AB109" s="22"/>
    </row>
    <row r="110" spans="1:28" x14ac:dyDescent="0.25">
      <c r="B110" s="113"/>
      <c r="C110" s="113"/>
      <c r="D110" s="113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R110" s="22"/>
      <c r="S110" s="22"/>
      <c r="T110" s="22"/>
      <c r="U110" s="87"/>
      <c r="V110" s="22"/>
      <c r="W110" s="22"/>
      <c r="X110" s="22"/>
      <c r="Y110" s="22"/>
      <c r="Z110" s="22"/>
      <c r="AA110" s="22"/>
      <c r="AB110" s="22"/>
    </row>
    <row r="111" spans="1:28" x14ac:dyDescent="0.25">
      <c r="B111" s="113"/>
      <c r="C111" s="113"/>
      <c r="D111" s="113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R111" s="22"/>
      <c r="S111" s="22"/>
      <c r="T111" s="22"/>
      <c r="U111" s="87"/>
      <c r="V111" s="22"/>
      <c r="W111" s="22"/>
      <c r="X111" s="22"/>
      <c r="Y111" s="22"/>
      <c r="Z111" s="22"/>
      <c r="AA111" s="22"/>
      <c r="AB111" s="22"/>
    </row>
    <row r="112" spans="1:28" x14ac:dyDescent="0.25">
      <c r="B112" s="113"/>
      <c r="C112" s="113"/>
      <c r="D112" s="113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R112" s="22"/>
      <c r="S112" s="22"/>
      <c r="T112" s="22"/>
      <c r="U112" s="87"/>
      <c r="V112" s="22"/>
      <c r="W112" s="22"/>
      <c r="X112" s="22"/>
      <c r="Y112" s="22"/>
      <c r="Z112" s="22"/>
      <c r="AA112" s="22"/>
      <c r="AB112" s="22"/>
    </row>
    <row r="113" spans="1:49" x14ac:dyDescent="0.25">
      <c r="B113" s="113"/>
      <c r="C113" s="113"/>
      <c r="D113" s="113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R113" s="22"/>
      <c r="S113" s="22"/>
      <c r="T113" s="22"/>
      <c r="U113" s="87"/>
      <c r="V113" s="22"/>
      <c r="W113" s="22"/>
      <c r="X113" s="22"/>
      <c r="Y113" s="22"/>
      <c r="Z113" s="22"/>
      <c r="AA113" s="22"/>
      <c r="AB113" s="22"/>
    </row>
    <row r="114" spans="1:49" x14ac:dyDescent="0.25">
      <c r="B114" s="333"/>
      <c r="C114" s="333"/>
      <c r="D114" s="333"/>
      <c r="E114" s="333"/>
      <c r="F114" s="333"/>
      <c r="G114" s="333"/>
      <c r="H114" s="333"/>
      <c r="I114" s="333"/>
      <c r="J114" s="333"/>
      <c r="K114" s="333"/>
      <c r="L114" s="333"/>
      <c r="M114" s="333"/>
      <c r="N114" s="333"/>
      <c r="O114" s="333"/>
      <c r="P114" s="333"/>
      <c r="Q114" s="333"/>
      <c r="R114" s="333"/>
      <c r="S114" s="333"/>
      <c r="T114" s="333"/>
      <c r="U114" s="334"/>
      <c r="V114" s="333"/>
      <c r="W114" s="333"/>
      <c r="X114" s="333"/>
      <c r="Y114" s="333"/>
      <c r="Z114" s="333"/>
      <c r="AA114" s="333"/>
      <c r="AB114" s="333"/>
    </row>
    <row r="115" spans="1:49" x14ac:dyDescent="0.25">
      <c r="B115" s="333"/>
      <c r="C115" s="333"/>
      <c r="D115" s="333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333"/>
      <c r="Q115" s="333"/>
      <c r="R115" s="333"/>
      <c r="S115" s="333"/>
      <c r="T115" s="333"/>
      <c r="U115" s="334"/>
      <c r="V115" s="333"/>
      <c r="W115" s="333"/>
      <c r="X115" s="333"/>
      <c r="Y115" s="333"/>
      <c r="Z115" s="333"/>
      <c r="AA115" s="333"/>
      <c r="AB115" s="333"/>
      <c r="AT115" s="201"/>
      <c r="AV115" s="201"/>
      <c r="AW115" s="1128"/>
    </row>
    <row r="116" spans="1:49" x14ac:dyDescent="0.25">
      <c r="A116" s="333"/>
      <c r="B116" s="333"/>
      <c r="C116" s="333"/>
      <c r="D116" s="333"/>
      <c r="E116" s="333"/>
      <c r="F116" s="333"/>
      <c r="G116" s="333"/>
      <c r="H116" s="333"/>
      <c r="I116" s="333"/>
      <c r="J116" s="333"/>
      <c r="K116" s="333"/>
      <c r="L116" s="333"/>
      <c r="M116" s="333"/>
      <c r="N116" s="333"/>
      <c r="O116" s="333"/>
      <c r="P116" s="333"/>
      <c r="Q116" s="333"/>
      <c r="R116" s="333"/>
      <c r="S116" s="333"/>
      <c r="T116" s="333"/>
      <c r="U116" s="334"/>
      <c r="V116" s="333"/>
      <c r="W116" s="333"/>
      <c r="X116" s="333"/>
      <c r="Y116" s="333"/>
      <c r="Z116" s="333"/>
      <c r="AA116" s="333"/>
      <c r="AB116" s="333"/>
      <c r="AT116" s="201"/>
      <c r="AV116" s="201"/>
      <c r="AW116" s="1128"/>
    </row>
    <row r="117" spans="1:49" x14ac:dyDescent="0.25">
      <c r="A117" s="313" t="s">
        <v>16</v>
      </c>
      <c r="B117" s="333"/>
      <c r="C117" s="333"/>
      <c r="D117" s="333"/>
      <c r="E117" s="333"/>
      <c r="F117" s="333"/>
      <c r="G117" s="333"/>
      <c r="H117" s="333"/>
      <c r="I117" s="333"/>
      <c r="J117" s="333"/>
      <c r="K117" s="333"/>
      <c r="L117" s="333"/>
      <c r="M117" s="333"/>
      <c r="N117" s="333"/>
      <c r="O117" s="333"/>
      <c r="P117" s="333"/>
      <c r="Q117" s="333"/>
      <c r="R117" s="333"/>
      <c r="S117" s="333"/>
      <c r="T117" s="333"/>
      <c r="U117" s="334"/>
      <c r="V117" s="333"/>
      <c r="W117" s="333"/>
      <c r="X117" s="333"/>
      <c r="Y117" s="333"/>
      <c r="Z117" s="333"/>
      <c r="AA117" s="333"/>
      <c r="AB117" s="333"/>
      <c r="AT117" s="201"/>
      <c r="AV117" s="201"/>
      <c r="AW117" s="201"/>
    </row>
    <row r="118" spans="1:49" x14ac:dyDescent="0.25">
      <c r="A118" s="333"/>
      <c r="B118" s="333"/>
      <c r="C118" s="333"/>
      <c r="D118" s="333"/>
      <c r="E118" s="333"/>
      <c r="F118" s="333"/>
      <c r="G118" s="333"/>
      <c r="H118" s="333"/>
      <c r="I118" s="333"/>
      <c r="J118" s="333"/>
      <c r="K118" s="333"/>
      <c r="L118" s="333"/>
      <c r="M118" s="333"/>
      <c r="N118" s="333"/>
      <c r="O118" s="333"/>
      <c r="P118" s="333"/>
      <c r="Q118" s="333"/>
      <c r="R118" s="333"/>
      <c r="S118" s="333"/>
      <c r="T118" s="333"/>
      <c r="U118" s="334"/>
      <c r="V118" s="333"/>
      <c r="W118" s="333"/>
      <c r="X118" s="333"/>
      <c r="Y118" s="333"/>
      <c r="Z118" s="333"/>
      <c r="AA118" s="333"/>
      <c r="AB118" s="333"/>
      <c r="AT118" s="201"/>
      <c r="AV118" s="201"/>
      <c r="AW118" s="201"/>
    </row>
    <row r="119" spans="1:49" x14ac:dyDescent="0.25">
      <c r="A119" s="333" t="s">
        <v>611</v>
      </c>
      <c r="B119" s="333"/>
      <c r="C119" s="333"/>
      <c r="D119" s="333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333"/>
      <c r="Q119" s="333"/>
      <c r="R119" s="333"/>
      <c r="S119" s="333"/>
      <c r="T119" s="333"/>
      <c r="U119" s="334"/>
      <c r="V119" s="333"/>
      <c r="W119" s="333"/>
      <c r="X119" s="333"/>
      <c r="Y119" s="333"/>
      <c r="Z119" s="333"/>
      <c r="AA119" s="333"/>
      <c r="AB119" s="333"/>
      <c r="AT119" s="201"/>
      <c r="AV119" s="201"/>
      <c r="AW119" s="201"/>
    </row>
    <row r="120" spans="1:49" x14ac:dyDescent="0.25">
      <c r="A120" s="333"/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  <c r="L120" s="333"/>
      <c r="M120" s="333"/>
      <c r="N120" s="333"/>
      <c r="O120" s="333"/>
      <c r="P120" s="333"/>
      <c r="Q120" s="333"/>
      <c r="R120" s="333"/>
      <c r="S120" s="333"/>
      <c r="T120" s="333"/>
      <c r="U120" s="334"/>
      <c r="V120" s="333"/>
      <c r="W120" s="333"/>
      <c r="X120" s="333"/>
      <c r="Y120" s="333"/>
      <c r="Z120" s="333"/>
      <c r="AA120" s="333"/>
      <c r="AB120" s="333"/>
      <c r="AC120" s="189"/>
      <c r="AD120" s="177"/>
      <c r="AE120" s="177"/>
      <c r="AF120" s="177"/>
      <c r="AG120" s="177"/>
      <c r="AH120" s="177"/>
      <c r="AT120" s="209"/>
      <c r="AV120" s="209"/>
      <c r="AW120" s="1128"/>
    </row>
    <row r="121" spans="1:49" x14ac:dyDescent="0.25">
      <c r="A121" s="78">
        <v>20</v>
      </c>
      <c r="B121" s="333"/>
      <c r="C121" s="333"/>
      <c r="D121" s="333"/>
      <c r="E121" s="333"/>
      <c r="F121" s="333"/>
      <c r="G121" s="333"/>
      <c r="H121" s="333"/>
      <c r="I121" s="333"/>
      <c r="J121" s="333"/>
      <c r="K121" s="333"/>
      <c r="L121" s="333"/>
      <c r="M121" s="333"/>
      <c r="N121" s="333"/>
      <c r="O121" s="333"/>
      <c r="P121" s="333"/>
      <c r="Q121" s="333"/>
      <c r="R121" s="333"/>
      <c r="S121" s="333"/>
      <c r="T121" s="333"/>
      <c r="U121" s="334"/>
      <c r="V121" s="333"/>
      <c r="W121" s="333"/>
      <c r="X121" s="333"/>
      <c r="Y121" s="333"/>
      <c r="Z121" s="333"/>
      <c r="AA121" s="333"/>
      <c r="AB121" s="333"/>
      <c r="AC121" s="447"/>
      <c r="AI121" s="177"/>
      <c r="AT121" s="1128"/>
      <c r="AV121" s="1128"/>
      <c r="AW121" s="1128"/>
    </row>
    <row r="122" spans="1:49" x14ac:dyDescent="0.25">
      <c r="A122" s="367" t="s">
        <v>232</v>
      </c>
      <c r="B122" s="333"/>
      <c r="C122" s="333"/>
      <c r="D122" s="333"/>
      <c r="E122" s="333"/>
      <c r="F122" s="333"/>
      <c r="G122" s="333"/>
      <c r="H122" s="333"/>
      <c r="I122" s="333"/>
      <c r="J122" s="333"/>
      <c r="K122" s="333"/>
      <c r="L122" s="333"/>
      <c r="M122" s="333"/>
      <c r="N122" s="333"/>
      <c r="O122" s="333"/>
      <c r="P122" s="333"/>
      <c r="Q122" s="333"/>
      <c r="R122" s="333"/>
      <c r="S122" s="333"/>
      <c r="T122" s="333"/>
      <c r="U122" s="334"/>
      <c r="V122" s="333"/>
      <c r="W122" s="333"/>
      <c r="X122" s="333"/>
      <c r="Y122" s="333"/>
      <c r="Z122" s="333"/>
      <c r="AA122" s="333"/>
      <c r="AB122" s="333"/>
      <c r="AC122" s="447"/>
    </row>
    <row r="123" spans="1:49" x14ac:dyDescent="0.25">
      <c r="A123" s="367"/>
      <c r="B123" s="333"/>
      <c r="C123" s="333"/>
      <c r="D123" s="333"/>
      <c r="E123" s="333"/>
      <c r="F123" s="333"/>
      <c r="G123" s="333"/>
      <c r="H123" s="333"/>
      <c r="I123" s="333"/>
      <c r="J123" s="333"/>
      <c r="K123" s="333"/>
      <c r="L123" s="333"/>
      <c r="M123" s="333"/>
      <c r="N123" s="333"/>
      <c r="O123" s="333"/>
      <c r="P123" s="963" t="s">
        <v>17</v>
      </c>
      <c r="Q123" s="333"/>
      <c r="R123" s="333"/>
      <c r="S123" s="333"/>
      <c r="T123" s="333"/>
      <c r="U123" s="334"/>
      <c r="W123" s="367"/>
      <c r="X123" s="367"/>
      <c r="Y123" s="367"/>
      <c r="Z123" s="367"/>
      <c r="AA123" s="367"/>
      <c r="AC123" s="447"/>
      <c r="AD123" s="425"/>
    </row>
    <row r="124" spans="1:49" x14ac:dyDescent="0.25">
      <c r="A124" s="191" t="s">
        <v>375</v>
      </c>
      <c r="B124" s="333"/>
      <c r="C124" s="333"/>
      <c r="D124" s="333"/>
      <c r="E124" s="333"/>
      <c r="F124" s="333"/>
      <c r="G124" s="333"/>
      <c r="H124" s="333"/>
      <c r="I124" s="333"/>
      <c r="J124" s="333"/>
      <c r="K124" s="333"/>
      <c r="L124" s="333"/>
      <c r="M124" s="333"/>
      <c r="N124" s="333"/>
      <c r="O124" s="333"/>
      <c r="P124" s="333"/>
      <c r="Q124" s="333"/>
      <c r="R124" s="333"/>
      <c r="S124" s="333"/>
      <c r="T124" s="333"/>
      <c r="U124" s="334"/>
      <c r="V124" s="333"/>
      <c r="W124" s="333"/>
      <c r="X124" s="333"/>
      <c r="Y124" s="333"/>
      <c r="Z124" s="333"/>
      <c r="AA124" s="333"/>
      <c r="AB124" s="333"/>
      <c r="AC124" s="447"/>
    </row>
    <row r="125" spans="1:49" x14ac:dyDescent="0.25">
      <c r="A125" s="367" t="s">
        <v>169</v>
      </c>
      <c r="B125" s="333"/>
      <c r="C125" s="333"/>
      <c r="D125" s="333"/>
      <c r="E125" s="333"/>
      <c r="F125" s="333"/>
      <c r="G125" s="333"/>
      <c r="H125" s="333"/>
      <c r="I125" s="333"/>
      <c r="J125" s="333"/>
      <c r="K125" s="333"/>
      <c r="L125" s="333"/>
      <c r="M125" s="333"/>
      <c r="N125" s="333"/>
      <c r="O125" s="333"/>
      <c r="P125" s="333"/>
      <c r="Q125" s="333"/>
      <c r="R125" s="333"/>
      <c r="S125" s="333"/>
      <c r="T125" s="333"/>
      <c r="U125" s="334"/>
      <c r="V125" s="333"/>
      <c r="W125" s="333"/>
      <c r="X125" s="333"/>
      <c r="Y125" s="333"/>
      <c r="Z125" s="333"/>
      <c r="AA125" s="333"/>
      <c r="AB125" s="333"/>
      <c r="AC125" s="447"/>
      <c r="AD125" s="177"/>
    </row>
    <row r="126" spans="1:49" x14ac:dyDescent="0.25">
      <c r="A126" s="367"/>
      <c r="B126" s="333"/>
      <c r="C126" s="333"/>
      <c r="D126" s="333"/>
      <c r="E126" s="333"/>
      <c r="F126" s="333"/>
      <c r="G126" s="333"/>
      <c r="H126" s="333"/>
      <c r="I126" s="333"/>
      <c r="J126" s="333"/>
      <c r="K126" s="333"/>
      <c r="L126" s="333"/>
      <c r="M126" s="333"/>
      <c r="N126" s="333"/>
      <c r="O126" s="333"/>
      <c r="P126" s="333"/>
      <c r="Q126" s="333"/>
      <c r="R126" s="333"/>
      <c r="S126" s="333"/>
      <c r="T126" s="333"/>
      <c r="U126" s="334"/>
      <c r="V126" s="333"/>
      <c r="W126" s="333"/>
      <c r="X126" s="333"/>
      <c r="Y126" s="333"/>
      <c r="Z126" s="333"/>
      <c r="AA126" s="333"/>
      <c r="AB126" s="333"/>
      <c r="AC126" s="1310"/>
    </row>
    <row r="127" spans="1:49" x14ac:dyDescent="0.25">
      <c r="A127" s="81" t="s">
        <v>164</v>
      </c>
      <c r="B127" s="81"/>
      <c r="C127" s="81"/>
      <c r="D127" s="81"/>
      <c r="E127" s="81"/>
      <c r="F127" s="81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5"/>
      <c r="V127" s="81"/>
      <c r="W127" s="81"/>
      <c r="X127" s="81"/>
      <c r="Y127" s="81"/>
      <c r="Z127" s="81"/>
      <c r="AA127" s="81"/>
      <c r="AB127" s="81"/>
      <c r="AC127" s="1311"/>
      <c r="AD127" s="177"/>
      <c r="AE127" s="177"/>
      <c r="AF127" s="177"/>
      <c r="AG127" s="177"/>
      <c r="AH127" s="177"/>
      <c r="AI127" s="177"/>
    </row>
    <row r="128" spans="1:49" x14ac:dyDescent="0.25">
      <c r="A128" s="78"/>
      <c r="B128" s="333"/>
      <c r="C128" s="333"/>
      <c r="D128" s="333"/>
      <c r="E128" s="333"/>
      <c r="F128" s="333"/>
      <c r="G128" s="333"/>
      <c r="H128" s="333"/>
      <c r="I128" s="333"/>
      <c r="J128" s="333"/>
      <c r="K128" s="333"/>
      <c r="L128" s="333"/>
      <c r="M128" s="333"/>
      <c r="N128" s="333"/>
      <c r="O128" s="333"/>
      <c r="P128" s="333"/>
      <c r="Q128" s="333"/>
      <c r="R128" s="333"/>
      <c r="S128" s="333"/>
      <c r="T128" s="333"/>
      <c r="U128" s="334"/>
      <c r="V128" s="333"/>
      <c r="W128" s="333"/>
      <c r="X128" s="333"/>
      <c r="Y128" s="333"/>
      <c r="Z128" s="333"/>
      <c r="AA128" s="333"/>
      <c r="AB128" s="333"/>
      <c r="AC128" s="189"/>
      <c r="AD128" s="177"/>
      <c r="AE128" s="177"/>
      <c r="AF128" s="177"/>
      <c r="AG128" s="177"/>
      <c r="AH128" s="177"/>
      <c r="AI128" s="177"/>
    </row>
    <row r="129" spans="1:48" x14ac:dyDescent="0.25">
      <c r="A129" s="86" t="s">
        <v>1162</v>
      </c>
      <c r="AC129" s="189"/>
      <c r="AD129" s="177"/>
      <c r="AE129" s="177"/>
      <c r="AF129" s="177"/>
      <c r="AG129" s="177"/>
      <c r="AH129" s="177"/>
      <c r="AI129" s="177"/>
    </row>
    <row r="130" spans="1:48" x14ac:dyDescent="0.25">
      <c r="A130" s="200" t="s">
        <v>1098</v>
      </c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R130" s="22"/>
      <c r="S130" s="22"/>
      <c r="T130" s="22"/>
      <c r="U130" s="87"/>
      <c r="AL130" s="447"/>
    </row>
    <row r="131" spans="1:48" x14ac:dyDescent="0.2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R131" s="22"/>
      <c r="S131" s="22"/>
      <c r="T131" s="22"/>
      <c r="U131" s="87"/>
      <c r="AL131" s="447"/>
    </row>
    <row r="132" spans="1:48" x14ac:dyDescent="0.25">
      <c r="A132" s="88"/>
      <c r="B132" s="88"/>
      <c r="C132" s="88"/>
      <c r="D132" s="88"/>
      <c r="E132" s="171"/>
      <c r="F132" s="171"/>
      <c r="G132" s="171"/>
      <c r="H132" s="171"/>
      <c r="I132" s="171"/>
      <c r="J132" s="171" t="s">
        <v>151</v>
      </c>
      <c r="K132" s="1104"/>
      <c r="L132" s="171"/>
      <c r="M132" s="171"/>
      <c r="N132" s="171" t="s">
        <v>139</v>
      </c>
      <c r="O132" s="89"/>
      <c r="P132" s="1104"/>
      <c r="R132" s="172"/>
      <c r="U132" s="178"/>
      <c r="W132" s="1104"/>
      <c r="X132" s="1104"/>
      <c r="Y132" s="1104"/>
      <c r="Z132" s="1104"/>
      <c r="AA132" s="1104"/>
      <c r="AB132" s="1104"/>
      <c r="AL132" s="447"/>
    </row>
    <row r="133" spans="1:48" x14ac:dyDescent="0.25">
      <c r="A133" s="171"/>
      <c r="F133" s="171"/>
      <c r="G133" s="171"/>
      <c r="H133" s="171" t="s">
        <v>152</v>
      </c>
      <c r="I133" s="171"/>
      <c r="J133" s="171" t="s">
        <v>139</v>
      </c>
      <c r="K133" s="1104"/>
      <c r="L133" s="171" t="s">
        <v>138</v>
      </c>
      <c r="M133" s="171"/>
      <c r="N133" s="171" t="s">
        <v>153</v>
      </c>
      <c r="O133" s="89"/>
      <c r="P133" s="1104"/>
      <c r="R133" s="172"/>
      <c r="U133" s="178"/>
      <c r="W133" s="1104"/>
      <c r="X133" s="1104"/>
      <c r="Y133" s="1104"/>
      <c r="Z133" s="1104"/>
      <c r="AA133" s="1104"/>
      <c r="AB133" s="1104"/>
      <c r="AD133" s="341"/>
      <c r="AG133" s="466"/>
      <c r="AL133" s="447"/>
    </row>
    <row r="134" spans="1:48" x14ac:dyDescent="0.25">
      <c r="A134" s="171"/>
      <c r="F134" s="171" t="s">
        <v>136</v>
      </c>
      <c r="G134" s="171"/>
      <c r="H134" s="171" t="s">
        <v>137</v>
      </c>
      <c r="I134" s="171"/>
      <c r="J134" s="171" t="s">
        <v>138</v>
      </c>
      <c r="K134" s="1104"/>
      <c r="L134" s="171" t="s">
        <v>153</v>
      </c>
      <c r="M134" s="171"/>
      <c r="N134" s="1104" t="s">
        <v>270</v>
      </c>
      <c r="O134" s="89"/>
      <c r="P134" s="1104"/>
      <c r="R134" s="172"/>
      <c r="U134" s="178"/>
      <c r="W134" s="1104"/>
      <c r="X134" s="1104"/>
      <c r="Y134" s="1104"/>
      <c r="Z134" s="1104"/>
      <c r="AA134" s="1104"/>
      <c r="AB134" s="1104"/>
      <c r="AC134" s="148"/>
      <c r="AD134" s="341"/>
      <c r="AG134" s="466"/>
      <c r="AL134" s="447"/>
    </row>
    <row r="135" spans="1:48" x14ac:dyDescent="0.25">
      <c r="A135" s="171"/>
      <c r="F135" s="171" t="s">
        <v>140</v>
      </c>
      <c r="G135" s="171"/>
      <c r="H135" s="171" t="s">
        <v>648</v>
      </c>
      <c r="I135" s="171"/>
      <c r="J135" s="171" t="s">
        <v>141</v>
      </c>
      <c r="K135" s="1104"/>
      <c r="L135" s="171" t="s">
        <v>155</v>
      </c>
      <c r="M135" s="171"/>
      <c r="N135" s="171" t="s">
        <v>156</v>
      </c>
      <c r="O135" s="89"/>
      <c r="P135" s="91" t="s">
        <v>171</v>
      </c>
      <c r="R135" s="172"/>
      <c r="U135" s="178"/>
      <c r="W135" s="91"/>
      <c r="X135" s="91"/>
      <c r="Y135" s="91"/>
      <c r="Z135" s="91"/>
      <c r="AA135" s="91"/>
      <c r="AB135" s="91"/>
      <c r="AD135" s="341"/>
      <c r="AG135" s="466"/>
      <c r="AR135" s="61"/>
      <c r="AV135" s="425"/>
    </row>
    <row r="136" spans="1:48" x14ac:dyDescent="0.25">
      <c r="A136" s="22"/>
      <c r="F136" s="73"/>
      <c r="G136" s="87"/>
      <c r="H136" s="73"/>
      <c r="I136" s="87"/>
      <c r="J136" s="73"/>
      <c r="L136" s="73"/>
      <c r="M136" s="22"/>
      <c r="N136" s="73"/>
      <c r="O136" s="87"/>
      <c r="P136" s="73"/>
      <c r="R136" s="172"/>
      <c r="U136" s="178"/>
      <c r="W136" s="87"/>
      <c r="X136" s="87"/>
      <c r="Y136" s="87"/>
      <c r="Z136" s="87"/>
      <c r="AA136" s="87"/>
      <c r="AB136" s="87"/>
      <c r="AD136" s="341"/>
      <c r="AG136" s="466"/>
      <c r="AL136" s="355"/>
      <c r="AN136" s="61"/>
      <c r="AP136" s="61"/>
      <c r="AQ136" s="61"/>
      <c r="AR136" s="61"/>
      <c r="AT136" s="61"/>
    </row>
    <row r="137" spans="1:48" x14ac:dyDescent="0.25">
      <c r="A137" s="22"/>
      <c r="F137" s="1130" t="s">
        <v>737</v>
      </c>
      <c r="G137" s="92"/>
      <c r="H137" s="993">
        <v>-12</v>
      </c>
      <c r="I137" s="993"/>
      <c r="J137" s="171">
        <v>0</v>
      </c>
      <c r="L137" s="500">
        <v>0</v>
      </c>
      <c r="M137" s="22"/>
      <c r="N137" s="213">
        <v>190.47</v>
      </c>
      <c r="O137" s="93"/>
      <c r="P137" s="711">
        <v>0</v>
      </c>
      <c r="R137" s="172"/>
      <c r="U137" s="178"/>
      <c r="W137" s="997"/>
      <c r="X137" s="997"/>
      <c r="Y137" s="997"/>
      <c r="Z137" s="997"/>
      <c r="AA137" s="997"/>
      <c r="AB137" s="997"/>
      <c r="AC137" s="87"/>
      <c r="AD137" s="341"/>
      <c r="AG137" s="466"/>
      <c r="AN137" s="61"/>
      <c r="AP137" s="61"/>
      <c r="AQ137" s="61"/>
      <c r="AR137" s="61"/>
      <c r="AT137" s="61"/>
      <c r="AV137" s="61"/>
    </row>
    <row r="138" spans="1:48" x14ac:dyDescent="0.25">
      <c r="A138" s="22"/>
      <c r="F138" s="1130" t="s">
        <v>148</v>
      </c>
      <c r="H138" s="993">
        <v>7</v>
      </c>
      <c r="I138" s="993"/>
      <c r="J138" s="171">
        <v>1</v>
      </c>
      <c r="L138" s="993">
        <v>7</v>
      </c>
      <c r="M138" s="22"/>
      <c r="N138" s="358">
        <v>190.47</v>
      </c>
      <c r="O138" s="93"/>
      <c r="P138" s="993">
        <v>1333</v>
      </c>
      <c r="R138" s="172"/>
      <c r="U138" s="178"/>
      <c r="W138" s="993"/>
      <c r="X138" s="993"/>
      <c r="Y138" s="993"/>
      <c r="Z138" s="993"/>
      <c r="AA138" s="993"/>
      <c r="AB138" s="993"/>
      <c r="AC138" s="99"/>
      <c r="AF138" s="87"/>
      <c r="AG138" s="359"/>
      <c r="AH138" s="87"/>
      <c r="AL138" s="1130"/>
      <c r="AN138" s="96"/>
      <c r="AP138" s="96"/>
      <c r="AR138" s="96"/>
      <c r="AV138" s="123"/>
    </row>
    <row r="139" spans="1:48" x14ac:dyDescent="0.25">
      <c r="A139" s="22"/>
      <c r="F139" s="1130" t="s">
        <v>149</v>
      </c>
      <c r="G139" s="94"/>
      <c r="H139" s="993">
        <v>-7</v>
      </c>
      <c r="I139" s="993"/>
      <c r="J139" s="171">
        <v>2</v>
      </c>
      <c r="L139" s="993">
        <v>-14</v>
      </c>
      <c r="M139" s="22"/>
      <c r="N139" s="358">
        <v>190.47</v>
      </c>
      <c r="O139" s="93"/>
      <c r="P139" s="993">
        <v>-2667</v>
      </c>
      <c r="R139" s="172"/>
      <c r="U139" s="178"/>
      <c r="W139" s="993"/>
      <c r="X139" s="993"/>
      <c r="Y139" s="993"/>
      <c r="Z139" s="993"/>
      <c r="AA139" s="993"/>
      <c r="AB139" s="993"/>
      <c r="AC139" s="87"/>
      <c r="AF139" s="87"/>
      <c r="AG139" s="87"/>
      <c r="AH139" s="87"/>
      <c r="AR139" s="96"/>
      <c r="AV139" s="96"/>
    </row>
    <row r="140" spans="1:48" x14ac:dyDescent="0.25">
      <c r="A140" s="22"/>
      <c r="F140" s="1130" t="s">
        <v>738</v>
      </c>
      <c r="G140" s="92"/>
      <c r="H140" s="993">
        <v>16</v>
      </c>
      <c r="I140" s="993"/>
      <c r="J140" s="171">
        <v>3</v>
      </c>
      <c r="L140" s="993">
        <v>48</v>
      </c>
      <c r="M140" s="22"/>
      <c r="N140" s="358">
        <v>214.46</v>
      </c>
      <c r="O140" s="93"/>
      <c r="P140" s="993">
        <v>10294</v>
      </c>
      <c r="R140" s="172"/>
      <c r="U140" s="178"/>
      <c r="W140" s="993"/>
      <c r="X140" s="993"/>
      <c r="Y140" s="993"/>
      <c r="Z140" s="993"/>
      <c r="AA140" s="993"/>
      <c r="AB140" s="993"/>
      <c r="AF140" s="87"/>
      <c r="AG140" s="99"/>
      <c r="AH140" s="87"/>
      <c r="AL140" s="1130"/>
      <c r="AN140" s="1312"/>
      <c r="AP140" s="1313"/>
      <c r="AR140" s="1313"/>
      <c r="AT140" s="96"/>
      <c r="AV140" s="96"/>
    </row>
    <row r="141" spans="1:48" x14ac:dyDescent="0.25">
      <c r="A141" s="22"/>
      <c r="F141" s="1130" t="s">
        <v>142</v>
      </c>
      <c r="G141" s="94"/>
      <c r="H141" s="993">
        <v>0</v>
      </c>
      <c r="I141" s="993"/>
      <c r="J141" s="171">
        <v>4</v>
      </c>
      <c r="L141" s="500">
        <v>0</v>
      </c>
      <c r="M141" s="22"/>
      <c r="N141" s="358">
        <v>214.46</v>
      </c>
      <c r="O141" s="93"/>
      <c r="P141" s="500">
        <v>0</v>
      </c>
      <c r="R141" s="172"/>
      <c r="U141" s="178"/>
      <c r="W141" s="993"/>
      <c r="X141" s="993"/>
      <c r="Y141" s="993"/>
      <c r="Z141" s="993"/>
      <c r="AA141" s="993"/>
      <c r="AB141" s="993"/>
      <c r="AG141" s="87"/>
      <c r="AN141" s="1312"/>
      <c r="AP141" s="1313"/>
      <c r="AR141" s="1313"/>
      <c r="AT141" s="96"/>
      <c r="AV141" s="96"/>
    </row>
    <row r="142" spans="1:48" x14ac:dyDescent="0.25">
      <c r="A142" s="22"/>
      <c r="F142" s="1130" t="s">
        <v>157</v>
      </c>
      <c r="G142" s="94"/>
      <c r="H142" s="993">
        <v>-10</v>
      </c>
      <c r="I142" s="993"/>
      <c r="J142" s="171">
        <v>5</v>
      </c>
      <c r="L142" s="993">
        <v>-50</v>
      </c>
      <c r="M142" s="22"/>
      <c r="N142" s="358">
        <v>214.46</v>
      </c>
      <c r="O142" s="93"/>
      <c r="P142" s="993">
        <v>-10723</v>
      </c>
      <c r="R142" s="172"/>
      <c r="U142" s="178"/>
      <c r="W142" s="993"/>
      <c r="X142" s="993"/>
      <c r="Y142" s="993"/>
      <c r="Z142" s="993"/>
      <c r="AA142" s="993"/>
      <c r="AB142" s="993"/>
      <c r="AD142" s="992"/>
      <c r="AL142" s="1163"/>
      <c r="AN142" s="1312"/>
      <c r="AP142" s="1313"/>
      <c r="AR142" s="1313"/>
      <c r="AT142" s="96"/>
      <c r="AV142" s="96"/>
    </row>
    <row r="143" spans="1:48" x14ac:dyDescent="0.25">
      <c r="A143" s="22"/>
      <c r="F143" s="1130" t="s">
        <v>143</v>
      </c>
      <c r="G143" s="94"/>
      <c r="H143" s="993">
        <v>-9</v>
      </c>
      <c r="I143" s="993"/>
      <c r="J143" s="171">
        <v>6</v>
      </c>
      <c r="L143" s="993">
        <v>-54</v>
      </c>
      <c r="M143" s="22"/>
      <c r="N143" s="358">
        <v>214.46</v>
      </c>
      <c r="O143" s="93"/>
      <c r="P143" s="993">
        <v>-11581</v>
      </c>
      <c r="R143" s="172"/>
      <c r="U143" s="178"/>
      <c r="W143" s="993"/>
      <c r="X143" s="993"/>
      <c r="Y143" s="993"/>
      <c r="Z143" s="993"/>
      <c r="AA143" s="993"/>
      <c r="AB143" s="993"/>
      <c r="AD143" s="727"/>
      <c r="AE143" s="425"/>
      <c r="AF143" s="355"/>
      <c r="AG143" s="169"/>
      <c r="AH143" s="355"/>
      <c r="AL143" s="1130"/>
      <c r="AN143" s="1312"/>
      <c r="AP143" s="1313"/>
      <c r="AR143" s="1313"/>
      <c r="AT143" s="96"/>
      <c r="AV143" s="96"/>
    </row>
    <row r="144" spans="1:48" x14ac:dyDescent="0.25">
      <c r="F144" s="1130" t="s">
        <v>144</v>
      </c>
      <c r="G144" s="94"/>
      <c r="H144" s="993">
        <v>21</v>
      </c>
      <c r="I144" s="993"/>
      <c r="J144" s="171">
        <v>7</v>
      </c>
      <c r="L144" s="993">
        <v>147</v>
      </c>
      <c r="M144" s="22"/>
      <c r="N144" s="358">
        <v>214.46</v>
      </c>
      <c r="O144" s="93"/>
      <c r="P144" s="993">
        <v>31526</v>
      </c>
      <c r="R144" s="172"/>
      <c r="U144" s="178"/>
      <c r="W144" s="993"/>
      <c r="X144" s="993"/>
      <c r="Y144" s="993"/>
      <c r="Z144" s="993"/>
      <c r="AA144" s="993"/>
      <c r="AB144" s="993"/>
      <c r="AD144" s="727"/>
      <c r="AE144" s="425"/>
      <c r="AF144" s="355"/>
      <c r="AG144" s="197"/>
      <c r="AH144" s="355"/>
      <c r="AL144" s="1163"/>
      <c r="AN144" s="1312"/>
      <c r="AP144" s="1313"/>
      <c r="AR144" s="1313"/>
      <c r="AT144" s="96"/>
      <c r="AV144" s="96"/>
    </row>
    <row r="145" spans="1:48" x14ac:dyDescent="0.25">
      <c r="F145" s="1130" t="s">
        <v>145</v>
      </c>
      <c r="H145" s="993">
        <v>0</v>
      </c>
      <c r="I145" s="993"/>
      <c r="J145" s="171">
        <v>8</v>
      </c>
      <c r="L145" s="500">
        <v>0</v>
      </c>
      <c r="M145" s="22"/>
      <c r="N145" s="358">
        <v>214.46</v>
      </c>
      <c r="O145" s="93"/>
      <c r="P145" s="500">
        <v>0</v>
      </c>
      <c r="R145" s="172"/>
      <c r="U145" s="178"/>
      <c r="W145" s="993"/>
      <c r="X145" s="993"/>
      <c r="Y145" s="993"/>
      <c r="Z145" s="993"/>
      <c r="AA145" s="993"/>
      <c r="AB145" s="993"/>
      <c r="AF145" s="100"/>
      <c r="AG145" s="197"/>
      <c r="AH145" s="100"/>
      <c r="AL145" s="1163"/>
      <c r="AN145" s="1312"/>
      <c r="AP145" s="1313"/>
      <c r="AR145" s="1313"/>
      <c r="AT145" s="96"/>
      <c r="AV145" s="96"/>
    </row>
    <row r="146" spans="1:48" x14ac:dyDescent="0.25">
      <c r="F146" s="1130" t="s">
        <v>1</v>
      </c>
      <c r="G146" s="94"/>
      <c r="H146" s="993">
        <v>12</v>
      </c>
      <c r="I146" s="993"/>
      <c r="J146" s="171">
        <v>9</v>
      </c>
      <c r="L146" s="993">
        <v>108</v>
      </c>
      <c r="M146" s="22"/>
      <c r="N146" s="358">
        <v>214.46</v>
      </c>
      <c r="O146" s="93"/>
      <c r="P146" s="993">
        <v>23162</v>
      </c>
      <c r="R146" s="172"/>
      <c r="U146" s="178"/>
      <c r="W146" s="993"/>
      <c r="X146" s="993"/>
      <c r="Y146" s="993"/>
      <c r="Z146" s="993"/>
      <c r="AA146" s="993"/>
      <c r="AB146" s="993"/>
      <c r="AL146" s="1163"/>
      <c r="AN146" s="1312"/>
      <c r="AP146" s="1313"/>
      <c r="AR146" s="1313"/>
      <c r="AT146" s="96"/>
      <c r="AV146" s="96"/>
    </row>
    <row r="147" spans="1:48" x14ac:dyDescent="0.25">
      <c r="F147" s="1130" t="s">
        <v>146</v>
      </c>
      <c r="G147" s="94"/>
      <c r="H147" s="993">
        <v>1</v>
      </c>
      <c r="I147" s="993"/>
      <c r="J147" s="171">
        <v>10</v>
      </c>
      <c r="L147" s="993">
        <v>10</v>
      </c>
      <c r="M147" s="22"/>
      <c r="N147" s="358">
        <v>214.46</v>
      </c>
      <c r="O147" s="99"/>
      <c r="P147" s="993">
        <v>2145</v>
      </c>
      <c r="R147" s="172"/>
      <c r="U147" s="178"/>
      <c r="W147" s="993"/>
      <c r="X147" s="993"/>
      <c r="Y147" s="993"/>
      <c r="Z147" s="993"/>
      <c r="AA147" s="993"/>
      <c r="AB147" s="993"/>
      <c r="AF147" s="355"/>
      <c r="AG147" s="169"/>
      <c r="AH147" s="355"/>
      <c r="AL147" s="1163"/>
      <c r="AN147" s="1312"/>
      <c r="AP147" s="1313"/>
      <c r="AR147" s="1313"/>
      <c r="AT147" s="96"/>
      <c r="AV147" s="96"/>
    </row>
    <row r="148" spans="1:48" x14ac:dyDescent="0.25">
      <c r="F148" s="1131" t="s">
        <v>147</v>
      </c>
      <c r="G148" s="94"/>
      <c r="H148" s="993">
        <v>11</v>
      </c>
      <c r="I148" s="993"/>
      <c r="J148" s="171">
        <v>11</v>
      </c>
      <c r="L148" s="993">
        <v>121</v>
      </c>
      <c r="M148" s="22"/>
      <c r="N148" s="358">
        <v>214.46</v>
      </c>
      <c r="O148" s="93"/>
      <c r="P148" s="993">
        <v>25950</v>
      </c>
      <c r="R148" s="172"/>
      <c r="U148" s="178"/>
      <c r="W148" s="993"/>
      <c r="X148" s="993"/>
      <c r="Y148" s="993"/>
      <c r="Z148" s="993"/>
      <c r="AA148" s="993"/>
      <c r="AB148" s="993"/>
      <c r="AF148" s="100"/>
      <c r="AG148" s="101"/>
      <c r="AH148" s="100"/>
      <c r="AN148" s="1312"/>
      <c r="AP148" s="1313"/>
      <c r="AR148" s="1313"/>
      <c r="AT148" s="96"/>
      <c r="AV148" s="96"/>
    </row>
    <row r="149" spans="1:48" x14ac:dyDescent="0.25">
      <c r="A149" s="22"/>
      <c r="F149" s="22"/>
      <c r="G149" s="22"/>
      <c r="H149" s="73"/>
      <c r="I149" s="87"/>
      <c r="L149" s="73"/>
      <c r="M149" s="22"/>
      <c r="N149" s="102"/>
      <c r="O149" s="93"/>
      <c r="P149" s="73"/>
      <c r="R149" s="172"/>
      <c r="U149" s="178"/>
      <c r="W149" s="87"/>
      <c r="X149" s="87"/>
      <c r="Y149" s="87"/>
      <c r="Z149" s="87"/>
      <c r="AA149" s="87"/>
      <c r="AB149" s="87"/>
      <c r="AL149" s="1163"/>
      <c r="AN149" s="1312"/>
      <c r="AP149" s="1313"/>
      <c r="AR149" s="1313"/>
      <c r="AT149" s="96"/>
      <c r="AV149" s="96"/>
    </row>
    <row r="150" spans="1:48" ht="16.5" thickBot="1" x14ac:dyDescent="0.3">
      <c r="A150" s="22"/>
      <c r="F150" s="22" t="s">
        <v>158</v>
      </c>
      <c r="G150" s="22"/>
      <c r="H150" s="477">
        <f>SUM(H137:H149)</f>
        <v>30</v>
      </c>
      <c r="I150" s="993"/>
      <c r="K150" s="200"/>
      <c r="L150" s="477">
        <f>SUM(L137:L149)</f>
        <v>323</v>
      </c>
      <c r="M150" s="22"/>
      <c r="N150" s="102"/>
      <c r="O150" s="93"/>
      <c r="P150" s="993">
        <f>SUM(P137:P149)</f>
        <v>69439</v>
      </c>
      <c r="R150" s="172"/>
      <c r="U150" s="178"/>
      <c r="V150" s="172"/>
      <c r="W150" s="997"/>
      <c r="X150" s="997"/>
      <c r="Y150" s="997"/>
      <c r="Z150" s="997"/>
      <c r="AA150" s="997"/>
      <c r="AB150" s="997"/>
      <c r="AC150" s="990"/>
      <c r="AD150" s="992"/>
      <c r="AL150" s="1163"/>
      <c r="AN150" s="1312"/>
      <c r="AP150" s="1313"/>
      <c r="AR150" s="1313"/>
      <c r="AT150" s="96"/>
      <c r="AV150" s="96"/>
    </row>
    <row r="151" spans="1:48" ht="16.5" thickTop="1" x14ac:dyDescent="0.25">
      <c r="A151" s="22"/>
      <c r="B151" s="22"/>
      <c r="C151" s="22"/>
      <c r="D151" s="22"/>
      <c r="E151" s="22"/>
      <c r="F151" s="97"/>
      <c r="G151" s="87"/>
      <c r="H151" s="87"/>
      <c r="I151" s="87"/>
      <c r="J151" s="87"/>
      <c r="K151" s="87"/>
      <c r="L151" s="87"/>
      <c r="M151" s="87"/>
      <c r="N151" s="87"/>
      <c r="O151" s="22"/>
      <c r="R151" s="87"/>
      <c r="S151" s="22"/>
      <c r="T151" s="22"/>
      <c r="U151" s="87"/>
      <c r="V151" s="87"/>
      <c r="W151" s="87"/>
      <c r="X151" s="87"/>
      <c r="Y151" s="87"/>
      <c r="Z151" s="87"/>
      <c r="AA151" s="87"/>
      <c r="AB151" s="87"/>
      <c r="AD151" s="727"/>
      <c r="AE151" s="425"/>
      <c r="AF151" s="355"/>
      <c r="AG151" s="169"/>
      <c r="AH151" s="169"/>
      <c r="AL151" s="1163"/>
      <c r="AN151" s="1312"/>
      <c r="AP151" s="1313"/>
      <c r="AR151" s="1313"/>
      <c r="AT151" s="96"/>
      <c r="AV151" s="96"/>
    </row>
    <row r="152" spans="1:48" x14ac:dyDescent="0.25">
      <c r="F152" s="22"/>
      <c r="G152" s="22"/>
      <c r="H152" s="22" t="s">
        <v>965</v>
      </c>
      <c r="I152" s="22"/>
      <c r="J152" s="22"/>
      <c r="K152" s="22"/>
      <c r="L152" s="22"/>
      <c r="M152" s="22"/>
      <c r="N152" s="22"/>
      <c r="O152" s="22"/>
      <c r="P152" s="994">
        <v>-25741</v>
      </c>
      <c r="R152" s="22"/>
      <c r="S152" s="22"/>
      <c r="T152" s="22"/>
      <c r="U152" s="87"/>
      <c r="V152" s="22"/>
      <c r="W152" s="22"/>
      <c r="X152" s="22"/>
      <c r="Y152" s="22"/>
      <c r="Z152" s="22"/>
      <c r="AA152" s="22"/>
      <c r="AB152" s="22"/>
      <c r="AD152" s="727"/>
      <c r="AE152" s="425"/>
      <c r="AF152" s="355"/>
      <c r="AG152" s="197"/>
      <c r="AH152" s="197"/>
      <c r="AN152" s="96"/>
      <c r="AP152" s="96"/>
      <c r="AR152" s="96"/>
      <c r="AT152" s="96"/>
      <c r="AV152" s="96"/>
    </row>
    <row r="153" spans="1:48" x14ac:dyDescent="0.25"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R153" s="22"/>
      <c r="S153" s="22"/>
      <c r="T153" s="22"/>
      <c r="U153" s="87"/>
      <c r="V153" s="22"/>
      <c r="W153" s="22"/>
      <c r="X153" s="22"/>
      <c r="Y153" s="22"/>
      <c r="Z153" s="22"/>
      <c r="AA153" s="22"/>
      <c r="AB153" s="22"/>
      <c r="AF153" s="100"/>
      <c r="AG153" s="197"/>
      <c r="AH153" s="197"/>
      <c r="AN153" s="96"/>
      <c r="AP153" s="96"/>
      <c r="AR153" s="96"/>
      <c r="AT153" s="96"/>
      <c r="AV153" s="96"/>
    </row>
    <row r="154" spans="1:48" ht="16.5" thickBot="1" x14ac:dyDescent="0.3">
      <c r="C154" s="22"/>
      <c r="D154" s="22"/>
      <c r="F154" s="22"/>
      <c r="G154" s="22"/>
      <c r="H154" s="22"/>
      <c r="I154" s="22"/>
      <c r="J154" s="22"/>
      <c r="K154" s="22"/>
      <c r="L154" s="22" t="s">
        <v>171</v>
      </c>
      <c r="M154" s="22"/>
      <c r="N154" s="22"/>
      <c r="O154" s="22"/>
      <c r="P154" s="470">
        <f>P150+P152</f>
        <v>43698</v>
      </c>
      <c r="R154" s="22"/>
      <c r="S154" s="22"/>
      <c r="T154" s="22"/>
      <c r="U154" s="87"/>
      <c r="V154" s="22"/>
      <c r="W154" s="22"/>
      <c r="X154" s="22"/>
      <c r="Y154" s="22"/>
      <c r="Z154" s="22"/>
      <c r="AA154" s="22"/>
      <c r="AB154" s="22"/>
    </row>
    <row r="155" spans="1:48" ht="16.5" thickTop="1" x14ac:dyDescent="0.25">
      <c r="A155" s="86" t="s">
        <v>127</v>
      </c>
      <c r="B155" s="22" t="s">
        <v>541</v>
      </c>
      <c r="C155" s="22"/>
      <c r="D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R155" s="22"/>
      <c r="S155" s="22"/>
      <c r="T155" s="22"/>
      <c r="U155" s="87"/>
      <c r="V155" s="22"/>
      <c r="W155" s="22"/>
      <c r="X155" s="22"/>
      <c r="Y155" s="22"/>
      <c r="Z155" s="22"/>
      <c r="AA155" s="22"/>
      <c r="AB155" s="22"/>
      <c r="AF155" s="355"/>
      <c r="AG155" s="169"/>
      <c r="AN155" s="96"/>
      <c r="AP155" s="96"/>
      <c r="AR155" s="96"/>
      <c r="AT155" s="96"/>
    </row>
    <row r="156" spans="1:48" x14ac:dyDescent="0.25">
      <c r="A156" s="86" t="s">
        <v>221</v>
      </c>
      <c r="B156" s="22" t="s">
        <v>1163</v>
      </c>
      <c r="C156" s="22"/>
      <c r="D156" s="22"/>
      <c r="F156" s="333"/>
      <c r="G156" s="333"/>
      <c r="H156" s="333"/>
      <c r="I156" s="333"/>
      <c r="J156" s="333"/>
      <c r="K156" s="333"/>
      <c r="L156" s="333"/>
      <c r="M156" s="333"/>
      <c r="N156" s="333"/>
      <c r="O156" s="333"/>
      <c r="P156" s="333"/>
      <c r="Q156" s="333"/>
      <c r="R156" s="333"/>
      <c r="S156" s="333"/>
      <c r="T156" s="333"/>
      <c r="U156" s="334"/>
      <c r="V156" s="333"/>
      <c r="W156" s="333"/>
      <c r="X156" s="333"/>
      <c r="Y156" s="333"/>
      <c r="Z156" s="333"/>
      <c r="AA156" s="333"/>
      <c r="AB156" s="333"/>
    </row>
    <row r="157" spans="1:48" x14ac:dyDescent="0.25">
      <c r="A157" s="113" t="s">
        <v>128</v>
      </c>
      <c r="B157" s="22" t="s">
        <v>789</v>
      </c>
      <c r="F157" s="333"/>
      <c r="G157" s="333"/>
      <c r="H157" s="333"/>
      <c r="I157" s="333"/>
      <c r="J157" s="333"/>
      <c r="K157" s="333"/>
      <c r="L157" s="333"/>
      <c r="M157" s="333"/>
      <c r="N157" s="333"/>
      <c r="O157" s="333"/>
      <c r="P157" s="333"/>
      <c r="Q157" s="333"/>
      <c r="R157" s="333"/>
      <c r="S157" s="333"/>
      <c r="T157" s="333"/>
      <c r="U157" s="334"/>
      <c r="V157" s="333"/>
      <c r="W157" s="333"/>
      <c r="X157" s="333"/>
      <c r="Y157" s="333"/>
      <c r="Z157" s="333"/>
      <c r="AA157" s="333"/>
      <c r="AB157" s="333"/>
      <c r="AF157" s="100"/>
      <c r="AG157" s="101"/>
      <c r="AN157" s="96"/>
    </row>
    <row r="158" spans="1:48" x14ac:dyDescent="0.25">
      <c r="A158" s="25" t="s">
        <v>218</v>
      </c>
      <c r="B158" s="178" t="s">
        <v>659</v>
      </c>
      <c r="C158" s="333"/>
      <c r="D158" s="333"/>
      <c r="E158" s="333"/>
      <c r="F158" s="333"/>
      <c r="G158" s="333"/>
      <c r="H158" s="333"/>
      <c r="I158" s="333"/>
      <c r="J158" s="333"/>
      <c r="K158" s="333"/>
      <c r="L158" s="333"/>
      <c r="M158" s="333"/>
      <c r="N158" s="333"/>
      <c r="O158" s="333"/>
      <c r="P158" s="333"/>
      <c r="Q158" s="333"/>
      <c r="R158" s="333"/>
      <c r="S158" s="333"/>
      <c r="T158" s="333"/>
      <c r="U158" s="334"/>
      <c r="V158" s="333"/>
      <c r="W158" s="333"/>
      <c r="X158" s="333"/>
      <c r="Y158" s="333"/>
      <c r="Z158" s="333"/>
      <c r="AA158" s="333"/>
      <c r="AB158" s="333"/>
      <c r="AD158" s="992"/>
    </row>
    <row r="159" spans="1:48" x14ac:dyDescent="0.25">
      <c r="A159" s="78"/>
      <c r="B159" s="333"/>
      <c r="C159" s="333"/>
      <c r="D159" s="333"/>
      <c r="E159" s="333"/>
      <c r="F159" s="333"/>
      <c r="G159" s="333"/>
      <c r="H159" s="333"/>
      <c r="I159" s="333"/>
      <c r="J159" s="333"/>
      <c r="K159" s="333"/>
      <c r="L159" s="333"/>
      <c r="M159" s="333"/>
      <c r="N159" s="333"/>
      <c r="O159" s="333"/>
      <c r="P159" s="333"/>
      <c r="Q159" s="333"/>
      <c r="R159" s="333"/>
      <c r="S159" s="333"/>
      <c r="T159" s="333"/>
      <c r="U159" s="334"/>
      <c r="V159" s="333"/>
      <c r="W159" s="333"/>
      <c r="X159" s="333"/>
      <c r="Y159" s="333"/>
      <c r="Z159" s="333"/>
      <c r="AA159" s="333"/>
      <c r="AB159" s="333"/>
      <c r="AD159" s="727"/>
      <c r="AE159" s="425"/>
      <c r="AF159" s="355"/>
      <c r="AG159" s="169"/>
      <c r="AN159" s="23"/>
    </row>
    <row r="160" spans="1:48" x14ac:dyDescent="0.25">
      <c r="A160" s="1273" t="s">
        <v>1153</v>
      </c>
      <c r="B160" s="333"/>
      <c r="C160" s="333"/>
      <c r="D160" s="333"/>
      <c r="E160" s="333"/>
      <c r="F160" s="333"/>
      <c r="G160" s="333"/>
      <c r="H160" s="333"/>
      <c r="I160" s="333"/>
      <c r="J160" s="333"/>
      <c r="K160" s="333"/>
      <c r="L160" s="333"/>
      <c r="M160" s="333"/>
      <c r="N160" s="333"/>
      <c r="O160" s="333"/>
      <c r="P160" s="333"/>
      <c r="Q160" s="333"/>
      <c r="R160" s="333"/>
      <c r="S160" s="333"/>
      <c r="T160" s="333"/>
      <c r="U160" s="334"/>
      <c r="V160" s="333"/>
      <c r="W160" s="333"/>
      <c r="X160" s="333"/>
      <c r="Y160" s="333"/>
      <c r="Z160" s="333"/>
      <c r="AA160" s="333"/>
      <c r="AB160" s="333"/>
      <c r="AD160" s="727"/>
      <c r="AE160" s="425"/>
      <c r="AF160" s="355"/>
      <c r="AG160" s="197"/>
    </row>
    <row r="161" spans="1:33" x14ac:dyDescent="0.25">
      <c r="A161" s="78"/>
      <c r="B161" s="333"/>
      <c r="C161" s="333"/>
      <c r="D161" s="333"/>
      <c r="E161" s="333"/>
      <c r="F161" s="333"/>
      <c r="G161" s="333"/>
      <c r="H161" s="333"/>
      <c r="I161" s="333"/>
      <c r="J161" s="333"/>
      <c r="K161" s="333"/>
      <c r="L161" s="333"/>
      <c r="M161" s="333"/>
      <c r="N161" s="333"/>
      <c r="O161" s="333"/>
      <c r="P161" s="333"/>
      <c r="Q161" s="333"/>
      <c r="R161" s="333"/>
      <c r="S161" s="333"/>
      <c r="T161" s="333"/>
      <c r="U161" s="334"/>
      <c r="V161" s="333"/>
      <c r="W161" s="333"/>
      <c r="X161" s="333"/>
      <c r="Y161" s="333"/>
      <c r="Z161" s="333"/>
      <c r="AA161" s="333"/>
      <c r="AB161" s="333"/>
      <c r="AF161" s="100"/>
      <c r="AG161" s="197"/>
    </row>
    <row r="162" spans="1:33" x14ac:dyDescent="0.25">
      <c r="A162" s="78"/>
      <c r="B162" s="333"/>
      <c r="C162" s="333"/>
      <c r="D162" s="333"/>
      <c r="E162" s="333"/>
      <c r="F162" s="333"/>
      <c r="G162" s="333"/>
      <c r="H162" s="333"/>
      <c r="I162" s="333"/>
      <c r="J162" s="333"/>
      <c r="K162" s="333"/>
      <c r="L162" s="333"/>
      <c r="M162" s="333"/>
      <c r="N162" s="333"/>
      <c r="O162" s="333"/>
      <c r="P162" s="333"/>
      <c r="Q162" s="333"/>
      <c r="R162" s="333"/>
      <c r="S162" s="333"/>
      <c r="T162" s="333"/>
      <c r="U162" s="334"/>
      <c r="V162" s="333"/>
      <c r="W162" s="333"/>
      <c r="X162" s="333"/>
      <c r="Y162" s="333"/>
      <c r="Z162" s="333"/>
      <c r="AA162" s="333"/>
      <c r="AB162" s="333"/>
    </row>
    <row r="163" spans="1:33" x14ac:dyDescent="0.25">
      <c r="A163" s="78"/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  <c r="L163" s="333"/>
      <c r="M163" s="333"/>
      <c r="N163" s="333"/>
      <c r="O163" s="333"/>
      <c r="P163" s="333"/>
      <c r="Q163" s="333"/>
      <c r="R163" s="333"/>
      <c r="S163" s="333"/>
      <c r="T163" s="333"/>
      <c r="U163" s="334"/>
      <c r="V163" s="333"/>
      <c r="W163" s="333"/>
      <c r="X163" s="333"/>
      <c r="Y163" s="333"/>
      <c r="Z163" s="333"/>
      <c r="AA163" s="333"/>
      <c r="AB163" s="333"/>
    </row>
    <row r="164" spans="1:33" x14ac:dyDescent="0.25">
      <c r="A164" s="78"/>
      <c r="B164" s="333"/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4"/>
      <c r="V164" s="333"/>
      <c r="W164" s="333"/>
      <c r="X164" s="333"/>
      <c r="Y164" s="333"/>
      <c r="Z164" s="333"/>
      <c r="AA164" s="333"/>
      <c r="AB164" s="333"/>
    </row>
    <row r="165" spans="1:33" x14ac:dyDescent="0.25">
      <c r="A165" s="78"/>
      <c r="B165" s="333"/>
      <c r="C165" s="333"/>
      <c r="D165" s="333"/>
      <c r="E165" s="333"/>
      <c r="F165" s="333"/>
      <c r="G165" s="333"/>
      <c r="H165" s="333"/>
      <c r="I165" s="333"/>
      <c r="J165" s="333"/>
      <c r="K165" s="333"/>
      <c r="L165" s="333"/>
      <c r="M165" s="333"/>
      <c r="N165" s="333"/>
      <c r="O165" s="333"/>
      <c r="P165" s="333"/>
      <c r="Q165" s="333"/>
      <c r="R165" s="333"/>
      <c r="S165" s="333"/>
      <c r="T165" s="333"/>
      <c r="U165" s="334"/>
      <c r="V165" s="333"/>
      <c r="W165" s="333"/>
      <c r="X165" s="333"/>
      <c r="Y165" s="333"/>
      <c r="Z165" s="333"/>
      <c r="AA165" s="333"/>
      <c r="AB165" s="333"/>
    </row>
    <row r="166" spans="1:33" x14ac:dyDescent="0.25">
      <c r="A166" s="78"/>
      <c r="B166" s="333"/>
      <c r="C166" s="333"/>
      <c r="D166" s="333"/>
      <c r="E166" s="333"/>
      <c r="F166" s="333"/>
      <c r="G166" s="333"/>
      <c r="H166" s="333"/>
      <c r="I166" s="333"/>
      <c r="J166" s="333"/>
      <c r="K166" s="333"/>
      <c r="L166" s="333"/>
      <c r="M166" s="333"/>
      <c r="N166" s="333"/>
      <c r="O166" s="333"/>
      <c r="P166" s="333"/>
      <c r="Q166" s="333"/>
      <c r="R166" s="333"/>
      <c r="S166" s="333"/>
      <c r="T166" s="333"/>
      <c r="U166" s="334"/>
      <c r="V166" s="333"/>
      <c r="W166" s="333"/>
      <c r="X166" s="333"/>
      <c r="Y166" s="333"/>
      <c r="Z166" s="333"/>
      <c r="AA166" s="333"/>
      <c r="AB166" s="333"/>
    </row>
    <row r="167" spans="1:33" ht="15.6" customHeight="1" x14ac:dyDescent="0.35">
      <c r="A167" s="952"/>
      <c r="B167" s="333"/>
      <c r="C167" s="333"/>
      <c r="D167" s="333"/>
      <c r="E167" s="333"/>
      <c r="F167" s="333"/>
      <c r="G167" s="333"/>
      <c r="H167" s="333"/>
      <c r="I167" s="333"/>
      <c r="J167" s="333"/>
      <c r="K167" s="333"/>
      <c r="L167" s="333"/>
      <c r="M167" s="333"/>
      <c r="N167" s="333"/>
      <c r="O167" s="333"/>
      <c r="P167" s="333"/>
      <c r="Q167" s="333"/>
      <c r="R167" s="333"/>
      <c r="S167" s="333"/>
      <c r="T167" s="333"/>
      <c r="U167" s="334"/>
      <c r="V167" s="333"/>
      <c r="W167" s="333"/>
      <c r="X167" s="333"/>
      <c r="Y167" s="333"/>
      <c r="Z167" s="333"/>
      <c r="AA167" s="333"/>
      <c r="AB167" s="333"/>
      <c r="AF167" s="355"/>
      <c r="AG167" s="169"/>
    </row>
    <row r="168" spans="1:33" x14ac:dyDescent="0.25">
      <c r="A168" s="78"/>
      <c r="B168" s="333"/>
      <c r="C168" s="333"/>
      <c r="D168" s="333"/>
      <c r="E168" s="333"/>
      <c r="F168" s="333"/>
      <c r="G168" s="333"/>
      <c r="H168" s="333"/>
      <c r="I168" s="333"/>
      <c r="J168" s="333"/>
      <c r="K168" s="333"/>
      <c r="L168" s="333"/>
      <c r="M168" s="333"/>
      <c r="N168" s="333"/>
      <c r="O168" s="333"/>
      <c r="P168" s="333"/>
      <c r="Q168" s="333"/>
      <c r="R168" s="333"/>
      <c r="S168" s="333"/>
      <c r="T168" s="333"/>
      <c r="U168" s="334"/>
      <c r="V168" s="333"/>
      <c r="W168" s="333"/>
      <c r="X168" s="333"/>
      <c r="Y168" s="333"/>
      <c r="Z168" s="333"/>
      <c r="AA168" s="333"/>
      <c r="AB168" s="333"/>
    </row>
    <row r="169" spans="1:33" x14ac:dyDescent="0.25">
      <c r="A169" s="78"/>
      <c r="B169" s="333"/>
      <c r="C169" s="333"/>
      <c r="D169" s="333"/>
      <c r="E169" s="333"/>
      <c r="F169" s="333"/>
      <c r="G169" s="333"/>
      <c r="H169" s="333"/>
      <c r="I169" s="333"/>
      <c r="J169" s="333"/>
      <c r="K169" s="333"/>
      <c r="L169" s="333"/>
      <c r="M169" s="333"/>
      <c r="N169" s="333"/>
      <c r="O169" s="333"/>
      <c r="P169" s="333"/>
      <c r="Q169" s="333"/>
      <c r="R169" s="333"/>
      <c r="S169" s="333"/>
      <c r="T169" s="333"/>
      <c r="U169" s="334"/>
      <c r="V169" s="333"/>
      <c r="W169" s="333"/>
      <c r="X169" s="333"/>
      <c r="Y169" s="333"/>
      <c r="Z169" s="333"/>
      <c r="AA169" s="333"/>
      <c r="AB169" s="333"/>
    </row>
    <row r="170" spans="1:33" x14ac:dyDescent="0.25">
      <c r="A170" s="78"/>
      <c r="B170" s="333"/>
      <c r="C170" s="333"/>
      <c r="D170" s="333"/>
      <c r="E170" s="333"/>
      <c r="F170" s="333"/>
      <c r="G170" s="333"/>
      <c r="H170" s="333"/>
      <c r="I170" s="333"/>
      <c r="J170" s="333"/>
      <c r="K170" s="333"/>
      <c r="L170" s="333"/>
      <c r="M170" s="333"/>
      <c r="N170" s="333"/>
      <c r="O170" s="333"/>
      <c r="P170" s="333"/>
      <c r="Q170" s="333"/>
      <c r="R170" s="333"/>
      <c r="S170" s="333"/>
      <c r="T170" s="333"/>
      <c r="U170" s="334"/>
      <c r="V170" s="333"/>
      <c r="W170" s="333"/>
      <c r="X170" s="333"/>
      <c r="Y170" s="333"/>
      <c r="Z170" s="333"/>
      <c r="AA170" s="333"/>
      <c r="AB170" s="333"/>
    </row>
    <row r="171" spans="1:33" x14ac:dyDescent="0.25">
      <c r="A171" s="78"/>
      <c r="B171" s="333"/>
      <c r="C171" s="333"/>
      <c r="D171" s="333"/>
      <c r="E171" s="333"/>
      <c r="F171" s="333"/>
      <c r="G171" s="333"/>
      <c r="H171" s="333"/>
      <c r="I171" s="333"/>
      <c r="J171" s="333"/>
      <c r="K171" s="333"/>
      <c r="L171" s="333"/>
      <c r="M171" s="333"/>
      <c r="N171" s="333"/>
      <c r="O171" s="333"/>
      <c r="P171" s="333"/>
      <c r="Q171" s="333"/>
      <c r="R171" s="333"/>
      <c r="S171" s="333"/>
      <c r="T171" s="333"/>
      <c r="U171" s="334"/>
      <c r="V171" s="333"/>
      <c r="W171" s="333"/>
      <c r="X171" s="333"/>
      <c r="Y171" s="333"/>
      <c r="Z171" s="333"/>
      <c r="AA171" s="333"/>
      <c r="AB171" s="333"/>
    </row>
    <row r="172" spans="1:33" x14ac:dyDescent="0.25">
      <c r="A172" s="78"/>
      <c r="B172" s="333"/>
      <c r="C172" s="333"/>
      <c r="D172" s="333"/>
      <c r="E172" s="333"/>
      <c r="F172" s="333"/>
      <c r="G172" s="333"/>
      <c r="H172" s="333"/>
      <c r="I172" s="333"/>
      <c r="J172" s="333"/>
      <c r="K172" s="333"/>
      <c r="L172" s="333"/>
      <c r="M172" s="333"/>
      <c r="N172" s="333"/>
      <c r="O172" s="333"/>
      <c r="P172" s="333"/>
      <c r="Q172" s="333"/>
      <c r="R172" s="333"/>
      <c r="S172" s="333"/>
      <c r="T172" s="333"/>
      <c r="U172" s="334"/>
      <c r="V172" s="333"/>
      <c r="W172" s="333"/>
      <c r="X172" s="333"/>
      <c r="Y172" s="333"/>
      <c r="Z172" s="333"/>
      <c r="AA172" s="333"/>
      <c r="AB172" s="333"/>
    </row>
    <row r="173" spans="1:33" x14ac:dyDescent="0.25">
      <c r="A173" s="78"/>
      <c r="B173" s="333"/>
      <c r="C173" s="333"/>
      <c r="D173" s="333"/>
      <c r="E173" s="333"/>
      <c r="F173" s="333"/>
      <c r="G173" s="333"/>
      <c r="H173" s="333"/>
      <c r="I173" s="333"/>
      <c r="J173" s="333"/>
      <c r="K173" s="333"/>
      <c r="L173" s="333"/>
      <c r="M173" s="333"/>
      <c r="N173" s="333"/>
      <c r="O173" s="333"/>
      <c r="P173" s="333"/>
      <c r="Q173" s="333"/>
      <c r="R173" s="333"/>
      <c r="S173" s="333"/>
      <c r="T173" s="333"/>
      <c r="U173" s="334"/>
      <c r="V173" s="333"/>
      <c r="W173" s="333"/>
      <c r="X173" s="333"/>
      <c r="Y173" s="333"/>
      <c r="Z173" s="333"/>
      <c r="AA173" s="333"/>
      <c r="AB173" s="333"/>
    </row>
    <row r="174" spans="1:33" x14ac:dyDescent="0.25">
      <c r="A174" s="78"/>
      <c r="B174" s="333"/>
      <c r="C174" s="333"/>
      <c r="D174" s="333"/>
      <c r="E174" s="333"/>
      <c r="F174" s="333"/>
      <c r="G174" s="333"/>
      <c r="H174" s="333"/>
      <c r="I174" s="333"/>
      <c r="J174" s="333"/>
      <c r="K174" s="333"/>
      <c r="L174" s="333"/>
      <c r="M174" s="333"/>
      <c r="N174" s="333"/>
      <c r="O174" s="333"/>
      <c r="P174" s="333"/>
      <c r="Q174" s="333"/>
      <c r="R174" s="333"/>
      <c r="S174" s="333"/>
      <c r="T174" s="333"/>
      <c r="U174" s="334"/>
      <c r="V174" s="333"/>
      <c r="W174" s="333"/>
      <c r="X174" s="333"/>
      <c r="Y174" s="333"/>
      <c r="Z174" s="333"/>
      <c r="AA174" s="333"/>
      <c r="AB174" s="333"/>
    </row>
    <row r="175" spans="1:33" x14ac:dyDescent="0.25"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177"/>
      <c r="O175" s="177"/>
      <c r="P175" s="177"/>
      <c r="Q175" s="177"/>
      <c r="R175" s="177"/>
      <c r="S175" s="177"/>
      <c r="T175" s="357"/>
      <c r="U175" s="177"/>
      <c r="V175" s="174"/>
      <c r="W175" s="174"/>
      <c r="X175" s="174"/>
      <c r="Y175" s="174"/>
      <c r="Z175" s="174"/>
      <c r="AA175" s="174"/>
      <c r="AB175" s="174"/>
    </row>
    <row r="176" spans="1:33" x14ac:dyDescent="0.25">
      <c r="B176" s="333"/>
      <c r="C176" s="333"/>
      <c r="D176" s="333"/>
      <c r="E176" s="333"/>
      <c r="F176" s="333"/>
      <c r="G176" s="333"/>
      <c r="H176" s="333"/>
      <c r="I176" s="333"/>
      <c r="J176" s="333"/>
      <c r="K176" s="333"/>
      <c r="L176" s="333"/>
      <c r="M176" s="333"/>
      <c r="N176" s="333"/>
      <c r="O176" s="333"/>
      <c r="P176" s="333"/>
      <c r="Q176" s="333"/>
      <c r="R176" s="333"/>
      <c r="S176" s="333"/>
      <c r="T176" s="333"/>
      <c r="U176" s="334"/>
      <c r="V176" s="333"/>
      <c r="W176" s="333"/>
      <c r="X176" s="333"/>
      <c r="Y176" s="333"/>
      <c r="Z176" s="333"/>
      <c r="AA176" s="333"/>
      <c r="AB176" s="333"/>
    </row>
    <row r="177" spans="1:38" x14ac:dyDescent="0.25">
      <c r="A177" s="333"/>
      <c r="B177" s="333"/>
      <c r="C177" s="333"/>
      <c r="D177" s="333"/>
      <c r="E177" s="333"/>
      <c r="F177" s="333"/>
      <c r="G177" s="333"/>
      <c r="H177" s="333"/>
      <c r="I177" s="333"/>
      <c r="J177" s="333"/>
      <c r="K177" s="333"/>
      <c r="L177" s="333"/>
      <c r="M177" s="333"/>
      <c r="N177" s="333"/>
      <c r="O177" s="333"/>
      <c r="P177" s="333"/>
      <c r="Q177" s="333"/>
      <c r="R177" s="333"/>
      <c r="S177" s="333"/>
      <c r="T177" s="333"/>
      <c r="U177" s="334"/>
      <c r="V177" s="333"/>
      <c r="W177" s="333"/>
      <c r="X177" s="333"/>
      <c r="Y177" s="333"/>
      <c r="Z177" s="333"/>
      <c r="AA177" s="333"/>
      <c r="AB177" s="333"/>
    </row>
    <row r="178" spans="1:38" x14ac:dyDescent="0.25">
      <c r="A178" s="313" t="s">
        <v>16</v>
      </c>
      <c r="B178" s="333"/>
      <c r="C178" s="333"/>
      <c r="D178" s="333"/>
      <c r="E178" s="333"/>
      <c r="F178" s="333"/>
      <c r="G178" s="333"/>
      <c r="H178" s="333"/>
      <c r="I178" s="333"/>
      <c r="J178" s="333"/>
      <c r="K178" s="333"/>
      <c r="L178" s="333"/>
      <c r="M178" s="333"/>
      <c r="N178" s="333"/>
      <c r="O178" s="333"/>
      <c r="P178" s="333"/>
      <c r="Q178" s="333"/>
      <c r="R178" s="333"/>
      <c r="S178" s="333"/>
      <c r="T178" s="333"/>
      <c r="U178" s="334"/>
      <c r="V178" s="333"/>
      <c r="W178" s="333"/>
      <c r="X178" s="333"/>
      <c r="Y178" s="333"/>
      <c r="Z178" s="333"/>
      <c r="AA178" s="333"/>
      <c r="AB178" s="333"/>
    </row>
    <row r="179" spans="1:38" x14ac:dyDescent="0.25">
      <c r="A179" s="333"/>
      <c r="B179" s="333"/>
      <c r="C179" s="333"/>
      <c r="D179" s="333"/>
      <c r="E179" s="333"/>
      <c r="F179" s="333"/>
      <c r="G179" s="333"/>
      <c r="H179" s="333"/>
      <c r="I179" s="333"/>
      <c r="J179" s="333"/>
      <c r="K179" s="333"/>
      <c r="L179" s="333"/>
      <c r="M179" s="333"/>
      <c r="N179" s="333"/>
      <c r="O179" s="333"/>
      <c r="P179" s="333"/>
      <c r="Q179" s="333"/>
      <c r="R179" s="333"/>
      <c r="S179" s="333"/>
      <c r="T179" s="333"/>
      <c r="U179" s="334"/>
      <c r="V179" s="333"/>
      <c r="W179" s="333"/>
      <c r="X179" s="333"/>
      <c r="Y179" s="333"/>
      <c r="Z179" s="333"/>
      <c r="AA179" s="333"/>
      <c r="AB179" s="333"/>
    </row>
    <row r="180" spans="1:38" x14ac:dyDescent="0.25">
      <c r="A180" s="333" t="s">
        <v>611</v>
      </c>
      <c r="B180" s="333"/>
      <c r="C180" s="333"/>
      <c r="D180" s="333"/>
      <c r="E180" s="333"/>
      <c r="F180" s="333"/>
      <c r="G180" s="333"/>
      <c r="H180" s="333"/>
      <c r="I180" s="333"/>
      <c r="J180" s="333"/>
      <c r="K180" s="333"/>
      <c r="L180" s="333"/>
      <c r="M180" s="333"/>
      <c r="N180" s="333"/>
      <c r="O180" s="333"/>
      <c r="P180" s="333"/>
      <c r="Q180" s="333"/>
      <c r="R180" s="333"/>
      <c r="S180" s="333"/>
      <c r="T180" s="333"/>
      <c r="U180" s="334"/>
      <c r="V180" s="333"/>
      <c r="W180" s="333"/>
      <c r="X180" s="333"/>
      <c r="Y180" s="333"/>
      <c r="Z180" s="333"/>
      <c r="AA180" s="333"/>
      <c r="AB180" s="333"/>
    </row>
    <row r="181" spans="1:38" x14ac:dyDescent="0.25">
      <c r="A181" s="333"/>
      <c r="B181" s="333"/>
      <c r="C181" s="333"/>
      <c r="D181" s="333"/>
      <c r="E181" s="333"/>
      <c r="F181" s="333"/>
      <c r="G181" s="333"/>
      <c r="H181" s="333"/>
      <c r="I181" s="333"/>
      <c r="J181" s="333"/>
      <c r="K181" s="333"/>
      <c r="L181" s="333"/>
      <c r="M181" s="333"/>
      <c r="N181" s="333"/>
      <c r="O181" s="333"/>
      <c r="P181" s="333"/>
      <c r="Q181" s="333"/>
      <c r="R181" s="333"/>
      <c r="S181" s="333"/>
      <c r="T181" s="333"/>
      <c r="U181" s="334"/>
      <c r="V181" s="333"/>
      <c r="W181" s="333"/>
      <c r="X181" s="333"/>
      <c r="Y181" s="333"/>
      <c r="Z181" s="333"/>
      <c r="AA181" s="333"/>
      <c r="AB181" s="333"/>
      <c r="AC181" s="189"/>
      <c r="AD181" s="177"/>
      <c r="AE181" s="177"/>
      <c r="AF181" s="177"/>
      <c r="AG181" s="177"/>
      <c r="AH181" s="177"/>
    </row>
    <row r="182" spans="1:38" x14ac:dyDescent="0.25">
      <c r="A182" s="78">
        <v>21</v>
      </c>
      <c r="B182" s="333"/>
      <c r="C182" s="333"/>
      <c r="D182" s="333"/>
      <c r="E182" s="333"/>
      <c r="F182" s="333"/>
      <c r="G182" s="333"/>
      <c r="H182" s="333"/>
      <c r="I182" s="333"/>
      <c r="J182" s="333"/>
      <c r="K182" s="333"/>
      <c r="L182" s="333"/>
      <c r="M182" s="333"/>
      <c r="N182" s="333"/>
      <c r="O182" s="333"/>
      <c r="P182" s="333"/>
      <c r="Q182" s="333"/>
      <c r="R182" s="333"/>
      <c r="S182" s="333"/>
      <c r="T182" s="333"/>
      <c r="U182" s="334"/>
      <c r="V182" s="333"/>
      <c r="W182" s="333"/>
      <c r="X182" s="333"/>
      <c r="Y182" s="333"/>
      <c r="Z182" s="333"/>
      <c r="AA182" s="333"/>
      <c r="AB182" s="333"/>
      <c r="AC182" s="447"/>
      <c r="AI182" s="177"/>
    </row>
    <row r="183" spans="1:38" x14ac:dyDescent="0.25">
      <c r="A183" s="367" t="s">
        <v>232</v>
      </c>
      <c r="B183" s="333"/>
      <c r="C183" s="333"/>
      <c r="D183" s="333"/>
      <c r="E183" s="333"/>
      <c r="F183" s="333"/>
      <c r="G183" s="333"/>
      <c r="H183" s="333"/>
      <c r="I183" s="333"/>
      <c r="J183" s="333"/>
      <c r="K183" s="333"/>
      <c r="L183" s="333"/>
      <c r="M183" s="333"/>
      <c r="N183" s="333"/>
      <c r="O183" s="333"/>
      <c r="P183" s="333"/>
      <c r="Q183" s="333"/>
      <c r="R183" s="333"/>
      <c r="S183" s="333"/>
      <c r="T183" s="333"/>
      <c r="U183" s="334"/>
      <c r="V183" s="333"/>
      <c r="W183" s="333"/>
      <c r="X183" s="333"/>
      <c r="Y183" s="333"/>
      <c r="Z183" s="333"/>
      <c r="AA183" s="333"/>
      <c r="AB183" s="333"/>
      <c r="AC183" s="447"/>
    </row>
    <row r="184" spans="1:38" x14ac:dyDescent="0.25">
      <c r="A184" s="367"/>
      <c r="B184" s="333"/>
      <c r="C184" s="333"/>
      <c r="D184" s="333"/>
      <c r="E184" s="333"/>
      <c r="F184" s="333"/>
      <c r="G184" s="333"/>
      <c r="H184" s="333"/>
      <c r="I184" s="333"/>
      <c r="J184" s="333"/>
      <c r="K184" s="333"/>
      <c r="L184" s="333"/>
      <c r="M184" s="333"/>
      <c r="N184" s="333"/>
      <c r="O184" s="333"/>
      <c r="P184" s="963" t="s">
        <v>17</v>
      </c>
      <c r="Q184" s="333"/>
      <c r="R184" s="333"/>
      <c r="S184" s="333"/>
      <c r="T184" s="333"/>
      <c r="U184" s="334"/>
      <c r="W184" s="367"/>
      <c r="Y184" s="367"/>
      <c r="Z184" s="367"/>
      <c r="AA184" s="367"/>
      <c r="AB184" s="367"/>
      <c r="AC184" s="447"/>
      <c r="AD184" s="425"/>
    </row>
    <row r="185" spans="1:38" x14ac:dyDescent="0.25">
      <c r="A185" s="191" t="s">
        <v>375</v>
      </c>
      <c r="B185" s="333"/>
      <c r="C185" s="333"/>
      <c r="D185" s="333"/>
      <c r="E185" s="333"/>
      <c r="F185" s="333"/>
      <c r="G185" s="333"/>
      <c r="H185" s="333"/>
      <c r="I185" s="333"/>
      <c r="J185" s="333"/>
      <c r="K185" s="333"/>
      <c r="L185" s="333"/>
      <c r="M185" s="333"/>
      <c r="N185" s="333"/>
      <c r="O185" s="333"/>
      <c r="P185" s="333"/>
      <c r="Q185" s="333"/>
      <c r="R185" s="333"/>
      <c r="S185" s="333"/>
      <c r="T185" s="333"/>
      <c r="U185" s="334"/>
      <c r="V185" s="333"/>
      <c r="W185" s="333"/>
      <c r="X185" s="333"/>
      <c r="Y185" s="333"/>
      <c r="Z185" s="333"/>
      <c r="AA185" s="333"/>
      <c r="AB185" s="333"/>
      <c r="AC185" s="447"/>
    </row>
    <row r="186" spans="1:38" x14ac:dyDescent="0.25">
      <c r="A186" s="367" t="s">
        <v>169</v>
      </c>
      <c r="B186" s="333"/>
      <c r="C186" s="333"/>
      <c r="D186" s="333"/>
      <c r="E186" s="333"/>
      <c r="F186" s="333"/>
      <c r="G186" s="333"/>
      <c r="H186" s="333"/>
      <c r="I186" s="333"/>
      <c r="J186" s="333"/>
      <c r="K186" s="333"/>
      <c r="L186" s="333"/>
      <c r="M186" s="333"/>
      <c r="N186" s="333"/>
      <c r="O186" s="333"/>
      <c r="P186" s="333"/>
      <c r="Q186" s="333"/>
      <c r="R186" s="333"/>
      <c r="S186" s="333"/>
      <c r="T186" s="333"/>
      <c r="U186" s="334"/>
      <c r="V186" s="333"/>
      <c r="W186" s="333"/>
      <c r="X186" s="333"/>
      <c r="Y186" s="333"/>
      <c r="Z186" s="333"/>
      <c r="AA186" s="333"/>
      <c r="AB186" s="333"/>
      <c r="AC186" s="447"/>
      <c r="AD186" s="177"/>
    </row>
    <row r="187" spans="1:38" x14ac:dyDescent="0.25">
      <c r="A187" s="367"/>
      <c r="B187" s="333"/>
      <c r="C187" s="333"/>
      <c r="D187" s="333"/>
      <c r="E187" s="333"/>
      <c r="F187" s="333"/>
      <c r="G187" s="333"/>
      <c r="H187" s="333"/>
      <c r="I187" s="333"/>
      <c r="J187" s="333"/>
      <c r="K187" s="333"/>
      <c r="L187" s="333"/>
      <c r="M187" s="333"/>
      <c r="N187" s="333"/>
      <c r="O187" s="333"/>
      <c r="P187" s="333"/>
      <c r="Q187" s="333"/>
      <c r="R187" s="333"/>
      <c r="S187" s="333"/>
      <c r="T187" s="333"/>
      <c r="U187" s="334"/>
      <c r="V187" s="333"/>
      <c r="W187" s="333"/>
      <c r="X187" s="333"/>
      <c r="Y187" s="333"/>
      <c r="Z187" s="333"/>
      <c r="AA187" s="333"/>
      <c r="AB187" s="333"/>
      <c r="AC187" s="1310"/>
    </row>
    <row r="188" spans="1:38" x14ac:dyDescent="0.25">
      <c r="A188" s="81" t="s">
        <v>287</v>
      </c>
      <c r="B188" s="81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5"/>
      <c r="V188" s="81"/>
      <c r="W188" s="81"/>
      <c r="X188" s="81"/>
      <c r="Y188" s="81"/>
      <c r="Z188" s="81"/>
      <c r="AA188" s="81"/>
      <c r="AB188" s="81"/>
      <c r="AC188" s="1311"/>
      <c r="AD188" s="177"/>
      <c r="AE188" s="177"/>
      <c r="AF188" s="177"/>
      <c r="AG188" s="177"/>
      <c r="AH188" s="177"/>
      <c r="AI188" s="177"/>
    </row>
    <row r="189" spans="1:38" x14ac:dyDescent="0.25">
      <c r="A189" s="78"/>
      <c r="B189" s="333"/>
      <c r="C189" s="333"/>
      <c r="D189" s="333"/>
      <c r="E189" s="333"/>
      <c r="F189" s="333"/>
      <c r="G189" s="333"/>
      <c r="H189" s="333"/>
      <c r="I189" s="333"/>
      <c r="J189" s="333"/>
      <c r="K189" s="333"/>
      <c r="L189" s="333"/>
      <c r="M189" s="333"/>
      <c r="N189" s="333"/>
      <c r="O189" s="333"/>
      <c r="P189" s="333"/>
      <c r="Q189" s="333"/>
      <c r="R189" s="333"/>
      <c r="S189" s="333"/>
      <c r="T189" s="333"/>
      <c r="U189" s="334"/>
      <c r="V189" s="333"/>
      <c r="W189" s="333"/>
      <c r="X189" s="333"/>
      <c r="Y189" s="333"/>
      <c r="Z189" s="333"/>
      <c r="AA189" s="333"/>
      <c r="AB189" s="333"/>
      <c r="AC189" s="189"/>
      <c r="AD189" s="177"/>
      <c r="AE189" s="177"/>
      <c r="AF189" s="177"/>
      <c r="AG189" s="177"/>
      <c r="AH189" s="177"/>
      <c r="AI189" s="177"/>
    </row>
    <row r="190" spans="1:38" x14ac:dyDescent="0.25">
      <c r="A190" s="86" t="s">
        <v>1164</v>
      </c>
      <c r="AC190" s="189"/>
      <c r="AD190" s="177"/>
      <c r="AE190" s="177"/>
      <c r="AF190" s="177"/>
      <c r="AG190" s="177"/>
      <c r="AH190" s="177"/>
      <c r="AI190" s="177"/>
    </row>
    <row r="191" spans="1:38" x14ac:dyDescent="0.25">
      <c r="A191" s="200" t="s">
        <v>1099</v>
      </c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R191" s="22"/>
      <c r="S191" s="22"/>
      <c r="T191" s="22"/>
      <c r="U191" s="87"/>
      <c r="AL191" s="447"/>
    </row>
    <row r="192" spans="1:38" x14ac:dyDescent="0.25">
      <c r="A192" s="22"/>
      <c r="B192" s="87"/>
      <c r="C192" s="87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R192" s="22"/>
      <c r="S192" s="22"/>
      <c r="T192" s="22"/>
      <c r="U192" s="87"/>
      <c r="AL192" s="447"/>
    </row>
    <row r="193" spans="1:44" x14ac:dyDescent="0.25">
      <c r="A193" s="88"/>
      <c r="B193" s="172"/>
      <c r="C193" s="172"/>
      <c r="D193" s="88"/>
      <c r="E193" s="88"/>
      <c r="F193" s="171"/>
      <c r="G193" s="171"/>
      <c r="H193" s="171"/>
      <c r="I193" s="171"/>
      <c r="J193" s="171" t="s">
        <v>151</v>
      </c>
      <c r="K193" s="1104"/>
      <c r="L193" s="171"/>
      <c r="M193" s="171"/>
      <c r="N193" s="171" t="s">
        <v>139</v>
      </c>
      <c r="O193" s="89"/>
      <c r="P193" s="1104"/>
      <c r="U193" s="178"/>
      <c r="W193" s="1104"/>
      <c r="X193" s="1104"/>
      <c r="Y193" s="1104"/>
      <c r="Z193" s="1104"/>
      <c r="AA193" s="1104"/>
      <c r="AB193" s="1104"/>
      <c r="AL193" s="447"/>
    </row>
    <row r="194" spans="1:44" x14ac:dyDescent="0.25">
      <c r="A194" s="171"/>
      <c r="B194" s="172"/>
      <c r="C194" s="172"/>
      <c r="F194" s="171"/>
      <c r="G194" s="171"/>
      <c r="H194" s="171" t="s">
        <v>152</v>
      </c>
      <c r="I194" s="171"/>
      <c r="J194" s="171" t="s">
        <v>139</v>
      </c>
      <c r="K194" s="1104"/>
      <c r="L194" s="171" t="s">
        <v>138</v>
      </c>
      <c r="M194" s="171"/>
      <c r="N194" s="171" t="s">
        <v>153</v>
      </c>
      <c r="O194" s="89"/>
      <c r="P194" s="1104"/>
      <c r="U194" s="178"/>
      <c r="W194" s="1104"/>
      <c r="X194" s="1104"/>
      <c r="Y194" s="1104"/>
      <c r="Z194" s="1104"/>
      <c r="AA194" s="1104"/>
      <c r="AB194" s="1104"/>
      <c r="AD194" s="341"/>
      <c r="AG194" s="466"/>
      <c r="AL194" s="447"/>
    </row>
    <row r="195" spans="1:44" x14ac:dyDescent="0.25">
      <c r="A195" s="171"/>
      <c r="B195" s="172"/>
      <c r="C195" s="172"/>
      <c r="F195" s="171" t="s">
        <v>136</v>
      </c>
      <c r="G195" s="171"/>
      <c r="H195" s="171" t="s">
        <v>137</v>
      </c>
      <c r="I195" s="171"/>
      <c r="J195" s="171" t="s">
        <v>138</v>
      </c>
      <c r="K195" s="1104"/>
      <c r="L195" s="171" t="s">
        <v>153</v>
      </c>
      <c r="M195" s="171"/>
      <c r="N195" s="1104" t="s">
        <v>514</v>
      </c>
      <c r="O195" s="89"/>
      <c r="P195" s="1104"/>
      <c r="U195" s="178"/>
      <c r="W195" s="1104"/>
      <c r="X195" s="1104"/>
      <c r="Y195" s="1104"/>
      <c r="Z195" s="1104"/>
      <c r="AA195" s="1104"/>
      <c r="AB195" s="1104"/>
      <c r="AC195" s="148"/>
      <c r="AD195" s="341"/>
      <c r="AG195" s="466"/>
      <c r="AL195" s="447"/>
    </row>
    <row r="196" spans="1:44" x14ac:dyDescent="0.25">
      <c r="A196" s="171"/>
      <c r="B196" s="172"/>
      <c r="C196" s="172"/>
      <c r="F196" s="171" t="s">
        <v>140</v>
      </c>
      <c r="G196" s="171"/>
      <c r="H196" s="171" t="s">
        <v>154</v>
      </c>
      <c r="I196" s="171"/>
      <c r="J196" s="171" t="s">
        <v>141</v>
      </c>
      <c r="K196" s="1104"/>
      <c r="L196" s="171" t="s">
        <v>155</v>
      </c>
      <c r="M196" s="171"/>
      <c r="N196" s="171" t="s">
        <v>156</v>
      </c>
      <c r="O196" s="89"/>
      <c r="P196" s="91" t="s">
        <v>171</v>
      </c>
      <c r="U196" s="178"/>
      <c r="W196" s="91"/>
      <c r="X196" s="91"/>
      <c r="Y196" s="91"/>
      <c r="Z196" s="91"/>
      <c r="AA196" s="91"/>
      <c r="AB196" s="91"/>
      <c r="AD196" s="341"/>
      <c r="AG196" s="466"/>
    </row>
    <row r="197" spans="1:44" x14ac:dyDescent="0.25">
      <c r="A197" s="22"/>
      <c r="B197" s="172"/>
      <c r="C197" s="172"/>
      <c r="F197" s="73"/>
      <c r="G197" s="87"/>
      <c r="H197" s="73"/>
      <c r="I197" s="87"/>
      <c r="J197" s="73"/>
      <c r="L197" s="73"/>
      <c r="M197" s="22"/>
      <c r="N197" s="73"/>
      <c r="O197" s="87"/>
      <c r="P197" s="73"/>
      <c r="U197" s="178"/>
      <c r="W197" s="87"/>
      <c r="X197" s="87"/>
      <c r="Y197" s="87"/>
      <c r="Z197" s="87"/>
      <c r="AA197" s="87"/>
      <c r="AB197" s="87"/>
      <c r="AD197" s="341"/>
      <c r="AG197" s="466"/>
      <c r="AL197" s="355"/>
      <c r="AN197" s="61"/>
      <c r="AP197" s="61"/>
    </row>
    <row r="198" spans="1:44" x14ac:dyDescent="0.25">
      <c r="A198" s="22"/>
      <c r="B198" s="172"/>
      <c r="C198" s="172"/>
      <c r="F198" s="92" t="s">
        <v>737</v>
      </c>
      <c r="G198" s="92"/>
      <c r="H198" s="993">
        <v>-1</v>
      </c>
      <c r="I198" s="993"/>
      <c r="J198" s="171">
        <v>0</v>
      </c>
      <c r="L198" s="993">
        <v>0</v>
      </c>
      <c r="M198" s="22"/>
      <c r="N198" s="213">
        <v>429.93</v>
      </c>
      <c r="O198" s="93"/>
      <c r="P198" s="711">
        <v>0</v>
      </c>
      <c r="U198" s="178"/>
      <c r="W198" s="997"/>
      <c r="X198" s="997"/>
      <c r="Y198" s="997"/>
      <c r="Z198" s="997"/>
      <c r="AA198" s="997"/>
      <c r="AB198" s="997"/>
      <c r="AC198" s="87"/>
      <c r="AD198" s="341"/>
      <c r="AG198" s="466"/>
      <c r="AN198" s="61"/>
      <c r="AP198" s="61"/>
      <c r="AR198" s="61"/>
    </row>
    <row r="199" spans="1:44" x14ac:dyDescent="0.25">
      <c r="A199" s="22"/>
      <c r="B199" s="172"/>
      <c r="C199" s="172"/>
      <c r="F199" s="92" t="s">
        <v>148</v>
      </c>
      <c r="H199" s="993">
        <v>0</v>
      </c>
      <c r="I199" s="993"/>
      <c r="J199" s="171">
        <v>1</v>
      </c>
      <c r="L199" s="993">
        <v>0</v>
      </c>
      <c r="M199" s="22"/>
      <c r="N199" s="358">
        <v>429.93</v>
      </c>
      <c r="O199" s="93"/>
      <c r="P199" s="500">
        <v>0</v>
      </c>
      <c r="U199" s="178"/>
      <c r="W199" s="993"/>
      <c r="X199" s="993"/>
      <c r="Y199" s="993"/>
      <c r="Z199" s="993"/>
      <c r="AA199" s="993"/>
      <c r="AB199" s="993"/>
      <c r="AC199" s="99"/>
      <c r="AF199" s="87"/>
      <c r="AG199" s="359"/>
      <c r="AH199" s="87"/>
      <c r="AL199" s="1130"/>
      <c r="AN199" s="96"/>
      <c r="AP199" s="96"/>
    </row>
    <row r="200" spans="1:44" x14ac:dyDescent="0.25">
      <c r="A200" s="22"/>
      <c r="B200" s="172"/>
      <c r="C200" s="172"/>
      <c r="F200" s="92" t="s">
        <v>149</v>
      </c>
      <c r="G200" s="94"/>
      <c r="H200" s="993">
        <v>-1</v>
      </c>
      <c r="I200" s="993"/>
      <c r="J200" s="171">
        <v>2</v>
      </c>
      <c r="L200" s="993">
        <v>-2</v>
      </c>
      <c r="M200" s="22"/>
      <c r="N200" s="358">
        <v>429.93</v>
      </c>
      <c r="O200" s="93"/>
      <c r="P200" s="993">
        <v>-860</v>
      </c>
      <c r="U200" s="178"/>
      <c r="W200" s="993"/>
      <c r="X200" s="993"/>
      <c r="Y200" s="993"/>
      <c r="Z200" s="993"/>
      <c r="AA200" s="993"/>
      <c r="AB200" s="993"/>
      <c r="AC200" s="87"/>
      <c r="AF200" s="87"/>
      <c r="AG200" s="87"/>
      <c r="AH200" s="87"/>
    </row>
    <row r="201" spans="1:44" x14ac:dyDescent="0.25">
      <c r="A201" s="22"/>
      <c r="B201" s="172"/>
      <c r="C201" s="172"/>
      <c r="F201" s="92" t="s">
        <v>738</v>
      </c>
      <c r="G201" s="92"/>
      <c r="H201" s="993">
        <v>0</v>
      </c>
      <c r="I201" s="993"/>
      <c r="J201" s="171">
        <v>3</v>
      </c>
      <c r="L201" s="993">
        <v>0</v>
      </c>
      <c r="M201" s="22"/>
      <c r="N201" s="358">
        <v>483.86</v>
      </c>
      <c r="O201" s="93"/>
      <c r="P201" s="500">
        <v>0</v>
      </c>
      <c r="U201" s="178"/>
      <c r="W201" s="993"/>
      <c r="X201" s="993"/>
      <c r="Y201" s="993"/>
      <c r="Z201" s="993"/>
      <c r="AA201" s="993"/>
      <c r="AB201" s="993"/>
      <c r="AF201" s="87"/>
      <c r="AG201" s="99"/>
      <c r="AH201" s="87"/>
      <c r="AL201" s="1130"/>
      <c r="AN201" s="96"/>
      <c r="AP201" s="96"/>
      <c r="AR201" s="96"/>
    </row>
    <row r="202" spans="1:44" x14ac:dyDescent="0.25">
      <c r="A202" s="22"/>
      <c r="B202" s="172"/>
      <c r="C202" s="172"/>
      <c r="F202" s="92" t="s">
        <v>142</v>
      </c>
      <c r="G202" s="94"/>
      <c r="H202" s="993">
        <v>0</v>
      </c>
      <c r="I202" s="993"/>
      <c r="J202" s="171">
        <v>4</v>
      </c>
      <c r="L202" s="993">
        <v>0</v>
      </c>
      <c r="M202" s="22"/>
      <c r="N202" s="358">
        <v>483.86</v>
      </c>
      <c r="O202" s="93"/>
      <c r="P202" s="500">
        <v>0</v>
      </c>
      <c r="U202" s="178"/>
      <c r="W202" s="993"/>
      <c r="X202" s="993"/>
      <c r="Y202" s="993"/>
      <c r="Z202" s="993"/>
      <c r="AA202" s="993"/>
      <c r="AB202" s="993"/>
      <c r="AG202" s="87"/>
      <c r="AN202" s="96"/>
      <c r="AP202" s="96"/>
      <c r="AR202" s="96"/>
    </row>
    <row r="203" spans="1:44" x14ac:dyDescent="0.25">
      <c r="A203" s="22"/>
      <c r="B203" s="172"/>
      <c r="C203" s="172"/>
      <c r="F203" s="92" t="s">
        <v>157</v>
      </c>
      <c r="G203" s="94"/>
      <c r="H203" s="993">
        <v>1</v>
      </c>
      <c r="I203" s="993"/>
      <c r="J203" s="171">
        <v>5</v>
      </c>
      <c r="L203" s="993">
        <v>5</v>
      </c>
      <c r="M203" s="22"/>
      <c r="N203" s="358">
        <v>483.86</v>
      </c>
      <c r="O203" s="93"/>
      <c r="P203" s="993">
        <v>2419</v>
      </c>
      <c r="U203" s="178"/>
      <c r="W203" s="993"/>
      <c r="X203" s="993"/>
      <c r="Y203" s="993"/>
      <c r="Z203" s="993"/>
      <c r="AA203" s="993"/>
      <c r="AB203" s="993"/>
      <c r="AD203" s="992"/>
      <c r="AL203" s="1163"/>
      <c r="AN203" s="96"/>
      <c r="AP203" s="96"/>
      <c r="AR203" s="96"/>
    </row>
    <row r="204" spans="1:44" x14ac:dyDescent="0.25">
      <c r="A204" s="22"/>
      <c r="B204" s="172"/>
      <c r="C204" s="172"/>
      <c r="F204" s="92" t="s">
        <v>143</v>
      </c>
      <c r="G204" s="94"/>
      <c r="H204" s="993">
        <v>0</v>
      </c>
      <c r="I204" s="993"/>
      <c r="J204" s="171">
        <v>6</v>
      </c>
      <c r="L204" s="993">
        <v>0</v>
      </c>
      <c r="M204" s="22"/>
      <c r="N204" s="358">
        <v>483.86</v>
      </c>
      <c r="O204" s="93"/>
      <c r="P204" s="500">
        <v>0</v>
      </c>
      <c r="U204" s="178"/>
      <c r="W204" s="993"/>
      <c r="X204" s="993"/>
      <c r="Y204" s="993"/>
      <c r="Z204" s="993"/>
      <c r="AA204" s="993"/>
      <c r="AB204" s="993"/>
      <c r="AD204" s="727"/>
      <c r="AE204" s="425"/>
      <c r="AF204" s="355"/>
      <c r="AG204" s="169"/>
      <c r="AH204" s="355"/>
      <c r="AL204" s="1130"/>
      <c r="AN204" s="96"/>
      <c r="AP204" s="96"/>
      <c r="AR204" s="96"/>
    </row>
    <row r="205" spans="1:44" x14ac:dyDescent="0.25">
      <c r="B205" s="172"/>
      <c r="C205" s="172"/>
      <c r="F205" s="92" t="s">
        <v>144</v>
      </c>
      <c r="G205" s="94"/>
      <c r="H205" s="993">
        <v>0</v>
      </c>
      <c r="I205" s="993"/>
      <c r="J205" s="171">
        <v>7</v>
      </c>
      <c r="L205" s="993">
        <v>0</v>
      </c>
      <c r="M205" s="22"/>
      <c r="N205" s="358">
        <v>483.86</v>
      </c>
      <c r="O205" s="93"/>
      <c r="P205" s="500">
        <v>0</v>
      </c>
      <c r="U205" s="178"/>
      <c r="W205" s="993"/>
      <c r="X205" s="993"/>
      <c r="Y205" s="993"/>
      <c r="Z205" s="993"/>
      <c r="AA205" s="993"/>
      <c r="AB205" s="993"/>
      <c r="AD205" s="727"/>
      <c r="AE205" s="425"/>
      <c r="AF205" s="355"/>
      <c r="AG205" s="197"/>
      <c r="AH205" s="355"/>
      <c r="AL205" s="1163"/>
      <c r="AN205" s="96"/>
      <c r="AP205" s="96"/>
      <c r="AR205" s="96"/>
    </row>
    <row r="206" spans="1:44" x14ac:dyDescent="0.25">
      <c r="B206" s="172"/>
      <c r="C206" s="172"/>
      <c r="F206" s="92" t="s">
        <v>145</v>
      </c>
      <c r="H206" s="993">
        <v>-1</v>
      </c>
      <c r="I206" s="993"/>
      <c r="J206" s="171">
        <v>8</v>
      </c>
      <c r="L206" s="993">
        <v>-8</v>
      </c>
      <c r="M206" s="22"/>
      <c r="N206" s="358">
        <v>483.86</v>
      </c>
      <c r="O206" s="93"/>
      <c r="P206" s="993">
        <v>-3871</v>
      </c>
      <c r="U206" s="178"/>
      <c r="W206" s="993"/>
      <c r="X206" s="993"/>
      <c r="Y206" s="993"/>
      <c r="Z206" s="993"/>
      <c r="AA206" s="993"/>
      <c r="AB206" s="993"/>
      <c r="AF206" s="100"/>
      <c r="AG206" s="197"/>
      <c r="AH206" s="100"/>
      <c r="AL206" s="1163"/>
      <c r="AN206" s="96"/>
      <c r="AP206" s="96"/>
      <c r="AR206" s="96"/>
    </row>
    <row r="207" spans="1:44" x14ac:dyDescent="0.25">
      <c r="B207" s="172"/>
      <c r="C207" s="172"/>
      <c r="F207" s="92" t="s">
        <v>1</v>
      </c>
      <c r="G207" s="94"/>
      <c r="H207" s="993">
        <v>0</v>
      </c>
      <c r="I207" s="993"/>
      <c r="J207" s="171">
        <v>9</v>
      </c>
      <c r="L207" s="993">
        <v>0</v>
      </c>
      <c r="M207" s="22"/>
      <c r="N207" s="358">
        <v>483.86</v>
      </c>
      <c r="O207" s="93"/>
      <c r="P207" s="500">
        <v>0</v>
      </c>
      <c r="U207" s="178"/>
      <c r="W207" s="993"/>
      <c r="X207" s="993"/>
      <c r="Y207" s="993"/>
      <c r="Z207" s="993"/>
      <c r="AA207" s="993"/>
      <c r="AB207" s="993"/>
      <c r="AL207" s="1163"/>
      <c r="AN207" s="96"/>
      <c r="AP207" s="96"/>
      <c r="AR207" s="96"/>
    </row>
    <row r="208" spans="1:44" x14ac:dyDescent="0.25">
      <c r="B208" s="172"/>
      <c r="C208" s="172"/>
      <c r="F208" s="92" t="s">
        <v>146</v>
      </c>
      <c r="G208" s="94"/>
      <c r="H208" s="993">
        <v>-1</v>
      </c>
      <c r="I208" s="993"/>
      <c r="J208" s="171">
        <v>10</v>
      </c>
      <c r="L208" s="993">
        <v>-10</v>
      </c>
      <c r="M208" s="22"/>
      <c r="N208" s="358">
        <v>483.86</v>
      </c>
      <c r="O208" s="99"/>
      <c r="P208" s="993">
        <v>-4839</v>
      </c>
      <c r="U208" s="178"/>
      <c r="W208" s="993"/>
      <c r="X208" s="993"/>
      <c r="Y208" s="993"/>
      <c r="Z208" s="993"/>
      <c r="AA208" s="993"/>
      <c r="AB208" s="993"/>
      <c r="AF208" s="355"/>
      <c r="AG208" s="169"/>
      <c r="AH208" s="355"/>
      <c r="AL208" s="1163"/>
      <c r="AN208" s="96"/>
      <c r="AP208" s="96"/>
      <c r="AR208" s="96"/>
    </row>
    <row r="209" spans="1:44" x14ac:dyDescent="0.25">
      <c r="B209" s="172"/>
      <c r="C209" s="172"/>
      <c r="F209" s="92" t="s">
        <v>147</v>
      </c>
      <c r="G209" s="94"/>
      <c r="H209" s="993">
        <v>0</v>
      </c>
      <c r="I209" s="993"/>
      <c r="J209" s="171">
        <v>11</v>
      </c>
      <c r="L209" s="993">
        <v>0</v>
      </c>
      <c r="M209" s="22"/>
      <c r="N209" s="358">
        <v>483.86</v>
      </c>
      <c r="O209" s="93"/>
      <c r="P209" s="500">
        <v>0</v>
      </c>
      <c r="U209" s="178"/>
      <c r="W209" s="993"/>
      <c r="X209" s="993"/>
      <c r="Y209" s="993"/>
      <c r="Z209" s="993"/>
      <c r="AA209" s="993"/>
      <c r="AB209" s="993"/>
      <c r="AC209" s="1309"/>
      <c r="AF209" s="100"/>
      <c r="AG209" s="101"/>
      <c r="AH209" s="100"/>
      <c r="AN209" s="96"/>
      <c r="AP209" s="96"/>
      <c r="AR209" s="96"/>
    </row>
    <row r="210" spans="1:44" x14ac:dyDescent="0.25">
      <c r="A210" s="22"/>
      <c r="B210" s="172"/>
      <c r="C210" s="172"/>
      <c r="F210" s="22"/>
      <c r="G210" s="22"/>
      <c r="H210" s="73"/>
      <c r="I210" s="87"/>
      <c r="L210" s="73"/>
      <c r="M210" s="22"/>
      <c r="N210" s="102"/>
      <c r="O210" s="93"/>
      <c r="P210" s="73"/>
      <c r="U210" s="178"/>
      <c r="W210" s="87"/>
      <c r="X210" s="87"/>
      <c r="Y210" s="87"/>
      <c r="Z210" s="87"/>
      <c r="AA210" s="87"/>
      <c r="AB210" s="87"/>
      <c r="AC210" s="162"/>
      <c r="AL210" s="1163"/>
      <c r="AN210" s="96"/>
      <c r="AP210" s="96"/>
      <c r="AR210" s="96"/>
    </row>
    <row r="211" spans="1:44" ht="16.5" thickBot="1" x14ac:dyDescent="0.3">
      <c r="A211" s="22"/>
      <c r="B211" s="172"/>
      <c r="C211" s="172"/>
      <c r="F211" s="87" t="s">
        <v>158</v>
      </c>
      <c r="G211" s="87"/>
      <c r="H211" s="477">
        <f>SUM(H198:H210)</f>
        <v>-3</v>
      </c>
      <c r="I211" s="466"/>
      <c r="J211" s="172"/>
      <c r="K211" s="201"/>
      <c r="L211" s="477">
        <f>SUM(L198:L210)</f>
        <v>-15</v>
      </c>
      <c r="M211" s="87"/>
      <c r="N211" s="93"/>
      <c r="O211" s="93"/>
      <c r="P211" s="470">
        <f>SUM(P198:P210)</f>
        <v>-7151</v>
      </c>
      <c r="U211" s="178"/>
      <c r="W211" s="454"/>
      <c r="X211" s="454"/>
      <c r="Y211" s="454"/>
      <c r="Z211" s="454"/>
      <c r="AA211" s="454"/>
      <c r="AB211" s="454"/>
      <c r="AD211" s="992"/>
      <c r="AL211" s="1163"/>
      <c r="AN211" s="96"/>
      <c r="AP211" s="96"/>
      <c r="AR211" s="96"/>
    </row>
    <row r="212" spans="1:44" ht="16.5" thickTop="1" x14ac:dyDescent="0.25">
      <c r="A212" s="22"/>
      <c r="B212" s="87"/>
      <c r="C212" s="87"/>
      <c r="D212" s="87"/>
      <c r="E212" s="22"/>
      <c r="P212" s="87"/>
      <c r="Q212" s="22"/>
      <c r="R212" s="22"/>
      <c r="S212" s="87"/>
      <c r="T212" s="87"/>
      <c r="U212" s="178"/>
      <c r="AD212" s="727"/>
      <c r="AE212" s="425"/>
      <c r="AF212" s="355"/>
      <c r="AG212" s="169"/>
      <c r="AL212" s="1163"/>
      <c r="AN212" s="96"/>
      <c r="AP212" s="96"/>
      <c r="AR212" s="96"/>
    </row>
    <row r="213" spans="1:44" x14ac:dyDescent="0.25">
      <c r="A213" s="86" t="s">
        <v>127</v>
      </c>
      <c r="B213" s="22" t="s">
        <v>541</v>
      </c>
      <c r="C213" s="22"/>
      <c r="D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R213" s="22"/>
      <c r="S213" s="22"/>
      <c r="T213" s="22"/>
      <c r="U213" s="87"/>
      <c r="V213" s="22"/>
      <c r="W213" s="22"/>
      <c r="X213" s="22"/>
      <c r="Y213" s="22"/>
      <c r="Z213" s="22"/>
      <c r="AA213" s="22"/>
      <c r="AB213" s="22"/>
      <c r="AD213" s="727"/>
      <c r="AE213" s="425"/>
      <c r="AF213" s="355"/>
      <c r="AG213" s="197"/>
      <c r="AN213" s="96"/>
      <c r="AP213" s="96"/>
      <c r="AR213" s="96"/>
    </row>
    <row r="214" spans="1:44" x14ac:dyDescent="0.25">
      <c r="A214" s="86" t="s">
        <v>221</v>
      </c>
      <c r="B214" s="22" t="s">
        <v>1165</v>
      </c>
      <c r="C214" s="22"/>
      <c r="D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R214" s="22"/>
      <c r="S214" s="22"/>
      <c r="T214" s="22"/>
      <c r="U214" s="87"/>
      <c r="AF214" s="100"/>
      <c r="AG214" s="197"/>
      <c r="AN214" s="96"/>
      <c r="AP214" s="96"/>
      <c r="AR214" s="96"/>
    </row>
    <row r="215" spans="1:44" x14ac:dyDescent="0.25">
      <c r="A215" s="113" t="s">
        <v>128</v>
      </c>
      <c r="B215" s="22" t="s">
        <v>789</v>
      </c>
      <c r="C215" s="22"/>
      <c r="D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R215" s="22"/>
      <c r="S215" s="22"/>
      <c r="T215" s="22"/>
      <c r="U215" s="87"/>
    </row>
    <row r="216" spans="1:44" x14ac:dyDescent="0.25">
      <c r="B216" s="113"/>
      <c r="C216" s="113"/>
      <c r="D216" s="113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R216" s="22"/>
      <c r="S216" s="22"/>
      <c r="T216" s="22"/>
      <c r="U216" s="87"/>
      <c r="V216" s="22"/>
      <c r="W216" s="22"/>
      <c r="X216" s="22"/>
      <c r="Y216" s="22"/>
      <c r="Z216" s="22"/>
      <c r="AA216" s="22"/>
      <c r="AB216" s="22"/>
      <c r="AF216" s="355"/>
      <c r="AG216" s="169"/>
      <c r="AN216" s="96"/>
      <c r="AP216" s="96"/>
    </row>
    <row r="217" spans="1:44" x14ac:dyDescent="0.25">
      <c r="A217" s="1273" t="s">
        <v>1154</v>
      </c>
      <c r="B217" s="333"/>
      <c r="C217" s="333"/>
      <c r="D217" s="333"/>
      <c r="E217" s="333"/>
      <c r="F217" s="333"/>
      <c r="G217" s="333"/>
      <c r="H217" s="333"/>
      <c r="I217" s="333"/>
      <c r="J217" s="333"/>
      <c r="K217" s="333"/>
      <c r="L217" s="333"/>
      <c r="M217" s="333"/>
      <c r="N217" s="333"/>
      <c r="O217" s="333"/>
      <c r="P217" s="333"/>
      <c r="Q217" s="333"/>
      <c r="R217" s="333"/>
      <c r="S217" s="333"/>
      <c r="T217" s="333"/>
      <c r="U217" s="334"/>
      <c r="V217" s="333"/>
      <c r="W217" s="333"/>
      <c r="X217" s="333"/>
      <c r="Y217" s="333"/>
      <c r="Z217" s="333"/>
      <c r="AA217" s="333"/>
      <c r="AB217" s="333"/>
    </row>
    <row r="218" spans="1:44" x14ac:dyDescent="0.25">
      <c r="A218" s="78"/>
      <c r="B218" s="333"/>
      <c r="C218" s="333"/>
      <c r="D218" s="333"/>
      <c r="E218" s="333"/>
      <c r="F218" s="333"/>
      <c r="G218" s="333"/>
      <c r="H218" s="333"/>
      <c r="I218" s="333"/>
      <c r="J218" s="333"/>
      <c r="K218" s="333"/>
      <c r="L218" s="333"/>
      <c r="M218" s="333"/>
      <c r="N218" s="333"/>
      <c r="O218" s="333"/>
      <c r="P218" s="333"/>
      <c r="Q218" s="333"/>
      <c r="R218" s="333"/>
      <c r="S218" s="333"/>
      <c r="T218" s="333"/>
      <c r="U218" s="334"/>
      <c r="V218" s="333"/>
      <c r="W218" s="333"/>
      <c r="X218" s="333"/>
      <c r="Y218" s="333"/>
      <c r="Z218" s="333"/>
      <c r="AA218" s="333"/>
      <c r="AB218" s="333"/>
      <c r="AF218" s="100"/>
      <c r="AG218" s="101"/>
      <c r="AN218" s="96"/>
    </row>
    <row r="219" spans="1:44" x14ac:dyDescent="0.25">
      <c r="A219" s="78"/>
      <c r="B219" s="333"/>
      <c r="C219" s="333"/>
      <c r="D219" s="333"/>
      <c r="E219" s="333"/>
      <c r="F219" s="333"/>
      <c r="G219" s="333"/>
      <c r="H219" s="333"/>
      <c r="I219" s="333"/>
      <c r="J219" s="333"/>
      <c r="K219" s="333"/>
      <c r="L219" s="333"/>
      <c r="M219" s="333"/>
      <c r="N219" s="333"/>
      <c r="O219" s="333"/>
      <c r="P219" s="333"/>
      <c r="Q219" s="333"/>
      <c r="R219" s="333"/>
      <c r="S219" s="333"/>
      <c r="T219" s="333"/>
      <c r="U219" s="334"/>
      <c r="V219" s="333"/>
      <c r="W219" s="333"/>
      <c r="X219" s="333"/>
      <c r="Y219" s="333"/>
      <c r="Z219" s="333"/>
      <c r="AA219" s="333"/>
      <c r="AB219" s="333"/>
    </row>
    <row r="220" spans="1:44" x14ac:dyDescent="0.25">
      <c r="A220" s="78"/>
      <c r="B220" s="333"/>
      <c r="C220" s="333"/>
      <c r="D220" s="333"/>
      <c r="E220" s="333"/>
      <c r="F220" s="333"/>
      <c r="G220" s="333"/>
      <c r="H220" s="333"/>
      <c r="I220" s="333"/>
      <c r="J220" s="333"/>
      <c r="K220" s="333"/>
      <c r="L220" s="333"/>
      <c r="M220" s="333"/>
      <c r="N220" s="333"/>
      <c r="O220" s="333"/>
      <c r="P220" s="333"/>
      <c r="Q220" s="333"/>
      <c r="R220" s="333"/>
      <c r="S220" s="333"/>
      <c r="T220" s="333"/>
      <c r="U220" s="334"/>
      <c r="V220" s="333"/>
      <c r="W220" s="333"/>
      <c r="X220" s="333"/>
      <c r="Y220" s="333"/>
      <c r="Z220" s="333"/>
      <c r="AA220" s="333"/>
      <c r="AB220" s="333"/>
      <c r="AD220" s="992"/>
    </row>
    <row r="221" spans="1:44" x14ac:dyDescent="0.25">
      <c r="A221" s="78"/>
      <c r="B221" s="333"/>
      <c r="C221" s="333"/>
      <c r="D221" s="333"/>
      <c r="E221" s="333"/>
      <c r="F221" s="333"/>
      <c r="G221" s="333"/>
      <c r="H221" s="333"/>
      <c r="I221" s="333"/>
      <c r="J221" s="333"/>
      <c r="K221" s="333"/>
      <c r="L221" s="333"/>
      <c r="M221" s="333"/>
      <c r="N221" s="333"/>
      <c r="O221" s="333"/>
      <c r="P221" s="333"/>
      <c r="Q221" s="333"/>
      <c r="R221" s="333"/>
      <c r="S221" s="333"/>
      <c r="T221" s="333"/>
      <c r="U221" s="334"/>
      <c r="V221" s="333"/>
      <c r="W221" s="333"/>
      <c r="X221" s="333"/>
      <c r="Y221" s="333"/>
      <c r="Z221" s="333"/>
      <c r="AA221" s="333"/>
      <c r="AB221" s="333"/>
      <c r="AD221" s="727"/>
      <c r="AE221" s="425"/>
      <c r="AF221" s="355"/>
      <c r="AG221" s="169"/>
    </row>
    <row r="222" spans="1:44" x14ac:dyDescent="0.25">
      <c r="A222" s="78"/>
      <c r="B222" s="333"/>
      <c r="C222" s="333"/>
      <c r="D222" s="333"/>
      <c r="E222" s="333"/>
      <c r="F222" s="333"/>
      <c r="G222" s="333"/>
      <c r="H222" s="333"/>
      <c r="I222" s="333"/>
      <c r="J222" s="333"/>
      <c r="K222" s="333"/>
      <c r="L222" s="333"/>
      <c r="M222" s="333"/>
      <c r="N222" s="333"/>
      <c r="O222" s="333"/>
      <c r="P222" s="333"/>
      <c r="Q222" s="333"/>
      <c r="R222" s="333"/>
      <c r="S222" s="333"/>
      <c r="T222" s="333"/>
      <c r="U222" s="334"/>
      <c r="V222" s="333"/>
      <c r="W222" s="333"/>
      <c r="X222" s="333"/>
      <c r="Y222" s="333"/>
      <c r="Z222" s="333"/>
      <c r="AA222" s="333"/>
      <c r="AB222" s="333"/>
      <c r="AD222" s="727"/>
      <c r="AE222" s="425"/>
      <c r="AF222" s="355"/>
      <c r="AG222" s="197"/>
    </row>
    <row r="223" spans="1:44" x14ac:dyDescent="0.25">
      <c r="A223" s="78"/>
      <c r="B223" s="333"/>
      <c r="C223" s="333"/>
      <c r="D223" s="333"/>
      <c r="E223" s="333"/>
      <c r="F223" s="333"/>
      <c r="G223" s="333"/>
      <c r="H223" s="333"/>
      <c r="I223" s="333"/>
      <c r="J223" s="333"/>
      <c r="K223" s="333"/>
      <c r="L223" s="333"/>
      <c r="M223" s="333"/>
      <c r="N223" s="333"/>
      <c r="O223" s="333"/>
      <c r="P223" s="333"/>
      <c r="Q223" s="333"/>
      <c r="R223" s="333"/>
      <c r="S223" s="333"/>
      <c r="T223" s="333"/>
      <c r="U223" s="334"/>
      <c r="V223" s="333"/>
      <c r="W223" s="333"/>
      <c r="X223" s="333"/>
      <c r="Y223" s="333"/>
      <c r="Z223" s="333"/>
      <c r="AA223" s="333"/>
      <c r="AB223" s="333"/>
      <c r="AF223" s="100"/>
      <c r="AG223" s="197"/>
    </row>
    <row r="224" spans="1:44" x14ac:dyDescent="0.25">
      <c r="A224" s="78"/>
      <c r="B224" s="333"/>
      <c r="C224" s="333"/>
      <c r="D224" s="333"/>
      <c r="E224" s="333"/>
      <c r="F224" s="333"/>
      <c r="G224" s="333"/>
      <c r="H224" s="333"/>
      <c r="I224" s="333"/>
      <c r="J224" s="333"/>
      <c r="K224" s="333"/>
      <c r="L224" s="333"/>
      <c r="M224" s="333"/>
      <c r="N224" s="333"/>
      <c r="O224" s="333"/>
      <c r="P224" s="333"/>
      <c r="Q224" s="333"/>
      <c r="R224" s="333"/>
      <c r="S224" s="333"/>
      <c r="T224" s="333"/>
      <c r="U224" s="334"/>
      <c r="V224" s="333"/>
      <c r="W224" s="333"/>
      <c r="X224" s="333"/>
      <c r="Y224" s="333"/>
      <c r="Z224" s="333"/>
      <c r="AA224" s="333"/>
      <c r="AB224" s="333"/>
    </row>
    <row r="225" spans="1:33" x14ac:dyDescent="0.25">
      <c r="A225" s="78"/>
      <c r="B225" s="333"/>
      <c r="C225" s="333"/>
      <c r="D225" s="333"/>
      <c r="E225" s="333"/>
      <c r="F225" s="333"/>
      <c r="G225" s="333"/>
      <c r="H225" s="333"/>
      <c r="I225" s="333"/>
      <c r="J225" s="333"/>
      <c r="K225" s="333"/>
      <c r="L225" s="333"/>
      <c r="M225" s="333"/>
      <c r="N225" s="333"/>
      <c r="O225" s="333"/>
      <c r="P225" s="333"/>
      <c r="Q225" s="333"/>
      <c r="R225" s="333"/>
      <c r="S225" s="333"/>
      <c r="T225" s="333"/>
      <c r="U225" s="334"/>
      <c r="V225" s="333"/>
      <c r="W225" s="333"/>
      <c r="X225" s="333"/>
      <c r="Y225" s="333"/>
      <c r="Z225" s="333"/>
      <c r="AA225" s="333"/>
      <c r="AB225" s="333"/>
      <c r="AF225" s="355"/>
      <c r="AG225" s="169"/>
    </row>
    <row r="226" spans="1:33" x14ac:dyDescent="0.25">
      <c r="A226" s="78"/>
      <c r="B226" s="333"/>
      <c r="C226" s="333"/>
      <c r="D226" s="333"/>
      <c r="E226" s="333"/>
      <c r="F226" s="333"/>
      <c r="G226" s="333"/>
      <c r="H226" s="333"/>
      <c r="I226" s="333"/>
      <c r="J226" s="333"/>
      <c r="K226" s="333"/>
      <c r="L226" s="333"/>
      <c r="M226" s="333"/>
      <c r="N226" s="333"/>
      <c r="O226" s="333"/>
      <c r="P226" s="333"/>
      <c r="Q226" s="333"/>
      <c r="R226" s="333"/>
      <c r="S226" s="333"/>
      <c r="T226" s="333"/>
      <c r="U226" s="334"/>
      <c r="V226" s="333"/>
      <c r="W226" s="333"/>
      <c r="X226" s="333"/>
      <c r="Y226" s="333"/>
      <c r="Z226" s="333"/>
      <c r="AA226" s="333"/>
      <c r="AB226" s="333"/>
    </row>
    <row r="227" spans="1:33" x14ac:dyDescent="0.25">
      <c r="A227" s="78"/>
      <c r="B227" s="333"/>
      <c r="C227" s="333"/>
      <c r="D227" s="333"/>
      <c r="E227" s="333"/>
      <c r="F227" s="333"/>
      <c r="G227" s="333"/>
      <c r="H227" s="333"/>
      <c r="I227" s="333"/>
      <c r="J227" s="333"/>
      <c r="K227" s="333"/>
      <c r="L227" s="333"/>
      <c r="M227" s="333"/>
      <c r="N227" s="333"/>
      <c r="O227" s="333"/>
      <c r="P227" s="333"/>
      <c r="Q227" s="333"/>
      <c r="R227" s="333"/>
      <c r="S227" s="333"/>
      <c r="T227" s="333"/>
      <c r="U227" s="334"/>
      <c r="V227" s="333"/>
      <c r="W227" s="333"/>
      <c r="X227" s="333"/>
      <c r="Y227" s="333"/>
      <c r="Z227" s="333"/>
      <c r="AA227" s="333"/>
      <c r="AB227" s="333"/>
    </row>
    <row r="228" spans="1:33" x14ac:dyDescent="0.25">
      <c r="A228" s="78"/>
      <c r="B228" s="333"/>
      <c r="C228" s="333"/>
      <c r="D228" s="333"/>
      <c r="E228" s="333"/>
      <c r="F228" s="333"/>
      <c r="G228" s="333"/>
      <c r="H228" s="333"/>
      <c r="I228" s="333"/>
      <c r="J228" s="333"/>
      <c r="K228" s="333"/>
      <c r="L228" s="333"/>
      <c r="M228" s="333"/>
      <c r="N228" s="333"/>
      <c r="O228" s="333"/>
      <c r="P228" s="333"/>
      <c r="Q228" s="333"/>
      <c r="R228" s="333"/>
      <c r="S228" s="333"/>
      <c r="T228" s="333"/>
      <c r="U228" s="334"/>
      <c r="V228" s="333"/>
      <c r="W228" s="333"/>
      <c r="X228" s="333"/>
      <c r="Y228" s="333"/>
      <c r="Z228" s="333"/>
      <c r="AA228" s="333"/>
      <c r="AB228" s="333"/>
    </row>
    <row r="229" spans="1:33" x14ac:dyDescent="0.25">
      <c r="A229" s="78"/>
      <c r="B229" s="333"/>
      <c r="C229" s="333"/>
      <c r="D229" s="333"/>
      <c r="E229" s="333"/>
      <c r="F229" s="333"/>
      <c r="G229" s="333"/>
      <c r="H229" s="333"/>
      <c r="I229" s="333"/>
      <c r="J229" s="333"/>
      <c r="K229" s="333"/>
      <c r="L229" s="333"/>
      <c r="M229" s="333"/>
      <c r="N229" s="333"/>
      <c r="O229" s="333"/>
      <c r="P229" s="333"/>
      <c r="Q229" s="333"/>
      <c r="R229" s="333"/>
      <c r="S229" s="333"/>
      <c r="T229" s="333"/>
      <c r="U229" s="334"/>
      <c r="V229" s="333"/>
      <c r="W229" s="333"/>
      <c r="X229" s="333"/>
      <c r="Y229" s="333"/>
      <c r="Z229" s="333"/>
      <c r="AA229" s="333"/>
      <c r="AB229" s="333"/>
    </row>
    <row r="230" spans="1:33" x14ac:dyDescent="0.25">
      <c r="A230" s="78"/>
      <c r="B230" s="333"/>
      <c r="C230" s="333"/>
      <c r="D230" s="333"/>
      <c r="E230" s="333"/>
      <c r="F230" s="333"/>
      <c r="G230" s="333"/>
      <c r="H230" s="333"/>
      <c r="I230" s="333"/>
      <c r="J230" s="333"/>
      <c r="K230" s="333"/>
      <c r="L230" s="333"/>
      <c r="M230" s="333"/>
      <c r="N230" s="333"/>
      <c r="O230" s="333"/>
      <c r="P230" s="333"/>
      <c r="Q230" s="333"/>
      <c r="R230" s="333"/>
      <c r="S230" s="333"/>
      <c r="T230" s="333"/>
      <c r="U230" s="334"/>
      <c r="V230" s="333"/>
      <c r="W230" s="333"/>
      <c r="X230" s="333"/>
      <c r="Y230" s="333"/>
      <c r="Z230" s="333"/>
      <c r="AA230" s="333"/>
      <c r="AB230" s="333"/>
    </row>
    <row r="231" spans="1:33" x14ac:dyDescent="0.25">
      <c r="A231" s="78"/>
      <c r="B231" s="333"/>
      <c r="C231" s="333"/>
      <c r="D231" s="333"/>
      <c r="E231" s="333"/>
      <c r="F231" s="333"/>
      <c r="G231" s="333"/>
      <c r="H231" s="333"/>
      <c r="I231" s="333"/>
      <c r="J231" s="333"/>
      <c r="K231" s="333"/>
      <c r="L231" s="333"/>
      <c r="M231" s="333"/>
      <c r="N231" s="333"/>
      <c r="O231" s="333"/>
      <c r="P231" s="333"/>
      <c r="Q231" s="333"/>
      <c r="R231" s="333"/>
      <c r="S231" s="333"/>
      <c r="T231" s="333"/>
      <c r="U231" s="334"/>
      <c r="V231" s="333"/>
      <c r="W231" s="333"/>
      <c r="X231" s="333"/>
      <c r="Y231" s="333"/>
      <c r="Z231" s="333"/>
      <c r="AA231" s="333"/>
      <c r="AB231" s="333"/>
    </row>
    <row r="232" spans="1:33" x14ac:dyDescent="0.25">
      <c r="A232" s="78"/>
      <c r="B232" s="333"/>
      <c r="C232" s="333"/>
      <c r="D232" s="333"/>
      <c r="E232" s="333"/>
      <c r="F232" s="333"/>
      <c r="G232" s="333"/>
      <c r="H232" s="333"/>
      <c r="I232" s="333"/>
      <c r="J232" s="333"/>
      <c r="K232" s="333"/>
      <c r="L232" s="333"/>
      <c r="M232" s="333"/>
      <c r="N232" s="333"/>
      <c r="O232" s="333"/>
      <c r="P232" s="333"/>
      <c r="Q232" s="333"/>
      <c r="R232" s="333"/>
      <c r="S232" s="333"/>
      <c r="T232" s="333"/>
      <c r="U232" s="334"/>
      <c r="V232" s="333"/>
      <c r="W232" s="333"/>
      <c r="X232" s="333"/>
      <c r="Y232" s="333"/>
      <c r="Z232" s="333"/>
      <c r="AA232" s="333"/>
      <c r="AB232" s="333"/>
    </row>
    <row r="233" spans="1:33" x14ac:dyDescent="0.25">
      <c r="A233" s="78"/>
      <c r="B233" s="333"/>
      <c r="C233" s="333"/>
      <c r="D233" s="333"/>
      <c r="E233" s="333"/>
      <c r="F233" s="333"/>
      <c r="G233" s="333"/>
      <c r="H233" s="333"/>
      <c r="I233" s="333"/>
      <c r="J233" s="333"/>
      <c r="K233" s="333"/>
      <c r="L233" s="333"/>
      <c r="M233" s="333"/>
      <c r="N233" s="333"/>
      <c r="O233" s="333"/>
      <c r="P233" s="333"/>
      <c r="Q233" s="333"/>
      <c r="R233" s="333"/>
      <c r="S233" s="333"/>
      <c r="T233" s="333"/>
      <c r="U233" s="334"/>
      <c r="V233" s="333"/>
      <c r="W233" s="333"/>
      <c r="X233" s="333"/>
      <c r="Y233" s="333"/>
      <c r="Z233" s="333"/>
      <c r="AA233" s="333"/>
      <c r="AB233" s="333"/>
    </row>
    <row r="234" spans="1:33" x14ac:dyDescent="0.25">
      <c r="A234" s="78"/>
      <c r="B234" s="333"/>
      <c r="C234" s="333"/>
      <c r="D234" s="333"/>
      <c r="E234" s="333"/>
      <c r="F234" s="333"/>
      <c r="G234" s="333"/>
      <c r="H234" s="333"/>
      <c r="I234" s="333"/>
      <c r="J234" s="333"/>
      <c r="K234" s="333"/>
      <c r="L234" s="333"/>
      <c r="M234" s="333"/>
      <c r="N234" s="333"/>
      <c r="O234" s="333"/>
      <c r="P234" s="333"/>
      <c r="Q234" s="333"/>
      <c r="R234" s="333"/>
      <c r="S234" s="333"/>
      <c r="T234" s="333"/>
      <c r="U234" s="334"/>
      <c r="V234" s="333"/>
      <c r="W234" s="333"/>
      <c r="X234" s="333"/>
      <c r="Y234" s="333"/>
      <c r="Z234" s="333"/>
      <c r="AA234" s="333"/>
      <c r="AB234" s="333"/>
    </row>
    <row r="235" spans="1:33" x14ac:dyDescent="0.25">
      <c r="U235" s="178"/>
    </row>
    <row r="236" spans="1:33" x14ac:dyDescent="0.25"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177"/>
      <c r="O236" s="177"/>
      <c r="P236" s="177"/>
      <c r="Q236" s="177"/>
      <c r="R236" s="177"/>
      <c r="S236" s="177"/>
      <c r="T236" s="357"/>
      <c r="U236" s="177"/>
      <c r="V236" s="174"/>
      <c r="W236" s="174"/>
      <c r="X236" s="174"/>
      <c r="Y236" s="174"/>
      <c r="Z236" s="174"/>
      <c r="AA236" s="174"/>
      <c r="AB236" s="174"/>
    </row>
    <row r="237" spans="1:33" x14ac:dyDescent="0.25">
      <c r="B237" s="333"/>
      <c r="C237" s="333"/>
      <c r="D237" s="333"/>
      <c r="E237" s="333"/>
      <c r="F237" s="333"/>
      <c r="G237" s="333"/>
      <c r="H237" s="333"/>
      <c r="I237" s="333"/>
      <c r="J237" s="333"/>
      <c r="K237" s="333"/>
      <c r="L237" s="333"/>
      <c r="M237" s="333"/>
      <c r="N237" s="333"/>
      <c r="O237" s="333"/>
      <c r="P237" s="333"/>
      <c r="Q237" s="333"/>
      <c r="R237" s="333"/>
      <c r="S237" s="333"/>
      <c r="T237" s="333"/>
      <c r="U237" s="334"/>
      <c r="V237" s="333"/>
      <c r="W237" s="333"/>
      <c r="X237" s="333"/>
      <c r="Y237" s="333"/>
      <c r="Z237" s="333"/>
      <c r="AA237" s="333"/>
      <c r="AB237" s="333"/>
    </row>
    <row r="238" spans="1:33" x14ac:dyDescent="0.25">
      <c r="A238" s="333"/>
      <c r="B238" s="333"/>
      <c r="C238" s="333"/>
      <c r="D238" s="333"/>
      <c r="E238" s="333"/>
      <c r="F238" s="333"/>
      <c r="G238" s="333"/>
      <c r="H238" s="333"/>
      <c r="I238" s="333"/>
      <c r="J238" s="333"/>
      <c r="K238" s="333"/>
      <c r="L238" s="333"/>
      <c r="M238" s="333"/>
      <c r="N238" s="333"/>
      <c r="O238" s="333"/>
      <c r="P238" s="333"/>
      <c r="Q238" s="333"/>
      <c r="R238" s="333"/>
      <c r="S238" s="333"/>
      <c r="T238" s="333"/>
      <c r="U238" s="334"/>
      <c r="V238" s="333"/>
      <c r="W238" s="333"/>
      <c r="X238" s="333"/>
      <c r="Y238" s="333"/>
      <c r="Z238" s="333"/>
      <c r="AA238" s="333"/>
      <c r="AB238" s="333"/>
    </row>
    <row r="239" spans="1:33" x14ac:dyDescent="0.25">
      <c r="A239" s="313" t="s">
        <v>16</v>
      </c>
      <c r="B239" s="333"/>
      <c r="C239" s="333"/>
      <c r="D239" s="333"/>
      <c r="E239" s="333"/>
      <c r="F239" s="333"/>
      <c r="G239" s="333"/>
      <c r="H239" s="333"/>
      <c r="I239" s="333"/>
      <c r="J239" s="333"/>
      <c r="K239" s="333"/>
      <c r="L239" s="333"/>
      <c r="M239" s="333"/>
      <c r="N239" s="333"/>
      <c r="O239" s="333"/>
      <c r="P239" s="333"/>
      <c r="Q239" s="333"/>
      <c r="R239" s="333"/>
      <c r="S239" s="333"/>
      <c r="T239" s="333"/>
      <c r="U239" s="334"/>
      <c r="V239" s="333"/>
      <c r="W239" s="333"/>
      <c r="X239" s="333"/>
      <c r="Y239" s="333"/>
      <c r="Z239" s="333"/>
      <c r="AA239" s="333"/>
      <c r="AB239" s="333"/>
    </row>
    <row r="240" spans="1:33" x14ac:dyDescent="0.25">
      <c r="A240" s="333"/>
      <c r="B240" s="333"/>
      <c r="C240" s="333"/>
      <c r="D240" s="333"/>
      <c r="E240" s="333"/>
      <c r="F240" s="333"/>
      <c r="G240" s="333"/>
      <c r="H240" s="333"/>
      <c r="I240" s="333"/>
      <c r="J240" s="333"/>
      <c r="K240" s="333"/>
      <c r="L240" s="333"/>
      <c r="M240" s="333"/>
      <c r="N240" s="333"/>
      <c r="O240" s="333"/>
      <c r="P240" s="333"/>
      <c r="Q240" s="333"/>
      <c r="R240" s="333"/>
      <c r="S240" s="333"/>
      <c r="T240" s="333"/>
      <c r="U240" s="334"/>
      <c r="V240" s="333"/>
      <c r="W240" s="333"/>
      <c r="X240" s="333"/>
      <c r="Y240" s="333"/>
      <c r="Z240" s="333"/>
      <c r="AA240" s="333"/>
      <c r="AB240" s="333"/>
    </row>
    <row r="241" spans="1:30" x14ac:dyDescent="0.25">
      <c r="A241" s="333" t="s">
        <v>611</v>
      </c>
      <c r="B241" s="333"/>
      <c r="C241" s="333"/>
      <c r="D241" s="333"/>
      <c r="E241" s="333"/>
      <c r="F241" s="333"/>
      <c r="G241" s="333"/>
      <c r="H241" s="333"/>
      <c r="I241" s="333"/>
      <c r="J241" s="333"/>
      <c r="K241" s="333"/>
      <c r="L241" s="333"/>
      <c r="M241" s="333"/>
      <c r="N241" s="333"/>
      <c r="O241" s="333"/>
      <c r="P241" s="333"/>
      <c r="Q241" s="333"/>
      <c r="R241" s="333"/>
      <c r="S241" s="333"/>
      <c r="T241" s="333"/>
      <c r="U241" s="334"/>
      <c r="V241" s="333"/>
      <c r="W241" s="333"/>
      <c r="X241" s="333"/>
      <c r="Y241" s="333"/>
      <c r="Z241" s="333"/>
      <c r="AA241" s="333"/>
      <c r="AB241" s="333"/>
    </row>
    <row r="242" spans="1:30" x14ac:dyDescent="0.25">
      <c r="A242" s="333"/>
      <c r="B242" s="333"/>
      <c r="C242" s="333"/>
      <c r="D242" s="333"/>
      <c r="E242" s="333"/>
      <c r="F242" s="333"/>
      <c r="G242" s="333"/>
      <c r="H242" s="333"/>
      <c r="I242" s="333"/>
      <c r="J242" s="333"/>
      <c r="K242" s="333"/>
      <c r="L242" s="333"/>
      <c r="M242" s="333"/>
      <c r="N242" s="333"/>
      <c r="O242" s="333"/>
      <c r="P242" s="333"/>
      <c r="Q242" s="333"/>
      <c r="R242" s="333"/>
      <c r="S242" s="333"/>
      <c r="T242" s="333"/>
      <c r="U242" s="334"/>
      <c r="V242" s="333"/>
      <c r="W242" s="333"/>
      <c r="X242" s="333"/>
      <c r="Y242" s="333"/>
      <c r="Z242" s="333"/>
      <c r="AA242" s="333"/>
      <c r="AB242" s="333"/>
    </row>
    <row r="243" spans="1:30" x14ac:dyDescent="0.25">
      <c r="A243" s="78">
        <v>22</v>
      </c>
      <c r="B243" s="333"/>
      <c r="C243" s="333"/>
      <c r="D243" s="333"/>
      <c r="E243" s="333"/>
      <c r="F243" s="333"/>
      <c r="G243" s="333"/>
      <c r="H243" s="333"/>
      <c r="I243" s="333"/>
      <c r="J243" s="333"/>
      <c r="K243" s="333"/>
      <c r="L243" s="333"/>
      <c r="M243" s="333"/>
      <c r="N243" s="333"/>
      <c r="O243" s="333"/>
      <c r="P243" s="333"/>
      <c r="Q243" s="333"/>
      <c r="R243" s="333"/>
      <c r="S243" s="333"/>
      <c r="T243" s="333"/>
      <c r="U243" s="334"/>
      <c r="V243" s="333"/>
      <c r="W243" s="333"/>
      <c r="X243" s="333"/>
      <c r="Y243" s="333"/>
      <c r="Z243" s="333"/>
      <c r="AA243" s="333"/>
      <c r="AB243" s="333"/>
    </row>
    <row r="244" spans="1:30" x14ac:dyDescent="0.25">
      <c r="A244" s="496" t="s">
        <v>232</v>
      </c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497"/>
      <c r="V244" s="20"/>
      <c r="W244" s="20"/>
      <c r="X244" s="20"/>
      <c r="Y244" s="20"/>
      <c r="Z244" s="20"/>
      <c r="AA244" s="20"/>
      <c r="AB244" s="20"/>
    </row>
    <row r="245" spans="1:30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963" t="s">
        <v>17</v>
      </c>
      <c r="Q245" s="20"/>
      <c r="R245" s="20"/>
      <c r="S245" s="20"/>
      <c r="T245" s="20"/>
      <c r="U245" s="497"/>
      <c r="W245" s="367"/>
      <c r="X245" s="367"/>
      <c r="Y245" s="367"/>
      <c r="Z245" s="367"/>
      <c r="AA245" s="367"/>
      <c r="AB245" s="367"/>
      <c r="AC245" s="447"/>
    </row>
    <row r="246" spans="1:30" x14ac:dyDescent="0.25">
      <c r="A246" s="498" t="s">
        <v>375</v>
      </c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497"/>
      <c r="V246" s="20"/>
      <c r="W246" s="20"/>
      <c r="X246" s="20"/>
      <c r="Y246" s="20"/>
      <c r="Z246" s="20"/>
      <c r="AA246" s="20"/>
      <c r="AB246" s="20"/>
      <c r="AC246" s="447"/>
    </row>
    <row r="247" spans="1:30" x14ac:dyDescent="0.25">
      <c r="A247" s="496" t="s">
        <v>169</v>
      </c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497"/>
      <c r="V247" s="20"/>
      <c r="W247" s="20"/>
      <c r="X247" s="20"/>
      <c r="Y247" s="20"/>
      <c r="Z247" s="20"/>
      <c r="AA247" s="20"/>
      <c r="AB247" s="20"/>
      <c r="AC247" s="447"/>
      <c r="AD247" s="425"/>
    </row>
    <row r="248" spans="1:30" x14ac:dyDescent="0.25">
      <c r="A248" s="496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497"/>
      <c r="V248" s="20"/>
      <c r="W248" s="20"/>
      <c r="X248" s="20"/>
      <c r="Y248" s="20"/>
      <c r="Z248" s="20"/>
      <c r="AA248" s="20"/>
      <c r="AB248" s="20"/>
      <c r="AC248" s="447"/>
    </row>
    <row r="249" spans="1:30" ht="16.5" customHeight="1" x14ac:dyDescent="0.25">
      <c r="A249" s="81" t="s">
        <v>264</v>
      </c>
      <c r="B249" s="82"/>
      <c r="C249" s="82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21"/>
      <c r="R249" s="82"/>
      <c r="S249" s="82"/>
      <c r="T249" s="82"/>
      <c r="U249" s="83"/>
      <c r="V249" s="21"/>
      <c r="W249" s="21"/>
      <c r="X249" s="21"/>
      <c r="Y249" s="21"/>
      <c r="Z249" s="21"/>
      <c r="AA249" s="21"/>
      <c r="AB249" s="21"/>
      <c r="AC249" s="447"/>
      <c r="AD249" s="177"/>
    </row>
    <row r="250" spans="1:30" x14ac:dyDescent="0.25">
      <c r="A250" s="84"/>
      <c r="B250" s="84"/>
      <c r="C250" s="84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1107"/>
      <c r="R250" s="84"/>
      <c r="S250" s="84"/>
      <c r="T250" s="84"/>
      <c r="U250" s="406"/>
      <c r="V250" s="1107"/>
      <c r="W250" s="1107"/>
      <c r="X250" s="1107"/>
      <c r="Y250" s="1107"/>
      <c r="Z250" s="1107"/>
      <c r="AA250" s="1107"/>
      <c r="AB250" s="1107"/>
    </row>
    <row r="251" spans="1:30" x14ac:dyDescent="0.25">
      <c r="A251" s="178" t="s">
        <v>1068</v>
      </c>
    </row>
    <row r="252" spans="1:30" x14ac:dyDescent="0.25">
      <c r="A252" s="178" t="s">
        <v>946</v>
      </c>
    </row>
    <row r="254" spans="1:30" x14ac:dyDescent="0.25">
      <c r="A254" s="172" t="s">
        <v>220</v>
      </c>
      <c r="B254" s="74" t="s">
        <v>87</v>
      </c>
      <c r="C254" s="74"/>
      <c r="D254" s="74"/>
      <c r="F254" s="172"/>
      <c r="G254" s="172"/>
      <c r="H254" s="172"/>
      <c r="I254" s="172"/>
      <c r="J254" s="172"/>
      <c r="K254" s="172"/>
      <c r="L254" s="172"/>
      <c r="M254" s="172"/>
      <c r="N254" s="172"/>
      <c r="O254" s="172"/>
      <c r="P254" s="172"/>
      <c r="Q254" s="172"/>
      <c r="R254" s="172"/>
      <c r="S254" s="172"/>
      <c r="T254" s="172"/>
    </row>
    <row r="255" spans="1:30" x14ac:dyDescent="0.25">
      <c r="B255" s="172"/>
      <c r="C255" s="172"/>
      <c r="D255" s="172"/>
      <c r="E255" s="996"/>
      <c r="F255" s="996"/>
      <c r="G255" s="996"/>
      <c r="H255" s="172"/>
      <c r="I255" s="172"/>
      <c r="J255" s="1104" t="s">
        <v>151</v>
      </c>
      <c r="K255" s="996"/>
      <c r="L255" s="996"/>
      <c r="M255" s="996"/>
      <c r="N255" s="996"/>
      <c r="U255" s="178"/>
      <c r="W255" s="996"/>
      <c r="X255" s="996"/>
      <c r="Y255" s="996"/>
      <c r="Z255" s="996"/>
      <c r="AA255" s="996"/>
      <c r="AB255" s="996"/>
    </row>
    <row r="256" spans="1:30" x14ac:dyDescent="0.25">
      <c r="A256" s="200"/>
      <c r="D256" s="1441" t="s">
        <v>175</v>
      </c>
      <c r="E256" s="1441"/>
      <c r="F256" s="1441"/>
      <c r="G256" s="1441"/>
      <c r="H256" s="1441"/>
      <c r="I256" s="172"/>
      <c r="J256" s="1104" t="s">
        <v>176</v>
      </c>
      <c r="K256" s="996"/>
      <c r="L256" s="61" t="s">
        <v>177</v>
      </c>
      <c r="M256" s="996"/>
      <c r="N256" s="61" t="s">
        <v>177</v>
      </c>
      <c r="U256" s="178"/>
      <c r="W256" s="61"/>
      <c r="X256" s="61"/>
      <c r="Y256" s="61"/>
      <c r="Z256" s="61"/>
      <c r="AA256" s="61"/>
      <c r="AB256" s="61"/>
      <c r="AD256" s="61"/>
    </row>
    <row r="257" spans="1:43" x14ac:dyDescent="0.25">
      <c r="A257" s="200"/>
      <c r="C257" s="172"/>
      <c r="D257" s="1433" t="s">
        <v>924</v>
      </c>
      <c r="E257" s="1433"/>
      <c r="F257" s="1433"/>
      <c r="G257" s="1433"/>
      <c r="H257" s="1433"/>
      <c r="I257" s="172"/>
      <c r="J257" s="1101" t="s">
        <v>778</v>
      </c>
      <c r="K257" s="996"/>
      <c r="L257" s="1101" t="s">
        <v>178</v>
      </c>
      <c r="M257" s="996"/>
      <c r="N257" s="1101" t="s">
        <v>179</v>
      </c>
      <c r="O257" s="106"/>
      <c r="U257" s="178"/>
      <c r="W257" s="61"/>
      <c r="X257" s="61"/>
      <c r="Y257" s="61"/>
      <c r="Z257" s="61"/>
      <c r="AA257" s="61"/>
      <c r="AB257" s="61"/>
      <c r="AD257" s="709"/>
      <c r="AE257" s="709"/>
      <c r="AG257" s="61"/>
      <c r="AH257" s="61"/>
      <c r="AI257" s="61"/>
      <c r="AJ257" s="61"/>
      <c r="AK257" s="61"/>
    </row>
    <row r="258" spans="1:43" x14ac:dyDescent="0.25">
      <c r="C258" s="990"/>
      <c r="D258" s="172"/>
      <c r="E258" s="172"/>
      <c r="F258" s="172"/>
      <c r="G258" s="172"/>
      <c r="H258" s="996"/>
      <c r="I258" s="172"/>
      <c r="J258" s="996"/>
      <c r="K258" s="996"/>
      <c r="L258" s="996"/>
      <c r="M258" s="996"/>
      <c r="N258" s="108"/>
      <c r="O258" s="996"/>
      <c r="U258" s="178"/>
      <c r="W258" s="425"/>
      <c r="X258" s="425"/>
      <c r="Y258" s="425"/>
      <c r="Z258" s="425"/>
      <c r="AA258" s="425"/>
      <c r="AB258" s="425"/>
    </row>
    <row r="259" spans="1:43" x14ac:dyDescent="0.25">
      <c r="C259" s="132"/>
      <c r="D259" s="183" t="s">
        <v>2</v>
      </c>
      <c r="E259" s="183"/>
      <c r="F259" s="996" t="s">
        <v>321</v>
      </c>
      <c r="G259" s="996"/>
      <c r="H259" s="993">
        <v>40831</v>
      </c>
      <c r="I259" s="172"/>
      <c r="J259" s="213">
        <v>5.18</v>
      </c>
      <c r="K259" s="996"/>
      <c r="L259" s="997">
        <v>211505</v>
      </c>
      <c r="M259" s="996"/>
      <c r="N259" s="997">
        <v>2538060</v>
      </c>
      <c r="U259" s="178"/>
      <c r="W259" s="997"/>
      <c r="X259" s="997"/>
      <c r="Y259" s="997"/>
      <c r="Z259" s="997"/>
      <c r="AA259" s="997"/>
      <c r="AB259" s="997"/>
      <c r="AG259" s="201"/>
      <c r="AH259" s="385"/>
      <c r="AI259" s="201"/>
      <c r="AK259" s="201"/>
    </row>
    <row r="260" spans="1:43" x14ac:dyDescent="0.25">
      <c r="C260" s="132"/>
      <c r="D260" s="183" t="s">
        <v>330</v>
      </c>
      <c r="E260" s="183"/>
      <c r="F260" s="996" t="s">
        <v>321</v>
      </c>
      <c r="G260" s="996"/>
      <c r="H260" s="993">
        <v>1556</v>
      </c>
      <c r="I260" s="172"/>
      <c r="J260" s="358">
        <v>12.95</v>
      </c>
      <c r="K260" s="996"/>
      <c r="L260" s="993">
        <v>20150</v>
      </c>
      <c r="M260" s="996"/>
      <c r="N260" s="993">
        <v>241800</v>
      </c>
      <c r="U260" s="178"/>
      <c r="W260" s="993"/>
      <c r="X260" s="993"/>
      <c r="Y260" s="993"/>
      <c r="Z260" s="993"/>
      <c r="AA260" s="993"/>
      <c r="AB260" s="993"/>
      <c r="AG260" s="201"/>
      <c r="AH260" s="1314"/>
      <c r="AI260" s="201"/>
      <c r="AK260" s="201"/>
    </row>
    <row r="261" spans="1:43" x14ac:dyDescent="0.25">
      <c r="C261" s="132"/>
      <c r="D261" s="183" t="s">
        <v>190</v>
      </c>
      <c r="E261" s="183"/>
      <c r="F261" s="996" t="s">
        <v>321</v>
      </c>
      <c r="G261" s="996"/>
      <c r="H261" s="993">
        <v>58</v>
      </c>
      <c r="I261" s="172"/>
      <c r="J261" s="358">
        <v>25.92</v>
      </c>
      <c r="K261" s="996"/>
      <c r="L261" s="993">
        <v>1503</v>
      </c>
      <c r="M261" s="996"/>
      <c r="N261" s="993">
        <v>18036</v>
      </c>
      <c r="U261" s="178"/>
      <c r="W261" s="993"/>
      <c r="X261" s="993"/>
      <c r="Y261" s="993"/>
      <c r="Z261" s="993"/>
      <c r="AA261" s="993"/>
      <c r="AB261" s="993"/>
      <c r="AG261" s="201"/>
      <c r="AH261" s="385"/>
      <c r="AI261" s="201"/>
      <c r="AK261" s="201"/>
    </row>
    <row r="262" spans="1:43" x14ac:dyDescent="0.25">
      <c r="C262" s="200"/>
      <c r="D262" s="183" t="s">
        <v>323</v>
      </c>
      <c r="E262" s="183"/>
      <c r="F262" s="996" t="s">
        <v>321</v>
      </c>
      <c r="G262" s="996"/>
      <c r="H262" s="993">
        <v>1325</v>
      </c>
      <c r="I262" s="172"/>
      <c r="J262" s="358">
        <v>41.47</v>
      </c>
      <c r="K262" s="996"/>
      <c r="L262" s="993">
        <v>54948</v>
      </c>
      <c r="M262" s="996"/>
      <c r="N262" s="993">
        <v>659376</v>
      </c>
      <c r="U262" s="178"/>
      <c r="W262" s="993"/>
      <c r="X262" s="993"/>
      <c r="Y262" s="993"/>
      <c r="Z262" s="993"/>
      <c r="AA262" s="993"/>
      <c r="AB262" s="993"/>
      <c r="AG262" s="201"/>
      <c r="AH262" s="385"/>
      <c r="AI262" s="201"/>
      <c r="AK262" s="201"/>
    </row>
    <row r="263" spans="1:43" x14ac:dyDescent="0.25">
      <c r="D263" s="183" t="s">
        <v>324</v>
      </c>
      <c r="E263" s="183"/>
      <c r="F263" s="996" t="s">
        <v>321</v>
      </c>
      <c r="G263" s="996"/>
      <c r="H263" s="993">
        <v>87</v>
      </c>
      <c r="I263" s="172"/>
      <c r="J263" s="358">
        <v>77.760000000000005</v>
      </c>
      <c r="K263" s="996"/>
      <c r="L263" s="993">
        <v>6765</v>
      </c>
      <c r="M263" s="996"/>
      <c r="N263" s="993">
        <v>81180</v>
      </c>
      <c r="U263" s="178"/>
      <c r="W263" s="993"/>
      <c r="X263" s="993"/>
      <c r="Y263" s="993"/>
      <c r="Z263" s="993"/>
      <c r="AA263" s="993"/>
      <c r="AB263" s="993"/>
      <c r="AG263" s="201"/>
      <c r="AH263" s="385"/>
      <c r="AI263" s="201"/>
      <c r="AK263" s="201"/>
    </row>
    <row r="264" spans="1:43" x14ac:dyDescent="0.25">
      <c r="D264" s="183" t="s">
        <v>325</v>
      </c>
      <c r="E264" s="183"/>
      <c r="F264" s="996" t="s">
        <v>321</v>
      </c>
      <c r="G264" s="996"/>
      <c r="H264" s="993">
        <v>206</v>
      </c>
      <c r="I264" s="172"/>
      <c r="J264" s="358">
        <v>129.58000000000001</v>
      </c>
      <c r="K264" s="996"/>
      <c r="L264" s="993">
        <v>26693</v>
      </c>
      <c r="M264" s="996"/>
      <c r="N264" s="993">
        <v>320316</v>
      </c>
      <c r="U264" s="178"/>
      <c r="W264" s="993"/>
      <c r="X264" s="993"/>
      <c r="Y264" s="993"/>
      <c r="Z264" s="993"/>
      <c r="AA264" s="993"/>
      <c r="AB264" s="993"/>
      <c r="AG264" s="201"/>
      <c r="AH264" s="385"/>
      <c r="AI264" s="201"/>
      <c r="AK264" s="201"/>
    </row>
    <row r="265" spans="1:43" x14ac:dyDescent="0.25">
      <c r="D265" s="183" t="s">
        <v>326</v>
      </c>
      <c r="E265" s="183"/>
      <c r="F265" s="996" t="s">
        <v>321</v>
      </c>
      <c r="G265" s="996"/>
      <c r="H265" s="993">
        <v>58</v>
      </c>
      <c r="I265" s="172"/>
      <c r="J265" s="358">
        <v>259.19</v>
      </c>
      <c r="K265" s="996"/>
      <c r="L265" s="993">
        <v>15033</v>
      </c>
      <c r="M265" s="996"/>
      <c r="N265" s="993">
        <v>180396</v>
      </c>
      <c r="U265" s="178"/>
      <c r="W265" s="993"/>
      <c r="X265" s="993"/>
      <c r="Y265" s="993"/>
      <c r="Z265" s="993"/>
      <c r="AA265" s="993"/>
      <c r="AB265" s="993"/>
      <c r="AG265" s="201"/>
      <c r="AH265" s="385"/>
      <c r="AI265" s="201"/>
      <c r="AK265" s="201"/>
    </row>
    <row r="266" spans="1:43" x14ac:dyDescent="0.25">
      <c r="D266" s="172"/>
      <c r="E266" s="172"/>
      <c r="F266" s="172"/>
      <c r="G266" s="172"/>
      <c r="H266" s="108"/>
      <c r="I266" s="172"/>
      <c r="J266" s="996"/>
      <c r="K266" s="996"/>
      <c r="L266" s="108"/>
      <c r="M266" s="996"/>
      <c r="N266" s="108"/>
      <c r="O266" s="996"/>
      <c r="U266" s="178"/>
      <c r="W266" s="425"/>
      <c r="X266" s="425"/>
      <c r="Y266" s="425"/>
      <c r="Z266" s="425"/>
      <c r="AA266" s="425"/>
      <c r="AB266" s="425"/>
      <c r="AH266" s="385"/>
      <c r="AI266" s="201"/>
      <c r="AK266" s="201"/>
    </row>
    <row r="267" spans="1:43" x14ac:dyDescent="0.25">
      <c r="D267" s="172"/>
      <c r="E267" s="172"/>
      <c r="F267" s="178" t="s">
        <v>257</v>
      </c>
      <c r="H267" s="994">
        <f>SUM(H259:H266)</f>
        <v>44121</v>
      </c>
      <c r="I267" s="172"/>
      <c r="J267" s="996"/>
      <c r="K267" s="996"/>
      <c r="L267" s="994">
        <f>SUM(L259:L266)</f>
        <v>336597</v>
      </c>
      <c r="M267" s="993"/>
      <c r="N267" s="994">
        <f>SUM(N259:N266)</f>
        <v>4039164</v>
      </c>
      <c r="U267" s="178"/>
      <c r="W267" s="466"/>
      <c r="X267" s="466"/>
      <c r="Y267" s="466"/>
      <c r="Z267" s="466"/>
      <c r="AA267" s="466"/>
      <c r="AB267" s="466"/>
      <c r="AD267" s="201"/>
      <c r="AE267" s="201"/>
      <c r="AG267" s="466"/>
      <c r="AH267" s="385"/>
      <c r="AI267" s="201"/>
      <c r="AK267" s="201"/>
    </row>
    <row r="268" spans="1:43" x14ac:dyDescent="0.25">
      <c r="H268" s="172"/>
      <c r="I268" s="172"/>
      <c r="U268" s="178"/>
    </row>
    <row r="269" spans="1:43" x14ac:dyDescent="0.25">
      <c r="A269" s="172" t="s">
        <v>221</v>
      </c>
      <c r="B269" s="74" t="s">
        <v>88</v>
      </c>
      <c r="C269" s="74"/>
      <c r="D269" s="74"/>
      <c r="H269" s="172"/>
      <c r="I269" s="172"/>
      <c r="U269" s="178"/>
      <c r="AI269" s="466"/>
      <c r="AK269" s="466"/>
    </row>
    <row r="270" spans="1:43" x14ac:dyDescent="0.25">
      <c r="E270" s="996"/>
      <c r="F270" s="996"/>
      <c r="G270" s="996"/>
      <c r="H270" s="172"/>
      <c r="I270" s="172"/>
      <c r="J270" s="1104" t="s">
        <v>151</v>
      </c>
      <c r="K270" s="996"/>
      <c r="L270" s="996"/>
      <c r="M270" s="996"/>
      <c r="N270" s="996"/>
      <c r="U270" s="178"/>
      <c r="W270" s="996"/>
      <c r="X270" s="996"/>
      <c r="Y270" s="996"/>
      <c r="Z270" s="996"/>
      <c r="AA270" s="996"/>
      <c r="AB270" s="996"/>
    </row>
    <row r="271" spans="1:43" x14ac:dyDescent="0.25">
      <c r="C271" s="174"/>
      <c r="D271" s="1441" t="s">
        <v>175</v>
      </c>
      <c r="E271" s="1441"/>
      <c r="F271" s="1441"/>
      <c r="G271" s="1441"/>
      <c r="H271" s="1441"/>
      <c r="I271" s="172"/>
      <c r="J271" s="1104" t="s">
        <v>176</v>
      </c>
      <c r="K271" s="996"/>
      <c r="L271" s="61" t="s">
        <v>177</v>
      </c>
      <c r="M271" s="996"/>
      <c r="N271" s="61" t="s">
        <v>177</v>
      </c>
      <c r="U271" s="178"/>
      <c r="W271" s="61"/>
      <c r="X271" s="61"/>
      <c r="Y271" s="61"/>
      <c r="Z271" s="61"/>
      <c r="AA271" s="61"/>
      <c r="AB271" s="61"/>
    </row>
    <row r="272" spans="1:43" x14ac:dyDescent="0.25">
      <c r="C272" s="177"/>
      <c r="D272" s="1433" t="s">
        <v>924</v>
      </c>
      <c r="E272" s="1433"/>
      <c r="F272" s="1433"/>
      <c r="G272" s="1433"/>
      <c r="H272" s="1433"/>
      <c r="I272" s="172"/>
      <c r="J272" s="1101" t="s">
        <v>778</v>
      </c>
      <c r="K272" s="996"/>
      <c r="L272" s="1101" t="s">
        <v>178</v>
      </c>
      <c r="M272" s="996"/>
      <c r="N272" s="1101" t="s">
        <v>179</v>
      </c>
      <c r="O272" s="106"/>
      <c r="U272" s="178"/>
      <c r="W272" s="61"/>
      <c r="X272" s="61"/>
      <c r="Y272" s="61"/>
      <c r="Z272" s="61"/>
      <c r="AA272" s="61"/>
      <c r="AB272" s="61"/>
      <c r="AL272" s="201"/>
      <c r="AM272" s="201"/>
      <c r="AN272" s="201"/>
      <c r="AO272" s="201"/>
      <c r="AP272" s="201"/>
      <c r="AQ272" s="201"/>
    </row>
    <row r="273" spans="4:43" x14ac:dyDescent="0.25">
      <c r="E273" s="996"/>
      <c r="F273" s="996"/>
      <c r="G273" s="996"/>
      <c r="H273" s="172"/>
      <c r="I273" s="172"/>
      <c r="J273" s="996"/>
      <c r="K273" s="996"/>
      <c r="L273" s="996"/>
      <c r="M273" s="996"/>
      <c r="N273" s="108"/>
      <c r="U273" s="178"/>
      <c r="W273" s="425"/>
      <c r="X273" s="425"/>
      <c r="Y273" s="425"/>
      <c r="Z273" s="425"/>
      <c r="AA273" s="425"/>
      <c r="AB273" s="425"/>
      <c r="AL273" s="177"/>
      <c r="AM273" s="177"/>
      <c r="AN273" s="223"/>
      <c r="AO273" s="223"/>
      <c r="AP273" s="223"/>
      <c r="AQ273" s="223"/>
    </row>
    <row r="274" spans="4:43" x14ac:dyDescent="0.25">
      <c r="D274" s="183" t="s">
        <v>2</v>
      </c>
      <c r="E274" s="183"/>
      <c r="F274" s="996" t="s">
        <v>321</v>
      </c>
      <c r="G274" s="996"/>
      <c r="H274" s="993">
        <v>20283</v>
      </c>
      <c r="I274" s="172"/>
      <c r="J274" s="213">
        <v>5.18</v>
      </c>
      <c r="K274" s="996"/>
      <c r="L274" s="997">
        <v>105066</v>
      </c>
      <c r="M274" s="996"/>
      <c r="N274" s="997">
        <v>1260792</v>
      </c>
      <c r="U274" s="178"/>
      <c r="W274" s="997"/>
      <c r="X274" s="997"/>
      <c r="Y274" s="997"/>
      <c r="Z274" s="997"/>
      <c r="AA274" s="997"/>
      <c r="AB274" s="997"/>
      <c r="AI274" s="201"/>
      <c r="AJ274" s="251"/>
      <c r="AK274" s="201"/>
      <c r="AL274" s="251"/>
      <c r="AM274" s="316"/>
      <c r="AN274" s="251"/>
      <c r="AO274" s="316"/>
      <c r="AP274" s="251"/>
      <c r="AQ274" s="75"/>
    </row>
    <row r="275" spans="4:43" x14ac:dyDescent="0.25">
      <c r="D275" s="183" t="s">
        <v>330</v>
      </c>
      <c r="E275" s="183"/>
      <c r="F275" s="996" t="s">
        <v>321</v>
      </c>
      <c r="G275" s="996"/>
      <c r="H275" s="993">
        <v>1083</v>
      </c>
      <c r="I275" s="172"/>
      <c r="J275" s="358">
        <v>12.95</v>
      </c>
      <c r="K275" s="996"/>
      <c r="L275" s="993">
        <v>14025</v>
      </c>
      <c r="M275" s="996"/>
      <c r="N275" s="993">
        <v>168300</v>
      </c>
      <c r="U275" s="178"/>
      <c r="W275" s="993"/>
      <c r="X275" s="993"/>
      <c r="Y275" s="993"/>
      <c r="Z275" s="993"/>
      <c r="AA275" s="993"/>
      <c r="AB275" s="993"/>
      <c r="AF275" s="201"/>
      <c r="AG275" s="201"/>
      <c r="AH275" s="201"/>
      <c r="AI275" s="201"/>
      <c r="AJ275" s="201"/>
      <c r="AK275" s="201"/>
      <c r="AL275" s="201"/>
      <c r="AN275" s="201"/>
      <c r="AO275" s="201"/>
      <c r="AP275" s="201"/>
      <c r="AQ275" s="201"/>
    </row>
    <row r="276" spans="4:43" x14ac:dyDescent="0.25">
      <c r="D276" s="183" t="s">
        <v>190</v>
      </c>
      <c r="E276" s="183"/>
      <c r="F276" s="996" t="s">
        <v>321</v>
      </c>
      <c r="G276" s="996"/>
      <c r="H276" s="993">
        <v>2</v>
      </c>
      <c r="I276" s="172"/>
      <c r="J276" s="358">
        <v>25.92</v>
      </c>
      <c r="K276" s="996"/>
      <c r="L276" s="993">
        <v>52</v>
      </c>
      <c r="M276" s="996"/>
      <c r="N276" s="993">
        <v>624</v>
      </c>
      <c r="U276" s="178"/>
      <c r="W276" s="993"/>
      <c r="X276" s="993"/>
      <c r="Y276" s="993"/>
      <c r="Z276" s="993"/>
      <c r="AA276" s="993"/>
      <c r="AB276" s="993"/>
      <c r="AF276" s="201"/>
      <c r="AG276" s="201"/>
      <c r="AH276" s="201"/>
      <c r="AI276" s="201"/>
      <c r="AJ276" s="209"/>
      <c r="AK276" s="201"/>
      <c r="AL276" s="209"/>
      <c r="AN276" s="209"/>
      <c r="AO276" s="209"/>
      <c r="AP276" s="209"/>
      <c r="AQ276" s="209"/>
    </row>
    <row r="277" spans="4:43" x14ac:dyDescent="0.25">
      <c r="D277" s="183" t="s">
        <v>323</v>
      </c>
      <c r="E277" s="183"/>
      <c r="F277" s="996" t="s">
        <v>321</v>
      </c>
      <c r="G277" s="996"/>
      <c r="H277" s="993">
        <v>272</v>
      </c>
      <c r="I277" s="172"/>
      <c r="J277" s="358">
        <v>41.47</v>
      </c>
      <c r="K277" s="996"/>
      <c r="L277" s="993">
        <v>11280</v>
      </c>
      <c r="M277" s="996"/>
      <c r="N277" s="993">
        <v>135360</v>
      </c>
      <c r="T277" s="593"/>
      <c r="U277" s="178"/>
      <c r="V277" s="593"/>
      <c r="W277" s="993"/>
      <c r="X277" s="993"/>
      <c r="Y277" s="993"/>
      <c r="Z277" s="993"/>
      <c r="AA277" s="993"/>
      <c r="AB277" s="993"/>
      <c r="AF277" s="74"/>
      <c r="AG277" s="201"/>
      <c r="AH277" s="74"/>
      <c r="AI277" s="201"/>
      <c r="AJ277" s="209"/>
      <c r="AK277" s="201"/>
      <c r="AL277" s="209"/>
      <c r="AN277" s="209"/>
      <c r="AO277" s="209"/>
      <c r="AP277" s="209"/>
      <c r="AQ277" s="209"/>
    </row>
    <row r="278" spans="4:43" x14ac:dyDescent="0.25">
      <c r="D278" s="183" t="s">
        <v>324</v>
      </c>
      <c r="E278" s="183"/>
      <c r="F278" s="996" t="s">
        <v>321</v>
      </c>
      <c r="G278" s="996"/>
      <c r="H278" s="993">
        <v>5</v>
      </c>
      <c r="I278" s="172"/>
      <c r="J278" s="358">
        <v>77.760000000000005</v>
      </c>
      <c r="K278" s="996"/>
      <c r="L278" s="993">
        <v>389</v>
      </c>
      <c r="M278" s="996"/>
      <c r="N278" s="993">
        <v>4668</v>
      </c>
      <c r="T278" s="593"/>
      <c r="U278" s="178"/>
      <c r="V278" s="593"/>
      <c r="W278" s="993"/>
      <c r="X278" s="993"/>
      <c r="Y278" s="993"/>
      <c r="Z278" s="993"/>
      <c r="AA278" s="993"/>
      <c r="AB278" s="993"/>
      <c r="AG278" s="201"/>
      <c r="AI278" s="201"/>
      <c r="AJ278" s="201"/>
      <c r="AK278" s="201"/>
      <c r="AL278" s="209"/>
      <c r="AM278" s="209"/>
      <c r="AN278" s="209"/>
      <c r="AO278" s="209"/>
      <c r="AP278" s="209"/>
      <c r="AQ278" s="209"/>
    </row>
    <row r="279" spans="4:43" x14ac:dyDescent="0.25">
      <c r="D279" s="183" t="s">
        <v>325</v>
      </c>
      <c r="E279" s="183"/>
      <c r="F279" s="996" t="s">
        <v>321</v>
      </c>
      <c r="G279" s="996"/>
      <c r="H279" s="993">
        <v>51</v>
      </c>
      <c r="I279" s="172"/>
      <c r="J279" s="358">
        <v>129.58000000000001</v>
      </c>
      <c r="K279" s="996"/>
      <c r="L279" s="993">
        <v>6609</v>
      </c>
      <c r="M279" s="996"/>
      <c r="N279" s="993">
        <v>79308</v>
      </c>
      <c r="T279" s="593"/>
      <c r="U279" s="178"/>
      <c r="V279" s="593"/>
      <c r="W279" s="993"/>
      <c r="X279" s="993"/>
      <c r="Y279" s="993"/>
      <c r="Z279" s="993"/>
      <c r="AA279" s="993"/>
      <c r="AB279" s="993"/>
      <c r="AG279" s="201"/>
      <c r="AI279" s="201"/>
      <c r="AJ279" s="201"/>
      <c r="AK279" s="201"/>
      <c r="AL279" s="201"/>
      <c r="AO279" s="201"/>
    </row>
    <row r="280" spans="4:43" x14ac:dyDescent="0.25">
      <c r="D280" s="183" t="s">
        <v>326</v>
      </c>
      <c r="E280" s="183"/>
      <c r="F280" s="996" t="s">
        <v>321</v>
      </c>
      <c r="G280" s="996"/>
      <c r="H280" s="993">
        <v>25</v>
      </c>
      <c r="I280" s="172"/>
      <c r="J280" s="358">
        <v>259.19</v>
      </c>
      <c r="K280" s="996"/>
      <c r="L280" s="993">
        <v>6480</v>
      </c>
      <c r="M280" s="996"/>
      <c r="N280" s="993">
        <v>77760</v>
      </c>
      <c r="U280" s="178"/>
      <c r="W280" s="993"/>
      <c r="X280" s="993"/>
      <c r="Y280" s="993"/>
      <c r="Z280" s="993"/>
      <c r="AA280" s="993"/>
      <c r="AB280" s="993"/>
      <c r="AG280" s="201"/>
      <c r="AI280" s="201"/>
      <c r="AJ280" s="201"/>
      <c r="AK280" s="201"/>
      <c r="AL280" s="201"/>
      <c r="AN280" s="201"/>
      <c r="AO280" s="201"/>
    </row>
    <row r="281" spans="4:43" x14ac:dyDescent="0.25">
      <c r="F281" s="996"/>
      <c r="G281" s="996"/>
      <c r="H281" s="108"/>
      <c r="I281" s="172"/>
      <c r="J281" s="996"/>
      <c r="K281" s="996"/>
      <c r="L281" s="108"/>
      <c r="M281" s="996"/>
      <c r="N281" s="108"/>
      <c r="U281" s="178"/>
      <c r="W281" s="425"/>
      <c r="X281" s="425"/>
      <c r="Y281" s="425"/>
      <c r="Z281" s="425"/>
      <c r="AA281" s="425"/>
      <c r="AB281" s="425"/>
      <c r="AG281" s="201"/>
      <c r="AI281" s="201"/>
      <c r="AK281" s="201"/>
    </row>
    <row r="282" spans="4:43" x14ac:dyDescent="0.25">
      <c r="F282" s="178" t="s">
        <v>257</v>
      </c>
      <c r="H282" s="994">
        <f>SUM(H274:H281)</f>
        <v>21721</v>
      </c>
      <c r="I282" s="172"/>
      <c r="J282" s="996"/>
      <c r="K282" s="996"/>
      <c r="L282" s="994">
        <f>SUM(L274:L281)</f>
        <v>143901</v>
      </c>
      <c r="M282" s="993"/>
      <c r="N282" s="994">
        <f>SUM(N274:N281)</f>
        <v>1726812</v>
      </c>
      <c r="U282" s="178"/>
      <c r="W282" s="466"/>
      <c r="X282" s="466"/>
      <c r="Y282" s="466"/>
      <c r="Z282" s="466"/>
      <c r="AA282" s="466"/>
      <c r="AB282" s="466"/>
      <c r="AD282" s="201"/>
      <c r="AE282" s="201"/>
      <c r="AG282" s="201"/>
      <c r="AI282" s="201"/>
      <c r="AK282" s="201"/>
    </row>
    <row r="283" spans="4:43" x14ac:dyDescent="0.25">
      <c r="P283" s="172"/>
      <c r="Q283" s="172"/>
      <c r="V283" s="209"/>
      <c r="W283" s="209"/>
      <c r="X283" s="209"/>
      <c r="Y283" s="209"/>
      <c r="Z283" s="209"/>
      <c r="AA283" s="209"/>
      <c r="AB283" s="209"/>
      <c r="AG283" s="201"/>
      <c r="AI283" s="201"/>
      <c r="AK283" s="201"/>
    </row>
    <row r="284" spans="4:43" x14ac:dyDescent="0.25">
      <c r="P284" s="172"/>
      <c r="Q284" s="172"/>
      <c r="V284" s="209"/>
      <c r="W284" s="209"/>
      <c r="X284" s="209"/>
      <c r="Y284" s="209"/>
      <c r="Z284" s="209"/>
      <c r="AA284" s="209"/>
      <c r="AB284" s="209"/>
      <c r="AG284" s="201"/>
      <c r="AI284" s="201"/>
      <c r="AK284" s="201"/>
    </row>
    <row r="285" spans="4:43" x14ac:dyDescent="0.25">
      <c r="V285" s="209"/>
      <c r="W285" s="209"/>
      <c r="X285" s="209"/>
      <c r="Y285" s="209"/>
      <c r="Z285" s="209"/>
      <c r="AA285" s="209"/>
      <c r="AB285" s="209"/>
      <c r="AG285" s="201"/>
      <c r="AI285" s="201"/>
      <c r="AK285" s="201"/>
    </row>
    <row r="286" spans="4:43" x14ac:dyDescent="0.25">
      <c r="V286" s="209"/>
      <c r="W286" s="209"/>
      <c r="X286" s="209"/>
      <c r="Y286" s="209"/>
      <c r="Z286" s="209"/>
      <c r="AA286" s="209"/>
      <c r="AB286" s="209"/>
      <c r="AG286" s="201"/>
      <c r="AI286" s="201"/>
      <c r="AK286" s="201"/>
    </row>
    <row r="287" spans="4:43" x14ac:dyDescent="0.25">
      <c r="V287" s="209"/>
      <c r="W287" s="209"/>
      <c r="X287" s="209"/>
      <c r="Y287" s="209"/>
      <c r="Z287" s="209"/>
      <c r="AA287" s="209"/>
      <c r="AB287" s="209"/>
      <c r="AG287" s="201"/>
      <c r="AI287" s="201"/>
      <c r="AK287" s="201"/>
    </row>
    <row r="288" spans="4:43" x14ac:dyDescent="0.25">
      <c r="V288" s="209"/>
      <c r="W288" s="209"/>
      <c r="X288" s="209"/>
      <c r="Y288" s="209"/>
      <c r="Z288" s="209"/>
      <c r="AA288" s="209"/>
      <c r="AB288" s="209"/>
      <c r="AG288" s="201"/>
      <c r="AI288" s="201"/>
      <c r="AK288" s="201"/>
    </row>
    <row r="289" spans="1:44" x14ac:dyDescent="0.25">
      <c r="V289" s="209"/>
      <c r="W289" s="209"/>
      <c r="X289" s="209"/>
      <c r="Y289" s="209"/>
      <c r="Z289" s="209"/>
      <c r="AA289" s="209"/>
      <c r="AB289" s="209"/>
      <c r="AG289" s="201"/>
      <c r="AI289" s="201"/>
      <c r="AK289" s="201"/>
    </row>
    <row r="290" spans="1:44" x14ac:dyDescent="0.25">
      <c r="V290" s="209"/>
      <c r="W290" s="209"/>
      <c r="X290" s="209"/>
      <c r="Y290" s="209"/>
      <c r="Z290" s="209"/>
      <c r="AA290" s="209"/>
      <c r="AB290" s="209"/>
      <c r="AG290" s="201"/>
      <c r="AI290" s="201"/>
      <c r="AK290" s="201"/>
    </row>
    <row r="291" spans="1:44" x14ac:dyDescent="0.25">
      <c r="V291" s="209"/>
      <c r="W291" s="209"/>
      <c r="X291" s="209"/>
      <c r="Y291" s="209"/>
      <c r="Z291" s="209"/>
      <c r="AA291" s="209"/>
      <c r="AB291" s="209"/>
      <c r="AG291" s="201"/>
      <c r="AI291" s="201"/>
      <c r="AK291" s="201"/>
    </row>
    <row r="292" spans="1:44" x14ac:dyDescent="0.25">
      <c r="V292" s="209"/>
      <c r="W292" s="209"/>
      <c r="X292" s="209"/>
      <c r="Y292" s="209"/>
      <c r="Z292" s="209"/>
      <c r="AA292" s="209"/>
      <c r="AB292" s="209"/>
      <c r="AG292" s="201"/>
      <c r="AI292" s="201"/>
      <c r="AK292" s="201"/>
    </row>
    <row r="293" spans="1:44" x14ac:dyDescent="0.25">
      <c r="V293" s="209"/>
      <c r="W293" s="209"/>
      <c r="X293" s="209"/>
      <c r="Y293" s="209"/>
      <c r="Z293" s="209"/>
      <c r="AA293" s="209"/>
      <c r="AB293" s="209"/>
      <c r="AG293" s="201"/>
      <c r="AI293" s="201"/>
      <c r="AK293" s="201"/>
    </row>
    <row r="294" spans="1:44" x14ac:dyDescent="0.25">
      <c r="V294" s="209"/>
      <c r="W294" s="209"/>
      <c r="X294" s="209"/>
      <c r="Y294" s="209"/>
      <c r="Z294" s="209"/>
      <c r="AA294" s="209"/>
      <c r="AB294" s="209"/>
      <c r="AG294" s="201"/>
      <c r="AI294" s="201"/>
      <c r="AK294" s="201"/>
    </row>
    <row r="295" spans="1:44" x14ac:dyDescent="0.25">
      <c r="V295" s="209"/>
      <c r="W295" s="209"/>
      <c r="X295" s="209"/>
      <c r="Y295" s="209"/>
      <c r="Z295" s="209"/>
      <c r="AA295" s="209"/>
      <c r="AB295" s="209"/>
      <c r="AG295" s="201"/>
      <c r="AI295" s="201"/>
      <c r="AK295" s="201"/>
    </row>
    <row r="296" spans="1:44" x14ac:dyDescent="0.25">
      <c r="V296" s="209"/>
      <c r="W296" s="209"/>
      <c r="X296" s="209"/>
      <c r="Y296" s="209"/>
      <c r="Z296" s="209"/>
      <c r="AA296" s="209"/>
      <c r="AB296" s="209"/>
      <c r="AG296" s="201"/>
      <c r="AI296" s="201"/>
      <c r="AK296" s="201"/>
    </row>
    <row r="297" spans="1:44" x14ac:dyDescent="0.25">
      <c r="V297" s="209"/>
      <c r="W297" s="209"/>
      <c r="X297" s="209"/>
      <c r="Y297" s="209"/>
      <c r="Z297" s="209"/>
      <c r="AA297" s="209"/>
      <c r="AB297" s="209"/>
      <c r="AG297" s="201"/>
      <c r="AI297" s="201"/>
      <c r="AK297" s="201"/>
    </row>
    <row r="298" spans="1:44" x14ac:dyDescent="0.25">
      <c r="B298" s="174"/>
      <c r="C298" s="174"/>
      <c r="D298" s="174"/>
      <c r="E298" s="174"/>
      <c r="F298" s="174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4"/>
      <c r="U298" s="177"/>
      <c r="V298" s="174"/>
      <c r="W298" s="174"/>
      <c r="X298" s="174"/>
      <c r="Y298" s="174"/>
      <c r="Z298" s="174"/>
      <c r="AA298" s="174"/>
      <c r="AB298" s="174"/>
      <c r="AG298" s="201"/>
      <c r="AI298" s="201"/>
      <c r="AJ298" s="209"/>
      <c r="AK298" s="201"/>
      <c r="AL298" s="179"/>
      <c r="AM298" s="201"/>
      <c r="AN298" s="179"/>
      <c r="AO298" s="201"/>
      <c r="AP298" s="179"/>
      <c r="AQ298" s="179"/>
      <c r="AR298" s="77"/>
    </row>
    <row r="299" spans="1:44" x14ac:dyDescent="0.25">
      <c r="B299" s="174"/>
      <c r="C299" s="174"/>
      <c r="D299" s="174"/>
      <c r="E299" s="174"/>
      <c r="F299" s="174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4"/>
      <c r="U299" s="177"/>
      <c r="V299" s="174"/>
      <c r="W299" s="174"/>
      <c r="X299" s="174"/>
      <c r="Y299" s="174"/>
      <c r="Z299" s="174"/>
      <c r="AA299" s="174"/>
      <c r="AB299" s="174"/>
      <c r="AG299" s="201"/>
      <c r="AI299" s="201"/>
      <c r="AJ299" s="209"/>
      <c r="AK299" s="201"/>
      <c r="AL299" s="179"/>
      <c r="AM299" s="201"/>
      <c r="AN299" s="179"/>
      <c r="AO299" s="201"/>
      <c r="AP299" s="179"/>
      <c r="AQ299" s="179"/>
      <c r="AR299" s="77"/>
    </row>
    <row r="300" spans="1:44" x14ac:dyDescent="0.25">
      <c r="A300" s="313" t="s">
        <v>16</v>
      </c>
      <c r="B300" s="174"/>
      <c r="C300" s="174"/>
      <c r="D300" s="174"/>
      <c r="E300" s="174"/>
      <c r="F300" s="174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4"/>
      <c r="U300" s="177"/>
      <c r="V300" s="174"/>
      <c r="W300" s="174"/>
      <c r="X300" s="174"/>
      <c r="Y300" s="174"/>
      <c r="Z300" s="174"/>
      <c r="AA300" s="174"/>
      <c r="AB300" s="174"/>
      <c r="AF300" s="201"/>
      <c r="AG300" s="201"/>
      <c r="AH300" s="201"/>
      <c r="AI300" s="201"/>
      <c r="AJ300" s="209"/>
      <c r="AK300" s="201"/>
      <c r="AL300" s="209"/>
      <c r="AM300" s="201"/>
      <c r="AN300" s="209"/>
      <c r="AO300" s="201"/>
      <c r="AP300" s="209"/>
      <c r="AQ300" s="209"/>
    </row>
    <row r="301" spans="1:44" x14ac:dyDescent="0.25">
      <c r="A301" s="174"/>
      <c r="B301" s="174"/>
      <c r="C301" s="174"/>
      <c r="D301" s="174"/>
      <c r="E301" s="174"/>
      <c r="F301" s="174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4"/>
      <c r="U301" s="177"/>
      <c r="V301" s="174"/>
      <c r="W301" s="174"/>
      <c r="X301" s="174"/>
      <c r="Y301" s="174"/>
      <c r="Z301" s="174"/>
      <c r="AA301" s="174"/>
      <c r="AB301" s="174"/>
      <c r="AF301" s="201"/>
      <c r="AG301" s="201"/>
      <c r="AH301" s="201"/>
      <c r="AI301" s="201"/>
      <c r="AJ301" s="209"/>
      <c r="AK301" s="201"/>
      <c r="AL301" s="209"/>
      <c r="AM301" s="201"/>
      <c r="AN301" s="209"/>
      <c r="AO301" s="201"/>
      <c r="AP301" s="209"/>
      <c r="AQ301" s="209"/>
    </row>
    <row r="302" spans="1:44" x14ac:dyDescent="0.25">
      <c r="A302" s="174" t="s">
        <v>611</v>
      </c>
      <c r="B302" s="174"/>
      <c r="C302" s="174"/>
      <c r="D302" s="174"/>
      <c r="E302" s="174"/>
      <c r="F302" s="174"/>
      <c r="G302" s="174"/>
      <c r="H302" s="174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4"/>
      <c r="T302" s="174"/>
      <c r="U302" s="177"/>
      <c r="V302" s="174"/>
      <c r="W302" s="174"/>
      <c r="X302" s="174"/>
      <c r="Y302" s="174"/>
      <c r="Z302" s="174"/>
      <c r="AA302" s="174"/>
      <c r="AB302" s="174"/>
      <c r="AF302" s="201"/>
      <c r="AG302" s="201"/>
      <c r="AH302" s="201"/>
      <c r="AI302" s="201"/>
      <c r="AJ302" s="209"/>
      <c r="AK302" s="201"/>
      <c r="AL302" s="209"/>
      <c r="AM302" s="201"/>
      <c r="AN302" s="209"/>
      <c r="AO302" s="201"/>
      <c r="AP302" s="209"/>
      <c r="AQ302" s="209"/>
    </row>
    <row r="303" spans="1:44" x14ac:dyDescent="0.25">
      <c r="A303" s="174"/>
      <c r="B303" s="174"/>
      <c r="C303" s="174"/>
      <c r="D303" s="174"/>
      <c r="E303" s="174"/>
      <c r="F303" s="174"/>
      <c r="G303" s="174"/>
      <c r="H303" s="174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4"/>
      <c r="U303" s="177"/>
      <c r="V303" s="174"/>
      <c r="W303" s="174"/>
      <c r="X303" s="174"/>
      <c r="Y303" s="174"/>
      <c r="Z303" s="174"/>
      <c r="AA303" s="174"/>
      <c r="AB303" s="174"/>
      <c r="AF303" s="201"/>
      <c r="AG303" s="201"/>
      <c r="AH303" s="201"/>
      <c r="AI303" s="201"/>
      <c r="AJ303" s="209"/>
      <c r="AK303" s="201"/>
      <c r="AL303" s="209"/>
      <c r="AM303" s="201"/>
      <c r="AN303" s="209"/>
      <c r="AO303" s="201"/>
      <c r="AP303" s="179"/>
      <c r="AQ303" s="179"/>
    </row>
    <row r="304" spans="1:44" x14ac:dyDescent="0.25">
      <c r="A304" s="78">
        <v>23</v>
      </c>
      <c r="B304" s="174"/>
      <c r="C304" s="174"/>
      <c r="D304" s="174"/>
      <c r="E304" s="174"/>
      <c r="F304" s="174"/>
      <c r="G304" s="174"/>
      <c r="H304" s="174"/>
      <c r="I304" s="174"/>
      <c r="J304" s="174"/>
      <c r="K304" s="174"/>
      <c r="L304" s="174"/>
      <c r="M304" s="174"/>
      <c r="N304" s="174"/>
      <c r="O304" s="174"/>
      <c r="P304" s="174"/>
      <c r="Q304" s="174"/>
      <c r="R304" s="174"/>
      <c r="S304" s="174"/>
      <c r="T304" s="174"/>
      <c r="U304" s="177"/>
      <c r="V304" s="174"/>
      <c r="W304" s="174"/>
      <c r="X304" s="174"/>
      <c r="Y304" s="174"/>
      <c r="Z304" s="174"/>
      <c r="AA304" s="174"/>
      <c r="AB304" s="174"/>
      <c r="AF304" s="201"/>
      <c r="AG304" s="201"/>
      <c r="AH304" s="201"/>
      <c r="AI304" s="201"/>
      <c r="AJ304" s="209"/>
      <c r="AK304" s="201"/>
      <c r="AL304" s="209"/>
      <c r="AM304" s="201"/>
      <c r="AN304" s="209"/>
      <c r="AO304" s="201"/>
      <c r="AP304" s="209"/>
      <c r="AQ304" s="209"/>
    </row>
    <row r="305" spans="1:48" ht="16.5" customHeight="1" x14ac:dyDescent="0.25">
      <c r="A305" s="41" t="s">
        <v>232</v>
      </c>
      <c r="B305" s="174"/>
      <c r="C305" s="174"/>
      <c r="D305" s="174"/>
      <c r="E305" s="174"/>
      <c r="F305" s="174"/>
      <c r="G305" s="174"/>
      <c r="H305" s="174"/>
      <c r="I305" s="174"/>
      <c r="J305" s="174"/>
      <c r="K305" s="174"/>
      <c r="L305" s="174"/>
      <c r="M305" s="174"/>
      <c r="N305" s="174"/>
      <c r="O305" s="174"/>
      <c r="P305" s="174"/>
      <c r="Q305" s="174"/>
      <c r="R305" s="174"/>
      <c r="S305" s="174"/>
      <c r="T305" s="174"/>
      <c r="U305" s="177"/>
      <c r="V305" s="174"/>
      <c r="W305" s="174"/>
      <c r="X305" s="174"/>
      <c r="Y305" s="174"/>
      <c r="Z305" s="174"/>
      <c r="AA305" s="174"/>
      <c r="AB305" s="174"/>
      <c r="AF305" s="201"/>
      <c r="AG305" s="201"/>
      <c r="AH305" s="201"/>
      <c r="AI305" s="201"/>
      <c r="AK305" s="201"/>
      <c r="AN305" s="1276"/>
      <c r="AO305" s="201"/>
      <c r="AP305" s="1276"/>
      <c r="AQ305" s="1276"/>
    </row>
    <row r="306" spans="1:48" x14ac:dyDescent="0.25">
      <c r="A306" s="174"/>
      <c r="B306" s="174"/>
      <c r="C306" s="174"/>
      <c r="D306" s="174"/>
      <c r="E306" s="174"/>
      <c r="F306" s="174"/>
      <c r="G306" s="174"/>
      <c r="H306" s="174"/>
      <c r="I306" s="174"/>
      <c r="J306" s="174"/>
      <c r="K306" s="174"/>
      <c r="L306" s="174"/>
      <c r="M306" s="174"/>
      <c r="N306" s="174"/>
      <c r="O306" s="174"/>
      <c r="P306" s="963" t="s">
        <v>17</v>
      </c>
      <c r="Q306" s="174"/>
      <c r="R306" s="174"/>
      <c r="S306" s="174"/>
      <c r="T306" s="174"/>
      <c r="U306" s="177"/>
      <c r="W306" s="367"/>
      <c r="X306" s="367"/>
      <c r="Y306" s="367"/>
      <c r="Z306" s="367"/>
      <c r="AA306" s="367"/>
      <c r="AB306" s="367"/>
      <c r="AF306" s="74"/>
      <c r="AG306" s="201"/>
      <c r="AH306" s="74"/>
      <c r="AI306" s="201"/>
      <c r="AK306" s="201"/>
      <c r="AN306" s="1276"/>
      <c r="AO306" s="201"/>
      <c r="AP306" s="1276"/>
      <c r="AQ306" s="1276"/>
    </row>
    <row r="307" spans="1:48" x14ac:dyDescent="0.25">
      <c r="A307" s="136" t="s">
        <v>375</v>
      </c>
      <c r="B307" s="174"/>
      <c r="C307" s="174"/>
      <c r="D307" s="174"/>
      <c r="E307" s="174"/>
      <c r="F307" s="174"/>
      <c r="G307" s="174"/>
      <c r="H307" s="174"/>
      <c r="I307" s="174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4"/>
      <c r="U307" s="177"/>
      <c r="V307" s="174"/>
      <c r="W307" s="174"/>
      <c r="X307" s="174"/>
      <c r="Y307" s="174"/>
      <c r="Z307" s="174"/>
      <c r="AA307" s="174"/>
      <c r="AB307" s="174"/>
      <c r="AC307" s="1129"/>
      <c r="AF307" s="76"/>
      <c r="AG307" s="201"/>
      <c r="AH307" s="76"/>
      <c r="AI307" s="201"/>
      <c r="AK307" s="201"/>
      <c r="AN307" s="201"/>
      <c r="AO307" s="201"/>
      <c r="AP307" s="201"/>
      <c r="AQ307" s="201"/>
      <c r="AR307" s="166"/>
      <c r="AT307" s="166"/>
    </row>
    <row r="308" spans="1:48" x14ac:dyDescent="0.25">
      <c r="A308" s="41" t="s">
        <v>169</v>
      </c>
      <c r="B308" s="41"/>
      <c r="C308" s="41"/>
      <c r="D308" s="41"/>
      <c r="E308" s="174"/>
      <c r="F308" s="174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4"/>
      <c r="U308" s="177"/>
      <c r="V308" s="174"/>
      <c r="W308" s="174"/>
      <c r="X308" s="174"/>
      <c r="Y308" s="174"/>
      <c r="Z308" s="174"/>
      <c r="AA308" s="174"/>
      <c r="AB308" s="174"/>
      <c r="AG308" s="201"/>
      <c r="AI308" s="201"/>
      <c r="AK308" s="201"/>
      <c r="AN308" s="209"/>
      <c r="AO308" s="209"/>
      <c r="AP308" s="209"/>
      <c r="AQ308" s="209"/>
      <c r="AR308" s="80"/>
      <c r="AT308" s="80"/>
    </row>
    <row r="309" spans="1:48" x14ac:dyDescent="0.25">
      <c r="A309" s="174"/>
      <c r="B309" s="174"/>
      <c r="C309" s="174"/>
      <c r="D309" s="174"/>
      <c r="E309" s="174"/>
      <c r="F309" s="174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4"/>
      <c r="U309" s="177"/>
      <c r="V309" s="174"/>
      <c r="W309" s="174"/>
      <c r="X309" s="174"/>
      <c r="Y309" s="174"/>
      <c r="Z309" s="174"/>
      <c r="AA309" s="174"/>
      <c r="AB309" s="174"/>
      <c r="AG309" s="201"/>
      <c r="AI309" s="201"/>
      <c r="AK309" s="201"/>
      <c r="AN309" s="209"/>
      <c r="AO309" s="209"/>
      <c r="AP309" s="209"/>
      <c r="AQ309" s="209"/>
      <c r="AR309" s="80"/>
      <c r="AT309" s="80"/>
    </row>
    <row r="310" spans="1:48" x14ac:dyDescent="0.25">
      <c r="A310" s="81" t="s">
        <v>982</v>
      </c>
      <c r="B310" s="82"/>
      <c r="C310" s="82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21"/>
      <c r="R310" s="82"/>
      <c r="S310" s="82"/>
      <c r="T310" s="82"/>
      <c r="U310" s="83"/>
      <c r="V310" s="21"/>
      <c r="W310" s="21"/>
      <c r="X310" s="21"/>
      <c r="Y310" s="21"/>
      <c r="Z310" s="21"/>
      <c r="AA310" s="21"/>
      <c r="AB310" s="21"/>
      <c r="AG310" s="201"/>
      <c r="AI310" s="201"/>
      <c r="AK310" s="201"/>
      <c r="AN310" s="201"/>
      <c r="AO310" s="201"/>
      <c r="AP310" s="201"/>
      <c r="AQ310" s="201"/>
      <c r="AR310" s="179"/>
      <c r="AT310" s="179"/>
      <c r="AV310" s="162"/>
    </row>
    <row r="311" spans="1:48" ht="10.15" customHeight="1" x14ac:dyDescent="0.25">
      <c r="A311" s="84"/>
      <c r="B311" s="84"/>
      <c r="C311" s="84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1107"/>
      <c r="R311" s="84"/>
      <c r="S311" s="84"/>
      <c r="T311" s="84"/>
      <c r="U311" s="406"/>
      <c r="V311" s="1107"/>
      <c r="W311" s="1107"/>
      <c r="X311" s="1107"/>
      <c r="Y311" s="1107"/>
      <c r="Z311" s="1107"/>
      <c r="AA311" s="1107"/>
      <c r="AB311" s="1107"/>
      <c r="AG311" s="201"/>
      <c r="AI311" s="201"/>
      <c r="AK311" s="201"/>
    </row>
    <row r="312" spans="1:48" x14ac:dyDescent="0.25">
      <c r="A312" s="172" t="s">
        <v>218</v>
      </c>
      <c r="B312" s="74" t="s">
        <v>290</v>
      </c>
      <c r="C312" s="74"/>
      <c r="D312" s="74"/>
      <c r="V312" s="200"/>
      <c r="W312" s="200"/>
      <c r="X312" s="200"/>
      <c r="Y312" s="200"/>
      <c r="Z312" s="200"/>
      <c r="AA312" s="200"/>
      <c r="AB312" s="200"/>
      <c r="AG312" s="201"/>
      <c r="AI312" s="201"/>
      <c r="AJ312" s="201"/>
      <c r="AK312" s="201"/>
      <c r="AL312" s="201"/>
      <c r="AN312" s="201"/>
      <c r="AO312" s="201"/>
      <c r="AP312" s="201"/>
      <c r="AQ312" s="201"/>
    </row>
    <row r="313" spans="1:48" x14ac:dyDescent="0.25">
      <c r="Q313" s="172"/>
      <c r="R313" s="172"/>
      <c r="S313" s="172"/>
      <c r="AG313" s="201"/>
      <c r="AI313" s="201"/>
      <c r="AK313" s="201"/>
    </row>
    <row r="314" spans="1:48" x14ac:dyDescent="0.25">
      <c r="B314" s="172"/>
      <c r="C314" s="174"/>
      <c r="F314" s="178" t="s">
        <v>175</v>
      </c>
      <c r="K314" s="172"/>
      <c r="L314" s="1104" t="s">
        <v>176</v>
      </c>
      <c r="M314" s="996"/>
      <c r="N314" s="61" t="s">
        <v>177</v>
      </c>
      <c r="U314" s="178"/>
      <c r="W314" s="61"/>
      <c r="X314" s="61"/>
      <c r="Y314" s="61"/>
      <c r="Z314" s="61"/>
      <c r="AA314" s="61"/>
      <c r="AB314" s="61"/>
      <c r="AI314" s="201"/>
      <c r="AJ314" s="201"/>
      <c r="AK314" s="201"/>
      <c r="AL314" s="201"/>
      <c r="AN314" s="201"/>
      <c r="AO314" s="201"/>
      <c r="AP314" s="201"/>
      <c r="AQ314" s="201"/>
    </row>
    <row r="315" spans="1:48" x14ac:dyDescent="0.25">
      <c r="B315" s="172"/>
      <c r="C315" s="177"/>
      <c r="F315" s="106" t="s">
        <v>924</v>
      </c>
      <c r="G315" s="106"/>
      <c r="H315" s="106"/>
      <c r="I315" s="106"/>
      <c r="J315" s="106"/>
      <c r="K315" s="172"/>
      <c r="L315" s="1101" t="s">
        <v>291</v>
      </c>
      <c r="M315" s="996"/>
      <c r="N315" s="1101" t="s">
        <v>179</v>
      </c>
      <c r="U315" s="178"/>
      <c r="W315" s="61"/>
      <c r="X315" s="61"/>
      <c r="Y315" s="61"/>
      <c r="Z315" s="61"/>
      <c r="AA315" s="61"/>
      <c r="AB315" s="61"/>
      <c r="AG315" s="61"/>
      <c r="AI315" s="201"/>
      <c r="AJ315" s="201"/>
      <c r="AK315" s="201"/>
      <c r="AL315" s="201"/>
      <c r="AM315" s="201"/>
      <c r="AN315" s="201"/>
      <c r="AO315" s="201"/>
      <c r="AP315" s="201"/>
      <c r="AQ315" s="201"/>
    </row>
    <row r="316" spans="1:48" x14ac:dyDescent="0.25">
      <c r="B316" s="172"/>
      <c r="C316" s="172"/>
      <c r="G316" s="61"/>
      <c r="H316" s="61"/>
      <c r="I316" s="61"/>
      <c r="J316" s="61"/>
      <c r="K316" s="172"/>
      <c r="L316" s="61"/>
      <c r="M316" s="996"/>
      <c r="N316" s="61"/>
      <c r="U316" s="178"/>
      <c r="W316" s="61"/>
      <c r="X316" s="61"/>
      <c r="Y316" s="61"/>
      <c r="Z316" s="61"/>
      <c r="AA316" s="61"/>
      <c r="AB316" s="61"/>
      <c r="AG316" s="201"/>
      <c r="AI316" s="201"/>
      <c r="AJ316" s="209"/>
      <c r="AK316" s="201"/>
      <c r="AL316" s="209"/>
      <c r="AM316" s="201"/>
      <c r="AN316" s="209"/>
      <c r="AO316" s="201"/>
      <c r="AP316" s="209"/>
      <c r="AQ316" s="209"/>
    </row>
    <row r="317" spans="1:48" x14ac:dyDescent="0.25">
      <c r="B317" s="172"/>
      <c r="C317" s="185"/>
      <c r="F317" s="183" t="s">
        <v>330</v>
      </c>
      <c r="H317" s="178" t="s">
        <v>322</v>
      </c>
      <c r="J317" s="200">
        <v>7</v>
      </c>
      <c r="K317" s="172"/>
      <c r="L317" s="168">
        <v>7.62</v>
      </c>
      <c r="M317" s="172"/>
      <c r="N317" s="997">
        <v>53</v>
      </c>
      <c r="U317" s="178"/>
      <c r="W317" s="997"/>
      <c r="X317" s="997"/>
      <c r="Y317" s="997"/>
      <c r="Z317" s="997"/>
      <c r="AA317" s="997"/>
      <c r="AB317" s="997"/>
      <c r="AG317" s="1315"/>
      <c r="AI317" s="201"/>
      <c r="AJ317" s="209"/>
      <c r="AK317" s="201"/>
      <c r="AL317" s="179"/>
      <c r="AM317" s="201"/>
      <c r="AN317" s="179"/>
      <c r="AO317" s="201"/>
      <c r="AP317" s="179"/>
      <c r="AQ317" s="179"/>
      <c r="AR317" s="77"/>
    </row>
    <row r="318" spans="1:48" x14ac:dyDescent="0.25">
      <c r="B318" s="172"/>
      <c r="C318" s="185"/>
      <c r="F318" s="183" t="s">
        <v>323</v>
      </c>
      <c r="H318" s="178" t="s">
        <v>322</v>
      </c>
      <c r="J318" s="200">
        <v>22</v>
      </c>
      <c r="K318" s="172"/>
      <c r="L318" s="163">
        <v>42.31</v>
      </c>
      <c r="M318" s="172"/>
      <c r="N318" s="993">
        <v>931</v>
      </c>
      <c r="U318" s="178"/>
      <c r="W318" s="993"/>
      <c r="X318" s="993"/>
      <c r="Y318" s="993"/>
      <c r="Z318" s="993"/>
      <c r="AA318" s="993"/>
      <c r="AB318" s="993"/>
      <c r="AG318" s="1315"/>
      <c r="AI318" s="201"/>
      <c r="AJ318" s="209"/>
      <c r="AK318" s="201"/>
      <c r="AL318" s="209"/>
      <c r="AM318" s="201"/>
      <c r="AN318" s="209"/>
      <c r="AO318" s="201"/>
      <c r="AP318" s="209"/>
      <c r="AQ318" s="209"/>
    </row>
    <row r="319" spans="1:48" x14ac:dyDescent="0.25">
      <c r="B319" s="172"/>
      <c r="C319" s="185"/>
      <c r="F319" s="183" t="s">
        <v>324</v>
      </c>
      <c r="H319" s="178" t="s">
        <v>322</v>
      </c>
      <c r="J319" s="200">
        <v>3</v>
      </c>
      <c r="K319" s="172"/>
      <c r="L319" s="163">
        <v>116.99</v>
      </c>
      <c r="M319" s="172"/>
      <c r="N319" s="466">
        <v>351</v>
      </c>
      <c r="U319" s="178"/>
      <c r="W319" s="466"/>
      <c r="X319" s="466"/>
      <c r="Y319" s="466"/>
      <c r="Z319" s="466"/>
      <c r="AA319" s="466"/>
      <c r="AB319" s="466"/>
      <c r="AG319" s="1315"/>
      <c r="AI319" s="201"/>
      <c r="AJ319" s="209"/>
      <c r="AK319" s="201"/>
      <c r="AL319" s="209"/>
      <c r="AM319" s="201"/>
      <c r="AN319" s="209"/>
      <c r="AO319" s="201"/>
      <c r="AP319" s="179"/>
      <c r="AQ319" s="179"/>
    </row>
    <row r="320" spans="1:48" x14ac:dyDescent="0.25">
      <c r="B320" s="172"/>
      <c r="C320" s="185"/>
      <c r="F320" s="183" t="s">
        <v>325</v>
      </c>
      <c r="H320" s="178" t="s">
        <v>322</v>
      </c>
      <c r="J320" s="200">
        <v>171</v>
      </c>
      <c r="K320" s="172"/>
      <c r="L320" s="163">
        <v>239.69</v>
      </c>
      <c r="M320" s="172"/>
      <c r="N320" s="466">
        <v>40987</v>
      </c>
      <c r="U320" s="178"/>
      <c r="W320" s="466"/>
      <c r="X320" s="466"/>
      <c r="Y320" s="466"/>
      <c r="Z320" s="466"/>
      <c r="AA320" s="466"/>
      <c r="AB320" s="466"/>
      <c r="AG320" s="1315"/>
      <c r="AI320" s="201"/>
      <c r="AJ320" s="209"/>
      <c r="AK320" s="201"/>
      <c r="AL320" s="209"/>
      <c r="AM320" s="201"/>
      <c r="AN320" s="209"/>
      <c r="AO320" s="201"/>
      <c r="AP320" s="209"/>
      <c r="AQ320" s="209"/>
    </row>
    <row r="321" spans="1:47" x14ac:dyDescent="0.25">
      <c r="B321" s="172"/>
      <c r="C321" s="185"/>
      <c r="F321" s="183" t="s">
        <v>326</v>
      </c>
      <c r="H321" s="178" t="s">
        <v>322</v>
      </c>
      <c r="J321" s="200">
        <v>504</v>
      </c>
      <c r="K321" s="172"/>
      <c r="L321" s="163">
        <v>660.05</v>
      </c>
      <c r="M321" s="172"/>
      <c r="N321" s="466">
        <v>332665</v>
      </c>
      <c r="P321" s="593"/>
      <c r="R321" s="593"/>
      <c r="U321" s="178"/>
      <c r="W321" s="466"/>
      <c r="X321" s="466"/>
      <c r="Y321" s="466"/>
      <c r="Z321" s="466"/>
      <c r="AA321" s="466"/>
      <c r="AB321" s="466"/>
      <c r="AG321" s="1315"/>
      <c r="AI321" s="201"/>
      <c r="AJ321" s="209"/>
      <c r="AK321" s="201"/>
      <c r="AL321" s="209"/>
      <c r="AN321" s="209"/>
      <c r="AO321" s="209"/>
      <c r="AP321" s="209"/>
      <c r="AQ321" s="209"/>
    </row>
    <row r="322" spans="1:47" x14ac:dyDescent="0.25">
      <c r="B322" s="172"/>
      <c r="C322" s="185"/>
      <c r="F322" s="183" t="s">
        <v>327</v>
      </c>
      <c r="H322" s="178" t="s">
        <v>322</v>
      </c>
      <c r="J322" s="200">
        <v>234</v>
      </c>
      <c r="K322" s="172"/>
      <c r="L322" s="163">
        <v>1355.31</v>
      </c>
      <c r="M322" s="172"/>
      <c r="N322" s="466">
        <v>317143</v>
      </c>
      <c r="P322" s="593"/>
      <c r="R322" s="593"/>
      <c r="U322" s="178"/>
      <c r="W322" s="466"/>
      <c r="X322" s="466"/>
      <c r="Y322" s="466"/>
      <c r="Z322" s="466"/>
      <c r="AA322" s="466"/>
      <c r="AB322" s="466"/>
      <c r="AG322" s="1315"/>
      <c r="AI322" s="201"/>
      <c r="AJ322" s="209"/>
      <c r="AK322" s="201"/>
      <c r="AL322" s="209"/>
      <c r="AN322" s="209"/>
      <c r="AO322" s="209"/>
      <c r="AP322" s="209"/>
      <c r="AQ322" s="209"/>
    </row>
    <row r="323" spans="1:47" x14ac:dyDescent="0.25">
      <c r="B323" s="172"/>
      <c r="C323" s="185"/>
      <c r="F323" s="183" t="s">
        <v>328</v>
      </c>
      <c r="H323" s="178" t="s">
        <v>322</v>
      </c>
      <c r="J323" s="200">
        <v>6</v>
      </c>
      <c r="K323" s="172"/>
      <c r="L323" s="163">
        <v>2367.21</v>
      </c>
      <c r="M323" s="172"/>
      <c r="N323" s="466">
        <v>14203</v>
      </c>
      <c r="U323" s="178"/>
      <c r="W323" s="466"/>
      <c r="X323" s="466"/>
      <c r="Y323" s="466"/>
      <c r="Z323" s="466"/>
      <c r="AA323" s="466"/>
      <c r="AB323" s="466"/>
      <c r="AG323" s="1315"/>
      <c r="AI323" s="201"/>
      <c r="AJ323" s="201"/>
      <c r="AK323" s="201"/>
      <c r="AL323" s="209"/>
      <c r="AM323" s="209"/>
      <c r="AN323" s="209"/>
      <c r="AO323" s="209"/>
      <c r="AP323" s="209"/>
      <c r="AQ323" s="209"/>
    </row>
    <row r="324" spans="1:47" x14ac:dyDescent="0.25">
      <c r="B324" s="172"/>
      <c r="C324" s="185"/>
      <c r="F324" s="183" t="s">
        <v>329</v>
      </c>
      <c r="H324" s="178" t="s">
        <v>322</v>
      </c>
      <c r="J324" s="200">
        <v>41</v>
      </c>
      <c r="K324" s="172"/>
      <c r="L324" s="163">
        <v>3734.41</v>
      </c>
      <c r="M324" s="172"/>
      <c r="N324" s="994">
        <v>153111</v>
      </c>
      <c r="U324" s="178"/>
      <c r="W324" s="466"/>
      <c r="X324" s="466"/>
      <c r="Y324" s="466"/>
      <c r="Z324" s="466"/>
      <c r="AA324" s="466"/>
      <c r="AB324" s="466"/>
      <c r="AG324" s="1315"/>
      <c r="AI324" s="201"/>
      <c r="AJ324" s="201"/>
      <c r="AK324" s="201"/>
      <c r="AL324" s="201"/>
      <c r="AO324" s="201"/>
    </row>
    <row r="325" spans="1:47" x14ac:dyDescent="0.25">
      <c r="B325" s="172"/>
      <c r="C325" s="172"/>
      <c r="G325" s="996"/>
      <c r="J325" s="98"/>
      <c r="K325" s="172"/>
      <c r="L325" s="98"/>
      <c r="M325" s="172"/>
      <c r="U325" s="178"/>
      <c r="AI325" s="201"/>
      <c r="AJ325" s="201"/>
      <c r="AK325" s="201"/>
      <c r="AL325" s="201"/>
      <c r="AN325" s="201"/>
      <c r="AO325" s="201"/>
    </row>
    <row r="326" spans="1:47" x14ac:dyDescent="0.25">
      <c r="G326" s="178" t="s">
        <v>257</v>
      </c>
      <c r="J326" s="994">
        <f>SUM(J317:J325)</f>
        <v>988</v>
      </c>
      <c r="K326" s="172"/>
      <c r="M326" s="172"/>
      <c r="N326" s="994">
        <f>SUM(N317:N325)</f>
        <v>859444</v>
      </c>
      <c r="U326" s="178"/>
      <c r="W326" s="466"/>
      <c r="X326" s="466"/>
      <c r="Y326" s="466"/>
      <c r="Z326" s="466"/>
      <c r="AA326" s="466"/>
      <c r="AB326" s="466"/>
      <c r="AC326" s="162"/>
      <c r="AG326" s="466"/>
      <c r="AI326" s="201"/>
      <c r="AJ326" s="201"/>
      <c r="AK326" s="201"/>
      <c r="AL326" s="201"/>
      <c r="AN326" s="201"/>
      <c r="AO326" s="201"/>
      <c r="AP326" s="201"/>
      <c r="AQ326" s="201"/>
    </row>
    <row r="327" spans="1:47" x14ac:dyDescent="0.25">
      <c r="G327" s="996"/>
      <c r="K327" s="172"/>
      <c r="M327" s="172"/>
      <c r="U327" s="178"/>
      <c r="AI327" s="201"/>
      <c r="AK327" s="201"/>
      <c r="AN327" s="201"/>
      <c r="AO327" s="201"/>
      <c r="AP327" s="201"/>
      <c r="AQ327" s="201"/>
    </row>
    <row r="328" spans="1:47" x14ac:dyDescent="0.25">
      <c r="A328" s="178" t="s">
        <v>263</v>
      </c>
      <c r="B328" s="74" t="s">
        <v>331</v>
      </c>
      <c r="C328" s="74"/>
      <c r="F328" s="74"/>
      <c r="K328" s="172"/>
      <c r="M328" s="172"/>
      <c r="N328" s="205">
        <v>2361</v>
      </c>
      <c r="U328" s="178"/>
      <c r="W328" s="201"/>
      <c r="X328" s="201"/>
      <c r="Y328" s="201"/>
      <c r="Z328" s="201"/>
      <c r="AA328" s="201"/>
      <c r="AB328" s="201"/>
      <c r="AC328" s="162"/>
      <c r="AG328" s="201"/>
      <c r="AI328" s="201"/>
      <c r="AJ328" s="201"/>
      <c r="AK328" s="201"/>
      <c r="AL328" s="209"/>
      <c r="AM328" s="201"/>
      <c r="AN328" s="201"/>
      <c r="AO328" s="201"/>
      <c r="AP328" s="201"/>
      <c r="AQ328" s="201"/>
    </row>
    <row r="329" spans="1:47" x14ac:dyDescent="0.25">
      <c r="K329" s="172"/>
      <c r="M329" s="172"/>
      <c r="U329" s="178"/>
      <c r="AG329" s="201"/>
      <c r="AI329" s="201"/>
      <c r="AJ329" s="201"/>
      <c r="AK329" s="201"/>
      <c r="AL329" s="209"/>
      <c r="AM329" s="201"/>
      <c r="AN329" s="209"/>
      <c r="AO329" s="201"/>
      <c r="AP329" s="209"/>
      <c r="AQ329" s="209"/>
    </row>
    <row r="330" spans="1:47" x14ac:dyDescent="0.25">
      <c r="B330" s="178" t="s">
        <v>1126</v>
      </c>
      <c r="K330" s="172"/>
      <c r="M330" s="172"/>
      <c r="N330" s="200">
        <f>N328+N326+N282+N267</f>
        <v>6627781</v>
      </c>
      <c r="U330" s="178"/>
      <c r="W330" s="200"/>
      <c r="X330" s="200"/>
      <c r="Y330" s="200"/>
      <c r="Z330" s="200"/>
      <c r="AA330" s="200"/>
      <c r="AB330" s="200"/>
      <c r="AI330" s="201"/>
      <c r="AJ330" s="201"/>
      <c r="AK330" s="201"/>
      <c r="AL330" s="209"/>
      <c r="AM330" s="201"/>
      <c r="AN330" s="201"/>
      <c r="AO330" s="201"/>
      <c r="AP330" s="201"/>
      <c r="AQ330" s="201"/>
      <c r="AT330" s="209"/>
      <c r="AU330" s="201"/>
    </row>
    <row r="331" spans="1:47" x14ac:dyDescent="0.25">
      <c r="B331" s="178" t="s">
        <v>1067</v>
      </c>
      <c r="K331" s="172"/>
      <c r="M331" s="172"/>
      <c r="N331" s="205">
        <v>-6033846</v>
      </c>
      <c r="U331" s="178"/>
      <c r="W331" s="201"/>
      <c r="X331" s="201"/>
      <c r="Y331" s="201"/>
      <c r="Z331" s="201"/>
      <c r="AA331" s="201"/>
      <c r="AB331" s="201"/>
      <c r="AG331" s="201"/>
      <c r="AI331" s="201"/>
      <c r="AJ331" s="201"/>
      <c r="AK331" s="201"/>
      <c r="AL331" s="209"/>
      <c r="AM331" s="201"/>
      <c r="AN331" s="201"/>
      <c r="AO331" s="201"/>
      <c r="AP331" s="201"/>
      <c r="AQ331" s="201"/>
    </row>
    <row r="332" spans="1:47" x14ac:dyDescent="0.25">
      <c r="K332" s="172"/>
      <c r="M332" s="172"/>
      <c r="U332" s="178"/>
      <c r="AF332" s="201"/>
      <c r="AG332" s="201"/>
      <c r="AH332" s="201"/>
      <c r="AI332" s="201"/>
      <c r="AJ332" s="201"/>
      <c r="AK332" s="201"/>
      <c r="AL332" s="209"/>
      <c r="AM332" s="201"/>
      <c r="AN332" s="209"/>
      <c r="AO332" s="201"/>
      <c r="AP332" s="209"/>
      <c r="AQ332" s="209"/>
    </row>
    <row r="333" spans="1:47" ht="16.5" thickBot="1" x14ac:dyDescent="0.3">
      <c r="E333" s="178" t="s">
        <v>171</v>
      </c>
      <c r="K333" s="172"/>
      <c r="M333" s="172"/>
      <c r="N333" s="204">
        <f>N330+N331</f>
        <v>593935</v>
      </c>
      <c r="U333" s="178"/>
      <c r="W333" s="209"/>
      <c r="X333" s="209"/>
      <c r="Y333" s="209"/>
      <c r="Z333" s="209"/>
      <c r="AA333" s="209"/>
      <c r="AB333" s="209"/>
      <c r="AI333" s="201"/>
      <c r="AJ333" s="201"/>
      <c r="AK333" s="201"/>
      <c r="AL333" s="209"/>
      <c r="AM333" s="201"/>
      <c r="AN333" s="209"/>
      <c r="AO333" s="201"/>
      <c r="AP333" s="209"/>
      <c r="AQ333" s="209"/>
    </row>
    <row r="334" spans="1:47" ht="28.15" customHeight="1" thickTop="1" x14ac:dyDescent="0.25">
      <c r="A334" s="1273" t="s">
        <v>1155</v>
      </c>
      <c r="Q334" s="172"/>
      <c r="R334" s="172"/>
      <c r="S334" s="172"/>
      <c r="U334" s="178"/>
    </row>
    <row r="335" spans="1:47" ht="23.45" customHeight="1" x14ac:dyDescent="0.25">
      <c r="A335" s="81" t="s">
        <v>476</v>
      </c>
      <c r="B335" s="174"/>
      <c r="C335" s="174"/>
      <c r="D335" s="174"/>
      <c r="E335" s="174"/>
      <c r="F335" s="174"/>
      <c r="G335" s="174"/>
      <c r="H335" s="174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4"/>
      <c r="U335" s="177"/>
      <c r="V335" s="174"/>
      <c r="W335" s="174"/>
      <c r="X335" s="174"/>
      <c r="Y335" s="174"/>
      <c r="Z335" s="174"/>
      <c r="AA335" s="174"/>
      <c r="AB335" s="174"/>
    </row>
    <row r="337" spans="1:41" x14ac:dyDescent="0.25">
      <c r="A337" s="178" t="s">
        <v>1090</v>
      </c>
    </row>
    <row r="338" spans="1:41" x14ac:dyDescent="0.25">
      <c r="A338" s="178" t="s">
        <v>945</v>
      </c>
      <c r="P338" s="1267" t="s">
        <v>441</v>
      </c>
    </row>
    <row r="339" spans="1:41" x14ac:dyDescent="0.25">
      <c r="P339" s="1271" t="s">
        <v>1128</v>
      </c>
    </row>
    <row r="340" spans="1:41" x14ac:dyDescent="0.25">
      <c r="N340" s="195" t="s">
        <v>686</v>
      </c>
      <c r="O340" s="172"/>
      <c r="P340" s="195" t="s">
        <v>281</v>
      </c>
      <c r="U340" s="178"/>
      <c r="W340" s="185"/>
      <c r="X340" s="185"/>
      <c r="Y340" s="185"/>
      <c r="Z340" s="185"/>
      <c r="AA340" s="185"/>
      <c r="AB340" s="185"/>
    </row>
    <row r="341" spans="1:41" x14ac:dyDescent="0.25">
      <c r="O341" s="172"/>
      <c r="U341" s="178"/>
    </row>
    <row r="342" spans="1:41" x14ac:dyDescent="0.25">
      <c r="B342" s="178" t="s">
        <v>1127</v>
      </c>
      <c r="N342" s="209">
        <v>12305481</v>
      </c>
      <c r="O342" s="172"/>
      <c r="P342" s="209">
        <v>13180437</v>
      </c>
      <c r="U342" s="178"/>
      <c r="W342" s="209"/>
      <c r="X342" s="209"/>
      <c r="Y342" s="209"/>
      <c r="Z342" s="209"/>
      <c r="AA342" s="209"/>
      <c r="AB342" s="209"/>
    </row>
    <row r="343" spans="1:41" x14ac:dyDescent="0.25">
      <c r="B343" s="178" t="s">
        <v>939</v>
      </c>
      <c r="N343" s="951">
        <v>0</v>
      </c>
      <c r="P343" s="994">
        <v>43249</v>
      </c>
      <c r="U343" s="178"/>
      <c r="W343" s="466"/>
      <c r="X343" s="466"/>
      <c r="Y343" s="466"/>
      <c r="Z343" s="466"/>
      <c r="AA343" s="466"/>
      <c r="AB343" s="466"/>
    </row>
    <row r="344" spans="1:41" x14ac:dyDescent="0.25">
      <c r="U344" s="178"/>
    </row>
    <row r="345" spans="1:41" x14ac:dyDescent="0.25">
      <c r="E345" s="178" t="s">
        <v>107</v>
      </c>
      <c r="N345" s="466">
        <f>SUM(N342:N344)</f>
        <v>12305481</v>
      </c>
      <c r="O345" s="466"/>
      <c r="P345" s="466">
        <f>SUM(P342:P344)</f>
        <v>13223686</v>
      </c>
      <c r="U345" s="178"/>
      <c r="W345" s="466"/>
      <c r="X345" s="466"/>
      <c r="Y345" s="466"/>
      <c r="Z345" s="466"/>
      <c r="AA345" s="466"/>
      <c r="AB345" s="466"/>
    </row>
    <row r="346" spans="1:41" x14ac:dyDescent="0.25">
      <c r="B346" s="1132" t="s">
        <v>1066</v>
      </c>
      <c r="C346" s="1132"/>
      <c r="D346" s="1132"/>
      <c r="N346" s="201">
        <v>-11662997</v>
      </c>
      <c r="O346" s="172"/>
      <c r="U346" s="178"/>
      <c r="W346" s="201"/>
      <c r="X346" s="201"/>
      <c r="Y346" s="201"/>
      <c r="Z346" s="201"/>
      <c r="AA346" s="201"/>
      <c r="AB346" s="201"/>
    </row>
    <row r="347" spans="1:41" x14ac:dyDescent="0.25">
      <c r="B347" s="1132" t="s">
        <v>1065</v>
      </c>
      <c r="C347" s="1132"/>
      <c r="D347" s="1132"/>
      <c r="N347" s="761">
        <v>0</v>
      </c>
      <c r="O347" s="172"/>
      <c r="P347" s="205">
        <v>-12305481</v>
      </c>
      <c r="U347" s="178"/>
      <c r="W347" s="201"/>
      <c r="X347" s="201"/>
      <c r="Y347" s="201"/>
      <c r="Z347" s="201"/>
      <c r="AA347" s="201"/>
      <c r="AB347" s="201"/>
    </row>
    <row r="348" spans="1:41" x14ac:dyDescent="0.25">
      <c r="N348" s="98"/>
      <c r="O348" s="172"/>
      <c r="U348" s="178"/>
      <c r="AI348" s="177"/>
      <c r="AJ348" s="177"/>
      <c r="AK348" s="177"/>
      <c r="AL348" s="177"/>
      <c r="AM348" s="177"/>
      <c r="AN348" s="177"/>
      <c r="AO348" s="177"/>
    </row>
    <row r="349" spans="1:41" ht="16.5" thickBot="1" x14ac:dyDescent="0.3">
      <c r="E349" s="178" t="s">
        <v>171</v>
      </c>
      <c r="N349" s="204">
        <f>SUM(N345:N348)</f>
        <v>642484</v>
      </c>
      <c r="O349" s="172"/>
      <c r="P349" s="204">
        <f>SUM(P345:P348)</f>
        <v>918205</v>
      </c>
      <c r="U349" s="178"/>
      <c r="W349" s="209"/>
      <c r="X349" s="209"/>
      <c r="Y349" s="209"/>
      <c r="Z349" s="209"/>
      <c r="AA349" s="209"/>
      <c r="AB349" s="209"/>
    </row>
    <row r="350" spans="1:41" ht="16.5" thickTop="1" x14ac:dyDescent="0.25">
      <c r="U350" s="178"/>
      <c r="AH350" s="160"/>
      <c r="AJ350" s="709"/>
      <c r="AK350" s="1316"/>
    </row>
    <row r="351" spans="1:41" x14ac:dyDescent="0.25">
      <c r="A351" s="1273" t="s">
        <v>1156</v>
      </c>
      <c r="U351" s="178"/>
    </row>
    <row r="352" spans="1:41" x14ac:dyDescent="0.25">
      <c r="U352" s="178"/>
      <c r="AJ352" s="169"/>
      <c r="AK352" s="169"/>
    </row>
    <row r="353" spans="1:37" x14ac:dyDescent="0.25">
      <c r="U353" s="178"/>
      <c r="AJ353" s="169"/>
      <c r="AK353" s="169"/>
    </row>
    <row r="354" spans="1:37" x14ac:dyDescent="0.25">
      <c r="U354" s="178"/>
      <c r="AJ354" s="169"/>
      <c r="AK354" s="169"/>
    </row>
    <row r="355" spans="1:37" x14ac:dyDescent="0.25">
      <c r="U355" s="178"/>
      <c r="AJ355" s="169"/>
      <c r="AK355" s="169"/>
    </row>
    <row r="356" spans="1:37" x14ac:dyDescent="0.25">
      <c r="U356" s="178"/>
      <c r="AJ356" s="197"/>
      <c r="AK356" s="197"/>
    </row>
    <row r="357" spans="1:37" x14ac:dyDescent="0.25">
      <c r="T357" s="209"/>
      <c r="V357" s="209"/>
      <c r="W357" s="209"/>
      <c r="X357" s="209"/>
      <c r="Y357" s="209"/>
      <c r="Z357" s="209"/>
      <c r="AA357" s="209"/>
      <c r="AB357" s="209"/>
      <c r="AJ357" s="197"/>
      <c r="AK357" s="197"/>
    </row>
    <row r="358" spans="1:37" x14ac:dyDescent="0.25">
      <c r="B358" s="174"/>
      <c r="C358" s="174"/>
      <c r="D358" s="174"/>
      <c r="E358" s="174"/>
      <c r="F358" s="174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174"/>
      <c r="T358" s="357"/>
      <c r="U358" s="177"/>
      <c r="V358" s="357"/>
      <c r="W358" s="357"/>
      <c r="X358" s="357"/>
      <c r="Y358" s="357"/>
      <c r="Z358" s="357"/>
      <c r="AA358" s="357"/>
      <c r="AB358" s="357"/>
      <c r="AJ358" s="197"/>
      <c r="AK358" s="197"/>
    </row>
    <row r="359" spans="1:37" x14ac:dyDescent="0.25">
      <c r="B359" s="174"/>
      <c r="C359" s="174"/>
      <c r="D359" s="174"/>
      <c r="E359" s="174"/>
      <c r="F359" s="174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174"/>
      <c r="T359" s="357"/>
      <c r="U359" s="177"/>
      <c r="V359" s="357"/>
      <c r="W359" s="357"/>
      <c r="X359" s="357"/>
      <c r="Y359" s="357"/>
      <c r="Z359" s="357"/>
      <c r="AA359" s="357"/>
      <c r="AB359" s="357"/>
      <c r="AJ359" s="197"/>
      <c r="AK359" s="197"/>
    </row>
    <row r="360" spans="1:37" x14ac:dyDescent="0.25">
      <c r="A360" s="174" t="s">
        <v>16</v>
      </c>
      <c r="B360" s="177"/>
      <c r="C360" s="177"/>
      <c r="D360" s="177"/>
      <c r="E360" s="177"/>
      <c r="F360" s="177"/>
      <c r="G360" s="177"/>
      <c r="H360" s="177"/>
      <c r="I360" s="177"/>
      <c r="J360" s="177"/>
      <c r="K360" s="177"/>
      <c r="L360" s="177"/>
      <c r="M360" s="177"/>
      <c r="N360" s="177"/>
      <c r="O360" s="177"/>
      <c r="P360" s="223"/>
      <c r="Q360" s="177"/>
      <c r="R360" s="177"/>
      <c r="S360" s="177"/>
      <c r="T360" s="196"/>
      <c r="U360" s="177"/>
      <c r="V360" s="357"/>
      <c r="W360" s="357"/>
      <c r="X360" s="357"/>
      <c r="Y360" s="357"/>
      <c r="Z360" s="357"/>
      <c r="AA360" s="357"/>
      <c r="AB360" s="357"/>
      <c r="AJ360" s="197"/>
      <c r="AK360" s="197"/>
    </row>
    <row r="361" spans="1:37" x14ac:dyDescent="0.25">
      <c r="A361" s="174"/>
      <c r="B361" s="177"/>
      <c r="C361" s="177"/>
      <c r="D361" s="177"/>
      <c r="E361" s="177"/>
      <c r="F361" s="177"/>
      <c r="G361" s="177"/>
      <c r="H361" s="177"/>
      <c r="I361" s="177"/>
      <c r="J361" s="177"/>
      <c r="K361" s="177"/>
      <c r="L361" s="177"/>
      <c r="M361" s="177"/>
      <c r="N361" s="177"/>
      <c r="O361" s="177"/>
      <c r="P361" s="223"/>
      <c r="Q361" s="177"/>
      <c r="R361" s="177"/>
      <c r="S361" s="177"/>
      <c r="T361" s="196"/>
      <c r="U361" s="177"/>
      <c r="V361" s="357"/>
      <c r="W361" s="357"/>
      <c r="X361" s="357"/>
      <c r="Y361" s="357"/>
      <c r="Z361" s="357"/>
      <c r="AA361" s="357"/>
      <c r="AB361" s="357"/>
    </row>
    <row r="362" spans="1:37" x14ac:dyDescent="0.25">
      <c r="A362" s="174" t="s">
        <v>611</v>
      </c>
      <c r="B362" s="177"/>
      <c r="C362" s="177"/>
      <c r="D362" s="177"/>
      <c r="E362" s="177"/>
      <c r="F362" s="177"/>
      <c r="G362" s="177"/>
      <c r="H362" s="177"/>
      <c r="I362" s="177"/>
      <c r="J362" s="177"/>
      <c r="K362" s="177"/>
      <c r="L362" s="177"/>
      <c r="M362" s="177"/>
      <c r="N362" s="177"/>
      <c r="O362" s="177"/>
      <c r="P362" s="223"/>
      <c r="Q362" s="177"/>
      <c r="R362" s="177"/>
      <c r="S362" s="177"/>
      <c r="T362" s="196"/>
      <c r="U362" s="177"/>
      <c r="V362" s="357"/>
      <c r="W362" s="357"/>
      <c r="X362" s="357"/>
      <c r="Y362" s="357"/>
      <c r="Z362" s="357"/>
      <c r="AA362" s="357"/>
      <c r="AB362" s="357"/>
    </row>
    <row r="363" spans="1:37" x14ac:dyDescent="0.25">
      <c r="A363" s="174"/>
      <c r="B363" s="177"/>
      <c r="C363" s="177"/>
      <c r="D363" s="177"/>
      <c r="E363" s="177"/>
      <c r="F363" s="177"/>
      <c r="G363" s="177"/>
      <c r="H363" s="177"/>
      <c r="I363" s="177"/>
      <c r="J363" s="177"/>
      <c r="K363" s="177"/>
      <c r="L363" s="177"/>
      <c r="M363" s="177"/>
      <c r="N363" s="177"/>
      <c r="O363" s="177"/>
      <c r="P363" s="223"/>
      <c r="Q363" s="177"/>
      <c r="R363" s="177"/>
      <c r="S363" s="177"/>
      <c r="T363" s="198"/>
      <c r="U363" s="177"/>
      <c r="V363" s="223"/>
      <c r="W363" s="223"/>
      <c r="X363" s="223"/>
      <c r="Y363" s="223"/>
      <c r="Z363" s="223"/>
      <c r="AA363" s="223"/>
      <c r="AB363" s="223"/>
      <c r="AJ363" s="1317"/>
      <c r="AK363" s="1317"/>
    </row>
    <row r="364" spans="1:37" x14ac:dyDescent="0.25">
      <c r="A364" s="78">
        <v>24</v>
      </c>
      <c r="B364" s="177"/>
      <c r="C364" s="177"/>
      <c r="D364" s="177"/>
      <c r="E364" s="177"/>
      <c r="F364" s="177"/>
      <c r="G364" s="177"/>
      <c r="H364" s="177"/>
      <c r="I364" s="177"/>
      <c r="J364" s="177"/>
      <c r="K364" s="177"/>
      <c r="L364" s="177"/>
      <c r="M364" s="177"/>
      <c r="N364" s="177"/>
      <c r="O364" s="177"/>
      <c r="P364" s="223"/>
      <c r="Q364" s="177"/>
      <c r="R364" s="177"/>
      <c r="S364" s="177"/>
      <c r="T364" s="198"/>
      <c r="U364" s="177"/>
      <c r="V364" s="223"/>
      <c r="W364" s="223"/>
      <c r="X364" s="223"/>
      <c r="Y364" s="223"/>
      <c r="Z364" s="223"/>
      <c r="AA364" s="223"/>
      <c r="AB364" s="223"/>
      <c r="AH364" s="160"/>
      <c r="AJ364" s="709"/>
    </row>
    <row r="365" spans="1:37" x14ac:dyDescent="0.25">
      <c r="A365" s="41" t="s">
        <v>232</v>
      </c>
      <c r="B365" s="174"/>
      <c r="C365" s="174"/>
      <c r="D365" s="174"/>
      <c r="E365" s="174"/>
      <c r="F365" s="174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4"/>
      <c r="U365" s="177"/>
      <c r="V365" s="174"/>
      <c r="W365" s="174"/>
      <c r="X365" s="174"/>
      <c r="Y365" s="174"/>
      <c r="Z365" s="174"/>
      <c r="AA365" s="174"/>
      <c r="AB365" s="174"/>
    </row>
    <row r="366" spans="1:37" x14ac:dyDescent="0.25">
      <c r="A366" s="174"/>
      <c r="B366" s="174"/>
      <c r="C366" s="174"/>
      <c r="D366" s="174"/>
      <c r="E366" s="174"/>
      <c r="F366" s="174"/>
      <c r="G366" s="174"/>
      <c r="H366" s="174"/>
      <c r="I366" s="174"/>
      <c r="J366" s="174"/>
      <c r="K366" s="174"/>
      <c r="L366" s="174"/>
      <c r="M366" s="174"/>
      <c r="N366" s="174"/>
      <c r="O366" s="174"/>
      <c r="P366" s="963" t="s">
        <v>17</v>
      </c>
      <c r="Q366" s="174"/>
      <c r="R366" s="174"/>
      <c r="S366" s="174"/>
      <c r="T366" s="174"/>
      <c r="U366" s="177"/>
      <c r="W366" s="367"/>
      <c r="X366" s="367"/>
      <c r="Y366" s="367"/>
      <c r="Z366" s="367"/>
      <c r="AA366" s="367"/>
      <c r="AB366" s="367"/>
      <c r="AJ366" s="169"/>
      <c r="AK366" s="169"/>
    </row>
    <row r="367" spans="1:37" x14ac:dyDescent="0.25">
      <c r="A367" s="136" t="s">
        <v>375</v>
      </c>
      <c r="B367" s="174"/>
      <c r="C367" s="174"/>
      <c r="D367" s="174"/>
      <c r="E367" s="174"/>
      <c r="F367" s="174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4"/>
      <c r="U367" s="177"/>
      <c r="V367" s="174"/>
      <c r="W367" s="174"/>
      <c r="X367" s="174"/>
      <c r="Y367" s="174"/>
      <c r="Z367" s="174"/>
      <c r="AA367" s="174"/>
      <c r="AB367" s="174"/>
      <c r="AJ367" s="197"/>
      <c r="AK367" s="197"/>
    </row>
    <row r="368" spans="1:37" x14ac:dyDescent="0.25">
      <c r="A368" s="41" t="s">
        <v>169</v>
      </c>
      <c r="B368" s="41"/>
      <c r="C368" s="41"/>
      <c r="D368" s="41"/>
      <c r="E368" s="174"/>
      <c r="F368" s="174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4"/>
      <c r="U368" s="177"/>
      <c r="V368" s="174"/>
      <c r="W368" s="174"/>
      <c r="X368" s="174"/>
      <c r="Y368" s="174"/>
      <c r="Z368" s="174"/>
      <c r="AA368" s="174"/>
      <c r="AB368" s="174"/>
      <c r="AJ368" s="197"/>
      <c r="AK368" s="197"/>
    </row>
    <row r="369" spans="1:54" x14ac:dyDescent="0.25">
      <c r="B369" s="172"/>
      <c r="C369" s="172"/>
      <c r="D369" s="172"/>
      <c r="E369" s="172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V369" s="172"/>
      <c r="W369" s="172"/>
      <c r="X369" s="172"/>
      <c r="Y369" s="172"/>
      <c r="Z369" s="172"/>
      <c r="AA369" s="172"/>
      <c r="AB369" s="172"/>
      <c r="AG369" s="209"/>
    </row>
    <row r="370" spans="1:54" x14ac:dyDescent="0.25">
      <c r="A370" s="81" t="s">
        <v>983</v>
      </c>
      <c r="B370" s="177"/>
      <c r="C370" s="177"/>
      <c r="D370" s="177"/>
      <c r="E370" s="177"/>
      <c r="F370" s="177"/>
      <c r="G370" s="177"/>
      <c r="H370" s="177"/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  <c r="S370" s="177"/>
      <c r="T370" s="177"/>
      <c r="U370" s="177"/>
      <c r="V370" s="177"/>
      <c r="W370" s="177"/>
      <c r="X370" s="177"/>
      <c r="Y370" s="177"/>
      <c r="Z370" s="177"/>
      <c r="AA370" s="177"/>
      <c r="AB370" s="177"/>
    </row>
    <row r="371" spans="1:54" x14ac:dyDescent="0.25">
      <c r="U371" s="178"/>
    </row>
    <row r="372" spans="1:54" x14ac:dyDescent="0.25">
      <c r="A372" s="86" t="s">
        <v>1134</v>
      </c>
      <c r="B372" s="172"/>
      <c r="C372" s="172"/>
      <c r="D372" s="172"/>
      <c r="E372" s="172"/>
      <c r="F372" s="172"/>
      <c r="G372" s="172"/>
      <c r="H372" s="172"/>
      <c r="I372" s="172"/>
      <c r="J372" s="172"/>
      <c r="K372" s="172"/>
      <c r="L372" s="172"/>
      <c r="M372" s="172"/>
      <c r="N372" s="172"/>
      <c r="O372" s="172"/>
      <c r="P372" s="172"/>
      <c r="Q372" s="172"/>
      <c r="R372" s="172"/>
      <c r="S372" s="172"/>
      <c r="T372" s="172"/>
      <c r="V372" s="172"/>
      <c r="W372" s="172"/>
      <c r="X372" s="172"/>
      <c r="Y372" s="172"/>
      <c r="Z372" s="172"/>
      <c r="AA372" s="172"/>
      <c r="AB372" s="172"/>
    </row>
    <row r="373" spans="1:54" x14ac:dyDescent="0.25">
      <c r="A373" s="178" t="s">
        <v>555</v>
      </c>
      <c r="B373" s="172"/>
      <c r="C373" s="172"/>
      <c r="D373" s="172"/>
      <c r="E373" s="172"/>
      <c r="F373" s="172"/>
      <c r="G373" s="172"/>
      <c r="H373" s="172"/>
      <c r="I373" s="172"/>
      <c r="J373" s="172"/>
      <c r="K373" s="172"/>
      <c r="L373" s="172"/>
      <c r="M373" s="172"/>
      <c r="N373" s="172"/>
      <c r="O373" s="172"/>
      <c r="P373" s="172"/>
      <c r="Q373" s="172"/>
      <c r="R373" s="172"/>
      <c r="S373" s="172"/>
      <c r="T373" s="172"/>
      <c r="V373" s="172"/>
      <c r="W373" s="172"/>
      <c r="X373" s="172"/>
      <c r="Y373" s="172"/>
      <c r="Z373" s="172"/>
      <c r="AA373" s="172"/>
      <c r="AB373" s="172"/>
    </row>
    <row r="374" spans="1:54" x14ac:dyDescent="0.25">
      <c r="A374" s="491"/>
      <c r="B374" s="491"/>
      <c r="C374" s="491"/>
      <c r="D374" s="491"/>
      <c r="E374" s="491"/>
      <c r="F374" s="491"/>
      <c r="G374" s="491"/>
      <c r="H374" s="491"/>
      <c r="I374" s="491"/>
      <c r="J374" s="491"/>
      <c r="K374" s="491"/>
      <c r="L374" s="491"/>
      <c r="M374" s="491"/>
      <c r="N374" s="491"/>
      <c r="O374" s="491"/>
      <c r="P374" s="183"/>
      <c r="Q374" s="491"/>
      <c r="S374" s="491"/>
      <c r="U374" s="178"/>
      <c r="V374" s="491"/>
      <c r="W374" s="491"/>
      <c r="X374" s="491"/>
      <c r="Y374" s="491"/>
      <c r="Z374" s="491"/>
      <c r="AA374" s="491"/>
      <c r="AB374" s="491"/>
      <c r="AD374" s="201"/>
      <c r="AE374" s="201"/>
      <c r="AF374" s="201"/>
      <c r="AG374" s="201"/>
      <c r="AH374" s="201"/>
    </row>
    <row r="375" spans="1:54" x14ac:dyDescent="0.25">
      <c r="A375" s="1133"/>
      <c r="B375" s="491"/>
      <c r="C375" s="491"/>
      <c r="D375" s="491"/>
      <c r="E375" s="491"/>
      <c r="G375" s="1104"/>
      <c r="H375" s="1104" t="s">
        <v>554</v>
      </c>
      <c r="I375" s="1104"/>
      <c r="J375" s="1104" t="s">
        <v>1062</v>
      </c>
      <c r="K375" s="491"/>
      <c r="L375" s="1104" t="s">
        <v>796</v>
      </c>
      <c r="N375" s="61" t="s">
        <v>551</v>
      </c>
      <c r="O375" s="491"/>
      <c r="U375" s="178"/>
      <c r="V375" s="491"/>
      <c r="W375" s="491"/>
      <c r="X375" s="491"/>
      <c r="Y375" s="491"/>
      <c r="Z375" s="491"/>
      <c r="AA375" s="491"/>
      <c r="AB375" s="491"/>
      <c r="AD375" s="201"/>
      <c r="AE375" s="201"/>
      <c r="AF375" s="201"/>
      <c r="AG375" s="201"/>
      <c r="AH375" s="201"/>
    </row>
    <row r="376" spans="1:54" x14ac:dyDescent="0.25">
      <c r="A376" s="1134" t="s">
        <v>552</v>
      </c>
      <c r="B376" s="172"/>
      <c r="C376" s="172"/>
      <c r="D376" s="172"/>
      <c r="E376" s="491"/>
      <c r="G376" s="61"/>
      <c r="H376" s="61" t="s">
        <v>9</v>
      </c>
      <c r="I376" s="61"/>
      <c r="J376" s="1101" t="s">
        <v>177</v>
      </c>
      <c r="K376" s="172"/>
      <c r="L376" s="1101" t="s">
        <v>441</v>
      </c>
      <c r="N376" s="61" t="s">
        <v>441</v>
      </c>
      <c r="O376" s="491"/>
      <c r="P376" s="1135" t="s">
        <v>553</v>
      </c>
      <c r="U376" s="491"/>
      <c r="W376" s="124"/>
      <c r="X376" s="124"/>
      <c r="Y376" s="124"/>
      <c r="Z376" s="124"/>
      <c r="AA376" s="124"/>
      <c r="AB376" s="124"/>
      <c r="AC376" s="493"/>
      <c r="AE376" s="201"/>
      <c r="AF376" s="201"/>
      <c r="AG376" s="201"/>
      <c r="AH376" s="201"/>
    </row>
    <row r="377" spans="1:54" x14ac:dyDescent="0.25">
      <c r="A377" s="172"/>
      <c r="B377" s="172"/>
      <c r="C377" s="172"/>
      <c r="D377" s="172"/>
      <c r="E377" s="172"/>
      <c r="G377" s="172"/>
      <c r="H377" s="98"/>
      <c r="I377" s="172"/>
      <c r="J377" s="172"/>
      <c r="K377" s="172"/>
      <c r="N377" s="1136"/>
      <c r="O377" s="491"/>
      <c r="P377" s="172"/>
      <c r="U377" s="491"/>
      <c r="W377" s="172"/>
      <c r="X377" s="172"/>
      <c r="Y377" s="172"/>
      <c r="Z377" s="172"/>
      <c r="AA377" s="172"/>
      <c r="AB377" s="172"/>
      <c r="AC377" s="493"/>
      <c r="AE377" s="201"/>
      <c r="AF377" s="201"/>
      <c r="AH377" s="201"/>
      <c r="AJ377" s="1137"/>
      <c r="AK377" s="1137"/>
      <c r="AL377" s="1137"/>
      <c r="AM377" s="1318"/>
      <c r="AN377" s="1318"/>
      <c r="AP377" s="1318"/>
      <c r="AR377" s="1318"/>
      <c r="AT377" s="1318"/>
      <c r="AV377" s="1318"/>
      <c r="AX377" s="1318"/>
      <c r="AZ377" s="1318"/>
      <c r="BB377" s="1318"/>
    </row>
    <row r="378" spans="1:54" x14ac:dyDescent="0.25">
      <c r="A378" s="1138" t="s">
        <v>790</v>
      </c>
      <c r="B378" s="172"/>
      <c r="C378" s="172"/>
      <c r="D378" s="172"/>
      <c r="E378" s="172"/>
      <c r="G378" s="1139"/>
      <c r="H378" s="1139">
        <v>43891</v>
      </c>
      <c r="I378" s="1139"/>
      <c r="J378" s="1140">
        <v>9800.2999999999993</v>
      </c>
      <c r="K378" s="197"/>
      <c r="L378" s="200">
        <v>7</v>
      </c>
      <c r="N378" s="1140">
        <v>1400.042857142857</v>
      </c>
      <c r="O378" s="491"/>
      <c r="P378" s="209">
        <v>16801</v>
      </c>
      <c r="U378" s="197"/>
      <c r="W378" s="209"/>
      <c r="X378" s="209"/>
      <c r="Y378" s="209"/>
      <c r="Z378" s="209"/>
      <c r="AA378" s="209"/>
      <c r="AB378" s="209"/>
      <c r="AC378" s="197"/>
      <c r="AE378" s="197"/>
      <c r="AF378" s="197"/>
      <c r="AG378" s="1318"/>
      <c r="AH378" s="197"/>
      <c r="AJ378" s="1318"/>
      <c r="AK378" s="1319"/>
      <c r="AL378" s="1318"/>
      <c r="AM378" s="1318"/>
      <c r="AN378" s="1318"/>
      <c r="AP378" s="1318"/>
      <c r="AR378" s="1319"/>
      <c r="AT378" s="1319"/>
      <c r="AV378" s="1319"/>
      <c r="AX378" s="1319"/>
      <c r="AZ378" s="1318"/>
      <c r="BB378" s="1318"/>
    </row>
    <row r="379" spans="1:54" x14ac:dyDescent="0.25">
      <c r="A379" s="1138" t="s">
        <v>791</v>
      </c>
      <c r="B379" s="172"/>
      <c r="C379" s="172"/>
      <c r="D379" s="172"/>
      <c r="E379" s="172"/>
      <c r="G379" s="1139"/>
      <c r="H379" s="1139">
        <v>44032</v>
      </c>
      <c r="I379" s="1139"/>
      <c r="J379" s="1141">
        <v>3652.32</v>
      </c>
      <c r="K379" s="197"/>
      <c r="L379" s="200">
        <v>3</v>
      </c>
      <c r="N379" s="1141">
        <v>1217.44</v>
      </c>
      <c r="O379" s="491"/>
      <c r="P379" s="201">
        <v>14609</v>
      </c>
      <c r="U379" s="197"/>
      <c r="W379" s="201"/>
      <c r="X379" s="201"/>
      <c r="Y379" s="201"/>
      <c r="Z379" s="201"/>
      <c r="AA379" s="201"/>
      <c r="AB379" s="201"/>
      <c r="AC379" s="197"/>
      <c r="AE379" s="197"/>
      <c r="AF379" s="197"/>
      <c r="AG379" s="1318"/>
      <c r="AH379" s="197"/>
      <c r="AJ379" s="1318"/>
      <c r="AK379" s="1319"/>
      <c r="AL379" s="1318"/>
      <c r="AM379" s="1318"/>
      <c r="AN379" s="1318"/>
      <c r="AP379" s="1318"/>
      <c r="AR379" s="1319"/>
      <c r="AT379" s="1319"/>
      <c r="AV379" s="1319"/>
      <c r="AX379" s="1319"/>
      <c r="AZ379" s="1318"/>
      <c r="BB379" s="1318"/>
    </row>
    <row r="380" spans="1:54" x14ac:dyDescent="0.25">
      <c r="A380" s="1138" t="s">
        <v>640</v>
      </c>
      <c r="B380" s="172"/>
      <c r="C380" s="172"/>
      <c r="D380" s="172"/>
      <c r="E380" s="172"/>
      <c r="G380" s="1139"/>
      <c r="H380" s="1139">
        <v>44013</v>
      </c>
      <c r="I380" s="1139"/>
      <c r="J380" s="1141">
        <v>656.18</v>
      </c>
      <c r="K380" s="197"/>
      <c r="L380" s="200">
        <v>3</v>
      </c>
      <c r="N380" s="1141">
        <v>218.72666666666666</v>
      </c>
      <c r="O380" s="491"/>
      <c r="P380" s="201">
        <v>2625</v>
      </c>
      <c r="U380" s="197"/>
      <c r="W380" s="201"/>
      <c r="X380" s="201"/>
      <c r="Y380" s="201"/>
      <c r="Z380" s="201"/>
      <c r="AA380" s="201"/>
      <c r="AB380" s="201"/>
      <c r="AC380" s="197"/>
      <c r="AE380" s="197"/>
      <c r="AF380" s="197"/>
      <c r="AG380" s="1318"/>
      <c r="AH380" s="197"/>
      <c r="AJ380" s="1318"/>
      <c r="AK380" s="1319"/>
      <c r="AL380" s="1318"/>
      <c r="AM380" s="1318"/>
      <c r="AN380" s="1318"/>
      <c r="AP380" s="1318"/>
      <c r="AR380" s="1319"/>
      <c r="AT380" s="1319"/>
      <c r="AV380" s="1319"/>
      <c r="AX380" s="1319"/>
      <c r="AZ380" s="1318"/>
      <c r="BB380" s="1318"/>
    </row>
    <row r="381" spans="1:54" x14ac:dyDescent="0.25">
      <c r="A381" s="1138" t="s">
        <v>792</v>
      </c>
      <c r="B381" s="172"/>
      <c r="C381" s="172"/>
      <c r="D381" s="172"/>
      <c r="E381" s="172"/>
      <c r="G381" s="1139"/>
      <c r="H381" s="1139">
        <v>43831</v>
      </c>
      <c r="I381" s="1139"/>
      <c r="J381" s="1141">
        <v>1606.59</v>
      </c>
      <c r="K381" s="197"/>
      <c r="L381" s="200">
        <v>9</v>
      </c>
      <c r="N381" s="1141">
        <v>178.51</v>
      </c>
      <c r="O381" s="491"/>
      <c r="P381" s="201">
        <v>2142</v>
      </c>
      <c r="U381" s="197"/>
      <c r="W381" s="201"/>
      <c r="X381" s="201"/>
      <c r="Y381" s="201"/>
      <c r="Z381" s="201"/>
      <c r="AA381" s="201"/>
      <c r="AB381" s="201"/>
      <c r="AC381" s="197"/>
      <c r="AE381" s="197"/>
      <c r="AF381" s="197"/>
      <c r="AG381" s="1318"/>
      <c r="AH381" s="197"/>
      <c r="AJ381" s="1318"/>
      <c r="AK381" s="1319"/>
      <c r="AL381" s="1318"/>
      <c r="AM381" s="1318"/>
      <c r="AN381" s="1318"/>
      <c r="AP381" s="1318"/>
      <c r="AR381" s="1319"/>
      <c r="AT381" s="1319"/>
      <c r="AV381" s="1319"/>
      <c r="AX381" s="1319"/>
      <c r="AZ381" s="1318"/>
      <c r="BB381" s="1318"/>
    </row>
    <row r="382" spans="1:54" x14ac:dyDescent="0.25">
      <c r="A382" s="1138" t="s">
        <v>793</v>
      </c>
      <c r="E382" s="172"/>
      <c r="G382" s="1139"/>
      <c r="H382" s="1139">
        <v>43922</v>
      </c>
      <c r="I382" s="1139"/>
      <c r="J382" s="1141">
        <v>2807.32</v>
      </c>
      <c r="K382" s="172"/>
      <c r="L382" s="200">
        <v>6</v>
      </c>
      <c r="N382" s="1141">
        <v>467.88666666666671</v>
      </c>
      <c r="O382" s="491"/>
      <c r="P382" s="201">
        <v>5615</v>
      </c>
      <c r="U382" s="491"/>
      <c r="W382" s="201"/>
      <c r="X382" s="201"/>
      <c r="Y382" s="201"/>
      <c r="Z382" s="201"/>
      <c r="AA382" s="201"/>
      <c r="AB382" s="201"/>
      <c r="AC382" s="493"/>
      <c r="AE382" s="201"/>
      <c r="AF382" s="201"/>
      <c r="AG382" s="1320"/>
      <c r="AH382" s="201"/>
      <c r="AJ382" s="1318"/>
      <c r="AK382" s="1319"/>
      <c r="AL382" s="1318"/>
      <c r="AM382" s="1318"/>
      <c r="AN382" s="1318"/>
      <c r="AP382" s="1318"/>
      <c r="AR382" s="1319"/>
      <c r="AT382" s="1319"/>
      <c r="AV382" s="1319"/>
      <c r="AX382" s="1319"/>
      <c r="AZ382" s="1318"/>
      <c r="BB382" s="1318"/>
    </row>
    <row r="383" spans="1:54" x14ac:dyDescent="0.25">
      <c r="A383" s="1138" t="s">
        <v>794</v>
      </c>
      <c r="B383" s="172"/>
      <c r="C383" s="172"/>
      <c r="D383" s="172"/>
      <c r="E383" s="172"/>
      <c r="G383" s="1139"/>
      <c r="H383" s="1139">
        <v>43891</v>
      </c>
      <c r="I383" s="1139"/>
      <c r="J383" s="359">
        <v>515.08000000000004</v>
      </c>
      <c r="K383" s="197"/>
      <c r="L383" s="200">
        <v>7</v>
      </c>
      <c r="N383" s="1141">
        <v>73.582857142857151</v>
      </c>
      <c r="O383" s="491"/>
      <c r="P383" s="201">
        <v>883</v>
      </c>
      <c r="U383" s="197"/>
      <c r="W383" s="201"/>
      <c r="X383" s="201"/>
      <c r="Y383" s="201"/>
      <c r="Z383" s="201"/>
      <c r="AA383" s="201"/>
      <c r="AB383" s="201"/>
      <c r="AC383" s="197"/>
      <c r="AE383" s="197"/>
      <c r="AF383" s="197"/>
      <c r="AG383" s="1318"/>
      <c r="AH383" s="197"/>
      <c r="AJ383" s="1318"/>
      <c r="AK383" s="1319"/>
      <c r="AL383" s="1318"/>
      <c r="AM383" s="1318"/>
      <c r="AN383" s="1318"/>
      <c r="AP383" s="1318"/>
      <c r="AR383" s="1319"/>
      <c r="AT383" s="1319"/>
      <c r="AV383" s="1319"/>
      <c r="AX383" s="1319"/>
      <c r="AZ383" s="1318"/>
      <c r="BB383" s="1318"/>
    </row>
    <row r="384" spans="1:54" x14ac:dyDescent="0.25">
      <c r="A384" s="1138" t="s">
        <v>795</v>
      </c>
      <c r="B384" s="172"/>
      <c r="C384" s="172"/>
      <c r="D384" s="172"/>
      <c r="E384" s="172"/>
      <c r="G384" s="1139"/>
      <c r="H384" s="1139">
        <v>43983</v>
      </c>
      <c r="I384" s="1139"/>
      <c r="J384" s="1141">
        <v>1051.98</v>
      </c>
      <c r="K384" s="197"/>
      <c r="L384" s="200">
        <v>4</v>
      </c>
      <c r="N384" s="1141">
        <v>262.995</v>
      </c>
      <c r="O384" s="491"/>
      <c r="P384" s="201">
        <v>3156</v>
      </c>
      <c r="U384" s="197"/>
      <c r="W384" s="201"/>
      <c r="X384" s="201"/>
      <c r="Y384" s="201"/>
      <c r="Z384" s="201"/>
      <c r="AA384" s="201"/>
      <c r="AB384" s="201"/>
      <c r="AC384" s="197"/>
      <c r="AE384" s="197"/>
      <c r="AF384" s="197"/>
      <c r="AG384" s="1318"/>
      <c r="AH384" s="197"/>
      <c r="AJ384" s="1318"/>
      <c r="AK384" s="1319"/>
      <c r="AL384" s="1318"/>
      <c r="AM384" s="1318"/>
      <c r="AN384" s="1318"/>
      <c r="AP384" s="1318"/>
      <c r="AR384" s="1319"/>
      <c r="AT384" s="1319"/>
      <c r="AV384" s="1319"/>
      <c r="AX384" s="1319"/>
      <c r="AZ384" s="1318"/>
      <c r="BB384" s="1318"/>
    </row>
    <row r="385" spans="1:54" x14ac:dyDescent="0.25">
      <c r="A385" s="491"/>
      <c r="B385" s="133"/>
      <c r="C385" s="133"/>
      <c r="D385" s="133"/>
      <c r="E385" s="491"/>
      <c r="F385" s="491"/>
      <c r="G385" s="491"/>
      <c r="H385" s="491"/>
      <c r="I385" s="491"/>
      <c r="J385" s="1142"/>
      <c r="K385" s="491"/>
      <c r="N385" s="491"/>
      <c r="O385" s="491"/>
      <c r="P385" s="1136"/>
      <c r="U385" s="178"/>
      <c r="W385" s="493"/>
      <c r="X385" s="493"/>
      <c r="Y385" s="493"/>
      <c r="Z385" s="493"/>
      <c r="AA385" s="493"/>
      <c r="AB385" s="493"/>
      <c r="AF385" s="209"/>
      <c r="AG385" s="1318"/>
      <c r="AL385" s="1320"/>
      <c r="AN385" s="945"/>
      <c r="AO385" s="493"/>
      <c r="AP385" s="493"/>
      <c r="AR385" s="1321"/>
      <c r="AS385" s="493"/>
      <c r="AT385" s="355"/>
      <c r="AV385" s="197"/>
      <c r="AW385" s="493"/>
      <c r="AY385" s="197"/>
      <c r="BB385" s="197"/>
    </row>
    <row r="386" spans="1:54" ht="16.5" thickBot="1" x14ac:dyDescent="0.3">
      <c r="A386" s="491"/>
      <c r="B386" s="133" t="s">
        <v>1064</v>
      </c>
      <c r="C386" s="133"/>
      <c r="D386" s="133"/>
      <c r="E386" s="491"/>
      <c r="F386" s="491"/>
      <c r="G386" s="491"/>
      <c r="H386" s="491"/>
      <c r="I386" s="491"/>
      <c r="J386" s="1143">
        <f>SUM(J378:J385)</f>
        <v>20089.77</v>
      </c>
      <c r="K386" s="491"/>
      <c r="N386" s="491"/>
      <c r="O386" s="491"/>
      <c r="P386" s="491"/>
      <c r="U386" s="178"/>
      <c r="W386" s="491"/>
      <c r="X386" s="491"/>
      <c r="Y386" s="491"/>
      <c r="Z386" s="491"/>
      <c r="AA386" s="491"/>
      <c r="AB386" s="491"/>
      <c r="AF386" s="209"/>
      <c r="AG386" s="1318"/>
      <c r="AL386" s="1320"/>
      <c r="AN386" s="945"/>
      <c r="AO386" s="493"/>
      <c r="AP386" s="493"/>
      <c r="AR386" s="1321"/>
      <c r="AS386" s="493"/>
      <c r="AT386" s="355"/>
      <c r="AV386" s="197"/>
      <c r="AW386" s="493"/>
      <c r="AY386" s="197"/>
      <c r="AZ386" s="197"/>
    </row>
    <row r="387" spans="1:54" ht="16.5" thickTop="1" x14ac:dyDescent="0.25">
      <c r="A387" s="491"/>
      <c r="B387" s="133" t="s">
        <v>1063</v>
      </c>
      <c r="C387" s="133"/>
      <c r="D387" s="133"/>
      <c r="E387" s="491"/>
      <c r="F387" s="491"/>
      <c r="G387" s="491"/>
      <c r="H387" s="491"/>
      <c r="I387" s="491"/>
      <c r="J387" s="492"/>
      <c r="K387" s="491"/>
      <c r="N387" s="493"/>
      <c r="O387" s="491"/>
      <c r="P387" s="704">
        <f>SUM(P378:P386)</f>
        <v>45831</v>
      </c>
      <c r="U387" s="178"/>
      <c r="W387" s="704"/>
      <c r="X387" s="704"/>
      <c r="Y387" s="704"/>
      <c r="Z387" s="704"/>
      <c r="AA387" s="704"/>
      <c r="AB387" s="704"/>
      <c r="AF387" s="209"/>
      <c r="AG387" s="1318"/>
      <c r="AL387" s="1320"/>
      <c r="AN387" s="945"/>
      <c r="AO387" s="493"/>
      <c r="AP387" s="493"/>
      <c r="AR387" s="1321"/>
      <c r="AS387" s="493"/>
      <c r="AT387" s="355"/>
      <c r="AV387" s="197"/>
      <c r="AW387" s="493"/>
      <c r="AY387" s="197"/>
      <c r="AZ387" s="197"/>
    </row>
    <row r="388" spans="1:54" x14ac:dyDescent="0.25">
      <c r="A388" s="491"/>
      <c r="B388" s="133" t="s">
        <v>1046</v>
      </c>
      <c r="C388" s="133"/>
      <c r="D388" s="133"/>
      <c r="E388" s="491"/>
      <c r="F388" s="491"/>
      <c r="G388" s="491"/>
      <c r="H388" s="491"/>
      <c r="I388" s="491"/>
      <c r="J388" s="492"/>
      <c r="K388" s="491"/>
      <c r="N388" s="493"/>
      <c r="O388" s="491"/>
      <c r="P388" s="201">
        <f>-ROUND(J386,0)</f>
        <v>-20090</v>
      </c>
      <c r="U388" s="178"/>
      <c r="W388" s="201"/>
      <c r="X388" s="201"/>
      <c r="Y388" s="201"/>
      <c r="Z388" s="201"/>
      <c r="AA388" s="201"/>
      <c r="AB388" s="201"/>
      <c r="AF388" s="209"/>
      <c r="AG388" s="1318"/>
      <c r="AL388" s="1320"/>
      <c r="AN388" s="945"/>
      <c r="AO388" s="493"/>
      <c r="AP388" s="493"/>
      <c r="AR388" s="1321"/>
      <c r="AS388" s="493"/>
      <c r="AT388" s="355"/>
      <c r="AV388" s="197"/>
      <c r="AW388" s="493"/>
      <c r="AY388" s="197"/>
      <c r="AZ388" s="197"/>
    </row>
    <row r="389" spans="1:54" x14ac:dyDescent="0.25">
      <c r="A389" s="491"/>
      <c r="B389" s="133"/>
      <c r="C389" s="133"/>
      <c r="D389" s="133"/>
      <c r="E389" s="491"/>
      <c r="F389" s="491"/>
      <c r="G389" s="491"/>
      <c r="H389" s="491"/>
      <c r="I389" s="491"/>
      <c r="J389" s="492"/>
      <c r="K389" s="491"/>
      <c r="N389" s="491"/>
      <c r="O389" s="491"/>
      <c r="P389" s="1136"/>
      <c r="U389" s="178"/>
      <c r="W389" s="493"/>
      <c r="X389" s="493"/>
      <c r="Y389" s="493"/>
      <c r="Z389" s="493"/>
      <c r="AA389" s="493"/>
      <c r="AB389" s="493"/>
      <c r="AF389" s="209"/>
      <c r="AG389" s="1318"/>
      <c r="AL389" s="1320"/>
      <c r="AN389" s="945"/>
      <c r="AO389" s="493"/>
      <c r="AP389" s="493"/>
      <c r="AR389" s="1321"/>
      <c r="AS389" s="493"/>
      <c r="AT389" s="355"/>
      <c r="AU389" s="197"/>
      <c r="AV389" s="197"/>
      <c r="AW389" s="493"/>
      <c r="AY389" s="197"/>
      <c r="AZ389" s="197"/>
    </row>
    <row r="390" spans="1:54" ht="16.5" thickBot="1" x14ac:dyDescent="0.3">
      <c r="A390" s="491"/>
      <c r="B390" s="133"/>
      <c r="C390" s="133"/>
      <c r="D390" s="133"/>
      <c r="E390" s="178" t="s">
        <v>171</v>
      </c>
      <c r="F390" s="491"/>
      <c r="G390" s="491"/>
      <c r="H390" s="491"/>
      <c r="I390" s="491"/>
      <c r="J390" s="492"/>
      <c r="K390" s="491"/>
      <c r="N390" s="491"/>
      <c r="O390" s="491"/>
      <c r="P390" s="487">
        <f>P387+P388</f>
        <v>25741</v>
      </c>
      <c r="U390" s="178"/>
      <c r="W390" s="209"/>
      <c r="X390" s="209"/>
      <c r="Y390" s="209"/>
      <c r="Z390" s="209"/>
      <c r="AA390" s="209"/>
      <c r="AB390" s="209"/>
      <c r="AF390" s="209"/>
      <c r="AG390" s="1318"/>
      <c r="AL390" s="1320"/>
      <c r="AN390" s="945"/>
      <c r="AO390" s="493"/>
      <c r="AP390" s="493"/>
      <c r="AR390" s="1321"/>
      <c r="AS390" s="493"/>
      <c r="AT390" s="355"/>
      <c r="AU390" s="197"/>
      <c r="AV390" s="197"/>
      <c r="AW390" s="493"/>
      <c r="AY390" s="197"/>
      <c r="AZ390" s="197"/>
    </row>
    <row r="391" spans="1:54" ht="16.5" thickTop="1" x14ac:dyDescent="0.25">
      <c r="A391" s="491"/>
      <c r="B391" s="133"/>
      <c r="C391" s="133"/>
      <c r="D391" s="133"/>
      <c r="F391" s="491"/>
      <c r="G391" s="491"/>
      <c r="H391" s="491"/>
      <c r="I391" s="491"/>
      <c r="J391" s="492"/>
      <c r="K391" s="491"/>
      <c r="N391" s="491"/>
      <c r="O391" s="491"/>
      <c r="P391" s="209"/>
      <c r="U391" s="178"/>
      <c r="W391" s="209"/>
      <c r="X391" s="209"/>
      <c r="Y391" s="209"/>
      <c r="Z391" s="209"/>
      <c r="AA391" s="209"/>
      <c r="AB391" s="209"/>
      <c r="AF391" s="209"/>
      <c r="AG391" s="1318"/>
      <c r="AL391" s="1320"/>
      <c r="AN391" s="945"/>
      <c r="AO391" s="493"/>
      <c r="AP391" s="493"/>
      <c r="AR391" s="1321"/>
      <c r="AS391" s="493"/>
      <c r="AT391" s="355"/>
      <c r="AU391" s="197"/>
      <c r="AV391" s="197"/>
      <c r="AW391" s="493"/>
      <c r="AY391" s="197"/>
      <c r="AZ391" s="197"/>
    </row>
    <row r="392" spans="1:54" x14ac:dyDescent="0.25">
      <c r="A392" s="1273" t="s">
        <v>1157</v>
      </c>
      <c r="B392" s="133"/>
      <c r="C392" s="133"/>
      <c r="D392" s="133"/>
      <c r="F392" s="491"/>
      <c r="G392" s="491"/>
      <c r="H392" s="491"/>
      <c r="I392" s="491"/>
      <c r="J392" s="492"/>
      <c r="K392" s="491"/>
      <c r="N392" s="491"/>
      <c r="O392" s="491"/>
      <c r="P392" s="209"/>
      <c r="U392" s="178"/>
      <c r="W392" s="209"/>
      <c r="X392" s="209"/>
      <c r="Y392" s="209"/>
      <c r="Z392" s="209"/>
      <c r="AA392" s="209"/>
      <c r="AB392" s="209"/>
      <c r="AF392" s="209"/>
      <c r="AG392" s="1318"/>
      <c r="AL392" s="1320"/>
      <c r="AN392" s="945"/>
      <c r="AO392" s="493"/>
      <c r="AP392" s="493"/>
      <c r="AR392" s="1321"/>
      <c r="AS392" s="493"/>
      <c r="AT392" s="355"/>
      <c r="AU392" s="197"/>
      <c r="AV392" s="197"/>
      <c r="AW392" s="493"/>
      <c r="AY392" s="197"/>
      <c r="AZ392" s="197"/>
    </row>
    <row r="393" spans="1:54" x14ac:dyDescent="0.25">
      <c r="A393" s="491"/>
      <c r="B393" s="133"/>
      <c r="C393" s="133"/>
      <c r="D393" s="133"/>
      <c r="F393" s="491"/>
      <c r="G393" s="491"/>
      <c r="H393" s="491"/>
      <c r="I393" s="491"/>
      <c r="J393" s="491"/>
      <c r="K393" s="491"/>
      <c r="L393" s="491"/>
      <c r="M393" s="491"/>
      <c r="N393" s="491"/>
      <c r="O393" s="491"/>
      <c r="P393" s="492"/>
      <c r="Q393" s="491"/>
      <c r="R393" s="491"/>
      <c r="S393" s="491"/>
      <c r="T393" s="491"/>
      <c r="U393" s="178"/>
      <c r="V393" s="209"/>
      <c r="W393" s="209"/>
      <c r="X393" s="209"/>
      <c r="Y393" s="209"/>
      <c r="Z393" s="209"/>
      <c r="AA393" s="209"/>
      <c r="AB393" s="209"/>
      <c r="AF393" s="209"/>
      <c r="AG393" s="1318"/>
      <c r="AL393" s="1320"/>
      <c r="AN393" s="945"/>
      <c r="AO393" s="493"/>
      <c r="AP393" s="493"/>
      <c r="AR393" s="1321"/>
      <c r="AS393" s="493"/>
      <c r="AT393" s="355"/>
      <c r="AU393" s="197"/>
      <c r="AV393" s="197"/>
      <c r="AW393" s="493"/>
      <c r="AY393" s="197"/>
      <c r="AZ393" s="197"/>
    </row>
    <row r="394" spans="1:54" x14ac:dyDescent="0.25">
      <c r="A394" s="1448" t="s">
        <v>372</v>
      </c>
      <c r="B394" s="1448"/>
      <c r="C394" s="1448"/>
      <c r="D394" s="1448"/>
      <c r="E394" s="1448"/>
      <c r="F394" s="1448"/>
      <c r="G394" s="1448"/>
      <c r="H394" s="1448"/>
      <c r="I394" s="1448"/>
      <c r="J394" s="1448"/>
      <c r="K394" s="1448"/>
      <c r="L394" s="1448"/>
      <c r="M394" s="1448"/>
      <c r="N394" s="1448"/>
      <c r="O394" s="1448"/>
      <c r="P394" s="1448"/>
      <c r="Q394" s="1448"/>
      <c r="R394" s="1448"/>
      <c r="S394" s="1448"/>
      <c r="T394" s="1448"/>
      <c r="U394" s="1448"/>
      <c r="V394" s="1448"/>
      <c r="W394" s="1448"/>
      <c r="X394" s="1448"/>
      <c r="Y394" s="1448"/>
      <c r="Z394" s="1448"/>
      <c r="AA394" s="1448"/>
      <c r="AB394" s="1448"/>
      <c r="AF394" s="209"/>
      <c r="AG394" s="1318"/>
      <c r="AL394" s="1320"/>
      <c r="AN394" s="945"/>
      <c r="AO394" s="493"/>
      <c r="AP394" s="493"/>
      <c r="AR394" s="1321"/>
      <c r="AS394" s="493"/>
      <c r="AT394" s="355"/>
      <c r="AU394" s="197"/>
      <c r="AV394" s="197"/>
      <c r="AW394" s="493"/>
      <c r="AY394" s="197"/>
      <c r="AZ394" s="197"/>
    </row>
    <row r="395" spans="1:54" x14ac:dyDescent="0.25">
      <c r="A395" s="491"/>
      <c r="B395" s="133"/>
      <c r="C395" s="133"/>
      <c r="D395" s="133"/>
      <c r="F395" s="491"/>
      <c r="G395" s="491"/>
      <c r="H395" s="491"/>
      <c r="I395" s="491"/>
      <c r="J395" s="491"/>
      <c r="K395" s="491"/>
      <c r="L395" s="491"/>
      <c r="M395" s="491"/>
      <c r="N395" s="491"/>
      <c r="O395" s="491"/>
      <c r="P395" s="492"/>
      <c r="Q395" s="491"/>
      <c r="R395" s="491"/>
      <c r="S395" s="491"/>
      <c r="T395" s="491"/>
      <c r="U395" s="178"/>
      <c r="V395" s="209"/>
      <c r="W395" s="209"/>
      <c r="X395" s="209"/>
      <c r="Y395" s="209"/>
      <c r="Z395" s="209"/>
      <c r="AA395" s="209"/>
      <c r="AB395" s="209"/>
      <c r="AF395" s="209"/>
      <c r="AH395" s="209"/>
    </row>
    <row r="396" spans="1:54" x14ac:dyDescent="0.25">
      <c r="A396" s="996" t="s">
        <v>743</v>
      </c>
      <c r="B396" s="133"/>
      <c r="C396" s="133"/>
      <c r="D396" s="133"/>
      <c r="F396" s="491"/>
      <c r="G396" s="491"/>
      <c r="H396" s="491"/>
      <c r="I396" s="491"/>
      <c r="J396" s="491"/>
      <c r="K396" s="491"/>
      <c r="L396" s="491"/>
      <c r="M396" s="491"/>
      <c r="N396" s="491"/>
      <c r="O396" s="491"/>
      <c r="P396" s="492"/>
      <c r="Q396" s="491"/>
      <c r="R396" s="491"/>
      <c r="S396" s="491"/>
      <c r="T396" s="491"/>
      <c r="U396" s="178"/>
      <c r="V396" s="209"/>
      <c r="W396" s="209"/>
      <c r="X396" s="209"/>
      <c r="Y396" s="209"/>
      <c r="Z396" s="209"/>
      <c r="AA396" s="209"/>
      <c r="AB396" s="209"/>
      <c r="AF396" s="209"/>
      <c r="AH396" s="209"/>
    </row>
    <row r="397" spans="1:54" x14ac:dyDescent="0.25">
      <c r="A397" s="996"/>
      <c r="B397" s="133"/>
      <c r="C397" s="133"/>
      <c r="D397" s="133"/>
      <c r="F397" s="491"/>
      <c r="G397" s="491"/>
      <c r="H397" s="491"/>
      <c r="I397" s="491"/>
      <c r="J397" s="491"/>
      <c r="K397" s="491"/>
      <c r="L397" s="491"/>
      <c r="M397" s="491"/>
      <c r="N397" s="491"/>
      <c r="O397" s="491"/>
      <c r="P397" s="492"/>
      <c r="Q397" s="491"/>
      <c r="R397" s="491"/>
      <c r="S397" s="491"/>
      <c r="T397" s="491"/>
      <c r="U397" s="178"/>
      <c r="V397" s="209"/>
      <c r="W397" s="209"/>
      <c r="X397" s="209"/>
      <c r="Y397" s="209"/>
      <c r="Z397" s="209"/>
      <c r="AA397" s="209"/>
      <c r="AB397" s="209"/>
      <c r="AF397" s="209"/>
      <c r="AH397" s="209"/>
    </row>
    <row r="398" spans="1:54" x14ac:dyDescent="0.25">
      <c r="A398" s="491"/>
      <c r="B398" s="133"/>
      <c r="C398" s="133"/>
      <c r="D398" s="133"/>
      <c r="J398" s="1104" t="s">
        <v>353</v>
      </c>
      <c r="N398" s="1104" t="s">
        <v>354</v>
      </c>
      <c r="O398" s="172"/>
      <c r="Q398" s="491"/>
      <c r="R398" s="491"/>
      <c r="S398" s="491"/>
      <c r="T398" s="491"/>
      <c r="U398" s="178"/>
      <c r="V398" s="209"/>
      <c r="W398" s="209"/>
      <c r="X398" s="209"/>
      <c r="Y398" s="209"/>
      <c r="Z398" s="209"/>
      <c r="AA398" s="209"/>
      <c r="AB398" s="209"/>
      <c r="AF398" s="209"/>
      <c r="AH398" s="209"/>
    </row>
    <row r="399" spans="1:54" x14ac:dyDescent="0.25">
      <c r="H399" s="1115" t="s">
        <v>229</v>
      </c>
      <c r="J399" s="1108" t="s">
        <v>283</v>
      </c>
      <c r="N399" s="1108" t="s">
        <v>283</v>
      </c>
      <c r="O399" s="172"/>
      <c r="U399" s="178"/>
      <c r="AF399" s="209"/>
      <c r="AH399" s="209"/>
    </row>
    <row r="400" spans="1:54" x14ac:dyDescent="0.25">
      <c r="B400" s="133"/>
      <c r="C400" s="133"/>
      <c r="D400" s="133"/>
      <c r="H400" s="43" t="s">
        <v>80</v>
      </c>
      <c r="J400" s="1108" t="s">
        <v>288</v>
      </c>
      <c r="N400" s="1108" t="s">
        <v>288</v>
      </c>
      <c r="O400" s="172"/>
      <c r="Q400" s="491"/>
      <c r="R400" s="491"/>
      <c r="S400" s="491"/>
      <c r="T400" s="493"/>
      <c r="U400" s="178"/>
      <c r="V400" s="209"/>
      <c r="W400" s="209"/>
      <c r="X400" s="209"/>
      <c r="Y400" s="209"/>
      <c r="Z400" s="209"/>
      <c r="AA400" s="209"/>
      <c r="AB400" s="209"/>
      <c r="AF400" s="209"/>
      <c r="AH400" s="209"/>
    </row>
    <row r="401" spans="1:52" x14ac:dyDescent="0.25">
      <c r="A401" s="491"/>
      <c r="B401" s="133"/>
      <c r="C401" s="133"/>
      <c r="H401" s="1116">
        <v>44104</v>
      </c>
      <c r="J401" s="1144">
        <v>43831</v>
      </c>
      <c r="L401" s="1101" t="s">
        <v>107</v>
      </c>
      <c r="N401" s="1144">
        <v>44197</v>
      </c>
      <c r="O401" s="172"/>
      <c r="P401" s="1101" t="s">
        <v>35</v>
      </c>
      <c r="T401" s="172"/>
      <c r="U401" s="178"/>
      <c r="V401" s="209"/>
      <c r="W401" s="209"/>
      <c r="X401" s="209"/>
      <c r="Y401" s="209"/>
      <c r="Z401" s="209"/>
      <c r="AA401" s="209"/>
      <c r="AB401" s="209"/>
      <c r="AF401" s="209"/>
      <c r="AH401" s="209"/>
    </row>
    <row r="402" spans="1:52" x14ac:dyDescent="0.25">
      <c r="A402" s="491"/>
      <c r="B402" s="133"/>
      <c r="C402" s="133"/>
      <c r="H402" s="1145"/>
      <c r="I402" s="491"/>
      <c r="J402" s="491"/>
      <c r="K402" s="491"/>
      <c r="L402" s="491"/>
      <c r="M402" s="491"/>
      <c r="N402" s="491"/>
      <c r="O402" s="491"/>
      <c r="P402" s="491"/>
      <c r="Q402" s="491"/>
      <c r="R402" s="491"/>
      <c r="S402" s="491"/>
      <c r="T402" s="964"/>
      <c r="U402" s="178"/>
      <c r="V402" s="209"/>
      <c r="W402" s="209"/>
      <c r="X402" s="209"/>
      <c r="Y402" s="209"/>
      <c r="Z402" s="209"/>
      <c r="AA402" s="209"/>
      <c r="AB402" s="209"/>
      <c r="AF402" s="209"/>
      <c r="AH402" s="209"/>
    </row>
    <row r="403" spans="1:52" x14ac:dyDescent="0.25">
      <c r="A403" s="491"/>
      <c r="B403" s="1146" t="s">
        <v>797</v>
      </c>
      <c r="C403" s="491"/>
      <c r="H403" s="1147">
        <v>20719</v>
      </c>
      <c r="I403" s="491"/>
      <c r="J403" s="1147">
        <v>2611</v>
      </c>
      <c r="K403" s="491"/>
      <c r="L403" s="1147">
        <v>23330</v>
      </c>
      <c r="M403" s="491"/>
      <c r="N403" s="1147">
        <v>1295</v>
      </c>
      <c r="O403" s="491"/>
      <c r="P403" s="1147">
        <v>24625</v>
      </c>
      <c r="Q403" s="491"/>
      <c r="R403" s="491"/>
      <c r="S403" s="491"/>
      <c r="T403" s="201"/>
      <c r="U403" s="178"/>
      <c r="V403" s="209"/>
      <c r="W403" s="209"/>
      <c r="X403" s="209"/>
      <c r="Y403" s="209"/>
      <c r="Z403" s="209"/>
      <c r="AA403" s="209"/>
      <c r="AB403" s="209"/>
      <c r="AC403" s="1238"/>
      <c r="AF403" s="209"/>
      <c r="AH403" s="209"/>
    </row>
    <row r="404" spans="1:52" x14ac:dyDescent="0.25">
      <c r="A404" s="491"/>
      <c r="B404" s="1146" t="s">
        <v>148</v>
      </c>
      <c r="H404" s="1145">
        <v>22290</v>
      </c>
      <c r="I404" s="491"/>
      <c r="J404" s="1145">
        <v>2809</v>
      </c>
      <c r="K404" s="491"/>
      <c r="L404" s="1145">
        <v>25099</v>
      </c>
      <c r="M404" s="491"/>
      <c r="N404" s="1145">
        <v>1393</v>
      </c>
      <c r="O404" s="491"/>
      <c r="P404" s="1145">
        <v>26492</v>
      </c>
      <c r="Q404" s="491"/>
      <c r="R404" s="491"/>
      <c r="S404" s="491"/>
      <c r="T404" s="493"/>
      <c r="U404" s="178"/>
      <c r="V404" s="209"/>
      <c r="W404" s="209"/>
      <c r="X404" s="209"/>
      <c r="Y404" s="209"/>
      <c r="Z404" s="209"/>
      <c r="AA404" s="209"/>
      <c r="AB404" s="209"/>
      <c r="AC404" s="1238"/>
      <c r="AF404" s="209"/>
      <c r="AH404" s="209"/>
    </row>
    <row r="405" spans="1:52" x14ac:dyDescent="0.25">
      <c r="A405" s="491"/>
      <c r="B405" s="1146" t="s">
        <v>149</v>
      </c>
      <c r="H405" s="1145">
        <v>18279</v>
      </c>
      <c r="I405" s="491"/>
      <c r="J405" s="1145">
        <v>1014</v>
      </c>
      <c r="K405" s="491"/>
      <c r="L405" s="1145">
        <v>19293</v>
      </c>
      <c r="M405" s="491"/>
      <c r="N405" s="1145">
        <v>1071</v>
      </c>
      <c r="O405" s="491"/>
      <c r="P405" s="1145">
        <v>20364</v>
      </c>
      <c r="Q405" s="491"/>
      <c r="R405" s="491"/>
      <c r="S405" s="491"/>
      <c r="T405" s="209"/>
      <c r="U405" s="178"/>
      <c r="V405" s="209"/>
      <c r="W405" s="209"/>
      <c r="X405" s="209"/>
      <c r="Y405" s="209"/>
      <c r="Z405" s="209"/>
      <c r="AA405" s="209"/>
      <c r="AB405" s="209"/>
      <c r="AC405" s="1237"/>
      <c r="AF405" s="209"/>
      <c r="AH405" s="209"/>
    </row>
    <row r="406" spans="1:52" x14ac:dyDescent="0.25">
      <c r="A406" s="491"/>
      <c r="B406" s="1148" t="s">
        <v>798</v>
      </c>
      <c r="H406" s="1145">
        <v>19275</v>
      </c>
      <c r="I406" s="491"/>
      <c r="J406" s="1145"/>
      <c r="K406" s="491"/>
      <c r="L406" s="1145">
        <v>19275</v>
      </c>
      <c r="M406" s="491"/>
      <c r="N406" s="1145">
        <v>1070</v>
      </c>
      <c r="O406" s="491"/>
      <c r="P406" s="1145">
        <v>20345</v>
      </c>
      <c r="Q406" s="491"/>
      <c r="R406" s="491"/>
      <c r="S406" s="491"/>
      <c r="T406" s="493"/>
      <c r="U406" s="178"/>
      <c r="V406" s="209"/>
      <c r="W406" s="209"/>
      <c r="X406" s="209"/>
      <c r="Y406" s="209"/>
      <c r="Z406" s="209"/>
      <c r="AA406" s="209"/>
      <c r="AB406" s="209"/>
      <c r="AF406" s="209"/>
      <c r="AH406" s="209"/>
    </row>
    <row r="407" spans="1:52" x14ac:dyDescent="0.25">
      <c r="A407" s="491"/>
      <c r="B407" s="1146" t="s">
        <v>142</v>
      </c>
      <c r="H407" s="1145">
        <v>18155</v>
      </c>
      <c r="J407" s="1145"/>
      <c r="L407" s="1145">
        <v>18155</v>
      </c>
      <c r="N407" s="1145">
        <v>1008</v>
      </c>
      <c r="P407" s="1145">
        <v>19163</v>
      </c>
      <c r="T407" s="172"/>
      <c r="U407" s="178"/>
      <c r="AC407" s="493"/>
      <c r="AE407" s="493"/>
      <c r="AF407" s="493"/>
      <c r="AG407" s="493"/>
      <c r="AH407" s="493"/>
      <c r="AI407" s="493"/>
      <c r="AJ407" s="493"/>
      <c r="AK407" s="493"/>
      <c r="AL407" s="493"/>
    </row>
    <row r="408" spans="1:52" x14ac:dyDescent="0.25">
      <c r="A408" s="491"/>
      <c r="B408" s="1146" t="s">
        <v>157</v>
      </c>
      <c r="H408" s="712">
        <v>18467</v>
      </c>
      <c r="J408" s="712"/>
      <c r="L408" s="1145">
        <v>18467</v>
      </c>
      <c r="N408" s="1145">
        <v>1025</v>
      </c>
      <c r="P408" s="1145">
        <v>19492</v>
      </c>
      <c r="T408" s="172"/>
      <c r="U408" s="178"/>
      <c r="AC408" s="493"/>
      <c r="AE408" s="493"/>
      <c r="AF408" s="493"/>
      <c r="AG408" s="493"/>
      <c r="AH408" s="493"/>
      <c r="AI408" s="493"/>
      <c r="AJ408" s="493"/>
      <c r="AK408" s="493"/>
      <c r="AL408" s="493"/>
    </row>
    <row r="409" spans="1:52" x14ac:dyDescent="0.25">
      <c r="A409" s="491"/>
      <c r="B409" s="1146" t="s">
        <v>143</v>
      </c>
      <c r="H409" s="1145">
        <v>17271</v>
      </c>
      <c r="J409" s="1145"/>
      <c r="L409" s="1145">
        <v>17271</v>
      </c>
      <c r="N409" s="1145">
        <v>959</v>
      </c>
      <c r="P409" s="1145">
        <v>18230</v>
      </c>
      <c r="T409" s="172"/>
      <c r="U409" s="178"/>
      <c r="AC409" s="493"/>
      <c r="AE409" s="493"/>
      <c r="AF409" s="493"/>
      <c r="AG409" s="493"/>
      <c r="AH409" s="493"/>
      <c r="AI409" s="493"/>
      <c r="AJ409" s="493"/>
      <c r="AK409" s="493"/>
      <c r="AL409" s="493"/>
    </row>
    <row r="410" spans="1:52" x14ac:dyDescent="0.25">
      <c r="A410" s="491"/>
      <c r="B410" s="1146" t="s">
        <v>144</v>
      </c>
      <c r="H410" s="1145">
        <v>5021</v>
      </c>
      <c r="J410" s="1145"/>
      <c r="L410" s="1145">
        <v>5021</v>
      </c>
      <c r="N410" s="1145">
        <v>279</v>
      </c>
      <c r="P410" s="1145">
        <v>5300</v>
      </c>
      <c r="U410" s="178"/>
      <c r="AC410" s="493"/>
      <c r="AE410" s="493"/>
      <c r="AF410" s="493"/>
      <c r="AG410" s="493"/>
      <c r="AH410" s="493"/>
      <c r="AI410" s="493"/>
      <c r="AJ410" s="493"/>
      <c r="AK410" s="493"/>
      <c r="AL410" s="493"/>
    </row>
    <row r="411" spans="1:52" x14ac:dyDescent="0.25">
      <c r="A411" s="491"/>
      <c r="B411" s="1146" t="s">
        <v>145</v>
      </c>
      <c r="H411" s="1145">
        <v>5938</v>
      </c>
      <c r="J411" s="1145"/>
      <c r="L411" s="1145">
        <v>5938</v>
      </c>
      <c r="N411" s="1145">
        <v>330</v>
      </c>
      <c r="P411" s="1145">
        <v>6268</v>
      </c>
      <c r="U411" s="178"/>
      <c r="AC411" s="493"/>
      <c r="AE411" s="493"/>
      <c r="AF411" s="493"/>
      <c r="AG411" s="493"/>
      <c r="AH411" s="493"/>
      <c r="AI411" s="493"/>
      <c r="AJ411" s="493"/>
      <c r="AK411" s="493"/>
      <c r="AL411" s="493"/>
    </row>
    <row r="412" spans="1:52" x14ac:dyDescent="0.25">
      <c r="A412" s="491"/>
      <c r="B412" s="1146" t="s">
        <v>1</v>
      </c>
      <c r="H412" s="1145">
        <v>20216</v>
      </c>
      <c r="J412" s="1145"/>
      <c r="L412" s="1145">
        <v>20216</v>
      </c>
      <c r="N412" s="1145">
        <v>1122</v>
      </c>
      <c r="P412" s="1145">
        <v>21338</v>
      </c>
      <c r="U412" s="178"/>
      <c r="AC412" s="493"/>
      <c r="AE412" s="493"/>
      <c r="AF412" s="493"/>
      <c r="AG412" s="493"/>
      <c r="AH412" s="493"/>
      <c r="AI412" s="493"/>
      <c r="AJ412" s="493"/>
      <c r="AK412" s="493"/>
      <c r="AL412" s="493"/>
    </row>
    <row r="413" spans="1:52" x14ac:dyDescent="0.25">
      <c r="A413" s="491"/>
      <c r="B413" s="1146" t="s">
        <v>146</v>
      </c>
      <c r="H413" s="1145">
        <v>23264</v>
      </c>
      <c r="J413" s="1145"/>
      <c r="L413" s="1145">
        <v>23264</v>
      </c>
      <c r="N413" s="1145">
        <v>1291</v>
      </c>
      <c r="P413" s="1145">
        <v>24555</v>
      </c>
      <c r="U413" s="178"/>
      <c r="AD413" s="493"/>
      <c r="AE413" s="493"/>
      <c r="AF413" s="493"/>
      <c r="AG413" s="493"/>
      <c r="AH413" s="493"/>
      <c r="AI413" s="493"/>
      <c r="AJ413" s="493"/>
      <c r="AK413" s="493"/>
      <c r="AL413" s="493"/>
    </row>
    <row r="414" spans="1:52" x14ac:dyDescent="0.25">
      <c r="A414" s="491"/>
      <c r="B414" s="1146" t="s">
        <v>147</v>
      </c>
      <c r="H414" s="1149">
        <v>22971</v>
      </c>
      <c r="I414" s="491"/>
      <c r="J414" s="1149"/>
      <c r="K414" s="491"/>
      <c r="L414" s="1149">
        <v>22971</v>
      </c>
      <c r="M414" s="491"/>
      <c r="N414" s="1149">
        <v>1275</v>
      </c>
      <c r="O414" s="491"/>
      <c r="P414" s="1149">
        <v>24246</v>
      </c>
      <c r="Q414" s="491"/>
      <c r="R414" s="491"/>
      <c r="S414" s="491"/>
      <c r="T414" s="491"/>
      <c r="U414" s="178"/>
      <c r="V414" s="209"/>
      <c r="W414" s="209"/>
      <c r="X414" s="209"/>
      <c r="Y414" s="209"/>
      <c r="Z414" s="209"/>
      <c r="AA414" s="209"/>
      <c r="AB414" s="209"/>
      <c r="AF414" s="209"/>
      <c r="AH414" s="209"/>
    </row>
    <row r="415" spans="1:52" x14ac:dyDescent="0.25">
      <c r="A415" s="174"/>
      <c r="B415" s="267"/>
      <c r="C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4"/>
      <c r="U415" s="174"/>
      <c r="V415" s="357"/>
      <c r="W415" s="357"/>
      <c r="X415" s="357"/>
      <c r="Y415" s="357"/>
      <c r="Z415" s="357"/>
      <c r="AA415" s="357"/>
      <c r="AB415" s="357"/>
      <c r="AF415" s="209"/>
      <c r="AN415" s="945"/>
      <c r="AO415" s="493"/>
      <c r="AP415" s="493"/>
      <c r="AR415" s="1321"/>
      <c r="AS415" s="493"/>
      <c r="AT415" s="355"/>
      <c r="AU415" s="197"/>
      <c r="AV415" s="197"/>
      <c r="AW415" s="493"/>
      <c r="AY415" s="197"/>
      <c r="AZ415" s="197"/>
    </row>
    <row r="416" spans="1:52" ht="16.5" thickBot="1" x14ac:dyDescent="0.3">
      <c r="B416" s="233" t="s">
        <v>27</v>
      </c>
      <c r="C416" s="174"/>
      <c r="H416" s="1150">
        <f>SUM(H403:H415)</f>
        <v>211866</v>
      </c>
      <c r="I416" s="1011"/>
      <c r="J416" s="1150">
        <f>SUM(J403:J415)</f>
        <v>6434</v>
      </c>
      <c r="K416" s="1011"/>
      <c r="L416" s="1150">
        <f>SUM(L403:L415)</f>
        <v>218300</v>
      </c>
      <c r="M416" s="1011"/>
      <c r="N416" s="1150">
        <f>SUM(N403:N415)</f>
        <v>12118</v>
      </c>
      <c r="O416" s="1011"/>
      <c r="P416" s="1150">
        <f>SUM(P403:P415)</f>
        <v>230418</v>
      </c>
      <c r="Q416" s="1011"/>
      <c r="R416" s="1011"/>
      <c r="S416" s="1011"/>
      <c r="T416" s="1011"/>
      <c r="U416" s="1011"/>
      <c r="V416" s="196"/>
      <c r="W416" s="196"/>
      <c r="X416" s="196"/>
      <c r="Y416" s="196"/>
      <c r="Z416" s="196"/>
      <c r="AA416" s="196"/>
      <c r="AB416" s="196"/>
      <c r="AF416" s="209"/>
      <c r="AH416" s="209"/>
    </row>
    <row r="417" spans="1:34" ht="16.5" thickTop="1" x14ac:dyDescent="0.25">
      <c r="A417" s="174"/>
      <c r="B417" s="267"/>
      <c r="C417" s="267"/>
      <c r="D417" s="267"/>
      <c r="E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4"/>
      <c r="U417" s="174"/>
      <c r="V417" s="357"/>
      <c r="W417" s="357"/>
      <c r="X417" s="357"/>
      <c r="Y417" s="357"/>
      <c r="Z417" s="357"/>
      <c r="AA417" s="357"/>
      <c r="AB417" s="357"/>
      <c r="AF417" s="209"/>
      <c r="AH417" s="209"/>
    </row>
    <row r="418" spans="1:34" x14ac:dyDescent="0.25">
      <c r="A418" s="174"/>
      <c r="B418" s="267"/>
      <c r="C418" s="267"/>
      <c r="D418" s="267"/>
      <c r="E418" s="174"/>
      <c r="H418" s="710" t="s">
        <v>799</v>
      </c>
      <c r="I418" s="174"/>
      <c r="K418" s="174"/>
      <c r="L418" s="174"/>
      <c r="M418" s="174"/>
      <c r="N418" s="174"/>
      <c r="O418" s="174"/>
      <c r="P418" s="1151">
        <v>0</v>
      </c>
      <c r="Q418" s="174"/>
      <c r="R418" s="174"/>
      <c r="S418" s="174"/>
      <c r="T418" s="174"/>
      <c r="U418" s="174"/>
      <c r="V418" s="357"/>
      <c r="W418" s="357"/>
      <c r="X418" s="357"/>
      <c r="Y418" s="357"/>
      <c r="Z418" s="357"/>
      <c r="AA418" s="357"/>
      <c r="AB418" s="357"/>
      <c r="AF418" s="209"/>
      <c r="AH418" s="209"/>
    </row>
    <row r="419" spans="1:34" x14ac:dyDescent="0.25">
      <c r="A419" s="174"/>
      <c r="B419" s="267"/>
      <c r="C419" s="267"/>
      <c r="D419" s="267"/>
      <c r="E419" s="174"/>
      <c r="H419" s="710" t="s">
        <v>800</v>
      </c>
      <c r="I419" s="174"/>
      <c r="K419" s="174"/>
      <c r="L419" s="174"/>
      <c r="M419" s="174"/>
      <c r="N419" s="174"/>
      <c r="O419" s="174"/>
      <c r="P419" s="1149">
        <v>230418</v>
      </c>
      <c r="Q419" s="174"/>
      <c r="R419" s="174"/>
      <c r="S419" s="174"/>
      <c r="T419" s="174"/>
      <c r="U419" s="174"/>
      <c r="V419" s="357"/>
      <c r="W419" s="357"/>
      <c r="X419" s="357"/>
      <c r="Y419" s="357"/>
      <c r="Z419" s="357"/>
      <c r="AA419" s="357"/>
      <c r="AB419" s="357"/>
      <c r="AF419" s="209"/>
      <c r="AH419" s="209"/>
    </row>
    <row r="420" spans="1:34" x14ac:dyDescent="0.25">
      <c r="A420" s="174"/>
      <c r="B420" s="267"/>
      <c r="C420" s="267"/>
      <c r="D420" s="267"/>
      <c r="E420" s="174"/>
      <c r="H420" s="174"/>
      <c r="I420" s="174"/>
      <c r="J420" s="710"/>
      <c r="K420" s="174"/>
      <c r="L420" s="174"/>
      <c r="M420" s="174"/>
      <c r="N420" s="174"/>
      <c r="O420" s="174"/>
      <c r="P420" s="174"/>
      <c r="Q420" s="174"/>
      <c r="R420" s="174"/>
      <c r="S420" s="174"/>
      <c r="T420" s="174"/>
      <c r="U420" s="174"/>
      <c r="V420" s="357"/>
      <c r="W420" s="357"/>
      <c r="X420" s="357"/>
      <c r="Y420" s="357"/>
      <c r="Z420" s="357"/>
      <c r="AA420" s="357"/>
      <c r="AB420" s="357"/>
      <c r="AF420" s="209"/>
      <c r="AH420" s="209"/>
    </row>
    <row r="421" spans="1:34" ht="16.5" thickBot="1" x14ac:dyDescent="0.3">
      <c r="A421" s="174"/>
      <c r="B421" s="267"/>
      <c r="C421" s="267"/>
      <c r="D421" s="267"/>
      <c r="E421" s="174"/>
      <c r="H421" s="174"/>
      <c r="I421" s="174"/>
      <c r="J421" s="710"/>
      <c r="K421" s="174"/>
      <c r="L421" s="710" t="s">
        <v>171</v>
      </c>
      <c r="M421" s="174"/>
      <c r="N421" s="174"/>
      <c r="O421" s="174"/>
      <c r="P421" s="1150">
        <v>-230418</v>
      </c>
      <c r="Q421" s="174"/>
      <c r="R421" s="174"/>
      <c r="S421" s="174"/>
      <c r="T421" s="174"/>
      <c r="U421" s="174"/>
      <c r="V421" s="357"/>
      <c r="W421" s="357"/>
      <c r="X421" s="357"/>
      <c r="Y421" s="357"/>
      <c r="Z421" s="357"/>
      <c r="AA421" s="357"/>
      <c r="AB421" s="357"/>
      <c r="AF421" s="209"/>
      <c r="AH421" s="209"/>
    </row>
    <row r="422" spans="1:34" ht="16.5" thickTop="1" x14ac:dyDescent="0.25">
      <c r="A422" s="174"/>
      <c r="B422" s="267"/>
      <c r="C422" s="267"/>
      <c r="D422" s="267"/>
      <c r="E422" s="174"/>
      <c r="F422" s="174"/>
      <c r="G422" s="174"/>
      <c r="H422" s="710"/>
      <c r="I422" s="174"/>
      <c r="J422" s="710"/>
      <c r="K422" s="174"/>
      <c r="L422" s="174"/>
      <c r="M422" s="174"/>
      <c r="N422" s="174"/>
      <c r="O422" s="174"/>
      <c r="P422" s="494"/>
      <c r="Q422" s="174"/>
      <c r="R422" s="174"/>
      <c r="S422" s="174"/>
      <c r="T422" s="174"/>
      <c r="U422" s="174"/>
      <c r="V422" s="357"/>
      <c r="W422" s="357"/>
      <c r="X422" s="357"/>
      <c r="Y422" s="357"/>
      <c r="Z422" s="357"/>
      <c r="AA422" s="357"/>
      <c r="AB422" s="357"/>
      <c r="AF422" s="209"/>
      <c r="AH422" s="209"/>
    </row>
    <row r="423" spans="1:34" x14ac:dyDescent="0.25">
      <c r="A423" s="1273" t="s">
        <v>1158</v>
      </c>
      <c r="B423" s="267"/>
      <c r="C423" s="267"/>
      <c r="D423" s="267"/>
      <c r="E423" s="174"/>
      <c r="F423" s="174"/>
      <c r="G423" s="174"/>
      <c r="H423" s="174"/>
      <c r="I423" s="174"/>
      <c r="J423" s="174"/>
      <c r="K423" s="174"/>
      <c r="L423" s="174"/>
      <c r="M423" s="174"/>
      <c r="N423" s="174"/>
      <c r="O423" s="174"/>
      <c r="P423" s="494"/>
      <c r="Q423" s="174"/>
      <c r="R423" s="174"/>
      <c r="S423" s="174"/>
      <c r="T423" s="174"/>
      <c r="U423" s="174"/>
      <c r="V423" s="174"/>
      <c r="W423" s="174"/>
      <c r="X423" s="174"/>
      <c r="Y423" s="174"/>
      <c r="Z423" s="174"/>
      <c r="AA423" s="174"/>
      <c r="AB423" s="174"/>
      <c r="AF423" s="425"/>
    </row>
    <row r="424" spans="1:34" x14ac:dyDescent="0.25">
      <c r="A424" s="174"/>
      <c r="B424" s="267"/>
      <c r="C424" s="267"/>
      <c r="D424" s="267"/>
      <c r="E424" s="174"/>
      <c r="F424" s="174"/>
      <c r="G424" s="174"/>
      <c r="H424" s="174"/>
      <c r="I424" s="174"/>
      <c r="J424" s="174"/>
      <c r="K424" s="174"/>
      <c r="L424" s="174"/>
      <c r="M424" s="174"/>
      <c r="N424" s="174"/>
      <c r="O424" s="174"/>
      <c r="P424" s="494"/>
      <c r="Q424" s="174"/>
      <c r="R424" s="174"/>
      <c r="S424" s="174"/>
      <c r="T424" s="174"/>
      <c r="U424" s="174"/>
      <c r="V424" s="174"/>
      <c r="W424" s="174"/>
      <c r="X424" s="174"/>
      <c r="Y424" s="174"/>
      <c r="Z424" s="174"/>
      <c r="AA424" s="174"/>
      <c r="AB424" s="174"/>
      <c r="AF424" s="425"/>
    </row>
    <row r="425" spans="1:34" x14ac:dyDescent="0.25">
      <c r="A425" s="174" t="s">
        <v>611</v>
      </c>
      <c r="B425" s="267"/>
      <c r="C425" s="267"/>
      <c r="D425" s="267"/>
      <c r="E425" s="174"/>
      <c r="F425" s="174"/>
      <c r="G425" s="174"/>
      <c r="H425" s="174"/>
      <c r="I425" s="174"/>
      <c r="J425" s="174"/>
      <c r="K425" s="174"/>
      <c r="L425" s="174"/>
      <c r="M425" s="174"/>
      <c r="N425" s="174"/>
      <c r="O425" s="174"/>
      <c r="P425" s="494"/>
      <c r="Q425" s="174"/>
      <c r="R425" s="174"/>
      <c r="S425" s="174"/>
      <c r="T425" s="174"/>
      <c r="U425" s="174"/>
      <c r="V425" s="174"/>
      <c r="W425" s="174"/>
      <c r="X425" s="174"/>
      <c r="Y425" s="174"/>
      <c r="Z425" s="174"/>
      <c r="AA425" s="174"/>
      <c r="AB425" s="174"/>
      <c r="AF425" s="425"/>
    </row>
    <row r="426" spans="1:34" x14ac:dyDescent="0.25">
      <c r="A426" s="174"/>
      <c r="B426" s="267"/>
      <c r="C426" s="267"/>
      <c r="D426" s="267"/>
      <c r="E426" s="174"/>
      <c r="F426" s="174"/>
      <c r="G426" s="174"/>
      <c r="H426" s="174"/>
      <c r="I426" s="174"/>
      <c r="J426" s="174"/>
      <c r="K426" s="174"/>
      <c r="L426" s="174"/>
      <c r="M426" s="174"/>
      <c r="N426" s="174"/>
      <c r="O426" s="174"/>
      <c r="P426" s="494"/>
      <c r="Q426" s="174"/>
      <c r="R426" s="174"/>
      <c r="S426" s="174"/>
      <c r="T426" s="174"/>
      <c r="U426" s="174"/>
      <c r="V426" s="174"/>
      <c r="W426" s="174"/>
      <c r="X426" s="174"/>
      <c r="Y426" s="174"/>
      <c r="Z426" s="174"/>
      <c r="AA426" s="174"/>
      <c r="AB426" s="174"/>
      <c r="AF426" s="425"/>
    </row>
    <row r="427" spans="1:34" x14ac:dyDescent="0.25">
      <c r="A427" s="192">
        <v>25</v>
      </c>
      <c r="B427" s="495"/>
      <c r="C427" s="495"/>
      <c r="D427" s="495"/>
      <c r="E427" s="192"/>
      <c r="F427" s="192"/>
      <c r="G427" s="192"/>
      <c r="H427" s="192"/>
      <c r="I427" s="192"/>
      <c r="J427" s="192"/>
      <c r="K427" s="192"/>
      <c r="L427" s="192"/>
      <c r="M427" s="192"/>
      <c r="N427" s="192"/>
      <c r="O427" s="192"/>
      <c r="P427" s="495"/>
      <c r="Q427" s="192"/>
      <c r="R427" s="192"/>
      <c r="S427" s="192"/>
      <c r="T427" s="192"/>
      <c r="U427" s="192"/>
      <c r="V427" s="192"/>
      <c r="W427" s="192"/>
      <c r="X427" s="192"/>
      <c r="Y427" s="192"/>
      <c r="Z427" s="192"/>
      <c r="AA427" s="192"/>
      <c r="AB427" s="192"/>
      <c r="AD427" s="425"/>
      <c r="AF427" s="425"/>
    </row>
  </sheetData>
  <mergeCells count="6">
    <mergeCell ref="A62:Q62"/>
    <mergeCell ref="A394:AB394"/>
    <mergeCell ref="D256:H256"/>
    <mergeCell ref="D257:H257"/>
    <mergeCell ref="D272:H272"/>
    <mergeCell ref="D271:H271"/>
  </mergeCells>
  <phoneticPr fontId="0" type="noConversion"/>
  <printOptions horizontalCentered="1"/>
  <pageMargins left="0.5" right="0.5" top="0.75" bottom="0.75" header="0.3" footer="0.3"/>
  <pageSetup scale="73" orientation="portrait" r:id="rId1"/>
  <headerFooter alignWithMargins="0"/>
  <rowBreaks count="6" manualBreakCount="6">
    <brk id="61" max="26" man="1"/>
    <brk id="121" max="26" man="1"/>
    <brk id="182" max="26" man="1"/>
    <brk id="243" max="26" man="1"/>
    <brk id="304" max="26" man="1"/>
    <brk id="364" max="26" man="1"/>
  </rowBreaks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2"/>
  <dimension ref="A1:BB278"/>
  <sheetViews>
    <sheetView view="pageBreakPreview" topLeftCell="A13" zoomScale="80" zoomScaleNormal="80" zoomScaleSheetLayoutView="80" workbookViewId="0">
      <selection activeCell="M32" sqref="M32"/>
    </sheetView>
  </sheetViews>
  <sheetFormatPr defaultColWidth="12.7109375" defaultRowHeight="15.75" x14ac:dyDescent="0.25"/>
  <cols>
    <col min="1" max="2" width="4.7109375" style="993" customWidth="1"/>
    <col min="3" max="3" width="20.5703125" style="993" customWidth="1"/>
    <col min="4" max="4" width="15.28515625" style="993" customWidth="1"/>
    <col min="5" max="5" width="2.42578125" style="993" customWidth="1"/>
    <col min="6" max="6" width="2.7109375" style="993" customWidth="1"/>
    <col min="7" max="7" width="13.28515625" style="993" customWidth="1"/>
    <col min="8" max="8" width="2.5703125" style="993" customWidth="1"/>
    <col min="9" max="9" width="13.28515625" style="993" customWidth="1"/>
    <col min="10" max="10" width="2.5703125" style="993" customWidth="1"/>
    <col min="11" max="11" width="4.28515625" style="993" customWidth="1"/>
    <col min="12" max="12" width="2.5703125" style="993" customWidth="1"/>
    <col min="13" max="13" width="13.28515625" style="993" customWidth="1"/>
    <col min="14" max="14" width="2.5703125" style="993" customWidth="1"/>
    <col min="15" max="15" width="13.28515625" style="993" customWidth="1"/>
    <col min="16" max="16" width="2.5703125" style="993" customWidth="1"/>
    <col min="17" max="17" width="4.28515625" style="993" customWidth="1"/>
    <col min="18" max="18" width="2.5703125" style="993" customWidth="1"/>
    <col min="19" max="19" width="13.28515625" style="993" customWidth="1"/>
    <col min="20" max="20" width="2.5703125" style="993" customWidth="1"/>
    <col min="21" max="21" width="13.28515625" style="993" customWidth="1"/>
    <col min="22" max="22" width="2.5703125" style="993" customWidth="1"/>
    <col min="23" max="23" width="4.28515625" style="993" customWidth="1"/>
    <col min="24" max="24" width="2.5703125" style="993" customWidth="1"/>
    <col min="25" max="25" width="13.28515625" style="993" customWidth="1"/>
    <col min="26" max="26" width="2.5703125" style="993" customWidth="1"/>
    <col min="27" max="27" width="13.28515625" style="993" customWidth="1"/>
    <col min="28" max="28" width="2.5703125" style="993" customWidth="1"/>
    <col min="29" max="29" width="4.28515625" style="993" customWidth="1"/>
    <col min="30" max="30" width="2.5703125" style="993" customWidth="1"/>
    <col min="31" max="31" width="13.28515625" style="993" customWidth="1"/>
    <col min="32" max="32" width="2.5703125" style="993" customWidth="1"/>
    <col min="33" max="33" width="13.28515625" style="993" customWidth="1"/>
    <col min="34" max="34" width="2.5703125" style="993" customWidth="1"/>
    <col min="35" max="35" width="4.28515625" style="993" customWidth="1"/>
    <col min="36" max="36" width="2.5703125" style="993" customWidth="1"/>
    <col min="37" max="37" width="13.28515625" style="993" customWidth="1"/>
    <col min="38" max="38" width="12.7109375" style="993"/>
    <col min="39" max="39" width="13.85546875" style="993" customWidth="1"/>
    <col min="40" max="40" width="12.85546875" style="993" bestFit="1" customWidth="1"/>
    <col min="41" max="41" width="13.85546875" style="993" customWidth="1"/>
    <col min="42" max="42" width="4.85546875" style="993" customWidth="1"/>
    <col min="43" max="43" width="13.85546875" style="993" customWidth="1"/>
    <col min="44" max="44" width="4.85546875" style="993" customWidth="1"/>
    <col min="45" max="45" width="12.7109375" style="993"/>
    <col min="46" max="46" width="4.28515625" style="993" customWidth="1"/>
    <col min="47" max="268" width="12.7109375" style="993"/>
    <col min="269" max="270" width="4.7109375" style="993" customWidth="1"/>
    <col min="271" max="271" width="12.7109375" style="993" customWidth="1"/>
    <col min="272" max="272" width="13.140625" style="993" customWidth="1"/>
    <col min="273" max="273" width="3.7109375" style="993" customWidth="1"/>
    <col min="274" max="274" width="2.7109375" style="993" customWidth="1"/>
    <col min="275" max="275" width="13.7109375" style="993" customWidth="1"/>
    <col min="276" max="276" width="2.7109375" style="993" customWidth="1"/>
    <col min="277" max="277" width="13.7109375" style="993" customWidth="1"/>
    <col min="278" max="278" width="2.7109375" style="993" customWidth="1"/>
    <col min="279" max="279" width="6.7109375" style="993" customWidth="1"/>
    <col min="280" max="280" width="2.7109375" style="993" customWidth="1"/>
    <col min="281" max="281" width="13.7109375" style="993" customWidth="1"/>
    <col min="282" max="282" width="2.7109375" style="993" customWidth="1"/>
    <col min="283" max="283" width="13.7109375" style="993" customWidth="1"/>
    <col min="284" max="284" width="2.7109375" style="993" customWidth="1"/>
    <col min="285" max="285" width="6.7109375" style="993" customWidth="1"/>
    <col min="286" max="286" width="2.7109375" style="993" customWidth="1"/>
    <col min="287" max="287" width="13.7109375" style="993" customWidth="1"/>
    <col min="288" max="288" width="2.7109375" style="993" customWidth="1"/>
    <col min="289" max="289" width="13.7109375" style="993" customWidth="1"/>
    <col min="290" max="290" width="2.7109375" style="993" customWidth="1"/>
    <col min="291" max="291" width="6.7109375" style="993" customWidth="1"/>
    <col min="292" max="292" width="2.7109375" style="993" customWidth="1"/>
    <col min="293" max="293" width="13.7109375" style="993" customWidth="1"/>
    <col min="294" max="294" width="12.7109375" style="993"/>
    <col min="295" max="295" width="18.42578125" style="993" bestFit="1" customWidth="1"/>
    <col min="296" max="296" width="12.7109375" style="993"/>
    <col min="297" max="297" width="18.42578125" style="993" bestFit="1" customWidth="1"/>
    <col min="298" max="298" width="12.7109375" style="993"/>
    <col min="299" max="299" width="15.85546875" style="993" customWidth="1"/>
    <col min="300" max="524" width="12.7109375" style="993"/>
    <col min="525" max="526" width="4.7109375" style="993" customWidth="1"/>
    <col min="527" max="527" width="12.7109375" style="993" customWidth="1"/>
    <col min="528" max="528" width="13.140625" style="993" customWidth="1"/>
    <col min="529" max="529" width="3.7109375" style="993" customWidth="1"/>
    <col min="530" max="530" width="2.7109375" style="993" customWidth="1"/>
    <col min="531" max="531" width="13.7109375" style="993" customWidth="1"/>
    <col min="532" max="532" width="2.7109375" style="993" customWidth="1"/>
    <col min="533" max="533" width="13.7109375" style="993" customWidth="1"/>
    <col min="534" max="534" width="2.7109375" style="993" customWidth="1"/>
    <col min="535" max="535" width="6.7109375" style="993" customWidth="1"/>
    <col min="536" max="536" width="2.7109375" style="993" customWidth="1"/>
    <col min="537" max="537" width="13.7109375" style="993" customWidth="1"/>
    <col min="538" max="538" width="2.7109375" style="993" customWidth="1"/>
    <col min="539" max="539" width="13.7109375" style="993" customWidth="1"/>
    <col min="540" max="540" width="2.7109375" style="993" customWidth="1"/>
    <col min="541" max="541" width="6.7109375" style="993" customWidth="1"/>
    <col min="542" max="542" width="2.7109375" style="993" customWidth="1"/>
    <col min="543" max="543" width="13.7109375" style="993" customWidth="1"/>
    <col min="544" max="544" width="2.7109375" style="993" customWidth="1"/>
    <col min="545" max="545" width="13.7109375" style="993" customWidth="1"/>
    <col min="546" max="546" width="2.7109375" style="993" customWidth="1"/>
    <col min="547" max="547" width="6.7109375" style="993" customWidth="1"/>
    <col min="548" max="548" width="2.7109375" style="993" customWidth="1"/>
    <col min="549" max="549" width="13.7109375" style="993" customWidth="1"/>
    <col min="550" max="550" width="12.7109375" style="993"/>
    <col min="551" max="551" width="18.42578125" style="993" bestFit="1" customWidth="1"/>
    <col min="552" max="552" width="12.7109375" style="993"/>
    <col min="553" max="553" width="18.42578125" style="993" bestFit="1" customWidth="1"/>
    <col min="554" max="554" width="12.7109375" style="993"/>
    <col min="555" max="555" width="15.85546875" style="993" customWidth="1"/>
    <col min="556" max="780" width="12.7109375" style="993"/>
    <col min="781" max="782" width="4.7109375" style="993" customWidth="1"/>
    <col min="783" max="783" width="12.7109375" style="993" customWidth="1"/>
    <col min="784" max="784" width="13.140625" style="993" customWidth="1"/>
    <col min="785" max="785" width="3.7109375" style="993" customWidth="1"/>
    <col min="786" max="786" width="2.7109375" style="993" customWidth="1"/>
    <col min="787" max="787" width="13.7109375" style="993" customWidth="1"/>
    <col min="788" max="788" width="2.7109375" style="993" customWidth="1"/>
    <col min="789" max="789" width="13.7109375" style="993" customWidth="1"/>
    <col min="790" max="790" width="2.7109375" style="993" customWidth="1"/>
    <col min="791" max="791" width="6.7109375" style="993" customWidth="1"/>
    <col min="792" max="792" width="2.7109375" style="993" customWidth="1"/>
    <col min="793" max="793" width="13.7109375" style="993" customWidth="1"/>
    <col min="794" max="794" width="2.7109375" style="993" customWidth="1"/>
    <col min="795" max="795" width="13.7109375" style="993" customWidth="1"/>
    <col min="796" max="796" width="2.7109375" style="993" customWidth="1"/>
    <col min="797" max="797" width="6.7109375" style="993" customWidth="1"/>
    <col min="798" max="798" width="2.7109375" style="993" customWidth="1"/>
    <col min="799" max="799" width="13.7109375" style="993" customWidth="1"/>
    <col min="800" max="800" width="2.7109375" style="993" customWidth="1"/>
    <col min="801" max="801" width="13.7109375" style="993" customWidth="1"/>
    <col min="802" max="802" width="2.7109375" style="993" customWidth="1"/>
    <col min="803" max="803" width="6.7109375" style="993" customWidth="1"/>
    <col min="804" max="804" width="2.7109375" style="993" customWidth="1"/>
    <col min="805" max="805" width="13.7109375" style="993" customWidth="1"/>
    <col min="806" max="806" width="12.7109375" style="993"/>
    <col min="807" max="807" width="18.42578125" style="993" bestFit="1" customWidth="1"/>
    <col min="808" max="808" width="12.7109375" style="993"/>
    <col min="809" max="809" width="18.42578125" style="993" bestFit="1" customWidth="1"/>
    <col min="810" max="810" width="12.7109375" style="993"/>
    <col min="811" max="811" width="15.85546875" style="993" customWidth="1"/>
    <col min="812" max="1036" width="12.7109375" style="993"/>
    <col min="1037" max="1038" width="4.7109375" style="993" customWidth="1"/>
    <col min="1039" max="1039" width="12.7109375" style="993" customWidth="1"/>
    <col min="1040" max="1040" width="13.140625" style="993" customWidth="1"/>
    <col min="1041" max="1041" width="3.7109375" style="993" customWidth="1"/>
    <col min="1042" max="1042" width="2.7109375" style="993" customWidth="1"/>
    <col min="1043" max="1043" width="13.7109375" style="993" customWidth="1"/>
    <col min="1044" max="1044" width="2.7109375" style="993" customWidth="1"/>
    <col min="1045" max="1045" width="13.7109375" style="993" customWidth="1"/>
    <col min="1046" max="1046" width="2.7109375" style="993" customWidth="1"/>
    <col min="1047" max="1047" width="6.7109375" style="993" customWidth="1"/>
    <col min="1048" max="1048" width="2.7109375" style="993" customWidth="1"/>
    <col min="1049" max="1049" width="13.7109375" style="993" customWidth="1"/>
    <col min="1050" max="1050" width="2.7109375" style="993" customWidth="1"/>
    <col min="1051" max="1051" width="13.7109375" style="993" customWidth="1"/>
    <col min="1052" max="1052" width="2.7109375" style="993" customWidth="1"/>
    <col min="1053" max="1053" width="6.7109375" style="993" customWidth="1"/>
    <col min="1054" max="1054" width="2.7109375" style="993" customWidth="1"/>
    <col min="1055" max="1055" width="13.7109375" style="993" customWidth="1"/>
    <col min="1056" max="1056" width="2.7109375" style="993" customWidth="1"/>
    <col min="1057" max="1057" width="13.7109375" style="993" customWidth="1"/>
    <col min="1058" max="1058" width="2.7109375" style="993" customWidth="1"/>
    <col min="1059" max="1059" width="6.7109375" style="993" customWidth="1"/>
    <col min="1060" max="1060" width="2.7109375" style="993" customWidth="1"/>
    <col min="1061" max="1061" width="13.7109375" style="993" customWidth="1"/>
    <col min="1062" max="1062" width="12.7109375" style="993"/>
    <col min="1063" max="1063" width="18.42578125" style="993" bestFit="1" customWidth="1"/>
    <col min="1064" max="1064" width="12.7109375" style="993"/>
    <col min="1065" max="1065" width="18.42578125" style="993" bestFit="1" customWidth="1"/>
    <col min="1066" max="1066" width="12.7109375" style="993"/>
    <col min="1067" max="1067" width="15.85546875" style="993" customWidth="1"/>
    <col min="1068" max="1292" width="12.7109375" style="993"/>
    <col min="1293" max="1294" width="4.7109375" style="993" customWidth="1"/>
    <col min="1295" max="1295" width="12.7109375" style="993" customWidth="1"/>
    <col min="1296" max="1296" width="13.140625" style="993" customWidth="1"/>
    <col min="1297" max="1297" width="3.7109375" style="993" customWidth="1"/>
    <col min="1298" max="1298" width="2.7109375" style="993" customWidth="1"/>
    <col min="1299" max="1299" width="13.7109375" style="993" customWidth="1"/>
    <col min="1300" max="1300" width="2.7109375" style="993" customWidth="1"/>
    <col min="1301" max="1301" width="13.7109375" style="993" customWidth="1"/>
    <col min="1302" max="1302" width="2.7109375" style="993" customWidth="1"/>
    <col min="1303" max="1303" width="6.7109375" style="993" customWidth="1"/>
    <col min="1304" max="1304" width="2.7109375" style="993" customWidth="1"/>
    <col min="1305" max="1305" width="13.7109375" style="993" customWidth="1"/>
    <col min="1306" max="1306" width="2.7109375" style="993" customWidth="1"/>
    <col min="1307" max="1307" width="13.7109375" style="993" customWidth="1"/>
    <col min="1308" max="1308" width="2.7109375" style="993" customWidth="1"/>
    <col min="1309" max="1309" width="6.7109375" style="993" customWidth="1"/>
    <col min="1310" max="1310" width="2.7109375" style="993" customWidth="1"/>
    <col min="1311" max="1311" width="13.7109375" style="993" customWidth="1"/>
    <col min="1312" max="1312" width="2.7109375" style="993" customWidth="1"/>
    <col min="1313" max="1313" width="13.7109375" style="993" customWidth="1"/>
    <col min="1314" max="1314" width="2.7109375" style="993" customWidth="1"/>
    <col min="1315" max="1315" width="6.7109375" style="993" customWidth="1"/>
    <col min="1316" max="1316" width="2.7109375" style="993" customWidth="1"/>
    <col min="1317" max="1317" width="13.7109375" style="993" customWidth="1"/>
    <col min="1318" max="1318" width="12.7109375" style="993"/>
    <col min="1319" max="1319" width="18.42578125" style="993" bestFit="1" customWidth="1"/>
    <col min="1320" max="1320" width="12.7109375" style="993"/>
    <col min="1321" max="1321" width="18.42578125" style="993" bestFit="1" customWidth="1"/>
    <col min="1322" max="1322" width="12.7109375" style="993"/>
    <col min="1323" max="1323" width="15.85546875" style="993" customWidth="1"/>
    <col min="1324" max="1548" width="12.7109375" style="993"/>
    <col min="1549" max="1550" width="4.7109375" style="993" customWidth="1"/>
    <col min="1551" max="1551" width="12.7109375" style="993" customWidth="1"/>
    <col min="1552" max="1552" width="13.140625" style="993" customWidth="1"/>
    <col min="1553" max="1553" width="3.7109375" style="993" customWidth="1"/>
    <col min="1554" max="1554" width="2.7109375" style="993" customWidth="1"/>
    <col min="1555" max="1555" width="13.7109375" style="993" customWidth="1"/>
    <col min="1556" max="1556" width="2.7109375" style="993" customWidth="1"/>
    <col min="1557" max="1557" width="13.7109375" style="993" customWidth="1"/>
    <col min="1558" max="1558" width="2.7109375" style="993" customWidth="1"/>
    <col min="1559" max="1559" width="6.7109375" style="993" customWidth="1"/>
    <col min="1560" max="1560" width="2.7109375" style="993" customWidth="1"/>
    <col min="1561" max="1561" width="13.7109375" style="993" customWidth="1"/>
    <col min="1562" max="1562" width="2.7109375" style="993" customWidth="1"/>
    <col min="1563" max="1563" width="13.7109375" style="993" customWidth="1"/>
    <col min="1564" max="1564" width="2.7109375" style="993" customWidth="1"/>
    <col min="1565" max="1565" width="6.7109375" style="993" customWidth="1"/>
    <col min="1566" max="1566" width="2.7109375" style="993" customWidth="1"/>
    <col min="1567" max="1567" width="13.7109375" style="993" customWidth="1"/>
    <col min="1568" max="1568" width="2.7109375" style="993" customWidth="1"/>
    <col min="1569" max="1569" width="13.7109375" style="993" customWidth="1"/>
    <col min="1570" max="1570" width="2.7109375" style="993" customWidth="1"/>
    <col min="1571" max="1571" width="6.7109375" style="993" customWidth="1"/>
    <col min="1572" max="1572" width="2.7109375" style="993" customWidth="1"/>
    <col min="1573" max="1573" width="13.7109375" style="993" customWidth="1"/>
    <col min="1574" max="1574" width="12.7109375" style="993"/>
    <col min="1575" max="1575" width="18.42578125" style="993" bestFit="1" customWidth="1"/>
    <col min="1576" max="1576" width="12.7109375" style="993"/>
    <col min="1577" max="1577" width="18.42578125" style="993" bestFit="1" customWidth="1"/>
    <col min="1578" max="1578" width="12.7109375" style="993"/>
    <col min="1579" max="1579" width="15.85546875" style="993" customWidth="1"/>
    <col min="1580" max="1804" width="12.7109375" style="993"/>
    <col min="1805" max="1806" width="4.7109375" style="993" customWidth="1"/>
    <col min="1807" max="1807" width="12.7109375" style="993" customWidth="1"/>
    <col min="1808" max="1808" width="13.140625" style="993" customWidth="1"/>
    <col min="1809" max="1809" width="3.7109375" style="993" customWidth="1"/>
    <col min="1810" max="1810" width="2.7109375" style="993" customWidth="1"/>
    <col min="1811" max="1811" width="13.7109375" style="993" customWidth="1"/>
    <col min="1812" max="1812" width="2.7109375" style="993" customWidth="1"/>
    <col min="1813" max="1813" width="13.7109375" style="993" customWidth="1"/>
    <col min="1814" max="1814" width="2.7109375" style="993" customWidth="1"/>
    <col min="1815" max="1815" width="6.7109375" style="993" customWidth="1"/>
    <col min="1816" max="1816" width="2.7109375" style="993" customWidth="1"/>
    <col min="1817" max="1817" width="13.7109375" style="993" customWidth="1"/>
    <col min="1818" max="1818" width="2.7109375" style="993" customWidth="1"/>
    <col min="1819" max="1819" width="13.7109375" style="993" customWidth="1"/>
    <col min="1820" max="1820" width="2.7109375" style="993" customWidth="1"/>
    <col min="1821" max="1821" width="6.7109375" style="993" customWidth="1"/>
    <col min="1822" max="1822" width="2.7109375" style="993" customWidth="1"/>
    <col min="1823" max="1823" width="13.7109375" style="993" customWidth="1"/>
    <col min="1824" max="1824" width="2.7109375" style="993" customWidth="1"/>
    <col min="1825" max="1825" width="13.7109375" style="993" customWidth="1"/>
    <col min="1826" max="1826" width="2.7109375" style="993" customWidth="1"/>
    <col min="1827" max="1827" width="6.7109375" style="993" customWidth="1"/>
    <col min="1828" max="1828" width="2.7109375" style="993" customWidth="1"/>
    <col min="1829" max="1829" width="13.7109375" style="993" customWidth="1"/>
    <col min="1830" max="1830" width="12.7109375" style="993"/>
    <col min="1831" max="1831" width="18.42578125" style="993" bestFit="1" customWidth="1"/>
    <col min="1832" max="1832" width="12.7109375" style="993"/>
    <col min="1833" max="1833" width="18.42578125" style="993" bestFit="1" customWidth="1"/>
    <col min="1834" max="1834" width="12.7109375" style="993"/>
    <col min="1835" max="1835" width="15.85546875" style="993" customWidth="1"/>
    <col min="1836" max="2060" width="12.7109375" style="993"/>
    <col min="2061" max="2062" width="4.7109375" style="993" customWidth="1"/>
    <col min="2063" max="2063" width="12.7109375" style="993" customWidth="1"/>
    <col min="2064" max="2064" width="13.140625" style="993" customWidth="1"/>
    <col min="2065" max="2065" width="3.7109375" style="993" customWidth="1"/>
    <col min="2066" max="2066" width="2.7109375" style="993" customWidth="1"/>
    <col min="2067" max="2067" width="13.7109375" style="993" customWidth="1"/>
    <col min="2068" max="2068" width="2.7109375" style="993" customWidth="1"/>
    <col min="2069" max="2069" width="13.7109375" style="993" customWidth="1"/>
    <col min="2070" max="2070" width="2.7109375" style="993" customWidth="1"/>
    <col min="2071" max="2071" width="6.7109375" style="993" customWidth="1"/>
    <col min="2072" max="2072" width="2.7109375" style="993" customWidth="1"/>
    <col min="2073" max="2073" width="13.7109375" style="993" customWidth="1"/>
    <col min="2074" max="2074" width="2.7109375" style="993" customWidth="1"/>
    <col min="2075" max="2075" width="13.7109375" style="993" customWidth="1"/>
    <col min="2076" max="2076" width="2.7109375" style="993" customWidth="1"/>
    <col min="2077" max="2077" width="6.7109375" style="993" customWidth="1"/>
    <col min="2078" max="2078" width="2.7109375" style="993" customWidth="1"/>
    <col min="2079" max="2079" width="13.7109375" style="993" customWidth="1"/>
    <col min="2080" max="2080" width="2.7109375" style="993" customWidth="1"/>
    <col min="2081" max="2081" width="13.7109375" style="993" customWidth="1"/>
    <col min="2082" max="2082" width="2.7109375" style="993" customWidth="1"/>
    <col min="2083" max="2083" width="6.7109375" style="993" customWidth="1"/>
    <col min="2084" max="2084" width="2.7109375" style="993" customWidth="1"/>
    <col min="2085" max="2085" width="13.7109375" style="993" customWidth="1"/>
    <col min="2086" max="2086" width="12.7109375" style="993"/>
    <col min="2087" max="2087" width="18.42578125" style="993" bestFit="1" customWidth="1"/>
    <col min="2088" max="2088" width="12.7109375" style="993"/>
    <col min="2089" max="2089" width="18.42578125" style="993" bestFit="1" customWidth="1"/>
    <col min="2090" max="2090" width="12.7109375" style="993"/>
    <col min="2091" max="2091" width="15.85546875" style="993" customWidth="1"/>
    <col min="2092" max="2316" width="12.7109375" style="993"/>
    <col min="2317" max="2318" width="4.7109375" style="993" customWidth="1"/>
    <col min="2319" max="2319" width="12.7109375" style="993" customWidth="1"/>
    <col min="2320" max="2320" width="13.140625" style="993" customWidth="1"/>
    <col min="2321" max="2321" width="3.7109375" style="993" customWidth="1"/>
    <col min="2322" max="2322" width="2.7109375" style="993" customWidth="1"/>
    <col min="2323" max="2323" width="13.7109375" style="993" customWidth="1"/>
    <col min="2324" max="2324" width="2.7109375" style="993" customWidth="1"/>
    <col min="2325" max="2325" width="13.7109375" style="993" customWidth="1"/>
    <col min="2326" max="2326" width="2.7109375" style="993" customWidth="1"/>
    <col min="2327" max="2327" width="6.7109375" style="993" customWidth="1"/>
    <col min="2328" max="2328" width="2.7109375" style="993" customWidth="1"/>
    <col min="2329" max="2329" width="13.7109375" style="993" customWidth="1"/>
    <col min="2330" max="2330" width="2.7109375" style="993" customWidth="1"/>
    <col min="2331" max="2331" width="13.7109375" style="993" customWidth="1"/>
    <col min="2332" max="2332" width="2.7109375" style="993" customWidth="1"/>
    <col min="2333" max="2333" width="6.7109375" style="993" customWidth="1"/>
    <col min="2334" max="2334" width="2.7109375" style="993" customWidth="1"/>
    <col min="2335" max="2335" width="13.7109375" style="993" customWidth="1"/>
    <col min="2336" max="2336" width="2.7109375" style="993" customWidth="1"/>
    <col min="2337" max="2337" width="13.7109375" style="993" customWidth="1"/>
    <col min="2338" max="2338" width="2.7109375" style="993" customWidth="1"/>
    <col min="2339" max="2339" width="6.7109375" style="993" customWidth="1"/>
    <col min="2340" max="2340" width="2.7109375" style="993" customWidth="1"/>
    <col min="2341" max="2341" width="13.7109375" style="993" customWidth="1"/>
    <col min="2342" max="2342" width="12.7109375" style="993"/>
    <col min="2343" max="2343" width="18.42578125" style="993" bestFit="1" customWidth="1"/>
    <col min="2344" max="2344" width="12.7109375" style="993"/>
    <col min="2345" max="2345" width="18.42578125" style="993" bestFit="1" customWidth="1"/>
    <col min="2346" max="2346" width="12.7109375" style="993"/>
    <col min="2347" max="2347" width="15.85546875" style="993" customWidth="1"/>
    <col min="2348" max="2572" width="12.7109375" style="993"/>
    <col min="2573" max="2574" width="4.7109375" style="993" customWidth="1"/>
    <col min="2575" max="2575" width="12.7109375" style="993" customWidth="1"/>
    <col min="2576" max="2576" width="13.140625" style="993" customWidth="1"/>
    <col min="2577" max="2577" width="3.7109375" style="993" customWidth="1"/>
    <col min="2578" max="2578" width="2.7109375" style="993" customWidth="1"/>
    <col min="2579" max="2579" width="13.7109375" style="993" customWidth="1"/>
    <col min="2580" max="2580" width="2.7109375" style="993" customWidth="1"/>
    <col min="2581" max="2581" width="13.7109375" style="993" customWidth="1"/>
    <col min="2582" max="2582" width="2.7109375" style="993" customWidth="1"/>
    <col min="2583" max="2583" width="6.7109375" style="993" customWidth="1"/>
    <col min="2584" max="2584" width="2.7109375" style="993" customWidth="1"/>
    <col min="2585" max="2585" width="13.7109375" style="993" customWidth="1"/>
    <col min="2586" max="2586" width="2.7109375" style="993" customWidth="1"/>
    <col min="2587" max="2587" width="13.7109375" style="993" customWidth="1"/>
    <col min="2588" max="2588" width="2.7109375" style="993" customWidth="1"/>
    <col min="2589" max="2589" width="6.7109375" style="993" customWidth="1"/>
    <col min="2590" max="2590" width="2.7109375" style="993" customWidth="1"/>
    <col min="2591" max="2591" width="13.7109375" style="993" customWidth="1"/>
    <col min="2592" max="2592" width="2.7109375" style="993" customWidth="1"/>
    <col min="2593" max="2593" width="13.7109375" style="993" customWidth="1"/>
    <col min="2594" max="2594" width="2.7109375" style="993" customWidth="1"/>
    <col min="2595" max="2595" width="6.7109375" style="993" customWidth="1"/>
    <col min="2596" max="2596" width="2.7109375" style="993" customWidth="1"/>
    <col min="2597" max="2597" width="13.7109375" style="993" customWidth="1"/>
    <col min="2598" max="2598" width="12.7109375" style="993"/>
    <col min="2599" max="2599" width="18.42578125" style="993" bestFit="1" customWidth="1"/>
    <col min="2600" max="2600" width="12.7109375" style="993"/>
    <col min="2601" max="2601" width="18.42578125" style="993" bestFit="1" customWidth="1"/>
    <col min="2602" max="2602" width="12.7109375" style="993"/>
    <col min="2603" max="2603" width="15.85546875" style="993" customWidth="1"/>
    <col min="2604" max="2828" width="12.7109375" style="993"/>
    <col min="2829" max="2830" width="4.7109375" style="993" customWidth="1"/>
    <col min="2831" max="2831" width="12.7109375" style="993" customWidth="1"/>
    <col min="2832" max="2832" width="13.140625" style="993" customWidth="1"/>
    <col min="2833" max="2833" width="3.7109375" style="993" customWidth="1"/>
    <col min="2834" max="2834" width="2.7109375" style="993" customWidth="1"/>
    <col min="2835" max="2835" width="13.7109375" style="993" customWidth="1"/>
    <col min="2836" max="2836" width="2.7109375" style="993" customWidth="1"/>
    <col min="2837" max="2837" width="13.7109375" style="993" customWidth="1"/>
    <col min="2838" max="2838" width="2.7109375" style="993" customWidth="1"/>
    <col min="2839" max="2839" width="6.7109375" style="993" customWidth="1"/>
    <col min="2840" max="2840" width="2.7109375" style="993" customWidth="1"/>
    <col min="2841" max="2841" width="13.7109375" style="993" customWidth="1"/>
    <col min="2842" max="2842" width="2.7109375" style="993" customWidth="1"/>
    <col min="2843" max="2843" width="13.7109375" style="993" customWidth="1"/>
    <col min="2844" max="2844" width="2.7109375" style="993" customWidth="1"/>
    <col min="2845" max="2845" width="6.7109375" style="993" customWidth="1"/>
    <col min="2846" max="2846" width="2.7109375" style="993" customWidth="1"/>
    <col min="2847" max="2847" width="13.7109375" style="993" customWidth="1"/>
    <col min="2848" max="2848" width="2.7109375" style="993" customWidth="1"/>
    <col min="2849" max="2849" width="13.7109375" style="993" customWidth="1"/>
    <col min="2850" max="2850" width="2.7109375" style="993" customWidth="1"/>
    <col min="2851" max="2851" width="6.7109375" style="993" customWidth="1"/>
    <col min="2852" max="2852" width="2.7109375" style="993" customWidth="1"/>
    <col min="2853" max="2853" width="13.7109375" style="993" customWidth="1"/>
    <col min="2854" max="2854" width="12.7109375" style="993"/>
    <col min="2855" max="2855" width="18.42578125" style="993" bestFit="1" customWidth="1"/>
    <col min="2856" max="2856" width="12.7109375" style="993"/>
    <col min="2857" max="2857" width="18.42578125" style="993" bestFit="1" customWidth="1"/>
    <col min="2858" max="2858" width="12.7109375" style="993"/>
    <col min="2859" max="2859" width="15.85546875" style="993" customWidth="1"/>
    <col min="2860" max="3084" width="12.7109375" style="993"/>
    <col min="3085" max="3086" width="4.7109375" style="993" customWidth="1"/>
    <col min="3087" max="3087" width="12.7109375" style="993" customWidth="1"/>
    <col min="3088" max="3088" width="13.140625" style="993" customWidth="1"/>
    <col min="3089" max="3089" width="3.7109375" style="993" customWidth="1"/>
    <col min="3090" max="3090" width="2.7109375" style="993" customWidth="1"/>
    <col min="3091" max="3091" width="13.7109375" style="993" customWidth="1"/>
    <col min="3092" max="3092" width="2.7109375" style="993" customWidth="1"/>
    <col min="3093" max="3093" width="13.7109375" style="993" customWidth="1"/>
    <col min="3094" max="3094" width="2.7109375" style="993" customWidth="1"/>
    <col min="3095" max="3095" width="6.7109375" style="993" customWidth="1"/>
    <col min="3096" max="3096" width="2.7109375" style="993" customWidth="1"/>
    <col min="3097" max="3097" width="13.7109375" style="993" customWidth="1"/>
    <col min="3098" max="3098" width="2.7109375" style="993" customWidth="1"/>
    <col min="3099" max="3099" width="13.7109375" style="993" customWidth="1"/>
    <col min="3100" max="3100" width="2.7109375" style="993" customWidth="1"/>
    <col min="3101" max="3101" width="6.7109375" style="993" customWidth="1"/>
    <col min="3102" max="3102" width="2.7109375" style="993" customWidth="1"/>
    <col min="3103" max="3103" width="13.7109375" style="993" customWidth="1"/>
    <col min="3104" max="3104" width="2.7109375" style="993" customWidth="1"/>
    <col min="3105" max="3105" width="13.7109375" style="993" customWidth="1"/>
    <col min="3106" max="3106" width="2.7109375" style="993" customWidth="1"/>
    <col min="3107" max="3107" width="6.7109375" style="993" customWidth="1"/>
    <col min="3108" max="3108" width="2.7109375" style="993" customWidth="1"/>
    <col min="3109" max="3109" width="13.7109375" style="993" customWidth="1"/>
    <col min="3110" max="3110" width="12.7109375" style="993"/>
    <col min="3111" max="3111" width="18.42578125" style="993" bestFit="1" customWidth="1"/>
    <col min="3112" max="3112" width="12.7109375" style="993"/>
    <col min="3113" max="3113" width="18.42578125" style="993" bestFit="1" customWidth="1"/>
    <col min="3114" max="3114" width="12.7109375" style="993"/>
    <col min="3115" max="3115" width="15.85546875" style="993" customWidth="1"/>
    <col min="3116" max="3340" width="12.7109375" style="993"/>
    <col min="3341" max="3342" width="4.7109375" style="993" customWidth="1"/>
    <col min="3343" max="3343" width="12.7109375" style="993" customWidth="1"/>
    <col min="3344" max="3344" width="13.140625" style="993" customWidth="1"/>
    <col min="3345" max="3345" width="3.7109375" style="993" customWidth="1"/>
    <col min="3346" max="3346" width="2.7109375" style="993" customWidth="1"/>
    <col min="3347" max="3347" width="13.7109375" style="993" customWidth="1"/>
    <col min="3348" max="3348" width="2.7109375" style="993" customWidth="1"/>
    <col min="3349" max="3349" width="13.7109375" style="993" customWidth="1"/>
    <col min="3350" max="3350" width="2.7109375" style="993" customWidth="1"/>
    <col min="3351" max="3351" width="6.7109375" style="993" customWidth="1"/>
    <col min="3352" max="3352" width="2.7109375" style="993" customWidth="1"/>
    <col min="3353" max="3353" width="13.7109375" style="993" customWidth="1"/>
    <col min="3354" max="3354" width="2.7109375" style="993" customWidth="1"/>
    <col min="3355" max="3355" width="13.7109375" style="993" customWidth="1"/>
    <col min="3356" max="3356" width="2.7109375" style="993" customWidth="1"/>
    <col min="3357" max="3357" width="6.7109375" style="993" customWidth="1"/>
    <col min="3358" max="3358" width="2.7109375" style="993" customWidth="1"/>
    <col min="3359" max="3359" width="13.7109375" style="993" customWidth="1"/>
    <col min="3360" max="3360" width="2.7109375" style="993" customWidth="1"/>
    <col min="3361" max="3361" width="13.7109375" style="993" customWidth="1"/>
    <col min="3362" max="3362" width="2.7109375" style="993" customWidth="1"/>
    <col min="3363" max="3363" width="6.7109375" style="993" customWidth="1"/>
    <col min="3364" max="3364" width="2.7109375" style="993" customWidth="1"/>
    <col min="3365" max="3365" width="13.7109375" style="993" customWidth="1"/>
    <col min="3366" max="3366" width="12.7109375" style="993"/>
    <col min="3367" max="3367" width="18.42578125" style="993" bestFit="1" customWidth="1"/>
    <col min="3368" max="3368" width="12.7109375" style="993"/>
    <col min="3369" max="3369" width="18.42578125" style="993" bestFit="1" customWidth="1"/>
    <col min="3370" max="3370" width="12.7109375" style="993"/>
    <col min="3371" max="3371" width="15.85546875" style="993" customWidth="1"/>
    <col min="3372" max="3596" width="12.7109375" style="993"/>
    <col min="3597" max="3598" width="4.7109375" style="993" customWidth="1"/>
    <col min="3599" max="3599" width="12.7109375" style="993" customWidth="1"/>
    <col min="3600" max="3600" width="13.140625" style="993" customWidth="1"/>
    <col min="3601" max="3601" width="3.7109375" style="993" customWidth="1"/>
    <col min="3602" max="3602" width="2.7109375" style="993" customWidth="1"/>
    <col min="3603" max="3603" width="13.7109375" style="993" customWidth="1"/>
    <col min="3604" max="3604" width="2.7109375" style="993" customWidth="1"/>
    <col min="3605" max="3605" width="13.7109375" style="993" customWidth="1"/>
    <col min="3606" max="3606" width="2.7109375" style="993" customWidth="1"/>
    <col min="3607" max="3607" width="6.7109375" style="993" customWidth="1"/>
    <col min="3608" max="3608" width="2.7109375" style="993" customWidth="1"/>
    <col min="3609" max="3609" width="13.7109375" style="993" customWidth="1"/>
    <col min="3610" max="3610" width="2.7109375" style="993" customWidth="1"/>
    <col min="3611" max="3611" width="13.7109375" style="993" customWidth="1"/>
    <col min="3612" max="3612" width="2.7109375" style="993" customWidth="1"/>
    <col min="3613" max="3613" width="6.7109375" style="993" customWidth="1"/>
    <col min="3614" max="3614" width="2.7109375" style="993" customWidth="1"/>
    <col min="3615" max="3615" width="13.7109375" style="993" customWidth="1"/>
    <col min="3616" max="3616" width="2.7109375" style="993" customWidth="1"/>
    <col min="3617" max="3617" width="13.7109375" style="993" customWidth="1"/>
    <col min="3618" max="3618" width="2.7109375" style="993" customWidth="1"/>
    <col min="3619" max="3619" width="6.7109375" style="993" customWidth="1"/>
    <col min="3620" max="3620" width="2.7109375" style="993" customWidth="1"/>
    <col min="3621" max="3621" width="13.7109375" style="993" customWidth="1"/>
    <col min="3622" max="3622" width="12.7109375" style="993"/>
    <col min="3623" max="3623" width="18.42578125" style="993" bestFit="1" customWidth="1"/>
    <col min="3624" max="3624" width="12.7109375" style="993"/>
    <col min="3625" max="3625" width="18.42578125" style="993" bestFit="1" customWidth="1"/>
    <col min="3626" max="3626" width="12.7109375" style="993"/>
    <col min="3627" max="3627" width="15.85546875" style="993" customWidth="1"/>
    <col min="3628" max="3852" width="12.7109375" style="993"/>
    <col min="3853" max="3854" width="4.7109375" style="993" customWidth="1"/>
    <col min="3855" max="3855" width="12.7109375" style="993" customWidth="1"/>
    <col min="3856" max="3856" width="13.140625" style="993" customWidth="1"/>
    <col min="3857" max="3857" width="3.7109375" style="993" customWidth="1"/>
    <col min="3858" max="3858" width="2.7109375" style="993" customWidth="1"/>
    <col min="3859" max="3859" width="13.7109375" style="993" customWidth="1"/>
    <col min="3860" max="3860" width="2.7109375" style="993" customWidth="1"/>
    <col min="3861" max="3861" width="13.7109375" style="993" customWidth="1"/>
    <col min="3862" max="3862" width="2.7109375" style="993" customWidth="1"/>
    <col min="3863" max="3863" width="6.7109375" style="993" customWidth="1"/>
    <col min="3864" max="3864" width="2.7109375" style="993" customWidth="1"/>
    <col min="3865" max="3865" width="13.7109375" style="993" customWidth="1"/>
    <col min="3866" max="3866" width="2.7109375" style="993" customWidth="1"/>
    <col min="3867" max="3867" width="13.7109375" style="993" customWidth="1"/>
    <col min="3868" max="3868" width="2.7109375" style="993" customWidth="1"/>
    <col min="3869" max="3869" width="6.7109375" style="993" customWidth="1"/>
    <col min="3870" max="3870" width="2.7109375" style="993" customWidth="1"/>
    <col min="3871" max="3871" width="13.7109375" style="993" customWidth="1"/>
    <col min="3872" max="3872" width="2.7109375" style="993" customWidth="1"/>
    <col min="3873" max="3873" width="13.7109375" style="993" customWidth="1"/>
    <col min="3874" max="3874" width="2.7109375" style="993" customWidth="1"/>
    <col min="3875" max="3875" width="6.7109375" style="993" customWidth="1"/>
    <col min="3876" max="3876" width="2.7109375" style="993" customWidth="1"/>
    <col min="3877" max="3877" width="13.7109375" style="993" customWidth="1"/>
    <col min="3878" max="3878" width="12.7109375" style="993"/>
    <col min="3879" max="3879" width="18.42578125" style="993" bestFit="1" customWidth="1"/>
    <col min="3880" max="3880" width="12.7109375" style="993"/>
    <col min="3881" max="3881" width="18.42578125" style="993" bestFit="1" customWidth="1"/>
    <col min="3882" max="3882" width="12.7109375" style="993"/>
    <col min="3883" max="3883" width="15.85546875" style="993" customWidth="1"/>
    <col min="3884" max="4108" width="12.7109375" style="993"/>
    <col min="4109" max="4110" width="4.7109375" style="993" customWidth="1"/>
    <col min="4111" max="4111" width="12.7109375" style="993" customWidth="1"/>
    <col min="4112" max="4112" width="13.140625" style="993" customWidth="1"/>
    <col min="4113" max="4113" width="3.7109375" style="993" customWidth="1"/>
    <col min="4114" max="4114" width="2.7109375" style="993" customWidth="1"/>
    <col min="4115" max="4115" width="13.7109375" style="993" customWidth="1"/>
    <col min="4116" max="4116" width="2.7109375" style="993" customWidth="1"/>
    <col min="4117" max="4117" width="13.7109375" style="993" customWidth="1"/>
    <col min="4118" max="4118" width="2.7109375" style="993" customWidth="1"/>
    <col min="4119" max="4119" width="6.7109375" style="993" customWidth="1"/>
    <col min="4120" max="4120" width="2.7109375" style="993" customWidth="1"/>
    <col min="4121" max="4121" width="13.7109375" style="993" customWidth="1"/>
    <col min="4122" max="4122" width="2.7109375" style="993" customWidth="1"/>
    <col min="4123" max="4123" width="13.7109375" style="993" customWidth="1"/>
    <col min="4124" max="4124" width="2.7109375" style="993" customWidth="1"/>
    <col min="4125" max="4125" width="6.7109375" style="993" customWidth="1"/>
    <col min="4126" max="4126" width="2.7109375" style="993" customWidth="1"/>
    <col min="4127" max="4127" width="13.7109375" style="993" customWidth="1"/>
    <col min="4128" max="4128" width="2.7109375" style="993" customWidth="1"/>
    <col min="4129" max="4129" width="13.7109375" style="993" customWidth="1"/>
    <col min="4130" max="4130" width="2.7109375" style="993" customWidth="1"/>
    <col min="4131" max="4131" width="6.7109375" style="993" customWidth="1"/>
    <col min="4132" max="4132" width="2.7109375" style="993" customWidth="1"/>
    <col min="4133" max="4133" width="13.7109375" style="993" customWidth="1"/>
    <col min="4134" max="4134" width="12.7109375" style="993"/>
    <col min="4135" max="4135" width="18.42578125" style="993" bestFit="1" customWidth="1"/>
    <col min="4136" max="4136" width="12.7109375" style="993"/>
    <col min="4137" max="4137" width="18.42578125" style="993" bestFit="1" customWidth="1"/>
    <col min="4138" max="4138" width="12.7109375" style="993"/>
    <col min="4139" max="4139" width="15.85546875" style="993" customWidth="1"/>
    <col min="4140" max="4364" width="12.7109375" style="993"/>
    <col min="4365" max="4366" width="4.7109375" style="993" customWidth="1"/>
    <col min="4367" max="4367" width="12.7109375" style="993" customWidth="1"/>
    <col min="4368" max="4368" width="13.140625" style="993" customWidth="1"/>
    <col min="4369" max="4369" width="3.7109375" style="993" customWidth="1"/>
    <col min="4370" max="4370" width="2.7109375" style="993" customWidth="1"/>
    <col min="4371" max="4371" width="13.7109375" style="993" customWidth="1"/>
    <col min="4372" max="4372" width="2.7109375" style="993" customWidth="1"/>
    <col min="4373" max="4373" width="13.7109375" style="993" customWidth="1"/>
    <col min="4374" max="4374" width="2.7109375" style="993" customWidth="1"/>
    <col min="4375" max="4375" width="6.7109375" style="993" customWidth="1"/>
    <col min="4376" max="4376" width="2.7109375" style="993" customWidth="1"/>
    <col min="4377" max="4377" width="13.7109375" style="993" customWidth="1"/>
    <col min="4378" max="4378" width="2.7109375" style="993" customWidth="1"/>
    <col min="4379" max="4379" width="13.7109375" style="993" customWidth="1"/>
    <col min="4380" max="4380" width="2.7109375" style="993" customWidth="1"/>
    <col min="4381" max="4381" width="6.7109375" style="993" customWidth="1"/>
    <col min="4382" max="4382" width="2.7109375" style="993" customWidth="1"/>
    <col min="4383" max="4383" width="13.7109375" style="993" customWidth="1"/>
    <col min="4384" max="4384" width="2.7109375" style="993" customWidth="1"/>
    <col min="4385" max="4385" width="13.7109375" style="993" customWidth="1"/>
    <col min="4386" max="4386" width="2.7109375" style="993" customWidth="1"/>
    <col min="4387" max="4387" width="6.7109375" style="993" customWidth="1"/>
    <col min="4388" max="4388" width="2.7109375" style="993" customWidth="1"/>
    <col min="4389" max="4389" width="13.7109375" style="993" customWidth="1"/>
    <col min="4390" max="4390" width="12.7109375" style="993"/>
    <col min="4391" max="4391" width="18.42578125" style="993" bestFit="1" customWidth="1"/>
    <col min="4392" max="4392" width="12.7109375" style="993"/>
    <col min="4393" max="4393" width="18.42578125" style="993" bestFit="1" customWidth="1"/>
    <col min="4394" max="4394" width="12.7109375" style="993"/>
    <col min="4395" max="4395" width="15.85546875" style="993" customWidth="1"/>
    <col min="4396" max="4620" width="12.7109375" style="993"/>
    <col min="4621" max="4622" width="4.7109375" style="993" customWidth="1"/>
    <col min="4623" max="4623" width="12.7109375" style="993" customWidth="1"/>
    <col min="4624" max="4624" width="13.140625" style="993" customWidth="1"/>
    <col min="4625" max="4625" width="3.7109375" style="993" customWidth="1"/>
    <col min="4626" max="4626" width="2.7109375" style="993" customWidth="1"/>
    <col min="4627" max="4627" width="13.7109375" style="993" customWidth="1"/>
    <col min="4628" max="4628" width="2.7109375" style="993" customWidth="1"/>
    <col min="4629" max="4629" width="13.7109375" style="993" customWidth="1"/>
    <col min="4630" max="4630" width="2.7109375" style="993" customWidth="1"/>
    <col min="4631" max="4631" width="6.7109375" style="993" customWidth="1"/>
    <col min="4632" max="4632" width="2.7109375" style="993" customWidth="1"/>
    <col min="4633" max="4633" width="13.7109375" style="993" customWidth="1"/>
    <col min="4634" max="4634" width="2.7109375" style="993" customWidth="1"/>
    <col min="4635" max="4635" width="13.7109375" style="993" customWidth="1"/>
    <col min="4636" max="4636" width="2.7109375" style="993" customWidth="1"/>
    <col min="4637" max="4637" width="6.7109375" style="993" customWidth="1"/>
    <col min="4638" max="4638" width="2.7109375" style="993" customWidth="1"/>
    <col min="4639" max="4639" width="13.7109375" style="993" customWidth="1"/>
    <col min="4640" max="4640" width="2.7109375" style="993" customWidth="1"/>
    <col min="4641" max="4641" width="13.7109375" style="993" customWidth="1"/>
    <col min="4642" max="4642" width="2.7109375" style="993" customWidth="1"/>
    <col min="4643" max="4643" width="6.7109375" style="993" customWidth="1"/>
    <col min="4644" max="4644" width="2.7109375" style="993" customWidth="1"/>
    <col min="4645" max="4645" width="13.7109375" style="993" customWidth="1"/>
    <col min="4646" max="4646" width="12.7109375" style="993"/>
    <col min="4647" max="4647" width="18.42578125" style="993" bestFit="1" customWidth="1"/>
    <col min="4648" max="4648" width="12.7109375" style="993"/>
    <col min="4649" max="4649" width="18.42578125" style="993" bestFit="1" customWidth="1"/>
    <col min="4650" max="4650" width="12.7109375" style="993"/>
    <col min="4651" max="4651" width="15.85546875" style="993" customWidth="1"/>
    <col min="4652" max="4876" width="12.7109375" style="993"/>
    <col min="4877" max="4878" width="4.7109375" style="993" customWidth="1"/>
    <col min="4879" max="4879" width="12.7109375" style="993" customWidth="1"/>
    <col min="4880" max="4880" width="13.140625" style="993" customWidth="1"/>
    <col min="4881" max="4881" width="3.7109375" style="993" customWidth="1"/>
    <col min="4882" max="4882" width="2.7109375" style="993" customWidth="1"/>
    <col min="4883" max="4883" width="13.7109375" style="993" customWidth="1"/>
    <col min="4884" max="4884" width="2.7109375" style="993" customWidth="1"/>
    <col min="4885" max="4885" width="13.7109375" style="993" customWidth="1"/>
    <col min="4886" max="4886" width="2.7109375" style="993" customWidth="1"/>
    <col min="4887" max="4887" width="6.7109375" style="993" customWidth="1"/>
    <col min="4888" max="4888" width="2.7109375" style="993" customWidth="1"/>
    <col min="4889" max="4889" width="13.7109375" style="993" customWidth="1"/>
    <col min="4890" max="4890" width="2.7109375" style="993" customWidth="1"/>
    <col min="4891" max="4891" width="13.7109375" style="993" customWidth="1"/>
    <col min="4892" max="4892" width="2.7109375" style="993" customWidth="1"/>
    <col min="4893" max="4893" width="6.7109375" style="993" customWidth="1"/>
    <col min="4894" max="4894" width="2.7109375" style="993" customWidth="1"/>
    <col min="4895" max="4895" width="13.7109375" style="993" customWidth="1"/>
    <col min="4896" max="4896" width="2.7109375" style="993" customWidth="1"/>
    <col min="4897" max="4897" width="13.7109375" style="993" customWidth="1"/>
    <col min="4898" max="4898" width="2.7109375" style="993" customWidth="1"/>
    <col min="4899" max="4899" width="6.7109375" style="993" customWidth="1"/>
    <col min="4900" max="4900" width="2.7109375" style="993" customWidth="1"/>
    <col min="4901" max="4901" width="13.7109375" style="993" customWidth="1"/>
    <col min="4902" max="4902" width="12.7109375" style="993"/>
    <col min="4903" max="4903" width="18.42578125" style="993" bestFit="1" customWidth="1"/>
    <col min="4904" max="4904" width="12.7109375" style="993"/>
    <col min="4905" max="4905" width="18.42578125" style="993" bestFit="1" customWidth="1"/>
    <col min="4906" max="4906" width="12.7109375" style="993"/>
    <col min="4907" max="4907" width="15.85546875" style="993" customWidth="1"/>
    <col min="4908" max="5132" width="12.7109375" style="993"/>
    <col min="5133" max="5134" width="4.7109375" style="993" customWidth="1"/>
    <col min="5135" max="5135" width="12.7109375" style="993" customWidth="1"/>
    <col min="5136" max="5136" width="13.140625" style="993" customWidth="1"/>
    <col min="5137" max="5137" width="3.7109375" style="993" customWidth="1"/>
    <col min="5138" max="5138" width="2.7109375" style="993" customWidth="1"/>
    <col min="5139" max="5139" width="13.7109375" style="993" customWidth="1"/>
    <col min="5140" max="5140" width="2.7109375" style="993" customWidth="1"/>
    <col min="5141" max="5141" width="13.7109375" style="993" customWidth="1"/>
    <col min="5142" max="5142" width="2.7109375" style="993" customWidth="1"/>
    <col min="5143" max="5143" width="6.7109375" style="993" customWidth="1"/>
    <col min="5144" max="5144" width="2.7109375" style="993" customWidth="1"/>
    <col min="5145" max="5145" width="13.7109375" style="993" customWidth="1"/>
    <col min="5146" max="5146" width="2.7109375" style="993" customWidth="1"/>
    <col min="5147" max="5147" width="13.7109375" style="993" customWidth="1"/>
    <col min="5148" max="5148" width="2.7109375" style="993" customWidth="1"/>
    <col min="5149" max="5149" width="6.7109375" style="993" customWidth="1"/>
    <col min="5150" max="5150" width="2.7109375" style="993" customWidth="1"/>
    <col min="5151" max="5151" width="13.7109375" style="993" customWidth="1"/>
    <col min="5152" max="5152" width="2.7109375" style="993" customWidth="1"/>
    <col min="5153" max="5153" width="13.7109375" style="993" customWidth="1"/>
    <col min="5154" max="5154" width="2.7109375" style="993" customWidth="1"/>
    <col min="5155" max="5155" width="6.7109375" style="993" customWidth="1"/>
    <col min="5156" max="5156" width="2.7109375" style="993" customWidth="1"/>
    <col min="5157" max="5157" width="13.7109375" style="993" customWidth="1"/>
    <col min="5158" max="5158" width="12.7109375" style="993"/>
    <col min="5159" max="5159" width="18.42578125" style="993" bestFit="1" customWidth="1"/>
    <col min="5160" max="5160" width="12.7109375" style="993"/>
    <col min="5161" max="5161" width="18.42578125" style="993" bestFit="1" customWidth="1"/>
    <col min="5162" max="5162" width="12.7109375" style="993"/>
    <col min="5163" max="5163" width="15.85546875" style="993" customWidth="1"/>
    <col min="5164" max="5388" width="12.7109375" style="993"/>
    <col min="5389" max="5390" width="4.7109375" style="993" customWidth="1"/>
    <col min="5391" max="5391" width="12.7109375" style="993" customWidth="1"/>
    <col min="5392" max="5392" width="13.140625" style="993" customWidth="1"/>
    <col min="5393" max="5393" width="3.7109375" style="993" customWidth="1"/>
    <col min="5394" max="5394" width="2.7109375" style="993" customWidth="1"/>
    <col min="5395" max="5395" width="13.7109375" style="993" customWidth="1"/>
    <col min="5396" max="5396" width="2.7109375" style="993" customWidth="1"/>
    <col min="5397" max="5397" width="13.7109375" style="993" customWidth="1"/>
    <col min="5398" max="5398" width="2.7109375" style="993" customWidth="1"/>
    <col min="5399" max="5399" width="6.7109375" style="993" customWidth="1"/>
    <col min="5400" max="5400" width="2.7109375" style="993" customWidth="1"/>
    <col min="5401" max="5401" width="13.7109375" style="993" customWidth="1"/>
    <col min="5402" max="5402" width="2.7109375" style="993" customWidth="1"/>
    <col min="5403" max="5403" width="13.7109375" style="993" customWidth="1"/>
    <col min="5404" max="5404" width="2.7109375" style="993" customWidth="1"/>
    <col min="5405" max="5405" width="6.7109375" style="993" customWidth="1"/>
    <col min="5406" max="5406" width="2.7109375" style="993" customWidth="1"/>
    <col min="5407" max="5407" width="13.7109375" style="993" customWidth="1"/>
    <col min="5408" max="5408" width="2.7109375" style="993" customWidth="1"/>
    <col min="5409" max="5409" width="13.7109375" style="993" customWidth="1"/>
    <col min="5410" max="5410" width="2.7109375" style="993" customWidth="1"/>
    <col min="5411" max="5411" width="6.7109375" style="993" customWidth="1"/>
    <col min="5412" max="5412" width="2.7109375" style="993" customWidth="1"/>
    <col min="5413" max="5413" width="13.7109375" style="993" customWidth="1"/>
    <col min="5414" max="5414" width="12.7109375" style="993"/>
    <col min="5415" max="5415" width="18.42578125" style="993" bestFit="1" customWidth="1"/>
    <col min="5416" max="5416" width="12.7109375" style="993"/>
    <col min="5417" max="5417" width="18.42578125" style="993" bestFit="1" customWidth="1"/>
    <col min="5418" max="5418" width="12.7109375" style="993"/>
    <col min="5419" max="5419" width="15.85546875" style="993" customWidth="1"/>
    <col min="5420" max="5644" width="12.7109375" style="993"/>
    <col min="5645" max="5646" width="4.7109375" style="993" customWidth="1"/>
    <col min="5647" max="5647" width="12.7109375" style="993" customWidth="1"/>
    <col min="5648" max="5648" width="13.140625" style="993" customWidth="1"/>
    <col min="5649" max="5649" width="3.7109375" style="993" customWidth="1"/>
    <col min="5650" max="5650" width="2.7109375" style="993" customWidth="1"/>
    <col min="5651" max="5651" width="13.7109375" style="993" customWidth="1"/>
    <col min="5652" max="5652" width="2.7109375" style="993" customWidth="1"/>
    <col min="5653" max="5653" width="13.7109375" style="993" customWidth="1"/>
    <col min="5654" max="5654" width="2.7109375" style="993" customWidth="1"/>
    <col min="5655" max="5655" width="6.7109375" style="993" customWidth="1"/>
    <col min="5656" max="5656" width="2.7109375" style="993" customWidth="1"/>
    <col min="5657" max="5657" width="13.7109375" style="993" customWidth="1"/>
    <col min="5658" max="5658" width="2.7109375" style="993" customWidth="1"/>
    <col min="5659" max="5659" width="13.7109375" style="993" customWidth="1"/>
    <col min="5660" max="5660" width="2.7109375" style="993" customWidth="1"/>
    <col min="5661" max="5661" width="6.7109375" style="993" customWidth="1"/>
    <col min="5662" max="5662" width="2.7109375" style="993" customWidth="1"/>
    <col min="5663" max="5663" width="13.7109375" style="993" customWidth="1"/>
    <col min="5664" max="5664" width="2.7109375" style="993" customWidth="1"/>
    <col min="5665" max="5665" width="13.7109375" style="993" customWidth="1"/>
    <col min="5666" max="5666" width="2.7109375" style="993" customWidth="1"/>
    <col min="5667" max="5667" width="6.7109375" style="993" customWidth="1"/>
    <col min="5668" max="5668" width="2.7109375" style="993" customWidth="1"/>
    <col min="5669" max="5669" width="13.7109375" style="993" customWidth="1"/>
    <col min="5670" max="5670" width="12.7109375" style="993"/>
    <col min="5671" max="5671" width="18.42578125" style="993" bestFit="1" customWidth="1"/>
    <col min="5672" max="5672" width="12.7109375" style="993"/>
    <col min="5673" max="5673" width="18.42578125" style="993" bestFit="1" customWidth="1"/>
    <col min="5674" max="5674" width="12.7109375" style="993"/>
    <col min="5675" max="5675" width="15.85546875" style="993" customWidth="1"/>
    <col min="5676" max="5900" width="12.7109375" style="993"/>
    <col min="5901" max="5902" width="4.7109375" style="993" customWidth="1"/>
    <col min="5903" max="5903" width="12.7109375" style="993" customWidth="1"/>
    <col min="5904" max="5904" width="13.140625" style="993" customWidth="1"/>
    <col min="5905" max="5905" width="3.7109375" style="993" customWidth="1"/>
    <col min="5906" max="5906" width="2.7109375" style="993" customWidth="1"/>
    <col min="5907" max="5907" width="13.7109375" style="993" customWidth="1"/>
    <col min="5908" max="5908" width="2.7109375" style="993" customWidth="1"/>
    <col min="5909" max="5909" width="13.7109375" style="993" customWidth="1"/>
    <col min="5910" max="5910" width="2.7109375" style="993" customWidth="1"/>
    <col min="5911" max="5911" width="6.7109375" style="993" customWidth="1"/>
    <col min="5912" max="5912" width="2.7109375" style="993" customWidth="1"/>
    <col min="5913" max="5913" width="13.7109375" style="993" customWidth="1"/>
    <col min="5914" max="5914" width="2.7109375" style="993" customWidth="1"/>
    <col min="5915" max="5915" width="13.7109375" style="993" customWidth="1"/>
    <col min="5916" max="5916" width="2.7109375" style="993" customWidth="1"/>
    <col min="5917" max="5917" width="6.7109375" style="993" customWidth="1"/>
    <col min="5918" max="5918" width="2.7109375" style="993" customWidth="1"/>
    <col min="5919" max="5919" width="13.7109375" style="993" customWidth="1"/>
    <col min="5920" max="5920" width="2.7109375" style="993" customWidth="1"/>
    <col min="5921" max="5921" width="13.7109375" style="993" customWidth="1"/>
    <col min="5922" max="5922" width="2.7109375" style="993" customWidth="1"/>
    <col min="5923" max="5923" width="6.7109375" style="993" customWidth="1"/>
    <col min="5924" max="5924" width="2.7109375" style="993" customWidth="1"/>
    <col min="5925" max="5925" width="13.7109375" style="993" customWidth="1"/>
    <col min="5926" max="5926" width="12.7109375" style="993"/>
    <col min="5927" max="5927" width="18.42578125" style="993" bestFit="1" customWidth="1"/>
    <col min="5928" max="5928" width="12.7109375" style="993"/>
    <col min="5929" max="5929" width="18.42578125" style="993" bestFit="1" customWidth="1"/>
    <col min="5930" max="5930" width="12.7109375" style="993"/>
    <col min="5931" max="5931" width="15.85546875" style="993" customWidth="1"/>
    <col min="5932" max="6156" width="12.7109375" style="993"/>
    <col min="6157" max="6158" width="4.7109375" style="993" customWidth="1"/>
    <col min="6159" max="6159" width="12.7109375" style="993" customWidth="1"/>
    <col min="6160" max="6160" width="13.140625" style="993" customWidth="1"/>
    <col min="6161" max="6161" width="3.7109375" style="993" customWidth="1"/>
    <col min="6162" max="6162" width="2.7109375" style="993" customWidth="1"/>
    <col min="6163" max="6163" width="13.7109375" style="993" customWidth="1"/>
    <col min="6164" max="6164" width="2.7109375" style="993" customWidth="1"/>
    <col min="6165" max="6165" width="13.7109375" style="993" customWidth="1"/>
    <col min="6166" max="6166" width="2.7109375" style="993" customWidth="1"/>
    <col min="6167" max="6167" width="6.7109375" style="993" customWidth="1"/>
    <col min="6168" max="6168" width="2.7109375" style="993" customWidth="1"/>
    <col min="6169" max="6169" width="13.7109375" style="993" customWidth="1"/>
    <col min="6170" max="6170" width="2.7109375" style="993" customWidth="1"/>
    <col min="6171" max="6171" width="13.7109375" style="993" customWidth="1"/>
    <col min="6172" max="6172" width="2.7109375" style="993" customWidth="1"/>
    <col min="6173" max="6173" width="6.7109375" style="993" customWidth="1"/>
    <col min="6174" max="6174" width="2.7109375" style="993" customWidth="1"/>
    <col min="6175" max="6175" width="13.7109375" style="993" customWidth="1"/>
    <col min="6176" max="6176" width="2.7109375" style="993" customWidth="1"/>
    <col min="6177" max="6177" width="13.7109375" style="993" customWidth="1"/>
    <col min="6178" max="6178" width="2.7109375" style="993" customWidth="1"/>
    <col min="6179" max="6179" width="6.7109375" style="993" customWidth="1"/>
    <col min="6180" max="6180" width="2.7109375" style="993" customWidth="1"/>
    <col min="6181" max="6181" width="13.7109375" style="993" customWidth="1"/>
    <col min="6182" max="6182" width="12.7109375" style="993"/>
    <col min="6183" max="6183" width="18.42578125" style="993" bestFit="1" customWidth="1"/>
    <col min="6184" max="6184" width="12.7109375" style="993"/>
    <col min="6185" max="6185" width="18.42578125" style="993" bestFit="1" customWidth="1"/>
    <col min="6186" max="6186" width="12.7109375" style="993"/>
    <col min="6187" max="6187" width="15.85546875" style="993" customWidth="1"/>
    <col min="6188" max="6412" width="12.7109375" style="993"/>
    <col min="6413" max="6414" width="4.7109375" style="993" customWidth="1"/>
    <col min="6415" max="6415" width="12.7109375" style="993" customWidth="1"/>
    <col min="6416" max="6416" width="13.140625" style="993" customWidth="1"/>
    <col min="6417" max="6417" width="3.7109375" style="993" customWidth="1"/>
    <col min="6418" max="6418" width="2.7109375" style="993" customWidth="1"/>
    <col min="6419" max="6419" width="13.7109375" style="993" customWidth="1"/>
    <col min="6420" max="6420" width="2.7109375" style="993" customWidth="1"/>
    <col min="6421" max="6421" width="13.7109375" style="993" customWidth="1"/>
    <col min="6422" max="6422" width="2.7109375" style="993" customWidth="1"/>
    <col min="6423" max="6423" width="6.7109375" style="993" customWidth="1"/>
    <col min="6424" max="6424" width="2.7109375" style="993" customWidth="1"/>
    <col min="6425" max="6425" width="13.7109375" style="993" customWidth="1"/>
    <col min="6426" max="6426" width="2.7109375" style="993" customWidth="1"/>
    <col min="6427" max="6427" width="13.7109375" style="993" customWidth="1"/>
    <col min="6428" max="6428" width="2.7109375" style="993" customWidth="1"/>
    <col min="6429" max="6429" width="6.7109375" style="993" customWidth="1"/>
    <col min="6430" max="6430" width="2.7109375" style="993" customWidth="1"/>
    <col min="6431" max="6431" width="13.7109375" style="993" customWidth="1"/>
    <col min="6432" max="6432" width="2.7109375" style="993" customWidth="1"/>
    <col min="6433" max="6433" width="13.7109375" style="993" customWidth="1"/>
    <col min="6434" max="6434" width="2.7109375" style="993" customWidth="1"/>
    <col min="6435" max="6435" width="6.7109375" style="993" customWidth="1"/>
    <col min="6436" max="6436" width="2.7109375" style="993" customWidth="1"/>
    <col min="6437" max="6437" width="13.7109375" style="993" customWidth="1"/>
    <col min="6438" max="6438" width="12.7109375" style="993"/>
    <col min="6439" max="6439" width="18.42578125" style="993" bestFit="1" customWidth="1"/>
    <col min="6440" max="6440" width="12.7109375" style="993"/>
    <col min="6441" max="6441" width="18.42578125" style="993" bestFit="1" customWidth="1"/>
    <col min="6442" max="6442" width="12.7109375" style="993"/>
    <col min="6443" max="6443" width="15.85546875" style="993" customWidth="1"/>
    <col min="6444" max="6668" width="12.7109375" style="993"/>
    <col min="6669" max="6670" width="4.7109375" style="993" customWidth="1"/>
    <col min="6671" max="6671" width="12.7109375" style="993" customWidth="1"/>
    <col min="6672" max="6672" width="13.140625" style="993" customWidth="1"/>
    <col min="6673" max="6673" width="3.7109375" style="993" customWidth="1"/>
    <col min="6674" max="6674" width="2.7109375" style="993" customWidth="1"/>
    <col min="6675" max="6675" width="13.7109375" style="993" customWidth="1"/>
    <col min="6676" max="6676" width="2.7109375" style="993" customWidth="1"/>
    <col min="6677" max="6677" width="13.7109375" style="993" customWidth="1"/>
    <col min="6678" max="6678" width="2.7109375" style="993" customWidth="1"/>
    <col min="6679" max="6679" width="6.7109375" style="993" customWidth="1"/>
    <col min="6680" max="6680" width="2.7109375" style="993" customWidth="1"/>
    <col min="6681" max="6681" width="13.7109375" style="993" customWidth="1"/>
    <col min="6682" max="6682" width="2.7109375" style="993" customWidth="1"/>
    <col min="6683" max="6683" width="13.7109375" style="993" customWidth="1"/>
    <col min="6684" max="6684" width="2.7109375" style="993" customWidth="1"/>
    <col min="6685" max="6685" width="6.7109375" style="993" customWidth="1"/>
    <col min="6686" max="6686" width="2.7109375" style="993" customWidth="1"/>
    <col min="6687" max="6687" width="13.7109375" style="993" customWidth="1"/>
    <col min="6688" max="6688" width="2.7109375" style="993" customWidth="1"/>
    <col min="6689" max="6689" width="13.7109375" style="993" customWidth="1"/>
    <col min="6690" max="6690" width="2.7109375" style="993" customWidth="1"/>
    <col min="6691" max="6691" width="6.7109375" style="993" customWidth="1"/>
    <col min="6692" max="6692" width="2.7109375" style="993" customWidth="1"/>
    <col min="6693" max="6693" width="13.7109375" style="993" customWidth="1"/>
    <col min="6694" max="6694" width="12.7109375" style="993"/>
    <col min="6695" max="6695" width="18.42578125" style="993" bestFit="1" customWidth="1"/>
    <col min="6696" max="6696" width="12.7109375" style="993"/>
    <col min="6697" max="6697" width="18.42578125" style="993" bestFit="1" customWidth="1"/>
    <col min="6698" max="6698" width="12.7109375" style="993"/>
    <col min="6699" max="6699" width="15.85546875" style="993" customWidth="1"/>
    <col min="6700" max="6924" width="12.7109375" style="993"/>
    <col min="6925" max="6926" width="4.7109375" style="993" customWidth="1"/>
    <col min="6927" max="6927" width="12.7109375" style="993" customWidth="1"/>
    <col min="6928" max="6928" width="13.140625" style="993" customWidth="1"/>
    <col min="6929" max="6929" width="3.7109375" style="993" customWidth="1"/>
    <col min="6930" max="6930" width="2.7109375" style="993" customWidth="1"/>
    <col min="6931" max="6931" width="13.7109375" style="993" customWidth="1"/>
    <col min="6932" max="6932" width="2.7109375" style="993" customWidth="1"/>
    <col min="6933" max="6933" width="13.7109375" style="993" customWidth="1"/>
    <col min="6934" max="6934" width="2.7109375" style="993" customWidth="1"/>
    <col min="6935" max="6935" width="6.7109375" style="993" customWidth="1"/>
    <col min="6936" max="6936" width="2.7109375" style="993" customWidth="1"/>
    <col min="6937" max="6937" width="13.7109375" style="993" customWidth="1"/>
    <col min="6938" max="6938" width="2.7109375" style="993" customWidth="1"/>
    <col min="6939" max="6939" width="13.7109375" style="993" customWidth="1"/>
    <col min="6940" max="6940" width="2.7109375" style="993" customWidth="1"/>
    <col min="6941" max="6941" width="6.7109375" style="993" customWidth="1"/>
    <col min="6942" max="6942" width="2.7109375" style="993" customWidth="1"/>
    <col min="6943" max="6943" width="13.7109375" style="993" customWidth="1"/>
    <col min="6944" max="6944" width="2.7109375" style="993" customWidth="1"/>
    <col min="6945" max="6945" width="13.7109375" style="993" customWidth="1"/>
    <col min="6946" max="6946" width="2.7109375" style="993" customWidth="1"/>
    <col min="6947" max="6947" width="6.7109375" style="993" customWidth="1"/>
    <col min="6948" max="6948" width="2.7109375" style="993" customWidth="1"/>
    <col min="6949" max="6949" width="13.7109375" style="993" customWidth="1"/>
    <col min="6950" max="6950" width="12.7109375" style="993"/>
    <col min="6951" max="6951" width="18.42578125" style="993" bestFit="1" customWidth="1"/>
    <col min="6952" max="6952" width="12.7109375" style="993"/>
    <col min="6953" max="6953" width="18.42578125" style="993" bestFit="1" customWidth="1"/>
    <col min="6954" max="6954" width="12.7109375" style="993"/>
    <col min="6955" max="6955" width="15.85546875" style="993" customWidth="1"/>
    <col min="6956" max="7180" width="12.7109375" style="993"/>
    <col min="7181" max="7182" width="4.7109375" style="993" customWidth="1"/>
    <col min="7183" max="7183" width="12.7109375" style="993" customWidth="1"/>
    <col min="7184" max="7184" width="13.140625" style="993" customWidth="1"/>
    <col min="7185" max="7185" width="3.7109375" style="993" customWidth="1"/>
    <col min="7186" max="7186" width="2.7109375" style="993" customWidth="1"/>
    <col min="7187" max="7187" width="13.7109375" style="993" customWidth="1"/>
    <col min="7188" max="7188" width="2.7109375" style="993" customWidth="1"/>
    <col min="7189" max="7189" width="13.7109375" style="993" customWidth="1"/>
    <col min="7190" max="7190" width="2.7109375" style="993" customWidth="1"/>
    <col min="7191" max="7191" width="6.7109375" style="993" customWidth="1"/>
    <col min="7192" max="7192" width="2.7109375" style="993" customWidth="1"/>
    <col min="7193" max="7193" width="13.7109375" style="993" customWidth="1"/>
    <col min="7194" max="7194" width="2.7109375" style="993" customWidth="1"/>
    <col min="7195" max="7195" width="13.7109375" style="993" customWidth="1"/>
    <col min="7196" max="7196" width="2.7109375" style="993" customWidth="1"/>
    <col min="7197" max="7197" width="6.7109375" style="993" customWidth="1"/>
    <col min="7198" max="7198" width="2.7109375" style="993" customWidth="1"/>
    <col min="7199" max="7199" width="13.7109375" style="993" customWidth="1"/>
    <col min="7200" max="7200" width="2.7109375" style="993" customWidth="1"/>
    <col min="7201" max="7201" width="13.7109375" style="993" customWidth="1"/>
    <col min="7202" max="7202" width="2.7109375" style="993" customWidth="1"/>
    <col min="7203" max="7203" width="6.7109375" style="993" customWidth="1"/>
    <col min="7204" max="7204" width="2.7109375" style="993" customWidth="1"/>
    <col min="7205" max="7205" width="13.7109375" style="993" customWidth="1"/>
    <col min="7206" max="7206" width="12.7109375" style="993"/>
    <col min="7207" max="7207" width="18.42578125" style="993" bestFit="1" customWidth="1"/>
    <col min="7208" max="7208" width="12.7109375" style="993"/>
    <col min="7209" max="7209" width="18.42578125" style="993" bestFit="1" customWidth="1"/>
    <col min="7210" max="7210" width="12.7109375" style="993"/>
    <col min="7211" max="7211" width="15.85546875" style="993" customWidth="1"/>
    <col min="7212" max="7436" width="12.7109375" style="993"/>
    <col min="7437" max="7438" width="4.7109375" style="993" customWidth="1"/>
    <col min="7439" max="7439" width="12.7109375" style="993" customWidth="1"/>
    <col min="7440" max="7440" width="13.140625" style="993" customWidth="1"/>
    <col min="7441" max="7441" width="3.7109375" style="993" customWidth="1"/>
    <col min="7442" max="7442" width="2.7109375" style="993" customWidth="1"/>
    <col min="7443" max="7443" width="13.7109375" style="993" customWidth="1"/>
    <col min="7444" max="7444" width="2.7109375" style="993" customWidth="1"/>
    <col min="7445" max="7445" width="13.7109375" style="993" customWidth="1"/>
    <col min="7446" max="7446" width="2.7109375" style="993" customWidth="1"/>
    <col min="7447" max="7447" width="6.7109375" style="993" customWidth="1"/>
    <col min="7448" max="7448" width="2.7109375" style="993" customWidth="1"/>
    <col min="7449" max="7449" width="13.7109375" style="993" customWidth="1"/>
    <col min="7450" max="7450" width="2.7109375" style="993" customWidth="1"/>
    <col min="7451" max="7451" width="13.7109375" style="993" customWidth="1"/>
    <col min="7452" max="7452" width="2.7109375" style="993" customWidth="1"/>
    <col min="7453" max="7453" width="6.7109375" style="993" customWidth="1"/>
    <col min="7454" max="7454" width="2.7109375" style="993" customWidth="1"/>
    <col min="7455" max="7455" width="13.7109375" style="993" customWidth="1"/>
    <col min="7456" max="7456" width="2.7109375" style="993" customWidth="1"/>
    <col min="7457" max="7457" width="13.7109375" style="993" customWidth="1"/>
    <col min="7458" max="7458" width="2.7109375" style="993" customWidth="1"/>
    <col min="7459" max="7459" width="6.7109375" style="993" customWidth="1"/>
    <col min="7460" max="7460" width="2.7109375" style="993" customWidth="1"/>
    <col min="7461" max="7461" width="13.7109375" style="993" customWidth="1"/>
    <col min="7462" max="7462" width="12.7109375" style="993"/>
    <col min="7463" max="7463" width="18.42578125" style="993" bestFit="1" customWidth="1"/>
    <col min="7464" max="7464" width="12.7109375" style="993"/>
    <col min="7465" max="7465" width="18.42578125" style="993" bestFit="1" customWidth="1"/>
    <col min="7466" max="7466" width="12.7109375" style="993"/>
    <col min="7467" max="7467" width="15.85546875" style="993" customWidth="1"/>
    <col min="7468" max="7692" width="12.7109375" style="993"/>
    <col min="7693" max="7694" width="4.7109375" style="993" customWidth="1"/>
    <col min="7695" max="7695" width="12.7109375" style="993" customWidth="1"/>
    <col min="7696" max="7696" width="13.140625" style="993" customWidth="1"/>
    <col min="7697" max="7697" width="3.7109375" style="993" customWidth="1"/>
    <col min="7698" max="7698" width="2.7109375" style="993" customWidth="1"/>
    <col min="7699" max="7699" width="13.7109375" style="993" customWidth="1"/>
    <col min="7700" max="7700" width="2.7109375" style="993" customWidth="1"/>
    <col min="7701" max="7701" width="13.7109375" style="993" customWidth="1"/>
    <col min="7702" max="7702" width="2.7109375" style="993" customWidth="1"/>
    <col min="7703" max="7703" width="6.7109375" style="993" customWidth="1"/>
    <col min="7704" max="7704" width="2.7109375" style="993" customWidth="1"/>
    <col min="7705" max="7705" width="13.7109375" style="993" customWidth="1"/>
    <col min="7706" max="7706" width="2.7109375" style="993" customWidth="1"/>
    <col min="7707" max="7707" width="13.7109375" style="993" customWidth="1"/>
    <col min="7708" max="7708" width="2.7109375" style="993" customWidth="1"/>
    <col min="7709" max="7709" width="6.7109375" style="993" customWidth="1"/>
    <col min="7710" max="7710" width="2.7109375" style="993" customWidth="1"/>
    <col min="7711" max="7711" width="13.7109375" style="993" customWidth="1"/>
    <col min="7712" max="7712" width="2.7109375" style="993" customWidth="1"/>
    <col min="7713" max="7713" width="13.7109375" style="993" customWidth="1"/>
    <col min="7714" max="7714" width="2.7109375" style="993" customWidth="1"/>
    <col min="7715" max="7715" width="6.7109375" style="993" customWidth="1"/>
    <col min="7716" max="7716" width="2.7109375" style="993" customWidth="1"/>
    <col min="7717" max="7717" width="13.7109375" style="993" customWidth="1"/>
    <col min="7718" max="7718" width="12.7109375" style="993"/>
    <col min="7719" max="7719" width="18.42578125" style="993" bestFit="1" customWidth="1"/>
    <col min="7720" max="7720" width="12.7109375" style="993"/>
    <col min="7721" max="7721" width="18.42578125" style="993" bestFit="1" customWidth="1"/>
    <col min="7722" max="7722" width="12.7109375" style="993"/>
    <col min="7723" max="7723" width="15.85546875" style="993" customWidth="1"/>
    <col min="7724" max="7948" width="12.7109375" style="993"/>
    <col min="7949" max="7950" width="4.7109375" style="993" customWidth="1"/>
    <col min="7951" max="7951" width="12.7109375" style="993" customWidth="1"/>
    <col min="7952" max="7952" width="13.140625" style="993" customWidth="1"/>
    <col min="7953" max="7953" width="3.7109375" style="993" customWidth="1"/>
    <col min="7954" max="7954" width="2.7109375" style="993" customWidth="1"/>
    <col min="7955" max="7955" width="13.7109375" style="993" customWidth="1"/>
    <col min="7956" max="7956" width="2.7109375" style="993" customWidth="1"/>
    <col min="7957" max="7957" width="13.7109375" style="993" customWidth="1"/>
    <col min="7958" max="7958" width="2.7109375" style="993" customWidth="1"/>
    <col min="7959" max="7959" width="6.7109375" style="993" customWidth="1"/>
    <col min="7960" max="7960" width="2.7109375" style="993" customWidth="1"/>
    <col min="7961" max="7961" width="13.7109375" style="993" customWidth="1"/>
    <col min="7962" max="7962" width="2.7109375" style="993" customWidth="1"/>
    <col min="7963" max="7963" width="13.7109375" style="993" customWidth="1"/>
    <col min="7964" max="7964" width="2.7109375" style="993" customWidth="1"/>
    <col min="7965" max="7965" width="6.7109375" style="993" customWidth="1"/>
    <col min="7966" max="7966" width="2.7109375" style="993" customWidth="1"/>
    <col min="7967" max="7967" width="13.7109375" style="993" customWidth="1"/>
    <col min="7968" max="7968" width="2.7109375" style="993" customWidth="1"/>
    <col min="7969" max="7969" width="13.7109375" style="993" customWidth="1"/>
    <col min="7970" max="7970" width="2.7109375" style="993" customWidth="1"/>
    <col min="7971" max="7971" width="6.7109375" style="993" customWidth="1"/>
    <col min="7972" max="7972" width="2.7109375" style="993" customWidth="1"/>
    <col min="7973" max="7973" width="13.7109375" style="993" customWidth="1"/>
    <col min="7974" max="7974" width="12.7109375" style="993"/>
    <col min="7975" max="7975" width="18.42578125" style="993" bestFit="1" customWidth="1"/>
    <col min="7976" max="7976" width="12.7109375" style="993"/>
    <col min="7977" max="7977" width="18.42578125" style="993" bestFit="1" customWidth="1"/>
    <col min="7978" max="7978" width="12.7109375" style="993"/>
    <col min="7979" max="7979" width="15.85546875" style="993" customWidth="1"/>
    <col min="7980" max="8204" width="12.7109375" style="993"/>
    <col min="8205" max="8206" width="4.7109375" style="993" customWidth="1"/>
    <col min="8207" max="8207" width="12.7109375" style="993" customWidth="1"/>
    <col min="8208" max="8208" width="13.140625" style="993" customWidth="1"/>
    <col min="8209" max="8209" width="3.7109375" style="993" customWidth="1"/>
    <col min="8210" max="8210" width="2.7109375" style="993" customWidth="1"/>
    <col min="8211" max="8211" width="13.7109375" style="993" customWidth="1"/>
    <col min="8212" max="8212" width="2.7109375" style="993" customWidth="1"/>
    <col min="8213" max="8213" width="13.7109375" style="993" customWidth="1"/>
    <col min="8214" max="8214" width="2.7109375" style="993" customWidth="1"/>
    <col min="8215" max="8215" width="6.7109375" style="993" customWidth="1"/>
    <col min="8216" max="8216" width="2.7109375" style="993" customWidth="1"/>
    <col min="8217" max="8217" width="13.7109375" style="993" customWidth="1"/>
    <col min="8218" max="8218" width="2.7109375" style="993" customWidth="1"/>
    <col min="8219" max="8219" width="13.7109375" style="993" customWidth="1"/>
    <col min="8220" max="8220" width="2.7109375" style="993" customWidth="1"/>
    <col min="8221" max="8221" width="6.7109375" style="993" customWidth="1"/>
    <col min="8222" max="8222" width="2.7109375" style="993" customWidth="1"/>
    <col min="8223" max="8223" width="13.7109375" style="993" customWidth="1"/>
    <col min="8224" max="8224" width="2.7109375" style="993" customWidth="1"/>
    <col min="8225" max="8225" width="13.7109375" style="993" customWidth="1"/>
    <col min="8226" max="8226" width="2.7109375" style="993" customWidth="1"/>
    <col min="8227" max="8227" width="6.7109375" style="993" customWidth="1"/>
    <col min="8228" max="8228" width="2.7109375" style="993" customWidth="1"/>
    <col min="8229" max="8229" width="13.7109375" style="993" customWidth="1"/>
    <col min="8230" max="8230" width="12.7109375" style="993"/>
    <col min="8231" max="8231" width="18.42578125" style="993" bestFit="1" customWidth="1"/>
    <col min="8232" max="8232" width="12.7109375" style="993"/>
    <col min="8233" max="8233" width="18.42578125" style="993" bestFit="1" customWidth="1"/>
    <col min="8234" max="8234" width="12.7109375" style="993"/>
    <col min="8235" max="8235" width="15.85546875" style="993" customWidth="1"/>
    <col min="8236" max="8460" width="12.7109375" style="993"/>
    <col min="8461" max="8462" width="4.7109375" style="993" customWidth="1"/>
    <col min="8463" max="8463" width="12.7109375" style="993" customWidth="1"/>
    <col min="8464" max="8464" width="13.140625" style="993" customWidth="1"/>
    <col min="8465" max="8465" width="3.7109375" style="993" customWidth="1"/>
    <col min="8466" max="8466" width="2.7109375" style="993" customWidth="1"/>
    <col min="8467" max="8467" width="13.7109375" style="993" customWidth="1"/>
    <col min="8468" max="8468" width="2.7109375" style="993" customWidth="1"/>
    <col min="8469" max="8469" width="13.7109375" style="993" customWidth="1"/>
    <col min="8470" max="8470" width="2.7109375" style="993" customWidth="1"/>
    <col min="8471" max="8471" width="6.7109375" style="993" customWidth="1"/>
    <col min="8472" max="8472" width="2.7109375" style="993" customWidth="1"/>
    <col min="8473" max="8473" width="13.7109375" style="993" customWidth="1"/>
    <col min="8474" max="8474" width="2.7109375" style="993" customWidth="1"/>
    <col min="8475" max="8475" width="13.7109375" style="993" customWidth="1"/>
    <col min="8476" max="8476" width="2.7109375" style="993" customWidth="1"/>
    <col min="8477" max="8477" width="6.7109375" style="993" customWidth="1"/>
    <col min="8478" max="8478" width="2.7109375" style="993" customWidth="1"/>
    <col min="8479" max="8479" width="13.7109375" style="993" customWidth="1"/>
    <col min="8480" max="8480" width="2.7109375" style="993" customWidth="1"/>
    <col min="8481" max="8481" width="13.7109375" style="993" customWidth="1"/>
    <col min="8482" max="8482" width="2.7109375" style="993" customWidth="1"/>
    <col min="8483" max="8483" width="6.7109375" style="993" customWidth="1"/>
    <col min="8484" max="8484" width="2.7109375" style="993" customWidth="1"/>
    <col min="8485" max="8485" width="13.7109375" style="993" customWidth="1"/>
    <col min="8486" max="8486" width="12.7109375" style="993"/>
    <col min="8487" max="8487" width="18.42578125" style="993" bestFit="1" customWidth="1"/>
    <col min="8488" max="8488" width="12.7109375" style="993"/>
    <col min="8489" max="8489" width="18.42578125" style="993" bestFit="1" customWidth="1"/>
    <col min="8490" max="8490" width="12.7109375" style="993"/>
    <col min="8491" max="8491" width="15.85546875" style="993" customWidth="1"/>
    <col min="8492" max="8716" width="12.7109375" style="993"/>
    <col min="8717" max="8718" width="4.7109375" style="993" customWidth="1"/>
    <col min="8719" max="8719" width="12.7109375" style="993" customWidth="1"/>
    <col min="8720" max="8720" width="13.140625" style="993" customWidth="1"/>
    <col min="8721" max="8721" width="3.7109375" style="993" customWidth="1"/>
    <col min="8722" max="8722" width="2.7109375" style="993" customWidth="1"/>
    <col min="8723" max="8723" width="13.7109375" style="993" customWidth="1"/>
    <col min="8724" max="8724" width="2.7109375" style="993" customWidth="1"/>
    <col min="8725" max="8725" width="13.7109375" style="993" customWidth="1"/>
    <col min="8726" max="8726" width="2.7109375" style="993" customWidth="1"/>
    <col min="8727" max="8727" width="6.7109375" style="993" customWidth="1"/>
    <col min="8728" max="8728" width="2.7109375" style="993" customWidth="1"/>
    <col min="8729" max="8729" width="13.7109375" style="993" customWidth="1"/>
    <col min="8730" max="8730" width="2.7109375" style="993" customWidth="1"/>
    <col min="8731" max="8731" width="13.7109375" style="993" customWidth="1"/>
    <col min="8732" max="8732" width="2.7109375" style="993" customWidth="1"/>
    <col min="8733" max="8733" width="6.7109375" style="993" customWidth="1"/>
    <col min="8734" max="8734" width="2.7109375" style="993" customWidth="1"/>
    <col min="8735" max="8735" width="13.7109375" style="993" customWidth="1"/>
    <col min="8736" max="8736" width="2.7109375" style="993" customWidth="1"/>
    <col min="8737" max="8737" width="13.7109375" style="993" customWidth="1"/>
    <col min="8738" max="8738" width="2.7109375" style="993" customWidth="1"/>
    <col min="8739" max="8739" width="6.7109375" style="993" customWidth="1"/>
    <col min="8740" max="8740" width="2.7109375" style="993" customWidth="1"/>
    <col min="8741" max="8741" width="13.7109375" style="993" customWidth="1"/>
    <col min="8742" max="8742" width="12.7109375" style="993"/>
    <col min="8743" max="8743" width="18.42578125" style="993" bestFit="1" customWidth="1"/>
    <col min="8744" max="8744" width="12.7109375" style="993"/>
    <col min="8745" max="8745" width="18.42578125" style="993" bestFit="1" customWidth="1"/>
    <col min="8746" max="8746" width="12.7109375" style="993"/>
    <col min="8747" max="8747" width="15.85546875" style="993" customWidth="1"/>
    <col min="8748" max="8972" width="12.7109375" style="993"/>
    <col min="8973" max="8974" width="4.7109375" style="993" customWidth="1"/>
    <col min="8975" max="8975" width="12.7109375" style="993" customWidth="1"/>
    <col min="8976" max="8976" width="13.140625" style="993" customWidth="1"/>
    <col min="8977" max="8977" width="3.7109375" style="993" customWidth="1"/>
    <col min="8978" max="8978" width="2.7109375" style="993" customWidth="1"/>
    <col min="8979" max="8979" width="13.7109375" style="993" customWidth="1"/>
    <col min="8980" max="8980" width="2.7109375" style="993" customWidth="1"/>
    <col min="8981" max="8981" width="13.7109375" style="993" customWidth="1"/>
    <col min="8982" max="8982" width="2.7109375" style="993" customWidth="1"/>
    <col min="8983" max="8983" width="6.7109375" style="993" customWidth="1"/>
    <col min="8984" max="8984" width="2.7109375" style="993" customWidth="1"/>
    <col min="8985" max="8985" width="13.7109375" style="993" customWidth="1"/>
    <col min="8986" max="8986" width="2.7109375" style="993" customWidth="1"/>
    <col min="8987" max="8987" width="13.7109375" style="993" customWidth="1"/>
    <col min="8988" max="8988" width="2.7109375" style="993" customWidth="1"/>
    <col min="8989" max="8989" width="6.7109375" style="993" customWidth="1"/>
    <col min="8990" max="8990" width="2.7109375" style="993" customWidth="1"/>
    <col min="8991" max="8991" width="13.7109375" style="993" customWidth="1"/>
    <col min="8992" max="8992" width="2.7109375" style="993" customWidth="1"/>
    <col min="8993" max="8993" width="13.7109375" style="993" customWidth="1"/>
    <col min="8994" max="8994" width="2.7109375" style="993" customWidth="1"/>
    <col min="8995" max="8995" width="6.7109375" style="993" customWidth="1"/>
    <col min="8996" max="8996" width="2.7109375" style="993" customWidth="1"/>
    <col min="8997" max="8997" width="13.7109375" style="993" customWidth="1"/>
    <col min="8998" max="8998" width="12.7109375" style="993"/>
    <col min="8999" max="8999" width="18.42578125" style="993" bestFit="1" customWidth="1"/>
    <col min="9000" max="9000" width="12.7109375" style="993"/>
    <col min="9001" max="9001" width="18.42578125" style="993" bestFit="1" customWidth="1"/>
    <col min="9002" max="9002" width="12.7109375" style="993"/>
    <col min="9003" max="9003" width="15.85546875" style="993" customWidth="1"/>
    <col min="9004" max="9228" width="12.7109375" style="993"/>
    <col min="9229" max="9230" width="4.7109375" style="993" customWidth="1"/>
    <col min="9231" max="9231" width="12.7109375" style="993" customWidth="1"/>
    <col min="9232" max="9232" width="13.140625" style="993" customWidth="1"/>
    <col min="9233" max="9233" width="3.7109375" style="993" customWidth="1"/>
    <col min="9234" max="9234" width="2.7109375" style="993" customWidth="1"/>
    <col min="9235" max="9235" width="13.7109375" style="993" customWidth="1"/>
    <col min="9236" max="9236" width="2.7109375" style="993" customWidth="1"/>
    <col min="9237" max="9237" width="13.7109375" style="993" customWidth="1"/>
    <col min="9238" max="9238" width="2.7109375" style="993" customWidth="1"/>
    <col min="9239" max="9239" width="6.7109375" style="993" customWidth="1"/>
    <col min="9240" max="9240" width="2.7109375" style="993" customWidth="1"/>
    <col min="9241" max="9241" width="13.7109375" style="993" customWidth="1"/>
    <col min="9242" max="9242" width="2.7109375" style="993" customWidth="1"/>
    <col min="9243" max="9243" width="13.7109375" style="993" customWidth="1"/>
    <col min="9244" max="9244" width="2.7109375" style="993" customWidth="1"/>
    <col min="9245" max="9245" width="6.7109375" style="993" customWidth="1"/>
    <col min="9246" max="9246" width="2.7109375" style="993" customWidth="1"/>
    <col min="9247" max="9247" width="13.7109375" style="993" customWidth="1"/>
    <col min="9248" max="9248" width="2.7109375" style="993" customWidth="1"/>
    <col min="9249" max="9249" width="13.7109375" style="993" customWidth="1"/>
    <col min="9250" max="9250" width="2.7109375" style="993" customWidth="1"/>
    <col min="9251" max="9251" width="6.7109375" style="993" customWidth="1"/>
    <col min="9252" max="9252" width="2.7109375" style="993" customWidth="1"/>
    <col min="9253" max="9253" width="13.7109375" style="993" customWidth="1"/>
    <col min="9254" max="9254" width="12.7109375" style="993"/>
    <col min="9255" max="9255" width="18.42578125" style="993" bestFit="1" customWidth="1"/>
    <col min="9256" max="9256" width="12.7109375" style="993"/>
    <col min="9257" max="9257" width="18.42578125" style="993" bestFit="1" customWidth="1"/>
    <col min="9258" max="9258" width="12.7109375" style="993"/>
    <col min="9259" max="9259" width="15.85546875" style="993" customWidth="1"/>
    <col min="9260" max="9484" width="12.7109375" style="993"/>
    <col min="9485" max="9486" width="4.7109375" style="993" customWidth="1"/>
    <col min="9487" max="9487" width="12.7109375" style="993" customWidth="1"/>
    <col min="9488" max="9488" width="13.140625" style="993" customWidth="1"/>
    <col min="9489" max="9489" width="3.7109375" style="993" customWidth="1"/>
    <col min="9490" max="9490" width="2.7109375" style="993" customWidth="1"/>
    <col min="9491" max="9491" width="13.7109375" style="993" customWidth="1"/>
    <col min="9492" max="9492" width="2.7109375" style="993" customWidth="1"/>
    <col min="9493" max="9493" width="13.7109375" style="993" customWidth="1"/>
    <col min="9494" max="9494" width="2.7109375" style="993" customWidth="1"/>
    <col min="9495" max="9495" width="6.7109375" style="993" customWidth="1"/>
    <col min="9496" max="9496" width="2.7109375" style="993" customWidth="1"/>
    <col min="9497" max="9497" width="13.7109375" style="993" customWidth="1"/>
    <col min="9498" max="9498" width="2.7109375" style="993" customWidth="1"/>
    <col min="9499" max="9499" width="13.7109375" style="993" customWidth="1"/>
    <col min="9500" max="9500" width="2.7109375" style="993" customWidth="1"/>
    <col min="9501" max="9501" width="6.7109375" style="993" customWidth="1"/>
    <col min="9502" max="9502" width="2.7109375" style="993" customWidth="1"/>
    <col min="9503" max="9503" width="13.7109375" style="993" customWidth="1"/>
    <col min="9504" max="9504" width="2.7109375" style="993" customWidth="1"/>
    <col min="9505" max="9505" width="13.7109375" style="993" customWidth="1"/>
    <col min="9506" max="9506" width="2.7109375" style="993" customWidth="1"/>
    <col min="9507" max="9507" width="6.7109375" style="993" customWidth="1"/>
    <col min="9508" max="9508" width="2.7109375" style="993" customWidth="1"/>
    <col min="9509" max="9509" width="13.7109375" style="993" customWidth="1"/>
    <col min="9510" max="9510" width="12.7109375" style="993"/>
    <col min="9511" max="9511" width="18.42578125" style="993" bestFit="1" customWidth="1"/>
    <col min="9512" max="9512" width="12.7109375" style="993"/>
    <col min="9513" max="9513" width="18.42578125" style="993" bestFit="1" customWidth="1"/>
    <col min="9514" max="9514" width="12.7109375" style="993"/>
    <col min="9515" max="9515" width="15.85546875" style="993" customWidth="1"/>
    <col min="9516" max="9740" width="12.7109375" style="993"/>
    <col min="9741" max="9742" width="4.7109375" style="993" customWidth="1"/>
    <col min="9743" max="9743" width="12.7109375" style="993" customWidth="1"/>
    <col min="9744" max="9744" width="13.140625" style="993" customWidth="1"/>
    <col min="9745" max="9745" width="3.7109375" style="993" customWidth="1"/>
    <col min="9746" max="9746" width="2.7109375" style="993" customWidth="1"/>
    <col min="9747" max="9747" width="13.7109375" style="993" customWidth="1"/>
    <col min="9748" max="9748" width="2.7109375" style="993" customWidth="1"/>
    <col min="9749" max="9749" width="13.7109375" style="993" customWidth="1"/>
    <col min="9750" max="9750" width="2.7109375" style="993" customWidth="1"/>
    <col min="9751" max="9751" width="6.7109375" style="993" customWidth="1"/>
    <col min="9752" max="9752" width="2.7109375" style="993" customWidth="1"/>
    <col min="9753" max="9753" width="13.7109375" style="993" customWidth="1"/>
    <col min="9754" max="9754" width="2.7109375" style="993" customWidth="1"/>
    <col min="9755" max="9755" width="13.7109375" style="993" customWidth="1"/>
    <col min="9756" max="9756" width="2.7109375" style="993" customWidth="1"/>
    <col min="9757" max="9757" width="6.7109375" style="993" customWidth="1"/>
    <col min="9758" max="9758" width="2.7109375" style="993" customWidth="1"/>
    <col min="9759" max="9759" width="13.7109375" style="993" customWidth="1"/>
    <col min="9760" max="9760" width="2.7109375" style="993" customWidth="1"/>
    <col min="9761" max="9761" width="13.7109375" style="993" customWidth="1"/>
    <col min="9762" max="9762" width="2.7109375" style="993" customWidth="1"/>
    <col min="9763" max="9763" width="6.7109375" style="993" customWidth="1"/>
    <col min="9764" max="9764" width="2.7109375" style="993" customWidth="1"/>
    <col min="9765" max="9765" width="13.7109375" style="993" customWidth="1"/>
    <col min="9766" max="9766" width="12.7109375" style="993"/>
    <col min="9767" max="9767" width="18.42578125" style="993" bestFit="1" customWidth="1"/>
    <col min="9768" max="9768" width="12.7109375" style="993"/>
    <col min="9769" max="9769" width="18.42578125" style="993" bestFit="1" customWidth="1"/>
    <col min="9770" max="9770" width="12.7109375" style="993"/>
    <col min="9771" max="9771" width="15.85546875" style="993" customWidth="1"/>
    <col min="9772" max="9996" width="12.7109375" style="993"/>
    <col min="9997" max="9998" width="4.7109375" style="993" customWidth="1"/>
    <col min="9999" max="9999" width="12.7109375" style="993" customWidth="1"/>
    <col min="10000" max="10000" width="13.140625" style="993" customWidth="1"/>
    <col min="10001" max="10001" width="3.7109375" style="993" customWidth="1"/>
    <col min="10002" max="10002" width="2.7109375" style="993" customWidth="1"/>
    <col min="10003" max="10003" width="13.7109375" style="993" customWidth="1"/>
    <col min="10004" max="10004" width="2.7109375" style="993" customWidth="1"/>
    <col min="10005" max="10005" width="13.7109375" style="993" customWidth="1"/>
    <col min="10006" max="10006" width="2.7109375" style="993" customWidth="1"/>
    <col min="10007" max="10007" width="6.7109375" style="993" customWidth="1"/>
    <col min="10008" max="10008" width="2.7109375" style="993" customWidth="1"/>
    <col min="10009" max="10009" width="13.7109375" style="993" customWidth="1"/>
    <col min="10010" max="10010" width="2.7109375" style="993" customWidth="1"/>
    <col min="10011" max="10011" width="13.7109375" style="993" customWidth="1"/>
    <col min="10012" max="10012" width="2.7109375" style="993" customWidth="1"/>
    <col min="10013" max="10013" width="6.7109375" style="993" customWidth="1"/>
    <col min="10014" max="10014" width="2.7109375" style="993" customWidth="1"/>
    <col min="10015" max="10015" width="13.7109375" style="993" customWidth="1"/>
    <col min="10016" max="10016" width="2.7109375" style="993" customWidth="1"/>
    <col min="10017" max="10017" width="13.7109375" style="993" customWidth="1"/>
    <col min="10018" max="10018" width="2.7109375" style="993" customWidth="1"/>
    <col min="10019" max="10019" width="6.7109375" style="993" customWidth="1"/>
    <col min="10020" max="10020" width="2.7109375" style="993" customWidth="1"/>
    <col min="10021" max="10021" width="13.7109375" style="993" customWidth="1"/>
    <col min="10022" max="10022" width="12.7109375" style="993"/>
    <col min="10023" max="10023" width="18.42578125" style="993" bestFit="1" customWidth="1"/>
    <col min="10024" max="10024" width="12.7109375" style="993"/>
    <col min="10025" max="10025" width="18.42578125" style="993" bestFit="1" customWidth="1"/>
    <col min="10026" max="10026" width="12.7109375" style="993"/>
    <col min="10027" max="10027" width="15.85546875" style="993" customWidth="1"/>
    <col min="10028" max="10252" width="12.7109375" style="993"/>
    <col min="10253" max="10254" width="4.7109375" style="993" customWidth="1"/>
    <col min="10255" max="10255" width="12.7109375" style="993" customWidth="1"/>
    <col min="10256" max="10256" width="13.140625" style="993" customWidth="1"/>
    <col min="10257" max="10257" width="3.7109375" style="993" customWidth="1"/>
    <col min="10258" max="10258" width="2.7109375" style="993" customWidth="1"/>
    <col min="10259" max="10259" width="13.7109375" style="993" customWidth="1"/>
    <col min="10260" max="10260" width="2.7109375" style="993" customWidth="1"/>
    <col min="10261" max="10261" width="13.7109375" style="993" customWidth="1"/>
    <col min="10262" max="10262" width="2.7109375" style="993" customWidth="1"/>
    <col min="10263" max="10263" width="6.7109375" style="993" customWidth="1"/>
    <col min="10264" max="10264" width="2.7109375" style="993" customWidth="1"/>
    <col min="10265" max="10265" width="13.7109375" style="993" customWidth="1"/>
    <col min="10266" max="10266" width="2.7109375" style="993" customWidth="1"/>
    <col min="10267" max="10267" width="13.7109375" style="993" customWidth="1"/>
    <col min="10268" max="10268" width="2.7109375" style="993" customWidth="1"/>
    <col min="10269" max="10269" width="6.7109375" style="993" customWidth="1"/>
    <col min="10270" max="10270" width="2.7109375" style="993" customWidth="1"/>
    <col min="10271" max="10271" width="13.7109375" style="993" customWidth="1"/>
    <col min="10272" max="10272" width="2.7109375" style="993" customWidth="1"/>
    <col min="10273" max="10273" width="13.7109375" style="993" customWidth="1"/>
    <col min="10274" max="10274" width="2.7109375" style="993" customWidth="1"/>
    <col min="10275" max="10275" width="6.7109375" style="993" customWidth="1"/>
    <col min="10276" max="10276" width="2.7109375" style="993" customWidth="1"/>
    <col min="10277" max="10277" width="13.7109375" style="993" customWidth="1"/>
    <col min="10278" max="10278" width="12.7109375" style="993"/>
    <col min="10279" max="10279" width="18.42578125" style="993" bestFit="1" customWidth="1"/>
    <col min="10280" max="10280" width="12.7109375" style="993"/>
    <col min="10281" max="10281" width="18.42578125" style="993" bestFit="1" customWidth="1"/>
    <col min="10282" max="10282" width="12.7109375" style="993"/>
    <col min="10283" max="10283" width="15.85546875" style="993" customWidth="1"/>
    <col min="10284" max="10508" width="12.7109375" style="993"/>
    <col min="10509" max="10510" width="4.7109375" style="993" customWidth="1"/>
    <col min="10511" max="10511" width="12.7109375" style="993" customWidth="1"/>
    <col min="10512" max="10512" width="13.140625" style="993" customWidth="1"/>
    <col min="10513" max="10513" width="3.7109375" style="993" customWidth="1"/>
    <col min="10514" max="10514" width="2.7109375" style="993" customWidth="1"/>
    <col min="10515" max="10515" width="13.7109375" style="993" customWidth="1"/>
    <col min="10516" max="10516" width="2.7109375" style="993" customWidth="1"/>
    <col min="10517" max="10517" width="13.7109375" style="993" customWidth="1"/>
    <col min="10518" max="10518" width="2.7109375" style="993" customWidth="1"/>
    <col min="10519" max="10519" width="6.7109375" style="993" customWidth="1"/>
    <col min="10520" max="10520" width="2.7109375" style="993" customWidth="1"/>
    <col min="10521" max="10521" width="13.7109375" style="993" customWidth="1"/>
    <col min="10522" max="10522" width="2.7109375" style="993" customWidth="1"/>
    <col min="10523" max="10523" width="13.7109375" style="993" customWidth="1"/>
    <col min="10524" max="10524" width="2.7109375" style="993" customWidth="1"/>
    <col min="10525" max="10525" width="6.7109375" style="993" customWidth="1"/>
    <col min="10526" max="10526" width="2.7109375" style="993" customWidth="1"/>
    <col min="10527" max="10527" width="13.7109375" style="993" customWidth="1"/>
    <col min="10528" max="10528" width="2.7109375" style="993" customWidth="1"/>
    <col min="10529" max="10529" width="13.7109375" style="993" customWidth="1"/>
    <col min="10530" max="10530" width="2.7109375" style="993" customWidth="1"/>
    <col min="10531" max="10531" width="6.7109375" style="993" customWidth="1"/>
    <col min="10532" max="10532" width="2.7109375" style="993" customWidth="1"/>
    <col min="10533" max="10533" width="13.7109375" style="993" customWidth="1"/>
    <col min="10534" max="10534" width="12.7109375" style="993"/>
    <col min="10535" max="10535" width="18.42578125" style="993" bestFit="1" customWidth="1"/>
    <col min="10536" max="10536" width="12.7109375" style="993"/>
    <col min="10537" max="10537" width="18.42578125" style="993" bestFit="1" customWidth="1"/>
    <col min="10538" max="10538" width="12.7109375" style="993"/>
    <col min="10539" max="10539" width="15.85546875" style="993" customWidth="1"/>
    <col min="10540" max="10764" width="12.7109375" style="993"/>
    <col min="10765" max="10766" width="4.7109375" style="993" customWidth="1"/>
    <col min="10767" max="10767" width="12.7109375" style="993" customWidth="1"/>
    <col min="10768" max="10768" width="13.140625" style="993" customWidth="1"/>
    <col min="10769" max="10769" width="3.7109375" style="993" customWidth="1"/>
    <col min="10770" max="10770" width="2.7109375" style="993" customWidth="1"/>
    <col min="10771" max="10771" width="13.7109375" style="993" customWidth="1"/>
    <col min="10772" max="10772" width="2.7109375" style="993" customWidth="1"/>
    <col min="10773" max="10773" width="13.7109375" style="993" customWidth="1"/>
    <col min="10774" max="10774" width="2.7109375" style="993" customWidth="1"/>
    <col min="10775" max="10775" width="6.7109375" style="993" customWidth="1"/>
    <col min="10776" max="10776" width="2.7109375" style="993" customWidth="1"/>
    <col min="10777" max="10777" width="13.7109375" style="993" customWidth="1"/>
    <col min="10778" max="10778" width="2.7109375" style="993" customWidth="1"/>
    <col min="10779" max="10779" width="13.7109375" style="993" customWidth="1"/>
    <col min="10780" max="10780" width="2.7109375" style="993" customWidth="1"/>
    <col min="10781" max="10781" width="6.7109375" style="993" customWidth="1"/>
    <col min="10782" max="10782" width="2.7109375" style="993" customWidth="1"/>
    <col min="10783" max="10783" width="13.7109375" style="993" customWidth="1"/>
    <col min="10784" max="10784" width="2.7109375" style="993" customWidth="1"/>
    <col min="10785" max="10785" width="13.7109375" style="993" customWidth="1"/>
    <col min="10786" max="10786" width="2.7109375" style="993" customWidth="1"/>
    <col min="10787" max="10787" width="6.7109375" style="993" customWidth="1"/>
    <col min="10788" max="10788" width="2.7109375" style="993" customWidth="1"/>
    <col min="10789" max="10789" width="13.7109375" style="993" customWidth="1"/>
    <col min="10790" max="10790" width="12.7109375" style="993"/>
    <col min="10791" max="10791" width="18.42578125" style="993" bestFit="1" customWidth="1"/>
    <col min="10792" max="10792" width="12.7109375" style="993"/>
    <col min="10793" max="10793" width="18.42578125" style="993" bestFit="1" customWidth="1"/>
    <col min="10794" max="10794" width="12.7109375" style="993"/>
    <col min="10795" max="10795" width="15.85546875" style="993" customWidth="1"/>
    <col min="10796" max="11020" width="12.7109375" style="993"/>
    <col min="11021" max="11022" width="4.7109375" style="993" customWidth="1"/>
    <col min="11023" max="11023" width="12.7109375" style="993" customWidth="1"/>
    <col min="11024" max="11024" width="13.140625" style="993" customWidth="1"/>
    <col min="11025" max="11025" width="3.7109375" style="993" customWidth="1"/>
    <col min="11026" max="11026" width="2.7109375" style="993" customWidth="1"/>
    <col min="11027" max="11027" width="13.7109375" style="993" customWidth="1"/>
    <col min="11028" max="11028" width="2.7109375" style="993" customWidth="1"/>
    <col min="11029" max="11029" width="13.7109375" style="993" customWidth="1"/>
    <col min="11030" max="11030" width="2.7109375" style="993" customWidth="1"/>
    <col min="11031" max="11031" width="6.7109375" style="993" customWidth="1"/>
    <col min="11032" max="11032" width="2.7109375" style="993" customWidth="1"/>
    <col min="11033" max="11033" width="13.7109375" style="993" customWidth="1"/>
    <col min="11034" max="11034" width="2.7109375" style="993" customWidth="1"/>
    <col min="11035" max="11035" width="13.7109375" style="993" customWidth="1"/>
    <col min="11036" max="11036" width="2.7109375" style="993" customWidth="1"/>
    <col min="11037" max="11037" width="6.7109375" style="993" customWidth="1"/>
    <col min="11038" max="11038" width="2.7109375" style="993" customWidth="1"/>
    <col min="11039" max="11039" width="13.7109375" style="993" customWidth="1"/>
    <col min="11040" max="11040" width="2.7109375" style="993" customWidth="1"/>
    <col min="11041" max="11041" width="13.7109375" style="993" customWidth="1"/>
    <col min="11042" max="11042" width="2.7109375" style="993" customWidth="1"/>
    <col min="11043" max="11043" width="6.7109375" style="993" customWidth="1"/>
    <col min="11044" max="11044" width="2.7109375" style="993" customWidth="1"/>
    <col min="11045" max="11045" width="13.7109375" style="993" customWidth="1"/>
    <col min="11046" max="11046" width="12.7109375" style="993"/>
    <col min="11047" max="11047" width="18.42578125" style="993" bestFit="1" customWidth="1"/>
    <col min="11048" max="11048" width="12.7109375" style="993"/>
    <col min="11049" max="11049" width="18.42578125" style="993" bestFit="1" customWidth="1"/>
    <col min="11050" max="11050" width="12.7109375" style="993"/>
    <col min="11051" max="11051" width="15.85546875" style="993" customWidth="1"/>
    <col min="11052" max="11276" width="12.7109375" style="993"/>
    <col min="11277" max="11278" width="4.7109375" style="993" customWidth="1"/>
    <col min="11279" max="11279" width="12.7109375" style="993" customWidth="1"/>
    <col min="11280" max="11280" width="13.140625" style="993" customWidth="1"/>
    <col min="11281" max="11281" width="3.7109375" style="993" customWidth="1"/>
    <col min="11282" max="11282" width="2.7109375" style="993" customWidth="1"/>
    <col min="11283" max="11283" width="13.7109375" style="993" customWidth="1"/>
    <col min="11284" max="11284" width="2.7109375" style="993" customWidth="1"/>
    <col min="11285" max="11285" width="13.7109375" style="993" customWidth="1"/>
    <col min="11286" max="11286" width="2.7109375" style="993" customWidth="1"/>
    <col min="11287" max="11287" width="6.7109375" style="993" customWidth="1"/>
    <col min="11288" max="11288" width="2.7109375" style="993" customWidth="1"/>
    <col min="11289" max="11289" width="13.7109375" style="993" customWidth="1"/>
    <col min="11290" max="11290" width="2.7109375" style="993" customWidth="1"/>
    <col min="11291" max="11291" width="13.7109375" style="993" customWidth="1"/>
    <col min="11292" max="11292" width="2.7109375" style="993" customWidth="1"/>
    <col min="11293" max="11293" width="6.7109375" style="993" customWidth="1"/>
    <col min="11294" max="11294" width="2.7109375" style="993" customWidth="1"/>
    <col min="11295" max="11295" width="13.7109375" style="993" customWidth="1"/>
    <col min="11296" max="11296" width="2.7109375" style="993" customWidth="1"/>
    <col min="11297" max="11297" width="13.7109375" style="993" customWidth="1"/>
    <col min="11298" max="11298" width="2.7109375" style="993" customWidth="1"/>
    <col min="11299" max="11299" width="6.7109375" style="993" customWidth="1"/>
    <col min="11300" max="11300" width="2.7109375" style="993" customWidth="1"/>
    <col min="11301" max="11301" width="13.7109375" style="993" customWidth="1"/>
    <col min="11302" max="11302" width="12.7109375" style="993"/>
    <col min="11303" max="11303" width="18.42578125" style="993" bestFit="1" customWidth="1"/>
    <col min="11304" max="11304" width="12.7109375" style="993"/>
    <col min="11305" max="11305" width="18.42578125" style="993" bestFit="1" customWidth="1"/>
    <col min="11306" max="11306" width="12.7109375" style="993"/>
    <col min="11307" max="11307" width="15.85546875" style="993" customWidth="1"/>
    <col min="11308" max="11532" width="12.7109375" style="993"/>
    <col min="11533" max="11534" width="4.7109375" style="993" customWidth="1"/>
    <col min="11535" max="11535" width="12.7109375" style="993" customWidth="1"/>
    <col min="11536" max="11536" width="13.140625" style="993" customWidth="1"/>
    <col min="11537" max="11537" width="3.7109375" style="993" customWidth="1"/>
    <col min="11538" max="11538" width="2.7109375" style="993" customWidth="1"/>
    <col min="11539" max="11539" width="13.7109375" style="993" customWidth="1"/>
    <col min="11540" max="11540" width="2.7109375" style="993" customWidth="1"/>
    <col min="11541" max="11541" width="13.7109375" style="993" customWidth="1"/>
    <col min="11542" max="11542" width="2.7109375" style="993" customWidth="1"/>
    <col min="11543" max="11543" width="6.7109375" style="993" customWidth="1"/>
    <col min="11544" max="11544" width="2.7109375" style="993" customWidth="1"/>
    <col min="11545" max="11545" width="13.7109375" style="993" customWidth="1"/>
    <col min="11546" max="11546" width="2.7109375" style="993" customWidth="1"/>
    <col min="11547" max="11547" width="13.7109375" style="993" customWidth="1"/>
    <col min="11548" max="11548" width="2.7109375" style="993" customWidth="1"/>
    <col min="11549" max="11549" width="6.7109375" style="993" customWidth="1"/>
    <col min="11550" max="11550" width="2.7109375" style="993" customWidth="1"/>
    <col min="11551" max="11551" width="13.7109375" style="993" customWidth="1"/>
    <col min="11552" max="11552" width="2.7109375" style="993" customWidth="1"/>
    <col min="11553" max="11553" width="13.7109375" style="993" customWidth="1"/>
    <col min="11554" max="11554" width="2.7109375" style="993" customWidth="1"/>
    <col min="11555" max="11555" width="6.7109375" style="993" customWidth="1"/>
    <col min="11556" max="11556" width="2.7109375" style="993" customWidth="1"/>
    <col min="11557" max="11557" width="13.7109375" style="993" customWidth="1"/>
    <col min="11558" max="11558" width="12.7109375" style="993"/>
    <col min="11559" max="11559" width="18.42578125" style="993" bestFit="1" customWidth="1"/>
    <col min="11560" max="11560" width="12.7109375" style="993"/>
    <col min="11561" max="11561" width="18.42578125" style="993" bestFit="1" customWidth="1"/>
    <col min="11562" max="11562" width="12.7109375" style="993"/>
    <col min="11563" max="11563" width="15.85546875" style="993" customWidth="1"/>
    <col min="11564" max="11788" width="12.7109375" style="993"/>
    <col min="11789" max="11790" width="4.7109375" style="993" customWidth="1"/>
    <col min="11791" max="11791" width="12.7109375" style="993" customWidth="1"/>
    <col min="11792" max="11792" width="13.140625" style="993" customWidth="1"/>
    <col min="11793" max="11793" width="3.7109375" style="993" customWidth="1"/>
    <col min="11794" max="11794" width="2.7109375" style="993" customWidth="1"/>
    <col min="11795" max="11795" width="13.7109375" style="993" customWidth="1"/>
    <col min="11796" max="11796" width="2.7109375" style="993" customWidth="1"/>
    <col min="11797" max="11797" width="13.7109375" style="993" customWidth="1"/>
    <col min="11798" max="11798" width="2.7109375" style="993" customWidth="1"/>
    <col min="11799" max="11799" width="6.7109375" style="993" customWidth="1"/>
    <col min="11800" max="11800" width="2.7109375" style="993" customWidth="1"/>
    <col min="11801" max="11801" width="13.7109375" style="993" customWidth="1"/>
    <col min="11802" max="11802" width="2.7109375" style="993" customWidth="1"/>
    <col min="11803" max="11803" width="13.7109375" style="993" customWidth="1"/>
    <col min="11804" max="11804" width="2.7109375" style="993" customWidth="1"/>
    <col min="11805" max="11805" width="6.7109375" style="993" customWidth="1"/>
    <col min="11806" max="11806" width="2.7109375" style="993" customWidth="1"/>
    <col min="11807" max="11807" width="13.7109375" style="993" customWidth="1"/>
    <col min="11808" max="11808" width="2.7109375" style="993" customWidth="1"/>
    <col min="11809" max="11809" width="13.7109375" style="993" customWidth="1"/>
    <col min="11810" max="11810" width="2.7109375" style="993" customWidth="1"/>
    <col min="11811" max="11811" width="6.7109375" style="993" customWidth="1"/>
    <col min="11812" max="11812" width="2.7109375" style="993" customWidth="1"/>
    <col min="11813" max="11813" width="13.7109375" style="993" customWidth="1"/>
    <col min="11814" max="11814" width="12.7109375" style="993"/>
    <col min="11815" max="11815" width="18.42578125" style="993" bestFit="1" customWidth="1"/>
    <col min="11816" max="11816" width="12.7109375" style="993"/>
    <col min="11817" max="11817" width="18.42578125" style="993" bestFit="1" customWidth="1"/>
    <col min="11818" max="11818" width="12.7109375" style="993"/>
    <col min="11819" max="11819" width="15.85546875" style="993" customWidth="1"/>
    <col min="11820" max="12044" width="12.7109375" style="993"/>
    <col min="12045" max="12046" width="4.7109375" style="993" customWidth="1"/>
    <col min="12047" max="12047" width="12.7109375" style="993" customWidth="1"/>
    <col min="12048" max="12048" width="13.140625" style="993" customWidth="1"/>
    <col min="12049" max="12049" width="3.7109375" style="993" customWidth="1"/>
    <col min="12050" max="12050" width="2.7109375" style="993" customWidth="1"/>
    <col min="12051" max="12051" width="13.7109375" style="993" customWidth="1"/>
    <col min="12052" max="12052" width="2.7109375" style="993" customWidth="1"/>
    <col min="12053" max="12053" width="13.7109375" style="993" customWidth="1"/>
    <col min="12054" max="12054" width="2.7109375" style="993" customWidth="1"/>
    <col min="12055" max="12055" width="6.7109375" style="993" customWidth="1"/>
    <col min="12056" max="12056" width="2.7109375" style="993" customWidth="1"/>
    <col min="12057" max="12057" width="13.7109375" style="993" customWidth="1"/>
    <col min="12058" max="12058" width="2.7109375" style="993" customWidth="1"/>
    <col min="12059" max="12059" width="13.7109375" style="993" customWidth="1"/>
    <col min="12060" max="12060" width="2.7109375" style="993" customWidth="1"/>
    <col min="12061" max="12061" width="6.7109375" style="993" customWidth="1"/>
    <col min="12062" max="12062" width="2.7109375" style="993" customWidth="1"/>
    <col min="12063" max="12063" width="13.7109375" style="993" customWidth="1"/>
    <col min="12064" max="12064" width="2.7109375" style="993" customWidth="1"/>
    <col min="12065" max="12065" width="13.7109375" style="993" customWidth="1"/>
    <col min="12066" max="12066" width="2.7109375" style="993" customWidth="1"/>
    <col min="12067" max="12067" width="6.7109375" style="993" customWidth="1"/>
    <col min="12068" max="12068" width="2.7109375" style="993" customWidth="1"/>
    <col min="12069" max="12069" width="13.7109375" style="993" customWidth="1"/>
    <col min="12070" max="12070" width="12.7109375" style="993"/>
    <col min="12071" max="12071" width="18.42578125" style="993" bestFit="1" customWidth="1"/>
    <col min="12072" max="12072" width="12.7109375" style="993"/>
    <col min="12073" max="12073" width="18.42578125" style="993" bestFit="1" customWidth="1"/>
    <col min="12074" max="12074" width="12.7109375" style="993"/>
    <col min="12075" max="12075" width="15.85546875" style="993" customWidth="1"/>
    <col min="12076" max="12300" width="12.7109375" style="993"/>
    <col min="12301" max="12302" width="4.7109375" style="993" customWidth="1"/>
    <col min="12303" max="12303" width="12.7109375" style="993" customWidth="1"/>
    <col min="12304" max="12304" width="13.140625" style="993" customWidth="1"/>
    <col min="12305" max="12305" width="3.7109375" style="993" customWidth="1"/>
    <col min="12306" max="12306" width="2.7109375" style="993" customWidth="1"/>
    <col min="12307" max="12307" width="13.7109375" style="993" customWidth="1"/>
    <col min="12308" max="12308" width="2.7109375" style="993" customWidth="1"/>
    <col min="12309" max="12309" width="13.7109375" style="993" customWidth="1"/>
    <col min="12310" max="12310" width="2.7109375" style="993" customWidth="1"/>
    <col min="12311" max="12311" width="6.7109375" style="993" customWidth="1"/>
    <col min="12312" max="12312" width="2.7109375" style="993" customWidth="1"/>
    <col min="12313" max="12313" width="13.7109375" style="993" customWidth="1"/>
    <col min="12314" max="12314" width="2.7109375" style="993" customWidth="1"/>
    <col min="12315" max="12315" width="13.7109375" style="993" customWidth="1"/>
    <col min="12316" max="12316" width="2.7109375" style="993" customWidth="1"/>
    <col min="12317" max="12317" width="6.7109375" style="993" customWidth="1"/>
    <col min="12318" max="12318" width="2.7109375" style="993" customWidth="1"/>
    <col min="12319" max="12319" width="13.7109375" style="993" customWidth="1"/>
    <col min="12320" max="12320" width="2.7109375" style="993" customWidth="1"/>
    <col min="12321" max="12321" width="13.7109375" style="993" customWidth="1"/>
    <col min="12322" max="12322" width="2.7109375" style="993" customWidth="1"/>
    <col min="12323" max="12323" width="6.7109375" style="993" customWidth="1"/>
    <col min="12324" max="12324" width="2.7109375" style="993" customWidth="1"/>
    <col min="12325" max="12325" width="13.7109375" style="993" customWidth="1"/>
    <col min="12326" max="12326" width="12.7109375" style="993"/>
    <col min="12327" max="12327" width="18.42578125" style="993" bestFit="1" customWidth="1"/>
    <col min="12328" max="12328" width="12.7109375" style="993"/>
    <col min="12329" max="12329" width="18.42578125" style="993" bestFit="1" customWidth="1"/>
    <col min="12330" max="12330" width="12.7109375" style="993"/>
    <col min="12331" max="12331" width="15.85546875" style="993" customWidth="1"/>
    <col min="12332" max="12556" width="12.7109375" style="993"/>
    <col min="12557" max="12558" width="4.7109375" style="993" customWidth="1"/>
    <col min="12559" max="12559" width="12.7109375" style="993" customWidth="1"/>
    <col min="12560" max="12560" width="13.140625" style="993" customWidth="1"/>
    <col min="12561" max="12561" width="3.7109375" style="993" customWidth="1"/>
    <col min="12562" max="12562" width="2.7109375" style="993" customWidth="1"/>
    <col min="12563" max="12563" width="13.7109375" style="993" customWidth="1"/>
    <col min="12564" max="12564" width="2.7109375" style="993" customWidth="1"/>
    <col min="12565" max="12565" width="13.7109375" style="993" customWidth="1"/>
    <col min="12566" max="12566" width="2.7109375" style="993" customWidth="1"/>
    <col min="12567" max="12567" width="6.7109375" style="993" customWidth="1"/>
    <col min="12568" max="12568" width="2.7109375" style="993" customWidth="1"/>
    <col min="12569" max="12569" width="13.7109375" style="993" customWidth="1"/>
    <col min="12570" max="12570" width="2.7109375" style="993" customWidth="1"/>
    <col min="12571" max="12571" width="13.7109375" style="993" customWidth="1"/>
    <col min="12572" max="12572" width="2.7109375" style="993" customWidth="1"/>
    <col min="12573" max="12573" width="6.7109375" style="993" customWidth="1"/>
    <col min="12574" max="12574" width="2.7109375" style="993" customWidth="1"/>
    <col min="12575" max="12575" width="13.7109375" style="993" customWidth="1"/>
    <col min="12576" max="12576" width="2.7109375" style="993" customWidth="1"/>
    <col min="12577" max="12577" width="13.7109375" style="993" customWidth="1"/>
    <col min="12578" max="12578" width="2.7109375" style="993" customWidth="1"/>
    <col min="12579" max="12579" width="6.7109375" style="993" customWidth="1"/>
    <col min="12580" max="12580" width="2.7109375" style="993" customWidth="1"/>
    <col min="12581" max="12581" width="13.7109375" style="993" customWidth="1"/>
    <col min="12582" max="12582" width="12.7109375" style="993"/>
    <col min="12583" max="12583" width="18.42578125" style="993" bestFit="1" customWidth="1"/>
    <col min="12584" max="12584" width="12.7109375" style="993"/>
    <col min="12585" max="12585" width="18.42578125" style="993" bestFit="1" customWidth="1"/>
    <col min="12586" max="12586" width="12.7109375" style="993"/>
    <col min="12587" max="12587" width="15.85546875" style="993" customWidth="1"/>
    <col min="12588" max="12812" width="12.7109375" style="993"/>
    <col min="12813" max="12814" width="4.7109375" style="993" customWidth="1"/>
    <col min="12815" max="12815" width="12.7109375" style="993" customWidth="1"/>
    <col min="12816" max="12816" width="13.140625" style="993" customWidth="1"/>
    <col min="12817" max="12817" width="3.7109375" style="993" customWidth="1"/>
    <col min="12818" max="12818" width="2.7109375" style="993" customWidth="1"/>
    <col min="12819" max="12819" width="13.7109375" style="993" customWidth="1"/>
    <col min="12820" max="12820" width="2.7109375" style="993" customWidth="1"/>
    <col min="12821" max="12821" width="13.7109375" style="993" customWidth="1"/>
    <col min="12822" max="12822" width="2.7109375" style="993" customWidth="1"/>
    <col min="12823" max="12823" width="6.7109375" style="993" customWidth="1"/>
    <col min="12824" max="12824" width="2.7109375" style="993" customWidth="1"/>
    <col min="12825" max="12825" width="13.7109375" style="993" customWidth="1"/>
    <col min="12826" max="12826" width="2.7109375" style="993" customWidth="1"/>
    <col min="12827" max="12827" width="13.7109375" style="993" customWidth="1"/>
    <col min="12828" max="12828" width="2.7109375" style="993" customWidth="1"/>
    <col min="12829" max="12829" width="6.7109375" style="993" customWidth="1"/>
    <col min="12830" max="12830" width="2.7109375" style="993" customWidth="1"/>
    <col min="12831" max="12831" width="13.7109375" style="993" customWidth="1"/>
    <col min="12832" max="12832" width="2.7109375" style="993" customWidth="1"/>
    <col min="12833" max="12833" width="13.7109375" style="993" customWidth="1"/>
    <col min="12834" max="12834" width="2.7109375" style="993" customWidth="1"/>
    <col min="12835" max="12835" width="6.7109375" style="993" customWidth="1"/>
    <col min="12836" max="12836" width="2.7109375" style="993" customWidth="1"/>
    <col min="12837" max="12837" width="13.7109375" style="993" customWidth="1"/>
    <col min="12838" max="12838" width="12.7109375" style="993"/>
    <col min="12839" max="12839" width="18.42578125" style="993" bestFit="1" customWidth="1"/>
    <col min="12840" max="12840" width="12.7109375" style="993"/>
    <col min="12841" max="12841" width="18.42578125" style="993" bestFit="1" customWidth="1"/>
    <col min="12842" max="12842" width="12.7109375" style="993"/>
    <col min="12843" max="12843" width="15.85546875" style="993" customWidth="1"/>
    <col min="12844" max="13068" width="12.7109375" style="993"/>
    <col min="13069" max="13070" width="4.7109375" style="993" customWidth="1"/>
    <col min="13071" max="13071" width="12.7109375" style="993" customWidth="1"/>
    <col min="13072" max="13072" width="13.140625" style="993" customWidth="1"/>
    <col min="13073" max="13073" width="3.7109375" style="993" customWidth="1"/>
    <col min="13074" max="13074" width="2.7109375" style="993" customWidth="1"/>
    <col min="13075" max="13075" width="13.7109375" style="993" customWidth="1"/>
    <col min="13076" max="13076" width="2.7109375" style="993" customWidth="1"/>
    <col min="13077" max="13077" width="13.7109375" style="993" customWidth="1"/>
    <col min="13078" max="13078" width="2.7109375" style="993" customWidth="1"/>
    <col min="13079" max="13079" width="6.7109375" style="993" customWidth="1"/>
    <col min="13080" max="13080" width="2.7109375" style="993" customWidth="1"/>
    <col min="13081" max="13081" width="13.7109375" style="993" customWidth="1"/>
    <col min="13082" max="13082" width="2.7109375" style="993" customWidth="1"/>
    <col min="13083" max="13083" width="13.7109375" style="993" customWidth="1"/>
    <col min="13084" max="13084" width="2.7109375" style="993" customWidth="1"/>
    <col min="13085" max="13085" width="6.7109375" style="993" customWidth="1"/>
    <col min="13086" max="13086" width="2.7109375" style="993" customWidth="1"/>
    <col min="13087" max="13087" width="13.7109375" style="993" customWidth="1"/>
    <col min="13088" max="13088" width="2.7109375" style="993" customWidth="1"/>
    <col min="13089" max="13089" width="13.7109375" style="993" customWidth="1"/>
    <col min="13090" max="13090" width="2.7109375" style="993" customWidth="1"/>
    <col min="13091" max="13091" width="6.7109375" style="993" customWidth="1"/>
    <col min="13092" max="13092" width="2.7109375" style="993" customWidth="1"/>
    <col min="13093" max="13093" width="13.7109375" style="993" customWidth="1"/>
    <col min="13094" max="13094" width="12.7109375" style="993"/>
    <col min="13095" max="13095" width="18.42578125" style="993" bestFit="1" customWidth="1"/>
    <col min="13096" max="13096" width="12.7109375" style="993"/>
    <col min="13097" max="13097" width="18.42578125" style="993" bestFit="1" customWidth="1"/>
    <col min="13098" max="13098" width="12.7109375" style="993"/>
    <col min="13099" max="13099" width="15.85546875" style="993" customWidth="1"/>
    <col min="13100" max="13324" width="12.7109375" style="993"/>
    <col min="13325" max="13326" width="4.7109375" style="993" customWidth="1"/>
    <col min="13327" max="13327" width="12.7109375" style="993" customWidth="1"/>
    <col min="13328" max="13328" width="13.140625" style="993" customWidth="1"/>
    <col min="13329" max="13329" width="3.7109375" style="993" customWidth="1"/>
    <col min="13330" max="13330" width="2.7109375" style="993" customWidth="1"/>
    <col min="13331" max="13331" width="13.7109375" style="993" customWidth="1"/>
    <col min="13332" max="13332" width="2.7109375" style="993" customWidth="1"/>
    <col min="13333" max="13333" width="13.7109375" style="993" customWidth="1"/>
    <col min="13334" max="13334" width="2.7109375" style="993" customWidth="1"/>
    <col min="13335" max="13335" width="6.7109375" style="993" customWidth="1"/>
    <col min="13336" max="13336" width="2.7109375" style="993" customWidth="1"/>
    <col min="13337" max="13337" width="13.7109375" style="993" customWidth="1"/>
    <col min="13338" max="13338" width="2.7109375" style="993" customWidth="1"/>
    <col min="13339" max="13339" width="13.7109375" style="993" customWidth="1"/>
    <col min="13340" max="13340" width="2.7109375" style="993" customWidth="1"/>
    <col min="13341" max="13341" width="6.7109375" style="993" customWidth="1"/>
    <col min="13342" max="13342" width="2.7109375" style="993" customWidth="1"/>
    <col min="13343" max="13343" width="13.7109375" style="993" customWidth="1"/>
    <col min="13344" max="13344" width="2.7109375" style="993" customWidth="1"/>
    <col min="13345" max="13345" width="13.7109375" style="993" customWidth="1"/>
    <col min="13346" max="13346" width="2.7109375" style="993" customWidth="1"/>
    <col min="13347" max="13347" width="6.7109375" style="993" customWidth="1"/>
    <col min="13348" max="13348" width="2.7109375" style="993" customWidth="1"/>
    <col min="13349" max="13349" width="13.7109375" style="993" customWidth="1"/>
    <col min="13350" max="13350" width="12.7109375" style="993"/>
    <col min="13351" max="13351" width="18.42578125" style="993" bestFit="1" customWidth="1"/>
    <col min="13352" max="13352" width="12.7109375" style="993"/>
    <col min="13353" max="13353" width="18.42578125" style="993" bestFit="1" customWidth="1"/>
    <col min="13354" max="13354" width="12.7109375" style="993"/>
    <col min="13355" max="13355" width="15.85546875" style="993" customWidth="1"/>
    <col min="13356" max="13580" width="12.7109375" style="993"/>
    <col min="13581" max="13582" width="4.7109375" style="993" customWidth="1"/>
    <col min="13583" max="13583" width="12.7109375" style="993" customWidth="1"/>
    <col min="13584" max="13584" width="13.140625" style="993" customWidth="1"/>
    <col min="13585" max="13585" width="3.7109375" style="993" customWidth="1"/>
    <col min="13586" max="13586" width="2.7109375" style="993" customWidth="1"/>
    <col min="13587" max="13587" width="13.7109375" style="993" customWidth="1"/>
    <col min="13588" max="13588" width="2.7109375" style="993" customWidth="1"/>
    <col min="13589" max="13589" width="13.7109375" style="993" customWidth="1"/>
    <col min="13590" max="13590" width="2.7109375" style="993" customWidth="1"/>
    <col min="13591" max="13591" width="6.7109375" style="993" customWidth="1"/>
    <col min="13592" max="13592" width="2.7109375" style="993" customWidth="1"/>
    <col min="13593" max="13593" width="13.7109375" style="993" customWidth="1"/>
    <col min="13594" max="13594" width="2.7109375" style="993" customWidth="1"/>
    <col min="13595" max="13595" width="13.7109375" style="993" customWidth="1"/>
    <col min="13596" max="13596" width="2.7109375" style="993" customWidth="1"/>
    <col min="13597" max="13597" width="6.7109375" style="993" customWidth="1"/>
    <col min="13598" max="13598" width="2.7109375" style="993" customWidth="1"/>
    <col min="13599" max="13599" width="13.7109375" style="993" customWidth="1"/>
    <col min="13600" max="13600" width="2.7109375" style="993" customWidth="1"/>
    <col min="13601" max="13601" width="13.7109375" style="993" customWidth="1"/>
    <col min="13602" max="13602" width="2.7109375" style="993" customWidth="1"/>
    <col min="13603" max="13603" width="6.7109375" style="993" customWidth="1"/>
    <col min="13604" max="13604" width="2.7109375" style="993" customWidth="1"/>
    <col min="13605" max="13605" width="13.7109375" style="993" customWidth="1"/>
    <col min="13606" max="13606" width="12.7109375" style="993"/>
    <col min="13607" max="13607" width="18.42578125" style="993" bestFit="1" customWidth="1"/>
    <col min="13608" max="13608" width="12.7109375" style="993"/>
    <col min="13609" max="13609" width="18.42578125" style="993" bestFit="1" customWidth="1"/>
    <col min="13610" max="13610" width="12.7109375" style="993"/>
    <col min="13611" max="13611" width="15.85546875" style="993" customWidth="1"/>
    <col min="13612" max="13836" width="12.7109375" style="993"/>
    <col min="13837" max="13838" width="4.7109375" style="993" customWidth="1"/>
    <col min="13839" max="13839" width="12.7109375" style="993" customWidth="1"/>
    <col min="13840" max="13840" width="13.140625" style="993" customWidth="1"/>
    <col min="13841" max="13841" width="3.7109375" style="993" customWidth="1"/>
    <col min="13842" max="13842" width="2.7109375" style="993" customWidth="1"/>
    <col min="13843" max="13843" width="13.7109375" style="993" customWidth="1"/>
    <col min="13844" max="13844" width="2.7109375" style="993" customWidth="1"/>
    <col min="13845" max="13845" width="13.7109375" style="993" customWidth="1"/>
    <col min="13846" max="13846" width="2.7109375" style="993" customWidth="1"/>
    <col min="13847" max="13847" width="6.7109375" style="993" customWidth="1"/>
    <col min="13848" max="13848" width="2.7109375" style="993" customWidth="1"/>
    <col min="13849" max="13849" width="13.7109375" style="993" customWidth="1"/>
    <col min="13850" max="13850" width="2.7109375" style="993" customWidth="1"/>
    <col min="13851" max="13851" width="13.7109375" style="993" customWidth="1"/>
    <col min="13852" max="13852" width="2.7109375" style="993" customWidth="1"/>
    <col min="13853" max="13853" width="6.7109375" style="993" customWidth="1"/>
    <col min="13854" max="13854" width="2.7109375" style="993" customWidth="1"/>
    <col min="13855" max="13855" width="13.7109375" style="993" customWidth="1"/>
    <col min="13856" max="13856" width="2.7109375" style="993" customWidth="1"/>
    <col min="13857" max="13857" width="13.7109375" style="993" customWidth="1"/>
    <col min="13858" max="13858" width="2.7109375" style="993" customWidth="1"/>
    <col min="13859" max="13859" width="6.7109375" style="993" customWidth="1"/>
    <col min="13860" max="13860" width="2.7109375" style="993" customWidth="1"/>
    <col min="13861" max="13861" width="13.7109375" style="993" customWidth="1"/>
    <col min="13862" max="13862" width="12.7109375" style="993"/>
    <col min="13863" max="13863" width="18.42578125" style="993" bestFit="1" customWidth="1"/>
    <col min="13864" max="13864" width="12.7109375" style="993"/>
    <col min="13865" max="13865" width="18.42578125" style="993" bestFit="1" customWidth="1"/>
    <col min="13866" max="13866" width="12.7109375" style="993"/>
    <col min="13867" max="13867" width="15.85546875" style="993" customWidth="1"/>
    <col min="13868" max="14092" width="12.7109375" style="993"/>
    <col min="14093" max="14094" width="4.7109375" style="993" customWidth="1"/>
    <col min="14095" max="14095" width="12.7109375" style="993" customWidth="1"/>
    <col min="14096" max="14096" width="13.140625" style="993" customWidth="1"/>
    <col min="14097" max="14097" width="3.7109375" style="993" customWidth="1"/>
    <col min="14098" max="14098" width="2.7109375" style="993" customWidth="1"/>
    <col min="14099" max="14099" width="13.7109375" style="993" customWidth="1"/>
    <col min="14100" max="14100" width="2.7109375" style="993" customWidth="1"/>
    <col min="14101" max="14101" width="13.7109375" style="993" customWidth="1"/>
    <col min="14102" max="14102" width="2.7109375" style="993" customWidth="1"/>
    <col min="14103" max="14103" width="6.7109375" style="993" customWidth="1"/>
    <col min="14104" max="14104" width="2.7109375" style="993" customWidth="1"/>
    <col min="14105" max="14105" width="13.7109375" style="993" customWidth="1"/>
    <col min="14106" max="14106" width="2.7109375" style="993" customWidth="1"/>
    <col min="14107" max="14107" width="13.7109375" style="993" customWidth="1"/>
    <col min="14108" max="14108" width="2.7109375" style="993" customWidth="1"/>
    <col min="14109" max="14109" width="6.7109375" style="993" customWidth="1"/>
    <col min="14110" max="14110" width="2.7109375" style="993" customWidth="1"/>
    <col min="14111" max="14111" width="13.7109375" style="993" customWidth="1"/>
    <col min="14112" max="14112" width="2.7109375" style="993" customWidth="1"/>
    <col min="14113" max="14113" width="13.7109375" style="993" customWidth="1"/>
    <col min="14114" max="14114" width="2.7109375" style="993" customWidth="1"/>
    <col min="14115" max="14115" width="6.7109375" style="993" customWidth="1"/>
    <col min="14116" max="14116" width="2.7109375" style="993" customWidth="1"/>
    <col min="14117" max="14117" width="13.7109375" style="993" customWidth="1"/>
    <col min="14118" max="14118" width="12.7109375" style="993"/>
    <col min="14119" max="14119" width="18.42578125" style="993" bestFit="1" customWidth="1"/>
    <col min="14120" max="14120" width="12.7109375" style="993"/>
    <col min="14121" max="14121" width="18.42578125" style="993" bestFit="1" customWidth="1"/>
    <col min="14122" max="14122" width="12.7109375" style="993"/>
    <col min="14123" max="14123" width="15.85546875" style="993" customWidth="1"/>
    <col min="14124" max="14348" width="12.7109375" style="993"/>
    <col min="14349" max="14350" width="4.7109375" style="993" customWidth="1"/>
    <col min="14351" max="14351" width="12.7109375" style="993" customWidth="1"/>
    <col min="14352" max="14352" width="13.140625" style="993" customWidth="1"/>
    <col min="14353" max="14353" width="3.7109375" style="993" customWidth="1"/>
    <col min="14354" max="14354" width="2.7109375" style="993" customWidth="1"/>
    <col min="14355" max="14355" width="13.7109375" style="993" customWidth="1"/>
    <col min="14356" max="14356" width="2.7109375" style="993" customWidth="1"/>
    <col min="14357" max="14357" width="13.7109375" style="993" customWidth="1"/>
    <col min="14358" max="14358" width="2.7109375" style="993" customWidth="1"/>
    <col min="14359" max="14359" width="6.7109375" style="993" customWidth="1"/>
    <col min="14360" max="14360" width="2.7109375" style="993" customWidth="1"/>
    <col min="14361" max="14361" width="13.7109375" style="993" customWidth="1"/>
    <col min="14362" max="14362" width="2.7109375" style="993" customWidth="1"/>
    <col min="14363" max="14363" width="13.7109375" style="993" customWidth="1"/>
    <col min="14364" max="14364" width="2.7109375" style="993" customWidth="1"/>
    <col min="14365" max="14365" width="6.7109375" style="993" customWidth="1"/>
    <col min="14366" max="14366" width="2.7109375" style="993" customWidth="1"/>
    <col min="14367" max="14367" width="13.7109375" style="993" customWidth="1"/>
    <col min="14368" max="14368" width="2.7109375" style="993" customWidth="1"/>
    <col min="14369" max="14369" width="13.7109375" style="993" customWidth="1"/>
    <col min="14370" max="14370" width="2.7109375" style="993" customWidth="1"/>
    <col min="14371" max="14371" width="6.7109375" style="993" customWidth="1"/>
    <col min="14372" max="14372" width="2.7109375" style="993" customWidth="1"/>
    <col min="14373" max="14373" width="13.7109375" style="993" customWidth="1"/>
    <col min="14374" max="14374" width="12.7109375" style="993"/>
    <col min="14375" max="14375" width="18.42578125" style="993" bestFit="1" customWidth="1"/>
    <col min="14376" max="14376" width="12.7109375" style="993"/>
    <col min="14377" max="14377" width="18.42578125" style="993" bestFit="1" customWidth="1"/>
    <col min="14378" max="14378" width="12.7109375" style="993"/>
    <col min="14379" max="14379" width="15.85546875" style="993" customWidth="1"/>
    <col min="14380" max="14604" width="12.7109375" style="993"/>
    <col min="14605" max="14606" width="4.7109375" style="993" customWidth="1"/>
    <col min="14607" max="14607" width="12.7109375" style="993" customWidth="1"/>
    <col min="14608" max="14608" width="13.140625" style="993" customWidth="1"/>
    <col min="14609" max="14609" width="3.7109375" style="993" customWidth="1"/>
    <col min="14610" max="14610" width="2.7109375" style="993" customWidth="1"/>
    <col min="14611" max="14611" width="13.7109375" style="993" customWidth="1"/>
    <col min="14612" max="14612" width="2.7109375" style="993" customWidth="1"/>
    <col min="14613" max="14613" width="13.7109375" style="993" customWidth="1"/>
    <col min="14614" max="14614" width="2.7109375" style="993" customWidth="1"/>
    <col min="14615" max="14615" width="6.7109375" style="993" customWidth="1"/>
    <col min="14616" max="14616" width="2.7109375" style="993" customWidth="1"/>
    <col min="14617" max="14617" width="13.7109375" style="993" customWidth="1"/>
    <col min="14618" max="14618" width="2.7109375" style="993" customWidth="1"/>
    <col min="14619" max="14619" width="13.7109375" style="993" customWidth="1"/>
    <col min="14620" max="14620" width="2.7109375" style="993" customWidth="1"/>
    <col min="14621" max="14621" width="6.7109375" style="993" customWidth="1"/>
    <col min="14622" max="14622" width="2.7109375" style="993" customWidth="1"/>
    <col min="14623" max="14623" width="13.7109375" style="993" customWidth="1"/>
    <col min="14624" max="14624" width="2.7109375" style="993" customWidth="1"/>
    <col min="14625" max="14625" width="13.7109375" style="993" customWidth="1"/>
    <col min="14626" max="14626" width="2.7109375" style="993" customWidth="1"/>
    <col min="14627" max="14627" width="6.7109375" style="993" customWidth="1"/>
    <col min="14628" max="14628" width="2.7109375" style="993" customWidth="1"/>
    <col min="14629" max="14629" width="13.7109375" style="993" customWidth="1"/>
    <col min="14630" max="14630" width="12.7109375" style="993"/>
    <col min="14631" max="14631" width="18.42578125" style="993" bestFit="1" customWidth="1"/>
    <col min="14632" max="14632" width="12.7109375" style="993"/>
    <col min="14633" max="14633" width="18.42578125" style="993" bestFit="1" customWidth="1"/>
    <col min="14634" max="14634" width="12.7109375" style="993"/>
    <col min="14635" max="14635" width="15.85546875" style="993" customWidth="1"/>
    <col min="14636" max="14860" width="12.7109375" style="993"/>
    <col min="14861" max="14862" width="4.7109375" style="993" customWidth="1"/>
    <col min="14863" max="14863" width="12.7109375" style="993" customWidth="1"/>
    <col min="14864" max="14864" width="13.140625" style="993" customWidth="1"/>
    <col min="14865" max="14865" width="3.7109375" style="993" customWidth="1"/>
    <col min="14866" max="14866" width="2.7109375" style="993" customWidth="1"/>
    <col min="14867" max="14867" width="13.7109375" style="993" customWidth="1"/>
    <col min="14868" max="14868" width="2.7109375" style="993" customWidth="1"/>
    <col min="14869" max="14869" width="13.7109375" style="993" customWidth="1"/>
    <col min="14870" max="14870" width="2.7109375" style="993" customWidth="1"/>
    <col min="14871" max="14871" width="6.7109375" style="993" customWidth="1"/>
    <col min="14872" max="14872" width="2.7109375" style="993" customWidth="1"/>
    <col min="14873" max="14873" width="13.7109375" style="993" customWidth="1"/>
    <col min="14874" max="14874" width="2.7109375" style="993" customWidth="1"/>
    <col min="14875" max="14875" width="13.7109375" style="993" customWidth="1"/>
    <col min="14876" max="14876" width="2.7109375" style="993" customWidth="1"/>
    <col min="14877" max="14877" width="6.7109375" style="993" customWidth="1"/>
    <col min="14878" max="14878" width="2.7109375" style="993" customWidth="1"/>
    <col min="14879" max="14879" width="13.7109375" style="993" customWidth="1"/>
    <col min="14880" max="14880" width="2.7109375" style="993" customWidth="1"/>
    <col min="14881" max="14881" width="13.7109375" style="993" customWidth="1"/>
    <col min="14882" max="14882" width="2.7109375" style="993" customWidth="1"/>
    <col min="14883" max="14883" width="6.7109375" style="993" customWidth="1"/>
    <col min="14884" max="14884" width="2.7109375" style="993" customWidth="1"/>
    <col min="14885" max="14885" width="13.7109375" style="993" customWidth="1"/>
    <col min="14886" max="14886" width="12.7109375" style="993"/>
    <col min="14887" max="14887" width="18.42578125" style="993" bestFit="1" customWidth="1"/>
    <col min="14888" max="14888" width="12.7109375" style="993"/>
    <col min="14889" max="14889" width="18.42578125" style="993" bestFit="1" customWidth="1"/>
    <col min="14890" max="14890" width="12.7109375" style="993"/>
    <col min="14891" max="14891" width="15.85546875" style="993" customWidth="1"/>
    <col min="14892" max="15116" width="12.7109375" style="993"/>
    <col min="15117" max="15118" width="4.7109375" style="993" customWidth="1"/>
    <col min="15119" max="15119" width="12.7109375" style="993" customWidth="1"/>
    <col min="15120" max="15120" width="13.140625" style="993" customWidth="1"/>
    <col min="15121" max="15121" width="3.7109375" style="993" customWidth="1"/>
    <col min="15122" max="15122" width="2.7109375" style="993" customWidth="1"/>
    <col min="15123" max="15123" width="13.7109375" style="993" customWidth="1"/>
    <col min="15124" max="15124" width="2.7109375" style="993" customWidth="1"/>
    <col min="15125" max="15125" width="13.7109375" style="993" customWidth="1"/>
    <col min="15126" max="15126" width="2.7109375" style="993" customWidth="1"/>
    <col min="15127" max="15127" width="6.7109375" style="993" customWidth="1"/>
    <col min="15128" max="15128" width="2.7109375" style="993" customWidth="1"/>
    <col min="15129" max="15129" width="13.7109375" style="993" customWidth="1"/>
    <col min="15130" max="15130" width="2.7109375" style="993" customWidth="1"/>
    <col min="15131" max="15131" width="13.7109375" style="993" customWidth="1"/>
    <col min="15132" max="15132" width="2.7109375" style="993" customWidth="1"/>
    <col min="15133" max="15133" width="6.7109375" style="993" customWidth="1"/>
    <col min="15134" max="15134" width="2.7109375" style="993" customWidth="1"/>
    <col min="15135" max="15135" width="13.7109375" style="993" customWidth="1"/>
    <col min="15136" max="15136" width="2.7109375" style="993" customWidth="1"/>
    <col min="15137" max="15137" width="13.7109375" style="993" customWidth="1"/>
    <col min="15138" max="15138" width="2.7109375" style="993" customWidth="1"/>
    <col min="15139" max="15139" width="6.7109375" style="993" customWidth="1"/>
    <col min="15140" max="15140" width="2.7109375" style="993" customWidth="1"/>
    <col min="15141" max="15141" width="13.7109375" style="993" customWidth="1"/>
    <col min="15142" max="15142" width="12.7109375" style="993"/>
    <col min="15143" max="15143" width="18.42578125" style="993" bestFit="1" customWidth="1"/>
    <col min="15144" max="15144" width="12.7109375" style="993"/>
    <col min="15145" max="15145" width="18.42578125" style="993" bestFit="1" customWidth="1"/>
    <col min="15146" max="15146" width="12.7109375" style="993"/>
    <col min="15147" max="15147" width="15.85546875" style="993" customWidth="1"/>
    <col min="15148" max="15372" width="12.7109375" style="993"/>
    <col min="15373" max="15374" width="4.7109375" style="993" customWidth="1"/>
    <col min="15375" max="15375" width="12.7109375" style="993" customWidth="1"/>
    <col min="15376" max="15376" width="13.140625" style="993" customWidth="1"/>
    <col min="15377" max="15377" width="3.7109375" style="993" customWidth="1"/>
    <col min="15378" max="15378" width="2.7109375" style="993" customWidth="1"/>
    <col min="15379" max="15379" width="13.7109375" style="993" customWidth="1"/>
    <col min="15380" max="15380" width="2.7109375" style="993" customWidth="1"/>
    <col min="15381" max="15381" width="13.7109375" style="993" customWidth="1"/>
    <col min="15382" max="15382" width="2.7109375" style="993" customWidth="1"/>
    <col min="15383" max="15383" width="6.7109375" style="993" customWidth="1"/>
    <col min="15384" max="15384" width="2.7109375" style="993" customWidth="1"/>
    <col min="15385" max="15385" width="13.7109375" style="993" customWidth="1"/>
    <col min="15386" max="15386" width="2.7109375" style="993" customWidth="1"/>
    <col min="15387" max="15387" width="13.7109375" style="993" customWidth="1"/>
    <col min="15388" max="15388" width="2.7109375" style="993" customWidth="1"/>
    <col min="15389" max="15389" width="6.7109375" style="993" customWidth="1"/>
    <col min="15390" max="15390" width="2.7109375" style="993" customWidth="1"/>
    <col min="15391" max="15391" width="13.7109375" style="993" customWidth="1"/>
    <col min="15392" max="15392" width="2.7109375" style="993" customWidth="1"/>
    <col min="15393" max="15393" width="13.7109375" style="993" customWidth="1"/>
    <col min="15394" max="15394" width="2.7109375" style="993" customWidth="1"/>
    <col min="15395" max="15395" width="6.7109375" style="993" customWidth="1"/>
    <col min="15396" max="15396" width="2.7109375" style="993" customWidth="1"/>
    <col min="15397" max="15397" width="13.7109375" style="993" customWidth="1"/>
    <col min="15398" max="15398" width="12.7109375" style="993"/>
    <col min="15399" max="15399" width="18.42578125" style="993" bestFit="1" customWidth="1"/>
    <col min="15400" max="15400" width="12.7109375" style="993"/>
    <col min="15401" max="15401" width="18.42578125" style="993" bestFit="1" customWidth="1"/>
    <col min="15402" max="15402" width="12.7109375" style="993"/>
    <col min="15403" max="15403" width="15.85546875" style="993" customWidth="1"/>
    <col min="15404" max="15628" width="12.7109375" style="993"/>
    <col min="15629" max="15630" width="4.7109375" style="993" customWidth="1"/>
    <col min="15631" max="15631" width="12.7109375" style="993" customWidth="1"/>
    <col min="15632" max="15632" width="13.140625" style="993" customWidth="1"/>
    <col min="15633" max="15633" width="3.7109375" style="993" customWidth="1"/>
    <col min="15634" max="15634" width="2.7109375" style="993" customWidth="1"/>
    <col min="15635" max="15635" width="13.7109375" style="993" customWidth="1"/>
    <col min="15636" max="15636" width="2.7109375" style="993" customWidth="1"/>
    <col min="15637" max="15637" width="13.7109375" style="993" customWidth="1"/>
    <col min="15638" max="15638" width="2.7109375" style="993" customWidth="1"/>
    <col min="15639" max="15639" width="6.7109375" style="993" customWidth="1"/>
    <col min="15640" max="15640" width="2.7109375" style="993" customWidth="1"/>
    <col min="15641" max="15641" width="13.7109375" style="993" customWidth="1"/>
    <col min="15642" max="15642" width="2.7109375" style="993" customWidth="1"/>
    <col min="15643" max="15643" width="13.7109375" style="993" customWidth="1"/>
    <col min="15644" max="15644" width="2.7109375" style="993" customWidth="1"/>
    <col min="15645" max="15645" width="6.7109375" style="993" customWidth="1"/>
    <col min="15646" max="15646" width="2.7109375" style="993" customWidth="1"/>
    <col min="15647" max="15647" width="13.7109375" style="993" customWidth="1"/>
    <col min="15648" max="15648" width="2.7109375" style="993" customWidth="1"/>
    <col min="15649" max="15649" width="13.7109375" style="993" customWidth="1"/>
    <col min="15650" max="15650" width="2.7109375" style="993" customWidth="1"/>
    <col min="15651" max="15651" width="6.7109375" style="993" customWidth="1"/>
    <col min="15652" max="15652" width="2.7109375" style="993" customWidth="1"/>
    <col min="15653" max="15653" width="13.7109375" style="993" customWidth="1"/>
    <col min="15654" max="15654" width="12.7109375" style="993"/>
    <col min="15655" max="15655" width="18.42578125" style="993" bestFit="1" customWidth="1"/>
    <col min="15656" max="15656" width="12.7109375" style="993"/>
    <col min="15657" max="15657" width="18.42578125" style="993" bestFit="1" customWidth="1"/>
    <col min="15658" max="15658" width="12.7109375" style="993"/>
    <col min="15659" max="15659" width="15.85546875" style="993" customWidth="1"/>
    <col min="15660" max="15884" width="12.7109375" style="993"/>
    <col min="15885" max="15886" width="4.7109375" style="993" customWidth="1"/>
    <col min="15887" max="15887" width="12.7109375" style="993" customWidth="1"/>
    <col min="15888" max="15888" width="13.140625" style="993" customWidth="1"/>
    <col min="15889" max="15889" width="3.7109375" style="993" customWidth="1"/>
    <col min="15890" max="15890" width="2.7109375" style="993" customWidth="1"/>
    <col min="15891" max="15891" width="13.7109375" style="993" customWidth="1"/>
    <col min="15892" max="15892" width="2.7109375" style="993" customWidth="1"/>
    <col min="15893" max="15893" width="13.7109375" style="993" customWidth="1"/>
    <col min="15894" max="15894" width="2.7109375" style="993" customWidth="1"/>
    <col min="15895" max="15895" width="6.7109375" style="993" customWidth="1"/>
    <col min="15896" max="15896" width="2.7109375" style="993" customWidth="1"/>
    <col min="15897" max="15897" width="13.7109375" style="993" customWidth="1"/>
    <col min="15898" max="15898" width="2.7109375" style="993" customWidth="1"/>
    <col min="15899" max="15899" width="13.7109375" style="993" customWidth="1"/>
    <col min="15900" max="15900" width="2.7109375" style="993" customWidth="1"/>
    <col min="15901" max="15901" width="6.7109375" style="993" customWidth="1"/>
    <col min="15902" max="15902" width="2.7109375" style="993" customWidth="1"/>
    <col min="15903" max="15903" width="13.7109375" style="993" customWidth="1"/>
    <col min="15904" max="15904" width="2.7109375" style="993" customWidth="1"/>
    <col min="15905" max="15905" width="13.7109375" style="993" customWidth="1"/>
    <col min="15906" max="15906" width="2.7109375" style="993" customWidth="1"/>
    <col min="15907" max="15907" width="6.7109375" style="993" customWidth="1"/>
    <col min="15908" max="15908" width="2.7109375" style="993" customWidth="1"/>
    <col min="15909" max="15909" width="13.7109375" style="993" customWidth="1"/>
    <col min="15910" max="15910" width="12.7109375" style="993"/>
    <col min="15911" max="15911" width="18.42578125" style="993" bestFit="1" customWidth="1"/>
    <col min="15912" max="15912" width="12.7109375" style="993"/>
    <col min="15913" max="15913" width="18.42578125" style="993" bestFit="1" customWidth="1"/>
    <col min="15914" max="15914" width="12.7109375" style="993"/>
    <col min="15915" max="15915" width="15.85546875" style="993" customWidth="1"/>
    <col min="15916" max="16140" width="12.7109375" style="993"/>
    <col min="16141" max="16142" width="4.7109375" style="993" customWidth="1"/>
    <col min="16143" max="16143" width="12.7109375" style="993" customWidth="1"/>
    <col min="16144" max="16144" width="13.140625" style="993" customWidth="1"/>
    <col min="16145" max="16145" width="3.7109375" style="993" customWidth="1"/>
    <col min="16146" max="16146" width="2.7109375" style="993" customWidth="1"/>
    <col min="16147" max="16147" width="13.7109375" style="993" customWidth="1"/>
    <col min="16148" max="16148" width="2.7109375" style="993" customWidth="1"/>
    <col min="16149" max="16149" width="13.7109375" style="993" customWidth="1"/>
    <col min="16150" max="16150" width="2.7109375" style="993" customWidth="1"/>
    <col min="16151" max="16151" width="6.7109375" style="993" customWidth="1"/>
    <col min="16152" max="16152" width="2.7109375" style="993" customWidth="1"/>
    <col min="16153" max="16153" width="13.7109375" style="993" customWidth="1"/>
    <col min="16154" max="16154" width="2.7109375" style="993" customWidth="1"/>
    <col min="16155" max="16155" width="13.7109375" style="993" customWidth="1"/>
    <col min="16156" max="16156" width="2.7109375" style="993" customWidth="1"/>
    <col min="16157" max="16157" width="6.7109375" style="993" customWidth="1"/>
    <col min="16158" max="16158" width="2.7109375" style="993" customWidth="1"/>
    <col min="16159" max="16159" width="13.7109375" style="993" customWidth="1"/>
    <col min="16160" max="16160" width="2.7109375" style="993" customWidth="1"/>
    <col min="16161" max="16161" width="13.7109375" style="993" customWidth="1"/>
    <col min="16162" max="16162" width="2.7109375" style="993" customWidth="1"/>
    <col min="16163" max="16163" width="6.7109375" style="993" customWidth="1"/>
    <col min="16164" max="16164" width="2.7109375" style="993" customWidth="1"/>
    <col min="16165" max="16165" width="13.7109375" style="993" customWidth="1"/>
    <col min="16166" max="16166" width="12.7109375" style="993"/>
    <col min="16167" max="16167" width="18.42578125" style="993" bestFit="1" customWidth="1"/>
    <col min="16168" max="16168" width="12.7109375" style="993"/>
    <col min="16169" max="16169" width="18.42578125" style="993" bestFit="1" customWidth="1"/>
    <col min="16170" max="16170" width="12.7109375" style="993"/>
    <col min="16171" max="16171" width="15.85546875" style="993" customWidth="1"/>
    <col min="16172" max="16384" width="12.7109375" style="993"/>
  </cols>
  <sheetData>
    <row r="1" spans="1:46" x14ac:dyDescent="0.25">
      <c r="A1" s="64" t="s">
        <v>232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</row>
    <row r="2" spans="1:46" x14ac:dyDescent="0.2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1181"/>
      <c r="Z2" s="1181"/>
      <c r="AA2" s="1181"/>
      <c r="AB2" s="1181"/>
      <c r="AC2" s="1181"/>
      <c r="AD2" s="1181"/>
      <c r="AE2" s="1181"/>
      <c r="AF2" s="1181"/>
      <c r="AG2" s="1181"/>
      <c r="AH2" s="1181"/>
      <c r="AI2" s="1181"/>
      <c r="AJ2" s="1181"/>
      <c r="AK2" s="1181"/>
    </row>
    <row r="3" spans="1:46" x14ac:dyDescent="0.25">
      <c r="A3" s="66" t="s">
        <v>1070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</row>
    <row r="4" spans="1:46" x14ac:dyDescent="0.25">
      <c r="A4" s="66" t="s">
        <v>578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</row>
    <row r="5" spans="1:46" x14ac:dyDescent="0.25">
      <c r="A5" s="64" t="s">
        <v>690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</row>
    <row r="6" spans="1:46" s="200" customForma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</row>
    <row r="7" spans="1:46" s="200" customFormat="1" ht="18" customHeight="1" x14ac:dyDescent="0.25">
      <c r="A7" s="400"/>
      <c r="B7" s="400"/>
      <c r="C7" s="400"/>
      <c r="D7" s="400"/>
      <c r="E7" s="400"/>
      <c r="F7" s="400"/>
      <c r="G7" s="208" t="s">
        <v>229</v>
      </c>
      <c r="H7" s="400"/>
      <c r="I7" s="400"/>
      <c r="J7" s="400"/>
      <c r="K7" s="400"/>
      <c r="L7" s="400"/>
      <c r="M7" s="400"/>
      <c r="N7" s="400"/>
      <c r="O7" s="400"/>
      <c r="P7" s="400"/>
      <c r="Q7" s="400"/>
      <c r="R7" s="400"/>
      <c r="T7" s="400"/>
      <c r="U7" s="400"/>
      <c r="V7" s="400"/>
      <c r="W7" s="400"/>
      <c r="X7" s="400"/>
      <c r="Z7" s="400"/>
      <c r="AA7" s="400"/>
      <c r="AB7" s="400"/>
      <c r="AC7" s="400"/>
      <c r="AD7" s="400"/>
      <c r="AF7" s="400"/>
      <c r="AG7" s="400"/>
      <c r="AH7" s="400"/>
      <c r="AI7" s="400"/>
      <c r="AJ7" s="400"/>
      <c r="AM7" s="201"/>
      <c r="AN7" s="201"/>
      <c r="AO7" s="201"/>
      <c r="AP7" s="201"/>
      <c r="AQ7" s="201"/>
      <c r="AR7" s="201"/>
      <c r="AS7" s="201"/>
      <c r="AT7" s="201"/>
    </row>
    <row r="8" spans="1:46" ht="18" customHeight="1" x14ac:dyDescent="0.25">
      <c r="A8" s="64"/>
      <c r="B8" s="64"/>
      <c r="C8" s="64"/>
      <c r="D8" s="64"/>
      <c r="E8" s="64"/>
      <c r="F8" s="64"/>
      <c r="G8" s="208" t="s">
        <v>80</v>
      </c>
      <c r="H8" s="401"/>
      <c r="I8" s="401"/>
      <c r="J8" s="401"/>
      <c r="K8" s="401"/>
      <c r="L8" s="401"/>
      <c r="N8" s="1246"/>
      <c r="O8" s="1246"/>
      <c r="P8" s="1246"/>
      <c r="Q8" s="1246"/>
      <c r="R8" s="64"/>
      <c r="S8" s="1249" t="s">
        <v>353</v>
      </c>
      <c r="T8" s="201"/>
      <c r="U8" s="201"/>
      <c r="V8" s="201"/>
      <c r="W8" s="201"/>
      <c r="X8" s="201"/>
      <c r="Y8" s="1249" t="s">
        <v>354</v>
      </c>
      <c r="Z8" s="1249"/>
      <c r="AA8" s="1249"/>
      <c r="AB8" s="1249"/>
      <c r="AC8" s="1249"/>
      <c r="AD8" s="1249"/>
      <c r="AE8" s="1249" t="s">
        <v>901</v>
      </c>
      <c r="AF8" s="1249"/>
      <c r="AG8" s="1249"/>
      <c r="AH8" s="1249"/>
      <c r="AI8" s="1249"/>
      <c r="AJ8" s="1249"/>
      <c r="AK8" s="1249" t="s">
        <v>902</v>
      </c>
      <c r="AM8" s="466"/>
      <c r="AN8" s="466"/>
      <c r="AO8" s="466"/>
      <c r="AP8" s="466"/>
      <c r="AQ8" s="466"/>
      <c r="AR8" s="466"/>
      <c r="AS8" s="466"/>
      <c r="AT8" s="466"/>
    </row>
    <row r="9" spans="1:46" x14ac:dyDescent="0.25">
      <c r="A9" s="158" t="s">
        <v>355</v>
      </c>
      <c r="G9" s="503">
        <v>44104</v>
      </c>
      <c r="H9" s="200"/>
      <c r="I9" s="1232" t="s">
        <v>38</v>
      </c>
      <c r="J9" s="1249"/>
      <c r="K9" s="1232" t="s">
        <v>81</v>
      </c>
      <c r="L9" s="201"/>
      <c r="M9" s="1247" t="s">
        <v>352</v>
      </c>
      <c r="N9" s="1249"/>
      <c r="O9" s="1232" t="s">
        <v>38</v>
      </c>
      <c r="P9" s="1249"/>
      <c r="Q9" s="1232" t="s">
        <v>81</v>
      </c>
      <c r="R9" s="1249"/>
      <c r="S9" s="1232" t="s">
        <v>1039</v>
      </c>
      <c r="T9" s="1249"/>
      <c r="U9" s="1232" t="s">
        <v>38</v>
      </c>
      <c r="V9" s="1249"/>
      <c r="W9" s="1232" t="s">
        <v>81</v>
      </c>
      <c r="X9" s="1249"/>
      <c r="Y9" s="1232" t="s">
        <v>1039</v>
      </c>
      <c r="Z9" s="1249"/>
      <c r="AA9" s="1232" t="s">
        <v>38</v>
      </c>
      <c r="AB9" s="1249"/>
      <c r="AC9" s="1232" t="s">
        <v>81</v>
      </c>
      <c r="AD9" s="1249"/>
      <c r="AE9" s="1232" t="s">
        <v>1039</v>
      </c>
      <c r="AF9" s="1249"/>
      <c r="AG9" s="1232" t="s">
        <v>38</v>
      </c>
      <c r="AH9" s="1249"/>
      <c r="AI9" s="1232" t="s">
        <v>81</v>
      </c>
      <c r="AJ9" s="1249"/>
      <c r="AK9" s="1232" t="s">
        <v>1039</v>
      </c>
      <c r="AM9" s="1249"/>
      <c r="AN9" s="466"/>
      <c r="AO9" s="1249"/>
      <c r="AP9" s="466"/>
      <c r="AQ9" s="466"/>
      <c r="AR9" s="466"/>
      <c r="AS9" s="466"/>
      <c r="AT9" s="466"/>
    </row>
    <row r="10" spans="1:46" x14ac:dyDescent="0.25">
      <c r="A10" s="158"/>
      <c r="G10" s="1244" t="s">
        <v>13</v>
      </c>
      <c r="K10" s="1244"/>
      <c r="L10" s="1249"/>
      <c r="M10" s="965" t="str">
        <f>'[42]Rev ReqII - TP'!K10</f>
        <v>(4/1/2022)</v>
      </c>
      <c r="N10" s="965"/>
      <c r="O10" s="965"/>
      <c r="P10" s="965"/>
      <c r="Q10" s="965"/>
      <c r="R10" s="965"/>
      <c r="S10" s="965" t="str">
        <f>'[42]Rev ReqII - TP'!M10</f>
        <v>(4/1/2023)</v>
      </c>
      <c r="T10" s="965"/>
      <c r="U10" s="1277"/>
      <c r="V10" s="1277"/>
      <c r="W10" s="1277"/>
      <c r="X10" s="965"/>
      <c r="Y10" s="965" t="str">
        <f>'[42]Rev ReqII - TP'!O10</f>
        <v>(4/1/2024)</v>
      </c>
      <c r="Z10" s="965"/>
      <c r="AA10" s="965"/>
      <c r="AB10" s="965"/>
      <c r="AC10" s="965"/>
      <c r="AD10" s="965"/>
      <c r="AE10" s="965" t="str">
        <f>'[42]Rev ReqII - TP'!Q10</f>
        <v>(4/1/2025)</v>
      </c>
      <c r="AF10" s="965"/>
      <c r="AG10" s="965"/>
      <c r="AH10" s="965"/>
      <c r="AI10" s="965"/>
      <c r="AJ10" s="965"/>
      <c r="AK10" s="965" t="str">
        <f>'[42]Rev ReqII - TP'!S10</f>
        <v>(4/1/2026)</v>
      </c>
      <c r="AM10" s="1249"/>
      <c r="AN10" s="466"/>
      <c r="AO10" s="1249"/>
      <c r="AP10" s="466"/>
      <c r="AQ10" s="466"/>
      <c r="AR10" s="466"/>
      <c r="AS10" s="466"/>
      <c r="AT10" s="466"/>
    </row>
    <row r="11" spans="1:46" x14ac:dyDescent="0.25">
      <c r="K11" s="1244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6"/>
      <c r="AA11" s="466"/>
      <c r="AB11" s="466"/>
      <c r="AC11" s="466"/>
      <c r="AD11" s="466"/>
      <c r="AE11" s="466"/>
      <c r="AF11" s="466"/>
      <c r="AG11" s="466"/>
      <c r="AH11" s="466"/>
      <c r="AI11" s="466"/>
      <c r="AJ11" s="466"/>
      <c r="AK11" s="466"/>
      <c r="AM11" s="466"/>
      <c r="AN11" s="466"/>
      <c r="AO11" s="466"/>
      <c r="AP11" s="466"/>
      <c r="AQ11" s="466"/>
      <c r="AR11" s="466"/>
      <c r="AS11" s="466"/>
      <c r="AT11" s="466"/>
    </row>
    <row r="12" spans="1:46" x14ac:dyDescent="0.25">
      <c r="B12" s="993" t="s">
        <v>403</v>
      </c>
      <c r="G12" s="997">
        <f>'Det Oper Exp'!$T$88</f>
        <v>28400613</v>
      </c>
      <c r="I12" s="997">
        <f>M12-G12</f>
        <v>2527870</v>
      </c>
      <c r="K12" s="216" t="s">
        <v>83</v>
      </c>
      <c r="L12" s="454"/>
      <c r="M12" s="1010">
        <f>'PF II (Forward)'!K29</f>
        <v>30928483</v>
      </c>
      <c r="N12" s="454"/>
      <c r="O12" s="997">
        <f>S12-M12</f>
        <v>1431546.8900000006</v>
      </c>
      <c r="P12" s="454"/>
      <c r="Q12" s="216" t="s">
        <v>83</v>
      </c>
      <c r="R12" s="454"/>
      <c r="S12" s="454">
        <f>'PF II (Forward)'!Q29</f>
        <v>32360029.890000001</v>
      </c>
      <c r="T12" s="454"/>
      <c r="U12" s="711">
        <f>Y12-S12</f>
        <v>0</v>
      </c>
      <c r="V12" s="454"/>
      <c r="W12" s="216" t="s">
        <v>83</v>
      </c>
      <c r="X12" s="454"/>
      <c r="Y12" s="454">
        <f>S12</f>
        <v>32360029.890000001</v>
      </c>
      <c r="Z12" s="454"/>
      <c r="AA12" s="711">
        <f>AE12-Y12</f>
        <v>0</v>
      </c>
      <c r="AB12" s="454"/>
      <c r="AC12" s="216" t="s">
        <v>83</v>
      </c>
      <c r="AD12" s="454"/>
      <c r="AE12" s="454">
        <f>Y12</f>
        <v>32360029.890000001</v>
      </c>
      <c r="AF12" s="454"/>
      <c r="AG12" s="711">
        <f>AK12-AE12</f>
        <v>0</v>
      </c>
      <c r="AH12" s="454"/>
      <c r="AI12" s="216" t="s">
        <v>83</v>
      </c>
      <c r="AJ12" s="454"/>
      <c r="AK12" s="454">
        <f>AE12</f>
        <v>32360029.890000001</v>
      </c>
      <c r="AN12" s="454"/>
      <c r="AO12" s="466"/>
      <c r="AP12" s="466"/>
      <c r="AQ12" s="466"/>
      <c r="AR12" s="466"/>
      <c r="AS12" s="466"/>
      <c r="AT12" s="466"/>
    </row>
    <row r="13" spans="1:46" x14ac:dyDescent="0.25">
      <c r="B13" s="993" t="s">
        <v>205</v>
      </c>
      <c r="G13" s="502">
        <v>0</v>
      </c>
      <c r="H13" s="466"/>
      <c r="I13" s="466">
        <f>'PF Exp Rev Req II '!K21</f>
        <v>36802</v>
      </c>
      <c r="J13" s="466"/>
      <c r="K13" s="206" t="s">
        <v>84</v>
      </c>
      <c r="L13" s="454"/>
      <c r="M13" s="466">
        <f>I13</f>
        <v>36802</v>
      </c>
      <c r="N13" s="466"/>
      <c r="O13" s="466">
        <f>'PF Exp Rev Req II '!M21</f>
        <v>35768</v>
      </c>
      <c r="P13" s="466"/>
      <c r="Q13" s="206" t="s">
        <v>84</v>
      </c>
      <c r="R13" s="454"/>
      <c r="S13" s="466">
        <f>M13+O13</f>
        <v>72570</v>
      </c>
      <c r="T13" s="997"/>
      <c r="U13" s="466">
        <f>'PF Exp Rev Req II '!O21</f>
        <v>34954</v>
      </c>
      <c r="W13" s="216" t="s">
        <v>84</v>
      </c>
      <c r="X13" s="997"/>
      <c r="Y13" s="993">
        <f>S13+U13</f>
        <v>107524</v>
      </c>
      <c r="AA13" s="466">
        <f>'PF Exp Rev Req II '!Q21</f>
        <v>34826</v>
      </c>
      <c r="AC13" s="216" t="s">
        <v>84</v>
      </c>
      <c r="AE13" s="993">
        <f>Y13+AA13</f>
        <v>142350</v>
      </c>
      <c r="AG13" s="466">
        <f>'PF Exp Rev Req II '!S21</f>
        <v>24610</v>
      </c>
      <c r="AI13" s="216" t="s">
        <v>84</v>
      </c>
      <c r="AK13" s="993">
        <f>AE13+AG13</f>
        <v>166960</v>
      </c>
      <c r="AN13" s="454"/>
      <c r="AO13" s="466"/>
      <c r="AP13" s="466"/>
      <c r="AQ13" s="466"/>
      <c r="AR13" s="466"/>
      <c r="AS13" s="466"/>
      <c r="AT13" s="466"/>
    </row>
    <row r="14" spans="1:46" x14ac:dyDescent="0.25">
      <c r="B14" s="993" t="s">
        <v>617</v>
      </c>
      <c r="G14" s="501">
        <v>0</v>
      </c>
      <c r="I14" s="994">
        <f>M14-G14</f>
        <v>6868</v>
      </c>
      <c r="K14" s="216" t="s">
        <v>100</v>
      </c>
      <c r="L14" s="997"/>
      <c r="M14" s="993">
        <f>'PF Exp Rev Req II '!K36</f>
        <v>6868</v>
      </c>
      <c r="O14" s="994">
        <f>S14-M14</f>
        <v>6920</v>
      </c>
      <c r="Q14" s="216" t="s">
        <v>100</v>
      </c>
      <c r="R14" s="997"/>
      <c r="S14" s="993">
        <f>'PF Exp Rev Req II '!M36+'PF Exp Rev Req II '!K36</f>
        <v>13788</v>
      </c>
      <c r="T14" s="997"/>
      <c r="U14" s="993">
        <f>'PF Exp Rev Req II '!O36</f>
        <v>6880</v>
      </c>
      <c r="W14" s="216" t="s">
        <v>100</v>
      </c>
      <c r="X14" s="997"/>
      <c r="Y14" s="993">
        <f>S14+U14</f>
        <v>20668</v>
      </c>
      <c r="AA14" s="993">
        <f>+'PF Exp Rev Req II '!Q36</f>
        <v>6970</v>
      </c>
      <c r="AC14" s="216" t="s">
        <v>100</v>
      </c>
      <c r="AE14" s="993">
        <f>Y14+AA14</f>
        <v>27638</v>
      </c>
      <c r="AG14" s="993">
        <f>+'PF Exp Rev Req II '!S36</f>
        <v>5138</v>
      </c>
      <c r="AI14" s="216" t="s">
        <v>100</v>
      </c>
      <c r="AK14" s="993">
        <f>AE14+AG14</f>
        <v>32776</v>
      </c>
      <c r="AN14" s="454"/>
      <c r="AO14" s="466"/>
      <c r="AP14" s="466"/>
      <c r="AQ14" s="466"/>
      <c r="AR14" s="466"/>
      <c r="AS14" s="466"/>
      <c r="AT14" s="466"/>
    </row>
    <row r="15" spans="1:46" x14ac:dyDescent="0.25">
      <c r="K15" s="1244"/>
      <c r="L15" s="997"/>
      <c r="M15" s="353"/>
      <c r="N15" s="454"/>
      <c r="O15" s="454"/>
      <c r="P15" s="454"/>
      <c r="Q15" s="1244"/>
      <c r="R15" s="997"/>
      <c r="S15" s="353"/>
      <c r="T15" s="997"/>
      <c r="U15" s="353"/>
      <c r="V15" s="454"/>
      <c r="W15" s="1244"/>
      <c r="X15" s="997"/>
      <c r="Y15" s="353"/>
      <c r="Z15" s="454"/>
      <c r="AA15" s="353"/>
      <c r="AB15" s="454"/>
      <c r="AC15" s="1244"/>
      <c r="AD15" s="454"/>
      <c r="AE15" s="353"/>
      <c r="AF15" s="454"/>
      <c r="AG15" s="353"/>
      <c r="AH15" s="454"/>
      <c r="AI15" s="1244"/>
      <c r="AJ15" s="454"/>
      <c r="AK15" s="353"/>
      <c r="AN15" s="454"/>
      <c r="AO15" s="466"/>
      <c r="AP15" s="466"/>
      <c r="AQ15" s="466"/>
      <c r="AR15" s="466"/>
      <c r="AS15" s="466"/>
      <c r="AT15" s="466"/>
    </row>
    <row r="16" spans="1:46" x14ac:dyDescent="0.25">
      <c r="C16" s="993" t="s">
        <v>20</v>
      </c>
      <c r="G16" s="993">
        <f>SUM(G12:G15)</f>
        <v>28400613</v>
      </c>
      <c r="I16" s="993">
        <f>SUM(I12:I15)</f>
        <v>2571540</v>
      </c>
      <c r="K16" s="1244"/>
      <c r="L16" s="997"/>
      <c r="M16" s="993">
        <f>SUM(M12:M15)</f>
        <v>30972153</v>
      </c>
      <c r="O16" s="993">
        <f>SUM(O12:O15)</f>
        <v>1474234.8900000006</v>
      </c>
      <c r="Q16" s="1244"/>
      <c r="R16" s="997"/>
      <c r="S16" s="993">
        <f>SUM(S11:S15)</f>
        <v>32446387.890000001</v>
      </c>
      <c r="T16" s="997"/>
      <c r="U16" s="993">
        <f>SUM(U11:U15)</f>
        <v>41834</v>
      </c>
      <c r="W16" s="1244"/>
      <c r="X16" s="997"/>
      <c r="Y16" s="993">
        <f>SUM(Y11:Y15)</f>
        <v>32488221.890000001</v>
      </c>
      <c r="AA16" s="993">
        <f>SUM(AA11:AA15)</f>
        <v>41796</v>
      </c>
      <c r="AC16" s="1244"/>
      <c r="AE16" s="993">
        <f>SUM(AE11:AE15)</f>
        <v>32530017.890000001</v>
      </c>
      <c r="AG16" s="993">
        <f>SUM(AG11:AG15)</f>
        <v>29748</v>
      </c>
      <c r="AI16" s="1244"/>
      <c r="AK16" s="993">
        <f>SUM(AK11:AK15)</f>
        <v>32559765.890000001</v>
      </c>
      <c r="AN16" s="454"/>
      <c r="AO16" s="466"/>
      <c r="AP16" s="466"/>
      <c r="AQ16" s="466"/>
      <c r="AR16" s="466"/>
      <c r="AS16" s="466"/>
      <c r="AT16" s="466"/>
    </row>
    <row r="17" spans="2:46" x14ac:dyDescent="0.25">
      <c r="K17" s="1244"/>
      <c r="L17" s="997"/>
      <c r="M17" s="997"/>
      <c r="N17" s="997"/>
      <c r="O17" s="997"/>
      <c r="P17" s="997"/>
      <c r="Q17" s="1244"/>
      <c r="R17" s="997"/>
      <c r="S17" s="997"/>
      <c r="T17" s="997"/>
      <c r="U17" s="997"/>
      <c r="V17" s="997"/>
      <c r="W17" s="1244"/>
      <c r="X17" s="997"/>
      <c r="Y17" s="997"/>
      <c r="Z17" s="997"/>
      <c r="AA17" s="997"/>
      <c r="AB17" s="997"/>
      <c r="AC17" s="1244"/>
      <c r="AD17" s="997"/>
      <c r="AE17" s="997"/>
      <c r="AF17" s="997"/>
      <c r="AG17" s="997"/>
      <c r="AH17" s="997"/>
      <c r="AI17" s="1244"/>
      <c r="AJ17" s="997"/>
      <c r="AK17" s="997"/>
      <c r="AM17" s="454"/>
      <c r="AN17" s="466"/>
      <c r="AO17" s="466"/>
      <c r="AP17" s="466"/>
      <c r="AQ17" s="466"/>
      <c r="AR17" s="466"/>
      <c r="AS17" s="466"/>
      <c r="AT17" s="466"/>
    </row>
    <row r="18" spans="2:46" x14ac:dyDescent="0.25">
      <c r="B18" s="993" t="s">
        <v>605</v>
      </c>
      <c r="G18" s="993">
        <f>-CNP!M54</f>
        <v>2353750</v>
      </c>
      <c r="I18" s="993">
        <f>'PF Exp Rev Req II '!K63</f>
        <v>1236250</v>
      </c>
      <c r="K18" s="216" t="s">
        <v>101</v>
      </c>
      <c r="L18" s="997"/>
      <c r="M18" s="993">
        <f>G18+I18</f>
        <v>3590000</v>
      </c>
      <c r="O18" s="993">
        <f>'PF Exp Rev Req II '!M63</f>
        <v>515000</v>
      </c>
      <c r="Q18" s="216" t="s">
        <v>101</v>
      </c>
      <c r="R18" s="997"/>
      <c r="S18" s="993">
        <f>M18+O18</f>
        <v>4105000</v>
      </c>
      <c r="T18" s="997"/>
      <c r="U18" s="993">
        <f>'PF Exp Rev Req II '!O63</f>
        <v>340000</v>
      </c>
      <c r="W18" s="216" t="s">
        <v>101</v>
      </c>
      <c r="X18" s="997"/>
      <c r="Y18" s="993">
        <f>S18+U18</f>
        <v>4445000</v>
      </c>
      <c r="AA18" s="993">
        <f>'PF Exp Rev Req II '!Q63</f>
        <v>340000</v>
      </c>
      <c r="AC18" s="216" t="s">
        <v>101</v>
      </c>
      <c r="AE18" s="993">
        <f>Y18+AA18</f>
        <v>4785000</v>
      </c>
      <c r="AG18" s="993">
        <f>'PF Exp Rev Req II '!S63</f>
        <v>545000</v>
      </c>
      <c r="AI18" s="216" t="s">
        <v>101</v>
      </c>
      <c r="AK18" s="993">
        <f>AE18+AG18</f>
        <v>5330000</v>
      </c>
      <c r="AM18" s="454"/>
      <c r="AN18" s="466"/>
      <c r="AO18" s="466"/>
      <c r="AP18" s="466"/>
      <c r="AQ18" s="466"/>
      <c r="AR18" s="466"/>
      <c r="AS18" s="466"/>
      <c r="AT18" s="466"/>
    </row>
    <row r="19" spans="2:46" x14ac:dyDescent="0.25">
      <c r="K19" s="216"/>
      <c r="L19" s="997"/>
      <c r="M19" s="997"/>
      <c r="N19" s="997"/>
      <c r="O19" s="997"/>
      <c r="P19" s="997"/>
      <c r="Q19" s="216"/>
      <c r="R19" s="997"/>
      <c r="S19" s="997"/>
      <c r="T19" s="997"/>
      <c r="U19" s="997"/>
      <c r="V19" s="997"/>
      <c r="W19" s="1244"/>
      <c r="X19" s="997"/>
      <c r="Y19" s="997"/>
      <c r="Z19" s="997"/>
      <c r="AA19" s="997"/>
      <c r="AB19" s="997"/>
      <c r="AC19" s="1244"/>
      <c r="AD19" s="997"/>
      <c r="AE19" s="997"/>
      <c r="AF19" s="997"/>
      <c r="AG19" s="997"/>
      <c r="AH19" s="997"/>
      <c r="AI19" s="1244"/>
      <c r="AJ19" s="997"/>
      <c r="AK19" s="997"/>
      <c r="AM19" s="454"/>
      <c r="AN19" s="466"/>
      <c r="AO19" s="466"/>
      <c r="AP19" s="466"/>
      <c r="AQ19" s="466"/>
      <c r="AR19" s="466"/>
      <c r="AS19" s="466"/>
      <c r="AT19" s="466"/>
    </row>
    <row r="20" spans="2:46" x14ac:dyDescent="0.25">
      <c r="B20" s="993" t="s">
        <v>212</v>
      </c>
      <c r="G20" s="993">
        <f>-ROUND(SCF!L27+SCF!L31,0)</f>
        <v>14125666</v>
      </c>
      <c r="I20" s="993">
        <f>'PF Exp Rev Req II '!K121</f>
        <v>3402279.2399999984</v>
      </c>
      <c r="K20" s="216" t="s">
        <v>102</v>
      </c>
      <c r="M20" s="993">
        <f>G20+I20</f>
        <v>17527945.239999998</v>
      </c>
      <c r="O20" s="993">
        <f>'PF Exp Rev Req II '!M121</f>
        <v>1361.6999999992549</v>
      </c>
      <c r="Q20" s="216" t="s">
        <v>102</v>
      </c>
      <c r="S20" s="993">
        <f>M20+O20</f>
        <v>17529306.939999998</v>
      </c>
      <c r="U20" s="993">
        <f>'PF Exp Rev Req II '!O121</f>
        <v>2491828.2400000021</v>
      </c>
      <c r="W20" s="216" t="s">
        <v>102</v>
      </c>
      <c r="Y20" s="993">
        <f>S20+U20</f>
        <v>20021135.18</v>
      </c>
      <c r="AA20" s="993">
        <f>'PF Exp Rev Req II '!Q121</f>
        <v>3433598.1799999997</v>
      </c>
      <c r="AC20" s="216" t="s">
        <v>102</v>
      </c>
      <c r="AE20" s="993">
        <f>Y20+AA20</f>
        <v>23454733.359999999</v>
      </c>
      <c r="AG20" s="993">
        <f>'PF Exp Rev Req II '!S121</f>
        <v>940924.3599999994</v>
      </c>
      <c r="AI20" s="216" t="s">
        <v>102</v>
      </c>
      <c r="AK20" s="993">
        <f>AE20+AG20</f>
        <v>24395657.719999999</v>
      </c>
      <c r="AM20" s="454"/>
      <c r="AN20" s="466"/>
      <c r="AO20" s="466"/>
      <c r="AP20" s="466"/>
      <c r="AQ20" s="466"/>
      <c r="AR20" s="466"/>
      <c r="AS20" s="466"/>
      <c r="AT20" s="466"/>
    </row>
    <row r="21" spans="2:46" x14ac:dyDescent="0.25">
      <c r="K21" s="216"/>
      <c r="Q21" s="216"/>
      <c r="W21" s="216"/>
      <c r="AC21" s="216"/>
      <c r="AI21" s="216"/>
      <c r="AM21" s="454"/>
      <c r="AN21" s="466"/>
      <c r="AO21" s="466"/>
      <c r="AP21" s="466"/>
      <c r="AQ21" s="466"/>
      <c r="AR21" s="466"/>
      <c r="AS21" s="466"/>
      <c r="AT21" s="466"/>
    </row>
    <row r="22" spans="2:46" x14ac:dyDescent="0.25">
      <c r="B22" s="993" t="s">
        <v>595</v>
      </c>
      <c r="G22" s="590">
        <v>0</v>
      </c>
      <c r="I22" s="590">
        <f>'PF Exp Rev Req II '!K135</f>
        <v>436986</v>
      </c>
      <c r="K22" s="216" t="s">
        <v>217</v>
      </c>
      <c r="M22" s="993">
        <f>G22+I22</f>
        <v>436986</v>
      </c>
      <c r="O22" s="993">
        <f>'PF Exp Rev Req II '!M135</f>
        <v>935752</v>
      </c>
      <c r="Q22" s="216" t="s">
        <v>217</v>
      </c>
      <c r="S22" s="993">
        <f>M22+O22</f>
        <v>1372738</v>
      </c>
      <c r="U22" s="500">
        <f>'PF Exp Rev Req II '!O135</f>
        <v>0</v>
      </c>
      <c r="W22" s="216" t="s">
        <v>217</v>
      </c>
      <c r="Y22" s="993">
        <f>S22+U22</f>
        <v>1372738</v>
      </c>
      <c r="Z22" s="500"/>
      <c r="AA22" s="500">
        <f>'PF Exp Rev Req II '!Q135</f>
        <v>0</v>
      </c>
      <c r="AB22" s="500"/>
      <c r="AC22" s="216" t="s">
        <v>217</v>
      </c>
      <c r="AD22" s="500"/>
      <c r="AE22" s="993">
        <f>Y22+AA22</f>
        <v>1372738</v>
      </c>
      <c r="AF22" s="500"/>
      <c r="AG22" s="731">
        <f>'PF Exp Rev Req II '!S135</f>
        <v>0</v>
      </c>
      <c r="AH22" s="500"/>
      <c r="AI22" s="216" t="s">
        <v>217</v>
      </c>
      <c r="AJ22" s="500"/>
      <c r="AK22" s="993">
        <f>AE22+AG22</f>
        <v>1372738</v>
      </c>
      <c r="AM22" s="454"/>
      <c r="AN22" s="466"/>
      <c r="AO22" s="466"/>
      <c r="AP22" s="466"/>
      <c r="AQ22" s="466"/>
      <c r="AR22" s="466"/>
      <c r="AS22" s="466"/>
      <c r="AT22" s="466"/>
    </row>
    <row r="23" spans="2:46" x14ac:dyDescent="0.25">
      <c r="W23" s="216"/>
      <c r="AC23" s="216"/>
      <c r="AI23" s="216"/>
      <c r="AM23" s="454"/>
      <c r="AN23" s="466"/>
      <c r="AO23" s="466"/>
      <c r="AP23" s="466"/>
      <c r="AQ23" s="466"/>
      <c r="AR23" s="466"/>
      <c r="AS23" s="466"/>
      <c r="AT23" s="466"/>
    </row>
    <row r="24" spans="2:46" x14ac:dyDescent="0.25">
      <c r="B24" s="993" t="s">
        <v>594</v>
      </c>
      <c r="G24" s="994">
        <v>5086328</v>
      </c>
      <c r="I24" s="994">
        <f>'PF Exp Rev Req II '!K154</f>
        <v>4213672</v>
      </c>
      <c r="K24" s="216" t="s">
        <v>214</v>
      </c>
      <c r="M24" s="994">
        <f>G24+I24</f>
        <v>9300000</v>
      </c>
      <c r="N24" s="466"/>
      <c r="O24" s="1236">
        <f>'PF Exp Rev Req II '!M154</f>
        <v>350000</v>
      </c>
      <c r="P24" s="466"/>
      <c r="Q24" s="216" t="s">
        <v>214</v>
      </c>
      <c r="R24" s="466"/>
      <c r="S24" s="994">
        <f>M24+O24</f>
        <v>9650000</v>
      </c>
      <c r="T24" s="466"/>
      <c r="U24" s="1236">
        <f>'PF Exp Rev Req II '!O154</f>
        <v>400000</v>
      </c>
      <c r="V24" s="466"/>
      <c r="W24" s="216" t="s">
        <v>214</v>
      </c>
      <c r="X24" s="466"/>
      <c r="Y24" s="994">
        <f>S24+U24</f>
        <v>10050000</v>
      </c>
      <c r="Z24" s="466"/>
      <c r="AA24" s="1236">
        <f>'PF Exp Rev Req II '!Q154</f>
        <v>-500000</v>
      </c>
      <c r="AB24" s="466"/>
      <c r="AC24" s="216" t="s">
        <v>214</v>
      </c>
      <c r="AD24" s="466"/>
      <c r="AE24" s="994">
        <f>Y24+AA24</f>
        <v>9550000</v>
      </c>
      <c r="AF24" s="466"/>
      <c r="AG24" s="1236">
        <f>'PF Exp Rev Req II '!S154</f>
        <v>927900</v>
      </c>
      <c r="AH24" s="466"/>
      <c r="AI24" s="216" t="s">
        <v>214</v>
      </c>
      <c r="AJ24" s="466"/>
      <c r="AK24" s="994">
        <f>AE24+AG24</f>
        <v>10477900</v>
      </c>
      <c r="AM24" s="359"/>
      <c r="AN24" s="466"/>
      <c r="AO24" s="466"/>
      <c r="AP24" s="466"/>
      <c r="AQ24" s="466"/>
      <c r="AR24" s="466"/>
      <c r="AS24" s="466"/>
      <c r="AT24" s="466"/>
    </row>
    <row r="25" spans="2:46" x14ac:dyDescent="0.25">
      <c r="K25" s="1244"/>
      <c r="L25" s="466"/>
      <c r="M25" s="466"/>
      <c r="N25" s="466"/>
      <c r="O25" s="466"/>
      <c r="P25" s="466"/>
      <c r="Q25" s="1244"/>
      <c r="R25" s="466"/>
      <c r="S25" s="466"/>
      <c r="T25" s="466"/>
      <c r="U25" s="466"/>
      <c r="V25" s="466"/>
      <c r="W25" s="1244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466"/>
      <c r="AK25" s="466"/>
      <c r="AM25" s="466"/>
      <c r="AN25" s="466"/>
      <c r="AO25" s="466"/>
      <c r="AP25" s="466"/>
      <c r="AQ25" s="466"/>
      <c r="AR25" s="466"/>
      <c r="AS25" s="466"/>
      <c r="AT25" s="466"/>
    </row>
    <row r="26" spans="2:46" x14ac:dyDescent="0.25">
      <c r="C26" s="993" t="s">
        <v>129</v>
      </c>
      <c r="G26" s="466">
        <f>SUM(G16:G25)</f>
        <v>49966357</v>
      </c>
      <c r="I26" s="466">
        <f>SUM(I16:I25)</f>
        <v>11860727.239999998</v>
      </c>
      <c r="K26" s="1244"/>
      <c r="L26" s="466"/>
      <c r="M26" s="466">
        <f>SUM(M16:M25)</f>
        <v>61827084.239999995</v>
      </c>
      <c r="N26" s="466"/>
      <c r="O26" s="466">
        <f>SUM(O16:O25)</f>
        <v>3276348.59</v>
      </c>
      <c r="P26" s="466"/>
      <c r="Q26" s="1244"/>
      <c r="R26" s="466"/>
      <c r="S26" s="466">
        <f>SUM(S16:S25)</f>
        <v>65103432.829999998</v>
      </c>
      <c r="T26" s="466"/>
      <c r="U26" s="466">
        <f>SUM(U16:U25)</f>
        <v>3273662.2400000021</v>
      </c>
      <c r="V26" s="466"/>
      <c r="W26" s="1244"/>
      <c r="X26" s="466"/>
      <c r="Y26" s="466">
        <f>SUM(Y16:Y25)</f>
        <v>68377095.069999993</v>
      </c>
      <c r="Z26" s="466"/>
      <c r="AA26" s="466">
        <f>SUM(AA16:AA25)</f>
        <v>3315394.1799999997</v>
      </c>
      <c r="AB26" s="466"/>
      <c r="AC26" s="466"/>
      <c r="AD26" s="466"/>
      <c r="AE26" s="466">
        <f>SUM(AE16:AE25)</f>
        <v>71692489.25</v>
      </c>
      <c r="AF26" s="466"/>
      <c r="AG26" s="466">
        <f>SUM(AG16:AG25)</f>
        <v>2443572.3599999994</v>
      </c>
      <c r="AH26" s="466"/>
      <c r="AI26" s="466"/>
      <c r="AJ26" s="466"/>
      <c r="AK26" s="466">
        <f>SUM(AK16:AK25)</f>
        <v>74136061.609999999</v>
      </c>
      <c r="AM26" s="466"/>
      <c r="AN26" s="466"/>
      <c r="AO26" s="466"/>
      <c r="AP26" s="466"/>
      <c r="AQ26" s="466"/>
      <c r="AR26" s="466"/>
      <c r="AS26" s="466"/>
      <c r="AT26" s="466"/>
    </row>
    <row r="27" spans="2:46" x14ac:dyDescent="0.25">
      <c r="K27" s="1244"/>
      <c r="L27" s="466"/>
      <c r="M27" s="466"/>
      <c r="N27" s="466"/>
      <c r="O27" s="466"/>
      <c r="P27" s="466"/>
      <c r="Q27" s="1244"/>
      <c r="R27" s="466"/>
      <c r="S27" s="466"/>
      <c r="T27" s="466"/>
      <c r="U27" s="466"/>
      <c r="V27" s="466"/>
      <c r="W27" s="1244"/>
      <c r="X27" s="466"/>
      <c r="Y27" s="466"/>
      <c r="Z27" s="466"/>
      <c r="AA27" s="466"/>
      <c r="AB27" s="466"/>
      <c r="AC27" s="466"/>
      <c r="AD27" s="466"/>
      <c r="AE27" s="466"/>
      <c r="AF27" s="466"/>
      <c r="AG27" s="466"/>
      <c r="AH27" s="466"/>
      <c r="AI27" s="466"/>
      <c r="AJ27" s="466"/>
      <c r="AK27" s="466"/>
      <c r="AM27" s="466"/>
      <c r="AN27" s="466"/>
      <c r="AO27" s="466"/>
      <c r="AP27" s="466"/>
      <c r="AQ27" s="466"/>
      <c r="AR27" s="466"/>
      <c r="AS27" s="466"/>
      <c r="AT27" s="466"/>
    </row>
    <row r="28" spans="2:46" x14ac:dyDescent="0.25">
      <c r="B28" s="993" t="s">
        <v>404</v>
      </c>
      <c r="G28" s="993">
        <f>-CNP!M37</f>
        <v>-1920480</v>
      </c>
      <c r="I28" s="993">
        <f>M28-G28</f>
        <v>1897400</v>
      </c>
      <c r="K28" s="216" t="s">
        <v>219</v>
      </c>
      <c r="M28" s="993">
        <f>-'PF Exp Rev Req II '!S170</f>
        <v>-23080</v>
      </c>
      <c r="O28" s="500">
        <v>0</v>
      </c>
      <c r="Q28" s="216"/>
      <c r="S28" s="993">
        <f>M28</f>
        <v>-23080</v>
      </c>
      <c r="U28" s="500">
        <v>0</v>
      </c>
      <c r="W28" s="216"/>
      <c r="Y28" s="993">
        <f>S28</f>
        <v>-23080</v>
      </c>
      <c r="AA28" s="500">
        <v>0</v>
      </c>
      <c r="AE28" s="993">
        <f>Y28</f>
        <v>-23080</v>
      </c>
      <c r="AG28" s="500">
        <v>0</v>
      </c>
      <c r="AK28" s="993">
        <f>AE28</f>
        <v>-23080</v>
      </c>
      <c r="AM28" s="466"/>
      <c r="AN28" s="466"/>
      <c r="AO28" s="466"/>
      <c r="AP28" s="466"/>
      <c r="AQ28" s="466"/>
      <c r="AR28" s="466"/>
      <c r="AS28" s="466"/>
      <c r="AT28" s="466"/>
    </row>
    <row r="29" spans="2:46" x14ac:dyDescent="0.25">
      <c r="B29" s="993" t="s">
        <v>405</v>
      </c>
      <c r="G29" s="993">
        <f>-CNP!M17</f>
        <v>-11662997</v>
      </c>
      <c r="I29" s="993">
        <f t="shared" ref="I29:I31" si="0">M29-G29</f>
        <v>-1862187</v>
      </c>
      <c r="K29" s="216" t="s">
        <v>293</v>
      </c>
      <c r="M29" s="993">
        <v>-13525184</v>
      </c>
      <c r="O29" s="590">
        <f>S29-M29</f>
        <v>-728409</v>
      </c>
      <c r="Q29" s="216" t="s">
        <v>293</v>
      </c>
      <c r="S29" s="993">
        <v>-14253593</v>
      </c>
      <c r="U29" s="500">
        <v>0</v>
      </c>
      <c r="W29" s="216"/>
      <c r="Y29" s="466">
        <f>S29</f>
        <v>-14253593</v>
      </c>
      <c r="Z29" s="466"/>
      <c r="AA29" s="500">
        <v>0</v>
      </c>
      <c r="AB29" s="466"/>
      <c r="AC29" s="466"/>
      <c r="AD29" s="466"/>
      <c r="AE29" s="466">
        <f>Y29</f>
        <v>-14253593</v>
      </c>
      <c r="AF29" s="466"/>
      <c r="AG29" s="500">
        <v>0</v>
      </c>
      <c r="AH29" s="466"/>
      <c r="AI29" s="466"/>
      <c r="AJ29" s="466"/>
      <c r="AK29" s="466">
        <f>AE29</f>
        <v>-14253593</v>
      </c>
      <c r="AM29" s="466"/>
      <c r="AN29" s="466"/>
      <c r="AO29" s="466"/>
      <c r="AP29" s="466"/>
      <c r="AQ29" s="466"/>
      <c r="AR29" s="466"/>
      <c r="AS29" s="466"/>
      <c r="AT29" s="466"/>
    </row>
    <row r="30" spans="2:46" x14ac:dyDescent="0.25">
      <c r="B30" s="993" t="s">
        <v>406</v>
      </c>
      <c r="G30" s="993">
        <f>-CNP!M16+1</f>
        <v>-210142</v>
      </c>
      <c r="I30" s="500">
        <f t="shared" si="0"/>
        <v>0</v>
      </c>
      <c r="K30" s="216" t="s">
        <v>439</v>
      </c>
      <c r="M30" s="993">
        <f>-Norm!V23</f>
        <v>-210142</v>
      </c>
      <c r="O30" s="500">
        <v>0</v>
      </c>
      <c r="Q30" s="216"/>
      <c r="S30" s="993">
        <f>M30</f>
        <v>-210142</v>
      </c>
      <c r="U30" s="500">
        <v>0</v>
      </c>
      <c r="W30" s="216"/>
      <c r="Y30" s="466">
        <f>S30</f>
        <v>-210142</v>
      </c>
      <c r="Z30" s="466"/>
      <c r="AA30" s="500">
        <v>0</v>
      </c>
      <c r="AB30" s="466"/>
      <c r="AC30" s="466"/>
      <c r="AD30" s="466"/>
      <c r="AE30" s="466">
        <f>Y30</f>
        <v>-210142</v>
      </c>
      <c r="AF30" s="466"/>
      <c r="AG30" s="500">
        <v>0</v>
      </c>
      <c r="AH30" s="466"/>
      <c r="AI30" s="466"/>
      <c r="AJ30" s="466"/>
      <c r="AK30" s="466">
        <f>AE30</f>
        <v>-210142</v>
      </c>
      <c r="AM30" s="466"/>
      <c r="AN30" s="466"/>
      <c r="AO30" s="466"/>
      <c r="AP30" s="466"/>
      <c r="AQ30" s="466"/>
      <c r="AR30" s="466"/>
      <c r="AS30" s="466"/>
      <c r="AT30" s="466"/>
    </row>
    <row r="31" spans="2:46" x14ac:dyDescent="0.25">
      <c r="B31" s="993" t="s">
        <v>407</v>
      </c>
      <c r="G31" s="994">
        <f>-CNP!M38</f>
        <v>-1182318</v>
      </c>
      <c r="I31" s="994">
        <f t="shared" si="0"/>
        <v>699691</v>
      </c>
      <c r="K31" s="216" t="s">
        <v>207</v>
      </c>
      <c r="M31" s="994">
        <f>-'PF Exp Rev Req II '!Q201</f>
        <v>-482627</v>
      </c>
      <c r="N31" s="466"/>
      <c r="O31" s="1236">
        <f>S31-M31</f>
        <v>-8517</v>
      </c>
      <c r="P31" s="466"/>
      <c r="Q31" s="216"/>
      <c r="R31" s="466"/>
      <c r="S31" s="994">
        <f>-'PF Exp Rev Req II '!S201</f>
        <v>-491144</v>
      </c>
      <c r="T31" s="466"/>
      <c r="U31" s="501">
        <v>0</v>
      </c>
      <c r="V31" s="466"/>
      <c r="W31" s="216"/>
      <c r="X31" s="466"/>
      <c r="Y31" s="994">
        <f>S31</f>
        <v>-491144</v>
      </c>
      <c r="Z31" s="466"/>
      <c r="AA31" s="501">
        <v>0</v>
      </c>
      <c r="AB31" s="466"/>
      <c r="AC31" s="466"/>
      <c r="AD31" s="466"/>
      <c r="AE31" s="994">
        <f>Y31</f>
        <v>-491144</v>
      </c>
      <c r="AF31" s="466"/>
      <c r="AG31" s="501">
        <v>0</v>
      </c>
      <c r="AH31" s="466"/>
      <c r="AI31" s="466"/>
      <c r="AJ31" s="466"/>
      <c r="AK31" s="994">
        <f>AE31</f>
        <v>-491144</v>
      </c>
      <c r="AM31" s="466"/>
      <c r="AN31" s="466"/>
      <c r="AO31" s="466"/>
      <c r="AP31" s="466"/>
      <c r="AQ31" s="466"/>
      <c r="AR31" s="466"/>
      <c r="AS31" s="466"/>
      <c r="AT31" s="466"/>
    </row>
    <row r="32" spans="2:46" x14ac:dyDescent="0.25">
      <c r="K32" s="1244"/>
      <c r="L32" s="466"/>
      <c r="M32" s="466"/>
      <c r="N32" s="466"/>
      <c r="O32" s="466"/>
      <c r="P32" s="466"/>
      <c r="Q32" s="1244"/>
      <c r="R32" s="466"/>
      <c r="S32" s="466"/>
      <c r="T32" s="466"/>
      <c r="U32" s="466"/>
      <c r="V32" s="466"/>
      <c r="W32" s="1244"/>
      <c r="X32" s="466"/>
      <c r="Y32" s="466"/>
      <c r="Z32" s="466"/>
      <c r="AA32" s="466"/>
      <c r="AB32" s="466"/>
      <c r="AC32" s="466"/>
      <c r="AD32" s="466"/>
      <c r="AE32" s="466"/>
      <c r="AF32" s="466"/>
      <c r="AG32" s="466"/>
      <c r="AH32" s="466"/>
      <c r="AI32" s="466"/>
      <c r="AJ32" s="466"/>
      <c r="AK32" s="466"/>
      <c r="AM32" s="466"/>
      <c r="AN32" s="466"/>
      <c r="AO32" s="466"/>
      <c r="AP32" s="466"/>
      <c r="AQ32" s="466"/>
      <c r="AR32" s="466"/>
      <c r="AS32" s="466"/>
      <c r="AT32" s="466"/>
    </row>
    <row r="33" spans="1:54" ht="16.5" thickBot="1" x14ac:dyDescent="0.3">
      <c r="C33" s="993" t="s">
        <v>356</v>
      </c>
      <c r="G33" s="224">
        <f>SUM(G26:G32)</f>
        <v>34990420</v>
      </c>
      <c r="I33" s="224">
        <f>SUM(I26:I32)</f>
        <v>12595631.239999998</v>
      </c>
      <c r="K33" s="1244"/>
      <c r="L33" s="454"/>
      <c r="M33" s="224">
        <f>SUM(M26:M32)</f>
        <v>47586051.239999995</v>
      </c>
      <c r="N33" s="454"/>
      <c r="O33" s="224">
        <f>SUM(O26:O32)</f>
        <v>2539422.59</v>
      </c>
      <c r="P33" s="454"/>
      <c r="Q33" s="1244"/>
      <c r="R33" s="454"/>
      <c r="S33" s="224">
        <f>SUM(S26:S32)</f>
        <v>50125473.829999998</v>
      </c>
      <c r="T33" s="454"/>
      <c r="U33" s="224">
        <f>SUM(U26:U32)</f>
        <v>3273662.2400000021</v>
      </c>
      <c r="V33" s="454"/>
      <c r="W33" s="1244"/>
      <c r="X33" s="454"/>
      <c r="Y33" s="224">
        <f>SUM(Y26:Y32)</f>
        <v>53399136.069999993</v>
      </c>
      <c r="Z33" s="454"/>
      <c r="AA33" s="224">
        <f>SUM(AA26:AA32)</f>
        <v>3315394.1799999997</v>
      </c>
      <c r="AB33" s="454"/>
      <c r="AC33" s="454"/>
      <c r="AD33" s="454"/>
      <c r="AE33" s="224">
        <f>SUM(AE26:AE32)</f>
        <v>56714530.25</v>
      </c>
      <c r="AF33" s="454"/>
      <c r="AG33" s="224">
        <f>SUM(AG26:AG32)</f>
        <v>2443572.3599999994</v>
      </c>
      <c r="AH33" s="454"/>
      <c r="AI33" s="454"/>
      <c r="AJ33" s="454"/>
      <c r="AK33" s="224">
        <f>SUM(AK26:AK32)</f>
        <v>59158102.609999999</v>
      </c>
      <c r="AM33" s="466"/>
      <c r="AN33" s="466"/>
      <c r="AO33" s="466"/>
      <c r="AP33" s="466"/>
      <c r="AQ33" s="466"/>
      <c r="AR33" s="466"/>
      <c r="AS33" s="466"/>
      <c r="AT33" s="466"/>
    </row>
    <row r="34" spans="1:54" ht="16.5" thickTop="1" x14ac:dyDescent="0.25">
      <c r="K34" s="1244"/>
      <c r="Q34" s="1244"/>
      <c r="W34" s="1244"/>
      <c r="AM34" s="466"/>
      <c r="AN34" s="466"/>
      <c r="AO34" s="466"/>
      <c r="AP34" s="466"/>
      <c r="AQ34" s="466"/>
      <c r="AR34" s="466"/>
      <c r="AS34" s="466"/>
      <c r="AT34" s="466"/>
    </row>
    <row r="35" spans="1:54" x14ac:dyDescent="0.25">
      <c r="A35" s="158" t="s">
        <v>299</v>
      </c>
      <c r="K35" s="1244"/>
      <c r="Q35" s="1244"/>
      <c r="W35" s="1244"/>
      <c r="AM35" s="466"/>
      <c r="AN35" s="466"/>
      <c r="AO35" s="337"/>
      <c r="AP35" s="466"/>
      <c r="AQ35" s="466"/>
      <c r="AR35" s="466"/>
      <c r="AS35" s="466"/>
      <c r="AT35" s="466"/>
    </row>
    <row r="36" spans="1:54" x14ac:dyDescent="0.25">
      <c r="A36" s="158"/>
      <c r="K36" s="1244"/>
      <c r="Q36" s="1244"/>
      <c r="W36" s="1244"/>
      <c r="AM36" s="466"/>
      <c r="AN36" s="466"/>
      <c r="AO36" s="337"/>
      <c r="AP36" s="466"/>
      <c r="AQ36" s="466"/>
      <c r="AR36" s="466"/>
      <c r="AS36" s="466"/>
      <c r="AT36" s="466"/>
    </row>
    <row r="37" spans="1:54" x14ac:dyDescent="0.25">
      <c r="A37" s="993" t="s">
        <v>357</v>
      </c>
      <c r="G37" s="997">
        <f>CNP!M10</f>
        <v>19390251</v>
      </c>
      <c r="I37" s="997">
        <f>M37-G37</f>
        <v>3359760</v>
      </c>
      <c r="K37" s="152" t="s">
        <v>415</v>
      </c>
      <c r="L37" s="997"/>
      <c r="M37" s="513">
        <f>'PF Exp Rev Req II '!S212</f>
        <v>22750011</v>
      </c>
      <c r="N37" s="997"/>
      <c r="O37" s="513">
        <f>S37-M37</f>
        <v>1599326</v>
      </c>
      <c r="P37" s="997"/>
      <c r="Q37" s="152" t="s">
        <v>415</v>
      </c>
      <c r="R37" s="997"/>
      <c r="S37" s="997">
        <f>'PF Exp Rev Req II '!O225</f>
        <v>24349337</v>
      </c>
      <c r="T37" s="997"/>
      <c r="U37" s="997">
        <f>Y37-S37</f>
        <v>1590012</v>
      </c>
      <c r="V37" s="997"/>
      <c r="W37" s="152" t="s">
        <v>415</v>
      </c>
      <c r="X37" s="997"/>
      <c r="Y37" s="997">
        <f>'PF Exp Rev Req II '!S225</f>
        <v>25939349</v>
      </c>
      <c r="Z37" s="997"/>
      <c r="AA37" s="997">
        <f>'PF Exp Rev Req II '!M238</f>
        <v>1610834</v>
      </c>
      <c r="AB37" s="997"/>
      <c r="AC37" s="152" t="s">
        <v>415</v>
      </c>
      <c r="AD37" s="997"/>
      <c r="AE37" s="997">
        <f>'PF Exp Rev Req II '!O238</f>
        <v>27550183</v>
      </c>
      <c r="AF37" s="997"/>
      <c r="AG37" s="997">
        <f>'PF Exp Rev Req II '!Q238</f>
        <v>1187413</v>
      </c>
      <c r="AH37" s="997"/>
      <c r="AI37" s="152" t="s">
        <v>415</v>
      </c>
      <c r="AJ37" s="997"/>
      <c r="AK37" s="997">
        <f>'PF Exp Rev Req II '!S238</f>
        <v>28737596</v>
      </c>
      <c r="AL37" s="212"/>
      <c r="AM37" s="454"/>
      <c r="AN37" s="466"/>
      <c r="AO37" s="337"/>
      <c r="AP37" s="466"/>
      <c r="AQ37" s="466"/>
      <c r="AR37" s="466"/>
      <c r="AS37" s="466"/>
      <c r="AT37" s="466"/>
    </row>
    <row r="38" spans="1:54" x14ac:dyDescent="0.25">
      <c r="A38" s="993" t="s">
        <v>606</v>
      </c>
      <c r="G38" s="993">
        <f>CNP!M11</f>
        <v>5779922</v>
      </c>
      <c r="I38" s="993">
        <f>M38-G38</f>
        <v>959191</v>
      </c>
      <c r="K38" s="152" t="s">
        <v>415</v>
      </c>
      <c r="L38" s="997"/>
      <c r="M38" s="514">
        <f>'PF Exp Rev Req II '!S213</f>
        <v>6739113</v>
      </c>
      <c r="N38" s="997"/>
      <c r="O38" s="514">
        <f>S38-M38</f>
        <v>473760</v>
      </c>
      <c r="P38" s="997"/>
      <c r="Q38" s="152" t="s">
        <v>415</v>
      </c>
      <c r="R38" s="997"/>
      <c r="S38" s="514">
        <f>'PF Exp Rev Req II '!O226</f>
        <v>7212873</v>
      </c>
      <c r="T38" s="997"/>
      <c r="U38" s="466">
        <f>Y38-S38</f>
        <v>471001</v>
      </c>
      <c r="V38" s="997"/>
      <c r="W38" s="152" t="s">
        <v>415</v>
      </c>
      <c r="X38" s="997"/>
      <c r="Y38" s="466">
        <f>'PF Exp Rev Req II '!S226</f>
        <v>7683874</v>
      </c>
      <c r="Z38" s="514"/>
      <c r="AA38" s="466">
        <f>'PF Exp Rev Req II '!M239</f>
        <v>477169</v>
      </c>
      <c r="AB38" s="514"/>
      <c r="AC38" s="152" t="s">
        <v>415</v>
      </c>
      <c r="AD38" s="514"/>
      <c r="AE38" s="466">
        <f>'PF Exp Rev Req II '!O239</f>
        <v>8161043</v>
      </c>
      <c r="AF38" s="514"/>
      <c r="AG38" s="466">
        <f>'PF Exp Rev Req II '!Q239</f>
        <v>351741</v>
      </c>
      <c r="AH38" s="514"/>
      <c r="AI38" s="152" t="s">
        <v>415</v>
      </c>
      <c r="AJ38" s="514"/>
      <c r="AK38" s="466">
        <f>'PF Exp Rev Req II '!S239</f>
        <v>8512784</v>
      </c>
      <c r="AL38" s="212"/>
      <c r="AM38" s="454"/>
      <c r="AN38" s="466"/>
      <c r="AO38" s="337"/>
      <c r="AP38" s="466"/>
      <c r="AQ38" s="466"/>
      <c r="AR38" s="466"/>
      <c r="AS38" s="466"/>
      <c r="AT38" s="466"/>
    </row>
    <row r="39" spans="1:54" x14ac:dyDescent="0.25">
      <c r="A39" s="993" t="s">
        <v>607</v>
      </c>
      <c r="G39" s="993">
        <f>CNP!M12</f>
        <v>8257024</v>
      </c>
      <c r="I39" s="993">
        <f t="shared" ref="I39:I42" si="1">M39-G39</f>
        <v>1798927</v>
      </c>
      <c r="K39" s="152" t="s">
        <v>415</v>
      </c>
      <c r="M39" s="514">
        <f>'PF Exp Rev Req II '!S214</f>
        <v>10055951</v>
      </c>
      <c r="N39" s="466"/>
      <c r="O39" s="514">
        <f t="shared" ref="O39:O43" si="2">S39-M39</f>
        <v>706933</v>
      </c>
      <c r="P39" s="466"/>
      <c r="Q39" s="152" t="s">
        <v>415</v>
      </c>
      <c r="R39" s="466"/>
      <c r="S39" s="514">
        <f>'PF Exp Rev Req II '!O227</f>
        <v>10762884</v>
      </c>
      <c r="T39" s="466"/>
      <c r="U39" s="466">
        <f t="shared" ref="U39:U43" si="3">Y39-S39</f>
        <v>702816</v>
      </c>
      <c r="V39" s="466"/>
      <c r="W39" s="152" t="s">
        <v>415</v>
      </c>
      <c r="X39" s="466"/>
      <c r="Y39" s="466">
        <f>'PF Exp Rev Req II '!S227</f>
        <v>11465700</v>
      </c>
      <c r="Z39" s="514"/>
      <c r="AA39" s="466">
        <f>'PF Exp Rev Req II '!M240</f>
        <v>712020</v>
      </c>
      <c r="AB39" s="514"/>
      <c r="AC39" s="152" t="s">
        <v>415</v>
      </c>
      <c r="AD39" s="514"/>
      <c r="AE39" s="466">
        <f>'PF Exp Rev Req II '!O240</f>
        <v>12177720</v>
      </c>
      <c r="AF39" s="514"/>
      <c r="AG39" s="466">
        <f>'PF Exp Rev Req II '!Q240</f>
        <v>524860</v>
      </c>
      <c r="AH39" s="514"/>
      <c r="AI39" s="152" t="s">
        <v>415</v>
      </c>
      <c r="AJ39" s="514"/>
      <c r="AK39" s="466">
        <f>'PF Exp Rev Req II '!S240</f>
        <v>12702580</v>
      </c>
      <c r="AL39" s="212"/>
      <c r="AM39" s="454"/>
      <c r="AN39" s="227"/>
      <c r="AO39" s="337"/>
      <c r="AP39" s="227"/>
      <c r="AQ39" s="363"/>
      <c r="AR39" s="466"/>
      <c r="AS39" s="466"/>
      <c r="AT39" s="466"/>
    </row>
    <row r="40" spans="1:54" x14ac:dyDescent="0.25">
      <c r="A40" s="993" t="s">
        <v>593</v>
      </c>
      <c r="G40" s="993">
        <f>CNP!M13</f>
        <v>1194300</v>
      </c>
      <c r="H40" s="466"/>
      <c r="I40" s="993">
        <f t="shared" si="1"/>
        <v>266267</v>
      </c>
      <c r="J40" s="466"/>
      <c r="K40" s="152" t="s">
        <v>415</v>
      </c>
      <c r="L40" s="466"/>
      <c r="M40" s="514">
        <f>'PF Exp Rev Req II '!S215</f>
        <v>1460567</v>
      </c>
      <c r="N40" s="466"/>
      <c r="O40" s="514">
        <f t="shared" si="2"/>
        <v>102678</v>
      </c>
      <c r="P40" s="466"/>
      <c r="Q40" s="152" t="s">
        <v>415</v>
      </c>
      <c r="R40" s="466"/>
      <c r="S40" s="514">
        <f>'PF Exp Rev Req II '!O228</f>
        <v>1563245</v>
      </c>
      <c r="T40" s="466"/>
      <c r="U40" s="466">
        <f t="shared" si="3"/>
        <v>102080</v>
      </c>
      <c r="V40" s="466"/>
      <c r="W40" s="152" t="s">
        <v>415</v>
      </c>
      <c r="X40" s="466"/>
      <c r="Y40" s="466">
        <f>'PF Exp Rev Req II '!S228</f>
        <v>1665325</v>
      </c>
      <c r="Z40" s="514"/>
      <c r="AA40" s="466">
        <f>'PF Exp Rev Req II '!M241</f>
        <v>103417</v>
      </c>
      <c r="AB40" s="514"/>
      <c r="AC40" s="152" t="s">
        <v>415</v>
      </c>
      <c r="AD40" s="514"/>
      <c r="AE40" s="466">
        <f>'PF Exp Rev Req II '!O241</f>
        <v>1768742</v>
      </c>
      <c r="AF40" s="514"/>
      <c r="AG40" s="466">
        <f>'PF Exp Rev Req II '!Q241</f>
        <v>76233</v>
      </c>
      <c r="AH40" s="514"/>
      <c r="AI40" s="152" t="s">
        <v>415</v>
      </c>
      <c r="AJ40" s="514"/>
      <c r="AK40" s="466">
        <f>'PF Exp Rev Req II '!S241</f>
        <v>1844975</v>
      </c>
      <c r="AL40" s="212"/>
      <c r="AM40" s="454"/>
      <c r="AN40" s="227"/>
      <c r="AO40" s="337"/>
      <c r="AP40" s="227"/>
      <c r="AQ40" s="472"/>
      <c r="AR40" s="466"/>
      <c r="AS40" s="466"/>
      <c r="AT40" s="466"/>
    </row>
    <row r="41" spans="1:54" x14ac:dyDescent="0.25">
      <c r="A41" s="993" t="s">
        <v>608</v>
      </c>
      <c r="G41" s="993">
        <f>CNP!M14</f>
        <v>6033846</v>
      </c>
      <c r="H41" s="466"/>
      <c r="I41" s="993">
        <f t="shared" si="1"/>
        <v>1091019</v>
      </c>
      <c r="J41" s="466"/>
      <c r="K41" s="152" t="s">
        <v>415</v>
      </c>
      <c r="L41" s="466"/>
      <c r="M41" s="514">
        <f>'PF Exp Rev Req II '!S216</f>
        <v>7124865</v>
      </c>
      <c r="N41" s="466"/>
      <c r="O41" s="514">
        <f t="shared" si="2"/>
        <v>500878</v>
      </c>
      <c r="P41" s="466"/>
      <c r="Q41" s="152" t="s">
        <v>415</v>
      </c>
      <c r="R41" s="466"/>
      <c r="S41" s="514">
        <f>'PF Exp Rev Req II '!O229</f>
        <v>7625743</v>
      </c>
      <c r="T41" s="466"/>
      <c r="U41" s="466">
        <f t="shared" si="3"/>
        <v>497961</v>
      </c>
      <c r="V41" s="466"/>
      <c r="W41" s="152" t="s">
        <v>415</v>
      </c>
      <c r="X41" s="466"/>
      <c r="Y41" s="466">
        <f>'PF Exp Rev Req II '!S229</f>
        <v>8123704</v>
      </c>
      <c r="Z41" s="514"/>
      <c r="AA41" s="466">
        <f>'PF Exp Rev Req II '!M242</f>
        <v>504482</v>
      </c>
      <c r="AB41" s="514"/>
      <c r="AC41" s="152" t="s">
        <v>415</v>
      </c>
      <c r="AD41" s="514"/>
      <c r="AE41" s="466">
        <f>'PF Exp Rev Req II '!O242</f>
        <v>8628186</v>
      </c>
      <c r="AF41" s="514"/>
      <c r="AG41" s="466">
        <f>'PF Exp Rev Req II '!Q242</f>
        <v>371875</v>
      </c>
      <c r="AH41" s="514"/>
      <c r="AI41" s="152" t="s">
        <v>415</v>
      </c>
      <c r="AJ41" s="514"/>
      <c r="AK41" s="466">
        <f>'PF Exp Rev Req II '!S242</f>
        <v>9000061</v>
      </c>
      <c r="AL41" s="212"/>
      <c r="AM41" s="454"/>
      <c r="AN41" s="227"/>
      <c r="AO41" s="337"/>
      <c r="AP41" s="227"/>
      <c r="AQ41" s="472"/>
      <c r="AR41" s="466"/>
      <c r="AS41" s="466"/>
      <c r="AT41" s="466"/>
    </row>
    <row r="42" spans="1:54" x14ac:dyDescent="0.25">
      <c r="A42" s="993" t="s">
        <v>599</v>
      </c>
      <c r="G42" s="466">
        <f>CNP!M15</f>
        <v>92791</v>
      </c>
      <c r="H42" s="466"/>
      <c r="I42" s="466">
        <f t="shared" si="1"/>
        <v>133369</v>
      </c>
      <c r="J42" s="466"/>
      <c r="K42" s="152" t="s">
        <v>415</v>
      </c>
      <c r="L42" s="466"/>
      <c r="M42" s="1234">
        <f>'PF Exp Rev Req II '!S217</f>
        <v>226160</v>
      </c>
      <c r="N42" s="466"/>
      <c r="O42" s="1234">
        <f t="shared" si="2"/>
        <v>15899</v>
      </c>
      <c r="P42" s="466"/>
      <c r="Q42" s="152" t="s">
        <v>415</v>
      </c>
      <c r="R42" s="466"/>
      <c r="S42" s="1234">
        <f>'PF Exp Rev Req II '!O230</f>
        <v>242059</v>
      </c>
      <c r="T42" s="466"/>
      <c r="U42" s="466">
        <f t="shared" si="3"/>
        <v>15806</v>
      </c>
      <c r="V42" s="466"/>
      <c r="W42" s="152" t="s">
        <v>415</v>
      </c>
      <c r="X42" s="466"/>
      <c r="Y42" s="466">
        <f>'PF Exp Rev Req II '!S230</f>
        <v>257865</v>
      </c>
      <c r="Z42" s="1234"/>
      <c r="AA42" s="466">
        <f>'PF Exp Rev Req II '!M243</f>
        <v>16013</v>
      </c>
      <c r="AB42" s="1234"/>
      <c r="AC42" s="152" t="s">
        <v>415</v>
      </c>
      <c r="AD42" s="1234"/>
      <c r="AE42" s="466">
        <f>'PF Exp Rev Req II '!O243</f>
        <v>273878</v>
      </c>
      <c r="AF42" s="1234"/>
      <c r="AG42" s="466">
        <f>'PF Exp Rev Req II '!Q243</f>
        <v>11804</v>
      </c>
      <c r="AH42" s="1234"/>
      <c r="AI42" s="152" t="s">
        <v>415</v>
      </c>
      <c r="AJ42" s="1234"/>
      <c r="AK42" s="466">
        <f>'PF Exp Rev Req II '!S243</f>
        <v>285682</v>
      </c>
      <c r="AL42" s="396"/>
      <c r="AM42" s="454"/>
      <c r="AN42" s="227"/>
      <c r="AO42" s="256"/>
      <c r="AP42" s="227"/>
      <c r="AQ42" s="472"/>
      <c r="AR42" s="466"/>
      <c r="AS42" s="466"/>
      <c r="AT42" s="466"/>
      <c r="AU42" s="466"/>
      <c r="AV42" s="466"/>
      <c r="AW42" s="466"/>
      <c r="AX42" s="466"/>
      <c r="AY42" s="466"/>
      <c r="AZ42" s="466"/>
      <c r="BA42" s="466"/>
      <c r="BB42" s="466"/>
    </row>
    <row r="43" spans="1:54" x14ac:dyDescent="0.25">
      <c r="A43" s="457" t="s">
        <v>966</v>
      </c>
      <c r="G43" s="501">
        <v>0</v>
      </c>
      <c r="H43" s="466"/>
      <c r="I43" s="1236">
        <f>M43-G43</f>
        <v>-770616</v>
      </c>
      <c r="J43" s="466"/>
      <c r="K43" s="152" t="s">
        <v>415</v>
      </c>
      <c r="L43" s="466"/>
      <c r="M43" s="515">
        <f>'PF Exp Rev Req II '!S218</f>
        <v>-770616</v>
      </c>
      <c r="N43" s="466"/>
      <c r="O43" s="515">
        <f t="shared" si="2"/>
        <v>-860051</v>
      </c>
      <c r="P43" s="466"/>
      <c r="Q43" s="152" t="s">
        <v>415</v>
      </c>
      <c r="R43" s="466"/>
      <c r="S43" s="515">
        <v>-1630667</v>
      </c>
      <c r="T43" s="466"/>
      <c r="U43" s="994">
        <f t="shared" si="3"/>
        <v>-106014</v>
      </c>
      <c r="V43" s="466"/>
      <c r="W43" s="152" t="s">
        <v>415</v>
      </c>
      <c r="X43" s="466"/>
      <c r="Y43" s="994">
        <v>-1736681</v>
      </c>
      <c r="Z43" s="1234"/>
      <c r="AA43" s="1236">
        <f>AE43-Y43</f>
        <v>-108541</v>
      </c>
      <c r="AB43" s="1234"/>
      <c r="AC43" s="152" t="s">
        <v>415</v>
      </c>
      <c r="AD43" s="1234"/>
      <c r="AE43" s="994">
        <v>-1845222</v>
      </c>
      <c r="AF43" s="1234"/>
      <c r="AG43" s="1236">
        <f>AK43-AE43</f>
        <v>-80353</v>
      </c>
      <c r="AH43" s="1234"/>
      <c r="AI43" s="152" t="s">
        <v>415</v>
      </c>
      <c r="AJ43" s="1234"/>
      <c r="AK43" s="994">
        <v>-1925575</v>
      </c>
      <c r="AL43" s="396"/>
      <c r="AM43" s="454"/>
      <c r="AN43" s="227"/>
      <c r="AO43" s="256"/>
      <c r="AP43" s="227"/>
      <c r="AQ43" s="472"/>
      <c r="AR43" s="466"/>
      <c r="AS43" s="466"/>
      <c r="AT43" s="466"/>
      <c r="AU43" s="466"/>
      <c r="AV43" s="466"/>
      <c r="AW43" s="466"/>
      <c r="AX43" s="466"/>
      <c r="AY43" s="466"/>
      <c r="AZ43" s="466"/>
      <c r="BA43" s="466"/>
      <c r="BB43" s="466"/>
    </row>
    <row r="44" spans="1:54" x14ac:dyDescent="0.25">
      <c r="N44" s="454"/>
      <c r="O44" s="454"/>
      <c r="P44" s="454"/>
      <c r="Q44" s="1244"/>
      <c r="R44" s="466"/>
      <c r="S44" s="466"/>
      <c r="T44" s="466"/>
      <c r="U44" s="466"/>
      <c r="V44" s="466"/>
      <c r="W44" s="1244"/>
      <c r="X44" s="466"/>
      <c r="Y44" s="466"/>
      <c r="Z44" s="466"/>
      <c r="AA44" s="466"/>
      <c r="AB44" s="466"/>
      <c r="AC44" s="466"/>
      <c r="AD44" s="466"/>
      <c r="AE44" s="466"/>
      <c r="AF44" s="466"/>
      <c r="AG44" s="466"/>
      <c r="AH44" s="466"/>
      <c r="AI44" s="466"/>
      <c r="AJ44" s="466"/>
      <c r="AK44" s="466"/>
      <c r="AL44" s="396"/>
      <c r="AM44" s="208"/>
      <c r="AN44" s="227"/>
      <c r="AO44" s="227"/>
      <c r="AP44" s="227"/>
      <c r="AQ44" s="472"/>
      <c r="AR44" s="466"/>
      <c r="AS44" s="466"/>
      <c r="AT44" s="466"/>
      <c r="AU44" s="466"/>
      <c r="AV44" s="466"/>
      <c r="AW44" s="466"/>
      <c r="AX44" s="466"/>
      <c r="AY44" s="466"/>
      <c r="AZ44" s="466"/>
      <c r="BA44" s="466"/>
      <c r="BB44" s="466"/>
    </row>
    <row r="45" spans="1:54" ht="17.25" customHeight="1" thickBot="1" x14ac:dyDescent="0.3">
      <c r="C45" s="993" t="s">
        <v>358</v>
      </c>
      <c r="G45" s="224">
        <f>SUM(G37:G43)</f>
        <v>40748134</v>
      </c>
      <c r="I45" s="224">
        <f>SUM(I37:I43)</f>
        <v>6837917</v>
      </c>
      <c r="K45" s="1244"/>
      <c r="L45" s="466"/>
      <c r="M45" s="224">
        <f>SUM(M37:M43)</f>
        <v>47586051</v>
      </c>
      <c r="O45" s="224">
        <f>SUM(O37:O43)</f>
        <v>2539423</v>
      </c>
      <c r="Q45" s="1244"/>
      <c r="R45" s="454"/>
      <c r="S45" s="224">
        <f>SUM(S37:S43)</f>
        <v>50125474</v>
      </c>
      <c r="T45" s="454"/>
      <c r="U45" s="224">
        <f>SUM(U37:U43)</f>
        <v>3273662</v>
      </c>
      <c r="V45" s="454"/>
      <c r="W45" s="1244"/>
      <c r="X45" s="454"/>
      <c r="Y45" s="224">
        <f>SUM(Y37:Y43)</f>
        <v>53399136</v>
      </c>
      <c r="Z45" s="454"/>
      <c r="AA45" s="224">
        <f>SUM(AA37:AA43)</f>
        <v>3315394</v>
      </c>
      <c r="AB45" s="454"/>
      <c r="AC45" s="454"/>
      <c r="AD45" s="454"/>
      <c r="AE45" s="224">
        <f>SUM(AE37:AE43)</f>
        <v>56714530</v>
      </c>
      <c r="AF45" s="454"/>
      <c r="AG45" s="224">
        <f>SUM(AG37:AG43)</f>
        <v>2443573</v>
      </c>
      <c r="AH45" s="454"/>
      <c r="AI45" s="454"/>
      <c r="AJ45" s="454"/>
      <c r="AK45" s="224">
        <f>SUM(AK37:AK43)</f>
        <v>59158103</v>
      </c>
      <c r="AL45" s="466"/>
      <c r="AM45" s="454"/>
      <c r="AN45" s="227"/>
      <c r="AO45" s="227"/>
      <c r="AP45" s="227"/>
      <c r="AQ45" s="422"/>
      <c r="AR45" s="466"/>
      <c r="AS45" s="466"/>
      <c r="AT45" s="466"/>
      <c r="AU45" s="466"/>
      <c r="AV45" s="466"/>
      <c r="AW45" s="466"/>
      <c r="AX45" s="466"/>
      <c r="AY45" s="466"/>
      <c r="AZ45" s="466"/>
      <c r="BA45" s="466"/>
      <c r="BB45" s="466"/>
    </row>
    <row r="46" spans="1:54" ht="16.5" thickTop="1" x14ac:dyDescent="0.25">
      <c r="A46" s="466"/>
      <c r="B46" s="466"/>
      <c r="C46" s="466"/>
      <c r="D46" s="466"/>
      <c r="E46" s="466"/>
      <c r="F46" s="466"/>
      <c r="G46" s="466"/>
      <c r="H46" s="466"/>
      <c r="I46" s="466"/>
      <c r="J46" s="466"/>
      <c r="K46" s="1249"/>
      <c r="L46" s="466"/>
      <c r="M46" s="454"/>
      <c r="N46" s="466"/>
      <c r="O46" s="466"/>
      <c r="P46" s="466"/>
      <c r="Q46" s="466"/>
      <c r="R46" s="454"/>
      <c r="S46" s="454"/>
      <c r="T46" s="454"/>
      <c r="U46" s="454"/>
      <c r="V46" s="454"/>
      <c r="W46" s="466"/>
      <c r="X46" s="454"/>
      <c r="Y46" s="454"/>
      <c r="Z46" s="454"/>
      <c r="AA46" s="454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66"/>
      <c r="AM46" s="466"/>
      <c r="AN46" s="227"/>
      <c r="AO46" s="227"/>
      <c r="AP46" s="227"/>
      <c r="AQ46" s="466"/>
      <c r="AR46" s="466"/>
      <c r="AS46" s="466"/>
      <c r="AT46" s="466"/>
      <c r="AU46" s="466"/>
      <c r="AV46" s="466"/>
      <c r="AW46" s="466"/>
      <c r="AX46" s="466"/>
      <c r="AY46" s="466"/>
      <c r="AZ46" s="466"/>
      <c r="BA46" s="466"/>
      <c r="BB46" s="466"/>
    </row>
    <row r="47" spans="1:54" ht="16.5" thickBot="1" x14ac:dyDescent="0.3">
      <c r="A47" s="466" t="s">
        <v>417</v>
      </c>
      <c r="B47" s="466"/>
      <c r="C47" s="466"/>
      <c r="D47" s="466"/>
      <c r="E47" s="466"/>
      <c r="F47" s="466"/>
      <c r="G47" s="466"/>
      <c r="H47" s="466"/>
      <c r="I47" s="215">
        <v>7.4999999999999997E-2</v>
      </c>
      <c r="J47" s="466"/>
      <c r="K47" s="206"/>
      <c r="L47" s="454"/>
      <c r="M47" s="466"/>
      <c r="N47" s="454"/>
      <c r="O47" s="215">
        <v>7.0300000000000001E-2</v>
      </c>
      <c r="P47" s="454"/>
      <c r="Q47" s="206"/>
      <c r="R47" s="466"/>
      <c r="S47" s="466"/>
      <c r="T47" s="466"/>
      <c r="U47" s="215">
        <v>6.5299999999999997E-2</v>
      </c>
      <c r="V47" s="466"/>
      <c r="W47" s="206"/>
      <c r="X47" s="466"/>
      <c r="Y47" s="466"/>
      <c r="Z47" s="466"/>
      <c r="AA47" s="215">
        <v>6.2100000000000002E-2</v>
      </c>
      <c r="AB47" s="466"/>
      <c r="AC47" s="466"/>
      <c r="AD47" s="466"/>
      <c r="AE47" s="466"/>
      <c r="AF47" s="466"/>
      <c r="AG47" s="215">
        <v>4.3099999999999999E-2</v>
      </c>
      <c r="AH47" s="466"/>
      <c r="AI47" s="466"/>
      <c r="AJ47" s="466"/>
      <c r="AK47" s="466"/>
      <c r="AL47" s="466"/>
      <c r="AM47" s="466"/>
      <c r="AN47" s="227"/>
      <c r="AO47" s="227"/>
      <c r="AP47" s="227"/>
      <c r="AQ47" s="466"/>
      <c r="AR47" s="466"/>
      <c r="AS47" s="466"/>
      <c r="AT47" s="466"/>
      <c r="AU47" s="466"/>
      <c r="AV47" s="466"/>
      <c r="AW47" s="466"/>
      <c r="AX47" s="466"/>
      <c r="AY47" s="466"/>
      <c r="AZ47" s="466"/>
      <c r="BA47" s="466"/>
      <c r="BB47" s="466"/>
    </row>
    <row r="48" spans="1:54" ht="16.5" thickTop="1" x14ac:dyDescent="0.25">
      <c r="A48" s="466"/>
      <c r="B48" s="466"/>
      <c r="C48" s="466"/>
      <c r="D48" s="466"/>
      <c r="E48" s="466"/>
      <c r="F48" s="466"/>
      <c r="G48" s="466"/>
      <c r="H48" s="466"/>
      <c r="I48" s="422"/>
      <c r="J48" s="466"/>
      <c r="K48" s="206"/>
      <c r="L48" s="454"/>
      <c r="M48" s="466"/>
      <c r="N48" s="454"/>
      <c r="O48" s="422"/>
      <c r="P48" s="454"/>
      <c r="Q48" s="206"/>
      <c r="R48" s="466"/>
      <c r="S48" s="466"/>
      <c r="T48" s="466"/>
      <c r="U48" s="422"/>
      <c r="V48" s="466"/>
      <c r="W48" s="206"/>
      <c r="X48" s="466"/>
      <c r="Y48" s="466"/>
      <c r="Z48" s="466"/>
      <c r="AA48" s="422"/>
      <c r="AB48" s="466"/>
      <c r="AC48" s="466"/>
      <c r="AD48" s="466"/>
      <c r="AE48" s="466"/>
      <c r="AF48" s="466"/>
      <c r="AG48" s="422"/>
      <c r="AH48" s="466"/>
      <c r="AI48" s="466"/>
      <c r="AJ48" s="466"/>
      <c r="AK48" s="466"/>
      <c r="AL48" s="466"/>
      <c r="AM48" s="1276"/>
      <c r="AN48" s="466"/>
      <c r="AO48" s="208"/>
      <c r="AP48" s="466"/>
      <c r="AQ48" s="208"/>
      <c r="AR48" s="466"/>
      <c r="AS48" s="208"/>
      <c r="AT48" s="466"/>
      <c r="AU48" s="208"/>
      <c r="AV48" s="466"/>
      <c r="AW48" s="466"/>
      <c r="AX48" s="466"/>
      <c r="AY48" s="466"/>
      <c r="AZ48" s="466"/>
      <c r="BA48" s="466"/>
      <c r="BB48" s="466"/>
    </row>
    <row r="49" spans="1:54" x14ac:dyDescent="0.25">
      <c r="A49" s="466" t="s">
        <v>433</v>
      </c>
      <c r="B49" s="466"/>
      <c r="C49" s="466"/>
      <c r="D49" s="466"/>
      <c r="E49" s="466"/>
      <c r="F49" s="466"/>
      <c r="G49" s="466"/>
      <c r="H49" s="466"/>
      <c r="J49" s="466"/>
      <c r="K49" s="206"/>
      <c r="L49" s="454"/>
      <c r="M49" s="466"/>
      <c r="N49" s="454"/>
      <c r="P49" s="454"/>
      <c r="Q49" s="206"/>
      <c r="R49" s="466"/>
      <c r="S49" s="466"/>
      <c r="T49" s="466"/>
      <c r="V49" s="466"/>
      <c r="W49" s="206"/>
      <c r="X49" s="466"/>
      <c r="Y49" s="466"/>
      <c r="Z49" s="466"/>
      <c r="AB49" s="466"/>
      <c r="AC49" s="466"/>
      <c r="AD49" s="466"/>
      <c r="AE49" s="466"/>
      <c r="AF49" s="466"/>
      <c r="AH49" s="466"/>
      <c r="AI49" s="466"/>
      <c r="AJ49" s="466"/>
      <c r="AK49" s="466"/>
      <c r="AL49" s="466"/>
      <c r="AM49" s="466"/>
      <c r="AN49" s="227"/>
      <c r="AO49" s="227"/>
      <c r="AP49" s="227"/>
      <c r="AQ49" s="466"/>
      <c r="AR49" s="466"/>
      <c r="AS49" s="466"/>
      <c r="AT49" s="466"/>
      <c r="AU49" s="466"/>
      <c r="AV49" s="466"/>
      <c r="AW49" s="466"/>
      <c r="AX49" s="466"/>
      <c r="AY49" s="466"/>
      <c r="AZ49" s="466"/>
      <c r="BA49" s="466"/>
      <c r="BB49" s="466"/>
    </row>
    <row r="50" spans="1:54" ht="16.5" thickBot="1" x14ac:dyDescent="0.3">
      <c r="B50" s="466" t="s">
        <v>1166</v>
      </c>
      <c r="C50" s="466"/>
      <c r="D50" s="466"/>
      <c r="E50" s="466"/>
      <c r="F50" s="466"/>
      <c r="G50" s="466"/>
      <c r="H50" s="466"/>
      <c r="I50" s="702">
        <f>'Rates I '!P23*5+'Rates I '!P8</f>
        <v>42.96</v>
      </c>
      <c r="J50" s="466"/>
      <c r="K50" s="206"/>
      <c r="L50" s="454"/>
      <c r="M50" s="466"/>
      <c r="N50" s="454"/>
      <c r="O50" s="702">
        <f>ROUND('Rates I '!R8+'Rates I '!R23*5,2)</f>
        <v>45.99</v>
      </c>
      <c r="P50" s="454"/>
      <c r="Q50" s="206"/>
      <c r="R50" s="466"/>
      <c r="S50" s="466"/>
      <c r="T50" s="466"/>
      <c r="U50" s="702">
        <f>ROUND('Rates I '!T8+'Rates I '!T23*5,2)</f>
        <v>49.01</v>
      </c>
      <c r="V50" s="466"/>
      <c r="W50" s="206"/>
      <c r="X50" s="466"/>
      <c r="Y50" s="466"/>
      <c r="Z50" s="466"/>
      <c r="AA50" s="702">
        <f>ROUND('Rates I '!V8+'Rates I '!V23*5,2)</f>
        <v>52.04</v>
      </c>
      <c r="AB50" s="466"/>
      <c r="AC50" s="466"/>
      <c r="AD50" s="466"/>
      <c r="AE50" s="466"/>
      <c r="AF50" s="466"/>
      <c r="AG50" s="702">
        <f>ROUND('Rates I '!X8+'Rates I '!X23*5,2)</f>
        <v>54.29</v>
      </c>
      <c r="AH50" s="466"/>
      <c r="AI50" s="466"/>
      <c r="AJ50" s="466"/>
      <c r="AK50" s="466"/>
      <c r="AL50" s="466"/>
      <c r="AM50" s="717"/>
      <c r="AN50" s="227"/>
      <c r="AO50" s="717"/>
      <c r="AP50" s="227"/>
      <c r="AQ50" s="717"/>
      <c r="AR50" s="466"/>
      <c r="AS50" s="717"/>
      <c r="AT50" s="466"/>
      <c r="AU50" s="717"/>
      <c r="AV50" s="466"/>
      <c r="AW50" s="466"/>
      <c r="AX50" s="466"/>
      <c r="AY50" s="466"/>
      <c r="AZ50" s="466"/>
      <c r="BA50" s="466"/>
      <c r="BB50" s="466"/>
    </row>
    <row r="51" spans="1:54" ht="16.5" thickTop="1" x14ac:dyDescent="0.25">
      <c r="A51" s="466"/>
      <c r="B51" s="466"/>
      <c r="C51" s="466"/>
      <c r="D51" s="466"/>
      <c r="E51" s="466"/>
      <c r="F51" s="466"/>
      <c r="G51" s="466"/>
      <c r="H51" s="466"/>
      <c r="I51" s="466"/>
      <c r="J51" s="466"/>
      <c r="K51" s="206"/>
      <c r="L51" s="454"/>
      <c r="M51" s="466"/>
      <c r="N51" s="454"/>
      <c r="O51" s="454"/>
      <c r="P51" s="454"/>
      <c r="Q51" s="206"/>
      <c r="R51" s="466"/>
      <c r="S51" s="466"/>
      <c r="T51" s="466"/>
      <c r="U51" s="466"/>
      <c r="V51" s="466"/>
      <c r="W51" s="206"/>
      <c r="X51" s="466"/>
      <c r="Y51" s="466"/>
      <c r="Z51" s="466"/>
      <c r="AA51" s="466"/>
      <c r="AB51" s="466"/>
      <c r="AC51" s="466"/>
      <c r="AD51" s="466"/>
      <c r="AE51" s="466"/>
      <c r="AF51" s="466"/>
      <c r="AG51" s="466"/>
      <c r="AH51" s="466"/>
      <c r="AI51" s="466"/>
      <c r="AJ51" s="466"/>
      <c r="AK51" s="466"/>
      <c r="AL51" s="466"/>
      <c r="AM51" s="466"/>
      <c r="AN51" s="466"/>
      <c r="AO51" s="466"/>
      <c r="AP51" s="466"/>
      <c r="AQ51" s="466"/>
      <c r="AR51" s="466"/>
      <c r="AS51" s="466"/>
      <c r="AT51" s="466"/>
      <c r="AU51" s="466"/>
      <c r="AV51" s="466"/>
      <c r="AW51" s="466"/>
      <c r="AX51" s="466"/>
      <c r="AY51" s="466"/>
      <c r="AZ51" s="466"/>
      <c r="BA51" s="466"/>
      <c r="BB51" s="466"/>
    </row>
    <row r="52" spans="1:54" s="466" customFormat="1" ht="18" customHeight="1" x14ac:dyDescent="0.25"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78"/>
      <c r="U52" s="203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M52" s="154"/>
      <c r="AN52" s="227"/>
      <c r="AO52" s="1276"/>
      <c r="AQ52" s="1276"/>
      <c r="AS52" s="1276"/>
    </row>
    <row r="53" spans="1:54" s="466" customFormat="1" ht="18" customHeight="1" x14ac:dyDescent="0.25">
      <c r="B53" s="223"/>
      <c r="C53" s="223"/>
      <c r="D53" s="223"/>
      <c r="E53" s="223"/>
      <c r="F53" s="223"/>
      <c r="G53" s="223"/>
      <c r="H53" s="223"/>
      <c r="I53" s="223"/>
      <c r="J53" s="223"/>
      <c r="K53" s="223"/>
      <c r="L53" s="223"/>
      <c r="M53" s="223"/>
      <c r="N53" s="223"/>
      <c r="O53" s="223"/>
      <c r="P53" s="223"/>
      <c r="Q53" s="223"/>
      <c r="R53" s="223"/>
      <c r="S53" s="223"/>
      <c r="T53" s="278"/>
      <c r="U53" s="203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M53" s="154"/>
      <c r="AN53" s="227"/>
      <c r="AO53" s="1276"/>
      <c r="AQ53" s="1276"/>
      <c r="AS53" s="1276"/>
    </row>
    <row r="54" spans="1:54" s="466" customFormat="1" ht="18" customHeight="1" x14ac:dyDescent="0.25">
      <c r="B54" s="223"/>
      <c r="C54" s="223"/>
      <c r="D54" s="223"/>
      <c r="E54" s="223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78"/>
      <c r="U54" s="203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M54" s="154"/>
      <c r="AN54" s="227"/>
      <c r="AO54" s="1276"/>
      <c r="AQ54" s="1276"/>
      <c r="AS54" s="1276"/>
    </row>
    <row r="55" spans="1:54" s="466" customFormat="1" ht="18" customHeight="1" x14ac:dyDescent="0.25"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78"/>
      <c r="U55" s="203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M55" s="154"/>
      <c r="AN55" s="227"/>
      <c r="AO55" s="1249"/>
      <c r="AQ55" s="1249"/>
      <c r="AS55" s="1249"/>
      <c r="AU55" s="993"/>
    </row>
    <row r="56" spans="1:54" s="466" customFormat="1" ht="18" customHeight="1" x14ac:dyDescent="0.25"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3"/>
      <c r="Q56" s="223"/>
      <c r="R56" s="223"/>
      <c r="S56" s="223"/>
      <c r="T56" s="278"/>
      <c r="U56" s="203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M56" s="154"/>
      <c r="AN56" s="227"/>
      <c r="AO56" s="1249"/>
      <c r="AQ56" s="1249"/>
      <c r="AS56" s="1249"/>
      <c r="AU56" s="993"/>
    </row>
    <row r="57" spans="1:54" s="466" customFormat="1" ht="18" customHeight="1" x14ac:dyDescent="0.25">
      <c r="B57" s="223"/>
      <c r="C57" s="223"/>
      <c r="D57" s="223"/>
      <c r="E57" s="223"/>
      <c r="F57" s="223"/>
      <c r="G57" s="223"/>
      <c r="H57" s="223"/>
      <c r="I57" s="223"/>
      <c r="J57" s="223"/>
      <c r="K57" s="223"/>
      <c r="L57" s="223"/>
      <c r="M57" s="223"/>
      <c r="N57" s="223"/>
      <c r="O57" s="223"/>
      <c r="P57" s="223"/>
      <c r="Q57" s="223"/>
      <c r="R57" s="223"/>
      <c r="S57" s="223"/>
      <c r="T57" s="278"/>
      <c r="U57" s="203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M57" s="154"/>
      <c r="AN57" s="227"/>
      <c r="AO57" s="1249"/>
      <c r="AQ57" s="1249"/>
      <c r="AS57" s="1249"/>
      <c r="AU57" s="993"/>
    </row>
    <row r="58" spans="1:54" s="466" customFormat="1" ht="18" customHeight="1" x14ac:dyDescent="0.25">
      <c r="B58" s="223"/>
      <c r="C58" s="223"/>
      <c r="D58" s="223"/>
      <c r="E58" s="223"/>
      <c r="F58" s="223"/>
      <c r="G58" s="223"/>
      <c r="H58" s="223"/>
      <c r="I58" s="223"/>
      <c r="J58" s="223"/>
      <c r="K58" s="223"/>
      <c r="L58" s="223"/>
      <c r="M58" s="223"/>
      <c r="N58" s="223"/>
      <c r="O58" s="223"/>
      <c r="P58" s="223"/>
      <c r="Q58" s="223"/>
      <c r="R58" s="223"/>
      <c r="S58" s="223"/>
      <c r="T58" s="278"/>
      <c r="U58" s="203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M58" s="154"/>
      <c r="AN58" s="227"/>
      <c r="AO58" s="1249"/>
      <c r="AQ58" s="1249"/>
      <c r="AS58" s="1249"/>
      <c r="AU58" s="993"/>
    </row>
    <row r="59" spans="1:54" s="466" customFormat="1" ht="18" customHeight="1" x14ac:dyDescent="0.25">
      <c r="B59" s="223"/>
      <c r="C59" s="223"/>
      <c r="D59" s="223"/>
      <c r="E59" s="223"/>
      <c r="F59" s="223"/>
      <c r="G59" s="223"/>
      <c r="H59" s="223"/>
      <c r="I59" s="223"/>
      <c r="J59" s="223"/>
      <c r="K59" s="223"/>
      <c r="L59" s="223"/>
      <c r="M59" s="223"/>
      <c r="N59" s="223"/>
      <c r="O59" s="223"/>
      <c r="P59" s="223"/>
      <c r="Q59" s="223"/>
      <c r="R59" s="223"/>
      <c r="S59" s="223"/>
      <c r="T59" s="278"/>
      <c r="U59" s="203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M59" s="154"/>
      <c r="AN59" s="227"/>
      <c r="AO59" s="1249"/>
      <c r="AQ59" s="1249"/>
      <c r="AS59" s="1249"/>
      <c r="AU59" s="993"/>
    </row>
    <row r="60" spans="1:54" s="466" customFormat="1" ht="18" customHeight="1" x14ac:dyDescent="0.25">
      <c r="B60" s="223"/>
      <c r="C60" s="223"/>
      <c r="D60" s="223"/>
      <c r="E60" s="223"/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78"/>
      <c r="U60" s="203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M60" s="154"/>
      <c r="AN60" s="227"/>
      <c r="AO60" s="1249"/>
      <c r="AQ60" s="1249"/>
      <c r="AS60" s="1249"/>
      <c r="AU60" s="993"/>
    </row>
    <row r="61" spans="1:54" s="466" customFormat="1" ht="18" customHeight="1" x14ac:dyDescent="0.25">
      <c r="B61" s="223"/>
      <c r="C61" s="223"/>
      <c r="D61" s="223"/>
      <c r="E61" s="223"/>
      <c r="F61" s="223"/>
      <c r="G61" s="223"/>
      <c r="H61" s="223"/>
      <c r="I61" s="223"/>
      <c r="J61" s="223"/>
      <c r="K61" s="223"/>
      <c r="L61" s="223"/>
      <c r="M61" s="223"/>
      <c r="N61" s="223"/>
      <c r="O61" s="223"/>
      <c r="P61" s="223"/>
      <c r="Q61" s="223"/>
      <c r="R61" s="223"/>
      <c r="S61" s="223"/>
      <c r="T61" s="278"/>
      <c r="U61" s="203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M61" s="154"/>
      <c r="AN61" s="227"/>
      <c r="AO61" s="1249"/>
      <c r="AQ61" s="1249"/>
      <c r="AS61" s="1249"/>
      <c r="AU61" s="993"/>
    </row>
    <row r="62" spans="1:54" s="466" customFormat="1" ht="18" customHeight="1" x14ac:dyDescent="0.25">
      <c r="B62" s="223"/>
      <c r="C62" s="223"/>
      <c r="D62" s="223"/>
      <c r="E62" s="223"/>
      <c r="F62" s="223"/>
      <c r="G62" s="223"/>
      <c r="H62" s="223"/>
      <c r="I62" s="223"/>
      <c r="J62" s="223"/>
      <c r="K62" s="223"/>
      <c r="L62" s="223"/>
      <c r="M62" s="223"/>
      <c r="N62" s="223"/>
      <c r="O62" s="223"/>
      <c r="P62" s="223"/>
      <c r="Q62" s="223"/>
      <c r="R62" s="223"/>
      <c r="S62" s="223"/>
      <c r="T62" s="278"/>
      <c r="U62" s="203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M62" s="154"/>
      <c r="AN62" s="227"/>
      <c r="AO62" s="1249"/>
      <c r="AQ62" s="1249"/>
      <c r="AS62" s="1249"/>
      <c r="AU62" s="993"/>
    </row>
    <row r="63" spans="1:54" s="466" customFormat="1" ht="18" customHeight="1" x14ac:dyDescent="0.25">
      <c r="B63" s="223"/>
      <c r="C63" s="223"/>
      <c r="D63" s="223"/>
      <c r="E63" s="223"/>
      <c r="F63" s="223"/>
      <c r="G63" s="223"/>
      <c r="H63" s="223"/>
      <c r="I63" s="223"/>
      <c r="J63" s="223"/>
      <c r="K63" s="223"/>
      <c r="L63" s="223"/>
      <c r="M63" s="223"/>
      <c r="N63" s="223"/>
      <c r="O63" s="223"/>
      <c r="P63" s="223"/>
      <c r="Q63" s="223"/>
      <c r="R63" s="223"/>
      <c r="S63" s="223"/>
      <c r="T63" s="278"/>
      <c r="U63" s="203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M63" s="154"/>
      <c r="AN63" s="227"/>
      <c r="AO63" s="1249"/>
      <c r="AQ63" s="1249"/>
      <c r="AS63" s="1249"/>
      <c r="AU63" s="993"/>
    </row>
    <row r="64" spans="1:54" s="466" customFormat="1" ht="18" customHeight="1" x14ac:dyDescent="0.25">
      <c r="B64" s="223"/>
      <c r="C64" s="223"/>
      <c r="D64" s="223"/>
      <c r="E64" s="223"/>
      <c r="F64" s="223"/>
      <c r="G64" s="223"/>
      <c r="H64" s="223"/>
      <c r="I64" s="223"/>
      <c r="J64" s="223"/>
      <c r="K64" s="223"/>
      <c r="L64" s="223"/>
      <c r="M64" s="223"/>
      <c r="N64" s="223"/>
      <c r="O64" s="223"/>
      <c r="P64" s="223"/>
      <c r="Q64" s="223"/>
      <c r="R64" s="223"/>
      <c r="S64" s="223"/>
      <c r="T64" s="278"/>
      <c r="U64" s="203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M64" s="154"/>
      <c r="AN64" s="227"/>
      <c r="AO64" s="1249"/>
      <c r="AQ64" s="1249"/>
      <c r="AS64" s="1249"/>
      <c r="AU64" s="993"/>
    </row>
    <row r="65" spans="1:47" s="466" customFormat="1" ht="18" customHeight="1" x14ac:dyDescent="0.25">
      <c r="B65" s="223"/>
      <c r="C65" s="223"/>
      <c r="D65" s="223"/>
      <c r="E65" s="223"/>
      <c r="F65" s="223"/>
      <c r="G65" s="223"/>
      <c r="H65" s="223"/>
      <c r="I65" s="223"/>
      <c r="J65" s="223"/>
      <c r="K65" s="223"/>
      <c r="L65" s="223"/>
      <c r="M65" s="223"/>
      <c r="N65" s="223"/>
      <c r="O65" s="223"/>
      <c r="P65" s="223"/>
      <c r="Q65" s="223"/>
      <c r="R65" s="223"/>
      <c r="S65" s="223"/>
      <c r="T65" s="278"/>
      <c r="U65" s="203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M65" s="154"/>
      <c r="AN65" s="227"/>
      <c r="AO65" s="1249"/>
      <c r="AQ65" s="1249"/>
      <c r="AS65" s="1249"/>
      <c r="AU65" s="993"/>
    </row>
    <row r="66" spans="1:47" x14ac:dyDescent="0.25">
      <c r="A66" s="278" t="s">
        <v>16</v>
      </c>
      <c r="B66" s="313"/>
      <c r="C66" s="313"/>
      <c r="D66" s="313"/>
      <c r="E66" s="313"/>
      <c r="F66" s="313"/>
      <c r="G66" s="313"/>
      <c r="H66" s="313"/>
      <c r="I66" s="313"/>
      <c r="J66" s="313"/>
      <c r="K66" s="313"/>
      <c r="L66" s="313"/>
      <c r="M66" s="313"/>
      <c r="N66" s="313"/>
      <c r="O66" s="313"/>
      <c r="P66" s="313"/>
      <c r="Q66" s="313"/>
      <c r="R66" s="313"/>
      <c r="S66" s="313"/>
      <c r="T66" s="278"/>
      <c r="U66" s="203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M66" s="466"/>
      <c r="AN66" s="227"/>
      <c r="AO66" s="466"/>
      <c r="AP66" s="466"/>
      <c r="AQ66" s="466"/>
      <c r="AR66" s="466"/>
      <c r="AS66" s="1249"/>
      <c r="AT66" s="466"/>
    </row>
    <row r="67" spans="1:47" x14ac:dyDescent="0.25">
      <c r="B67" s="313"/>
      <c r="C67" s="313"/>
      <c r="D67" s="313"/>
      <c r="E67" s="313"/>
      <c r="F67" s="313"/>
      <c r="G67" s="313"/>
      <c r="H67" s="313"/>
      <c r="I67" s="313"/>
      <c r="J67" s="313"/>
      <c r="K67" s="313"/>
      <c r="L67" s="313"/>
      <c r="M67" s="313"/>
      <c r="N67" s="313"/>
      <c r="O67" s="313"/>
      <c r="P67" s="313"/>
      <c r="Q67" s="313"/>
      <c r="R67" s="313"/>
      <c r="S67" s="313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M67" s="466"/>
      <c r="AN67" s="227"/>
      <c r="AO67" s="363"/>
      <c r="AP67" s="466"/>
      <c r="AQ67" s="447"/>
      <c r="AR67" s="466"/>
      <c r="AS67" s="1249"/>
      <c r="AT67" s="466"/>
    </row>
    <row r="68" spans="1:47" x14ac:dyDescent="0.25">
      <c r="A68" s="313" t="str">
        <f>INFO!A26</f>
        <v>(See Accountants' Report)</v>
      </c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M68" s="466"/>
      <c r="AN68" s="227"/>
      <c r="AO68" s="363"/>
      <c r="AP68" s="466"/>
      <c r="AQ68" s="447"/>
      <c r="AR68" s="466"/>
      <c r="AS68" s="1249"/>
      <c r="AT68" s="466"/>
    </row>
    <row r="69" spans="1:47" x14ac:dyDescent="0.25">
      <c r="A69" s="278"/>
      <c r="B69" s="278"/>
      <c r="C69" s="278"/>
      <c r="D69" s="278"/>
      <c r="E69" s="278"/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M69" s="466"/>
      <c r="AN69" s="227"/>
      <c r="AO69" s="363"/>
      <c r="AP69" s="466"/>
      <c r="AQ69" s="447"/>
      <c r="AR69" s="466"/>
      <c r="AS69" s="1249"/>
      <c r="AT69" s="466"/>
    </row>
    <row r="70" spans="1:47" x14ac:dyDescent="0.25">
      <c r="A70" s="78">
        <f>'Norm Adj'!A427+1</f>
        <v>26</v>
      </c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M70" s="227"/>
      <c r="AN70" s="227"/>
      <c r="AO70" s="227"/>
      <c r="AP70" s="227"/>
      <c r="AQ70" s="227"/>
      <c r="AR70" s="227"/>
      <c r="AS70" s="227"/>
      <c r="AT70" s="227"/>
    </row>
    <row r="71" spans="1:47" x14ac:dyDescent="0.25">
      <c r="A71" s="706"/>
      <c r="B71" s="706"/>
      <c r="C71" s="706"/>
      <c r="D71" s="706"/>
      <c r="E71" s="706"/>
      <c r="F71" s="706"/>
      <c r="G71" s="706"/>
      <c r="H71" s="706"/>
      <c r="I71" s="706"/>
      <c r="J71" s="706"/>
      <c r="K71" s="706"/>
      <c r="L71" s="706"/>
      <c r="M71" s="594"/>
      <c r="N71" s="706"/>
      <c r="O71" s="706"/>
      <c r="P71" s="706"/>
      <c r="Q71" s="706"/>
      <c r="R71" s="706"/>
      <c r="S71" s="594"/>
      <c r="T71" s="706"/>
      <c r="U71" s="706"/>
      <c r="V71" s="706"/>
      <c r="W71" s="706"/>
      <c r="X71" s="706"/>
      <c r="Y71" s="594"/>
      <c r="Z71" s="594"/>
      <c r="AA71" s="594"/>
      <c r="AB71" s="594"/>
      <c r="AC71" s="594"/>
      <c r="AD71" s="594"/>
      <c r="AE71" s="594"/>
      <c r="AF71" s="594"/>
      <c r="AG71" s="594"/>
      <c r="AH71" s="594"/>
      <c r="AI71" s="594"/>
      <c r="AJ71" s="594"/>
      <c r="AK71" s="594"/>
      <c r="AL71" s="200"/>
      <c r="AM71" s="316"/>
      <c r="AN71" s="227"/>
      <c r="AO71" s="227"/>
      <c r="AP71" s="227"/>
      <c r="AQ71" s="227"/>
      <c r="AR71" s="227"/>
      <c r="AS71" s="227"/>
      <c r="AT71" s="227"/>
    </row>
    <row r="72" spans="1:47" x14ac:dyDescent="0.25">
      <c r="A72" s="706"/>
      <c r="B72" s="706"/>
      <c r="C72" s="706"/>
      <c r="D72" s="706"/>
      <c r="E72" s="706"/>
      <c r="F72" s="706"/>
      <c r="G72" s="706"/>
      <c r="H72" s="706"/>
      <c r="I72" s="706"/>
      <c r="J72" s="706"/>
      <c r="K72" s="706"/>
      <c r="L72" s="706"/>
      <c r="M72" s="201"/>
      <c r="N72" s="201"/>
      <c r="O72" s="201"/>
      <c r="P72" s="201"/>
      <c r="Q72" s="201"/>
      <c r="R72" s="1259"/>
      <c r="S72" s="1259"/>
      <c r="T72" s="1259"/>
      <c r="U72" s="1259"/>
      <c r="V72" s="1259"/>
      <c r="W72" s="1259"/>
      <c r="X72" s="1259"/>
      <c r="Y72" s="1259"/>
      <c r="Z72" s="1259"/>
      <c r="AA72" s="1259"/>
      <c r="AB72" s="1259"/>
      <c r="AC72" s="1259"/>
      <c r="AD72" s="1259"/>
      <c r="AE72" s="1259"/>
      <c r="AF72" s="1259"/>
      <c r="AG72" s="1259"/>
      <c r="AH72" s="1259"/>
      <c r="AI72" s="1259"/>
      <c r="AJ72" s="1259"/>
      <c r="AK72" s="1259"/>
      <c r="AL72" s="201"/>
      <c r="AM72" s="201"/>
      <c r="AN72" s="227"/>
      <c r="AO72" s="363"/>
      <c r="AP72" s="466"/>
      <c r="AQ72" s="363"/>
      <c r="AR72" s="466"/>
      <c r="AS72" s="1249"/>
      <c r="AT72" s="466"/>
    </row>
    <row r="73" spans="1:47" x14ac:dyDescent="0.25">
      <c r="A73" s="316"/>
      <c r="B73" s="706"/>
      <c r="C73" s="706"/>
      <c r="D73" s="706"/>
      <c r="E73" s="706"/>
      <c r="F73" s="706"/>
      <c r="G73" s="706"/>
      <c r="H73" s="706"/>
      <c r="I73" s="209"/>
      <c r="J73" s="706"/>
      <c r="K73" s="706"/>
      <c r="L73" s="706"/>
      <c r="M73" s="466"/>
      <c r="N73" s="466"/>
      <c r="O73" s="209"/>
      <c r="P73" s="706"/>
      <c r="Q73" s="466"/>
      <c r="R73" s="706"/>
      <c r="S73" s="706"/>
      <c r="T73" s="706"/>
      <c r="U73" s="209"/>
      <c r="V73" s="706"/>
      <c r="W73" s="706"/>
      <c r="X73" s="706"/>
      <c r="Y73" s="706"/>
      <c r="Z73" s="706"/>
      <c r="AA73" s="209"/>
      <c r="AB73" s="706"/>
      <c r="AC73" s="706"/>
      <c r="AD73" s="706"/>
      <c r="AE73" s="706"/>
      <c r="AF73" s="706"/>
      <c r="AG73" s="209"/>
      <c r="AH73" s="706"/>
      <c r="AI73" s="706"/>
      <c r="AJ73" s="706"/>
      <c r="AK73" s="706"/>
      <c r="AL73" s="201"/>
      <c r="AM73" s="201"/>
      <c r="AN73" s="466"/>
      <c r="AO73" s="466"/>
      <c r="AP73" s="466"/>
      <c r="AQ73" s="466"/>
      <c r="AR73" s="466"/>
      <c r="AS73" s="466"/>
      <c r="AT73" s="466"/>
    </row>
    <row r="74" spans="1:47" x14ac:dyDescent="0.25">
      <c r="A74" s="707"/>
      <c r="B74" s="706"/>
      <c r="C74" s="706"/>
      <c r="D74" s="706"/>
      <c r="E74" s="706"/>
      <c r="F74" s="706"/>
      <c r="G74" s="706"/>
      <c r="H74" s="706"/>
      <c r="I74" s="706"/>
      <c r="J74" s="706"/>
      <c r="K74" s="706"/>
      <c r="L74" s="706"/>
      <c r="M74" s="466"/>
      <c r="N74" s="466"/>
      <c r="O74" s="706"/>
      <c r="P74" s="706"/>
      <c r="Q74" s="466"/>
      <c r="R74" s="706"/>
      <c r="S74" s="706"/>
      <c r="T74" s="706"/>
      <c r="U74" s="706"/>
      <c r="V74" s="706"/>
      <c r="W74" s="706"/>
      <c r="X74" s="706"/>
      <c r="Y74" s="706"/>
      <c r="Z74" s="706"/>
      <c r="AA74" s="706"/>
      <c r="AB74" s="706"/>
      <c r="AC74" s="706"/>
      <c r="AD74" s="706"/>
      <c r="AE74" s="706"/>
      <c r="AF74" s="706"/>
      <c r="AG74" s="706"/>
      <c r="AH74" s="706"/>
      <c r="AI74" s="706"/>
      <c r="AJ74" s="706"/>
      <c r="AK74" s="706"/>
      <c r="AL74" s="201"/>
      <c r="AM74" s="201"/>
      <c r="AN74" s="466"/>
      <c r="AO74" s="466"/>
      <c r="AP74" s="466"/>
      <c r="AQ74" s="454"/>
      <c r="AR74" s="466"/>
      <c r="AS74" s="466"/>
      <c r="AT74" s="466"/>
    </row>
    <row r="75" spans="1:47" x14ac:dyDescent="0.25">
      <c r="A75" s="466"/>
      <c r="B75" s="706"/>
      <c r="C75" s="706"/>
      <c r="D75" s="706"/>
      <c r="E75" s="706"/>
      <c r="F75" s="706"/>
      <c r="G75" s="706"/>
      <c r="H75" s="706"/>
      <c r="I75" s="1260"/>
      <c r="J75" s="706"/>
      <c r="K75" s="706"/>
      <c r="L75" s="706"/>
      <c r="M75" s="466"/>
      <c r="N75" s="466"/>
      <c r="O75" s="1260"/>
      <c r="P75" s="706"/>
      <c r="Q75" s="466"/>
      <c r="R75" s="706"/>
      <c r="S75" s="706"/>
      <c r="T75" s="706"/>
      <c r="U75" s="1260"/>
      <c r="V75" s="706"/>
      <c r="W75" s="706"/>
      <c r="X75" s="706"/>
      <c r="Y75" s="706"/>
      <c r="Z75" s="706"/>
      <c r="AA75" s="1260"/>
      <c r="AB75" s="706"/>
      <c r="AC75" s="706"/>
      <c r="AD75" s="706"/>
      <c r="AE75" s="706"/>
      <c r="AF75" s="706"/>
      <c r="AG75" s="1260"/>
      <c r="AH75" s="706"/>
      <c r="AI75" s="706"/>
      <c r="AJ75" s="706"/>
      <c r="AK75" s="706"/>
      <c r="AL75" s="201"/>
      <c r="AM75" s="201"/>
      <c r="AN75" s="466"/>
      <c r="AO75" s="466"/>
      <c r="AP75" s="466"/>
      <c r="AQ75" s="466"/>
      <c r="AR75" s="466"/>
      <c r="AS75" s="466"/>
      <c r="AT75" s="466"/>
    </row>
    <row r="76" spans="1:47" x14ac:dyDescent="0.25">
      <c r="A76" s="466"/>
      <c r="B76" s="706"/>
      <c r="C76" s="706"/>
      <c r="D76" s="706"/>
      <c r="E76" s="706"/>
      <c r="F76" s="706"/>
      <c r="G76" s="706"/>
      <c r="H76" s="706"/>
      <c r="I76" s="1260"/>
      <c r="J76" s="706"/>
      <c r="K76" s="706"/>
      <c r="L76" s="706"/>
      <c r="M76" s="466"/>
      <c r="N76" s="466"/>
      <c r="O76" s="1260"/>
      <c r="P76" s="706"/>
      <c r="Q76" s="466"/>
      <c r="R76" s="706"/>
      <c r="S76" s="706"/>
      <c r="T76" s="706"/>
      <c r="U76" s="1260"/>
      <c r="V76" s="706"/>
      <c r="W76" s="706"/>
      <c r="X76" s="706"/>
      <c r="Y76" s="706"/>
      <c r="Z76" s="706"/>
      <c r="AA76" s="706"/>
      <c r="AB76" s="706"/>
      <c r="AC76" s="706"/>
      <c r="AD76" s="706"/>
      <c r="AE76" s="706"/>
      <c r="AF76" s="706"/>
      <c r="AG76" s="706"/>
      <c r="AH76" s="706"/>
      <c r="AI76" s="706"/>
      <c r="AJ76" s="706"/>
      <c r="AK76" s="706"/>
      <c r="AL76" s="201"/>
      <c r="AM76" s="201"/>
      <c r="AN76" s="466"/>
      <c r="AO76" s="466"/>
      <c r="AP76" s="466"/>
      <c r="AQ76" s="466"/>
      <c r="AR76" s="466"/>
      <c r="AS76" s="466"/>
      <c r="AT76" s="466"/>
    </row>
    <row r="77" spans="1:47" x14ac:dyDescent="0.25">
      <c r="A77" s="201"/>
      <c r="B77" s="201"/>
      <c r="C77" s="201"/>
      <c r="D77" s="201"/>
      <c r="E77" s="201"/>
      <c r="F77" s="201"/>
      <c r="G77" s="201"/>
      <c r="H77" s="201"/>
      <c r="I77" s="169"/>
      <c r="J77" s="201"/>
      <c r="K77" s="201"/>
      <c r="L77" s="201"/>
      <c r="M77" s="201"/>
      <c r="N77" s="201"/>
      <c r="O77" s="169"/>
      <c r="P77" s="201"/>
      <c r="Q77" s="201"/>
      <c r="R77" s="201"/>
      <c r="S77" s="201"/>
      <c r="T77" s="201"/>
      <c r="U77" s="169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466"/>
      <c r="AO77" s="466"/>
      <c r="AP77" s="466"/>
      <c r="AQ77" s="466"/>
      <c r="AR77" s="466"/>
      <c r="AS77" s="466"/>
      <c r="AT77" s="466"/>
    </row>
    <row r="78" spans="1:47" x14ac:dyDescent="0.25">
      <c r="A78" s="466"/>
      <c r="B78" s="466"/>
      <c r="C78" s="466"/>
      <c r="D78" s="466"/>
      <c r="E78" s="466"/>
      <c r="F78" s="466"/>
      <c r="G78" s="466"/>
      <c r="H78" s="466"/>
      <c r="I78" s="466"/>
      <c r="J78" s="466"/>
      <c r="K78" s="1249"/>
      <c r="L78" s="466"/>
      <c r="M78" s="454"/>
      <c r="N78" s="466"/>
      <c r="O78" s="466"/>
      <c r="P78" s="466"/>
      <c r="Q78" s="466"/>
      <c r="R78" s="454"/>
      <c r="S78" s="454"/>
      <c r="T78" s="454"/>
      <c r="U78" s="454"/>
      <c r="V78" s="454"/>
      <c r="W78" s="466"/>
      <c r="X78" s="454"/>
      <c r="Y78" s="454"/>
      <c r="Z78" s="454"/>
      <c r="AA78" s="454"/>
      <c r="AB78" s="454"/>
      <c r="AC78" s="454"/>
      <c r="AD78" s="454"/>
      <c r="AE78" s="454"/>
      <c r="AF78" s="454"/>
      <c r="AG78" s="454"/>
      <c r="AH78" s="454"/>
      <c r="AI78" s="454"/>
      <c r="AJ78" s="454"/>
      <c r="AK78" s="454"/>
      <c r="AL78" s="201"/>
      <c r="AM78" s="201"/>
      <c r="AN78" s="466"/>
      <c r="AO78" s="466"/>
      <c r="AP78" s="466"/>
      <c r="AQ78" s="466"/>
      <c r="AR78" s="466"/>
      <c r="AS78" s="466"/>
      <c r="AT78" s="466"/>
    </row>
    <row r="79" spans="1:47" x14ac:dyDescent="0.25">
      <c r="A79" s="466"/>
      <c r="B79" s="466"/>
      <c r="C79" s="466"/>
      <c r="D79" s="466"/>
      <c r="E79" s="466"/>
      <c r="F79" s="466"/>
      <c r="G79" s="466"/>
      <c r="H79" s="466"/>
      <c r="I79" s="466"/>
      <c r="J79" s="466"/>
      <c r="K79" s="1249"/>
      <c r="L79" s="466"/>
      <c r="M79" s="454"/>
      <c r="N79" s="466"/>
      <c r="O79" s="466"/>
      <c r="P79" s="466"/>
      <c r="Q79" s="466"/>
      <c r="R79" s="454"/>
      <c r="S79" s="454"/>
      <c r="T79" s="454"/>
      <c r="U79" s="454"/>
      <c r="V79" s="454"/>
      <c r="W79" s="466"/>
      <c r="X79" s="454"/>
      <c r="Y79" s="454"/>
      <c r="Z79" s="454"/>
      <c r="AA79" s="454"/>
      <c r="AB79" s="454"/>
      <c r="AC79" s="454"/>
      <c r="AD79" s="454"/>
      <c r="AE79" s="454"/>
      <c r="AF79" s="454"/>
      <c r="AG79" s="454"/>
      <c r="AH79" s="454"/>
      <c r="AI79" s="454"/>
      <c r="AJ79" s="454"/>
      <c r="AK79" s="454"/>
      <c r="AL79" s="201"/>
      <c r="AM79" s="201"/>
      <c r="AN79" s="466"/>
      <c r="AO79" s="466"/>
      <c r="AP79" s="466"/>
      <c r="AQ79" s="466"/>
      <c r="AR79" s="466"/>
      <c r="AS79" s="466"/>
      <c r="AT79" s="466"/>
    </row>
    <row r="80" spans="1:47" x14ac:dyDescent="0.25">
      <c r="A80" s="201"/>
      <c r="B80" s="201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466"/>
      <c r="AO80" s="466"/>
      <c r="AP80" s="466"/>
      <c r="AQ80" s="466"/>
      <c r="AR80" s="466"/>
      <c r="AS80" s="466"/>
      <c r="AT80" s="466"/>
    </row>
    <row r="81" spans="1:46" x14ac:dyDescent="0.25">
      <c r="A81" s="779"/>
      <c r="B81" s="201"/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466"/>
      <c r="AO81" s="466"/>
      <c r="AP81" s="466"/>
      <c r="AQ81" s="466"/>
      <c r="AR81" s="466"/>
      <c r="AS81" s="466"/>
      <c r="AT81" s="466"/>
    </row>
    <row r="82" spans="1:46" x14ac:dyDescent="0.25">
      <c r="A82" s="1249"/>
      <c r="B82" s="466"/>
      <c r="C82" s="466"/>
      <c r="D82" s="466"/>
      <c r="E82" s="466"/>
      <c r="F82" s="466"/>
      <c r="G82" s="466"/>
      <c r="H82" s="466"/>
      <c r="I82" s="466"/>
      <c r="J82" s="466"/>
      <c r="K82" s="466"/>
      <c r="L82" s="466"/>
      <c r="M82" s="466"/>
      <c r="N82" s="466"/>
      <c r="O82" s="466"/>
      <c r="P82" s="466"/>
      <c r="Q82" s="466"/>
      <c r="R82" s="466"/>
      <c r="S82" s="466"/>
      <c r="T82" s="466"/>
      <c r="U82" s="223"/>
      <c r="V82" s="223"/>
      <c r="W82" s="223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466"/>
      <c r="AM82" s="466"/>
      <c r="AN82" s="466"/>
      <c r="AO82" s="466"/>
      <c r="AP82" s="466"/>
      <c r="AQ82" s="466"/>
      <c r="AR82" s="466"/>
      <c r="AS82" s="466"/>
      <c r="AT82" s="466"/>
    </row>
    <row r="83" spans="1:46" x14ac:dyDescent="0.25">
      <c r="A83" s="1249"/>
      <c r="B83" s="466"/>
      <c r="C83" s="466"/>
      <c r="D83" s="466"/>
      <c r="E83" s="466"/>
      <c r="F83" s="466"/>
      <c r="G83" s="466"/>
      <c r="H83" s="466"/>
      <c r="I83" s="466"/>
      <c r="J83" s="466"/>
      <c r="K83" s="466"/>
      <c r="L83" s="466"/>
      <c r="M83" s="466"/>
      <c r="N83" s="466"/>
      <c r="O83" s="466"/>
      <c r="P83" s="466"/>
      <c r="Q83" s="466"/>
      <c r="R83" s="466"/>
      <c r="S83" s="466"/>
      <c r="T83" s="466"/>
      <c r="U83" s="208"/>
      <c r="V83" s="208"/>
      <c r="W83" s="208"/>
      <c r="X83" s="466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466"/>
      <c r="AM83" s="466"/>
      <c r="AN83" s="466"/>
      <c r="AO83" s="466"/>
      <c r="AP83" s="466"/>
      <c r="AQ83" s="466"/>
      <c r="AR83" s="466"/>
      <c r="AS83" s="466"/>
      <c r="AT83" s="466"/>
    </row>
    <row r="84" spans="1:46" x14ac:dyDescent="0.25">
      <c r="A84" s="1249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466"/>
      <c r="AL84" s="466"/>
      <c r="AM84" s="466"/>
      <c r="AN84" s="466"/>
      <c r="AO84" s="466"/>
      <c r="AP84" s="466"/>
      <c r="AQ84" s="466"/>
      <c r="AR84" s="466"/>
      <c r="AS84" s="466"/>
      <c r="AT84" s="466"/>
    </row>
    <row r="85" spans="1:46" x14ac:dyDescent="0.25">
      <c r="A85" s="1249"/>
      <c r="B85" s="466"/>
      <c r="C85" s="466"/>
      <c r="D85" s="466"/>
      <c r="E85" s="466"/>
      <c r="F85" s="466"/>
      <c r="G85" s="466"/>
      <c r="H85" s="466"/>
      <c r="I85" s="466"/>
      <c r="J85" s="466"/>
      <c r="K85" s="466"/>
      <c r="L85" s="466"/>
      <c r="M85" s="466"/>
      <c r="N85" s="466"/>
      <c r="O85" s="466"/>
      <c r="P85" s="466"/>
      <c r="Q85" s="466"/>
      <c r="R85" s="466"/>
      <c r="S85" s="466"/>
      <c r="T85" s="466"/>
      <c r="U85" s="454"/>
      <c r="V85" s="454"/>
      <c r="W85" s="454"/>
      <c r="X85" s="466"/>
      <c r="Y85" s="454"/>
      <c r="Z85" s="454"/>
      <c r="AA85" s="454"/>
      <c r="AB85" s="454"/>
      <c r="AC85" s="454"/>
      <c r="AD85" s="454"/>
      <c r="AE85" s="454"/>
      <c r="AF85" s="454"/>
      <c r="AG85" s="454"/>
      <c r="AH85" s="454"/>
      <c r="AI85" s="454"/>
      <c r="AJ85" s="454"/>
      <c r="AK85" s="454"/>
      <c r="AL85" s="466"/>
      <c r="AM85" s="466"/>
      <c r="AN85" s="466"/>
      <c r="AO85" s="466"/>
      <c r="AP85" s="466"/>
      <c r="AQ85" s="466"/>
      <c r="AR85" s="466"/>
      <c r="AS85" s="466"/>
      <c r="AT85" s="466"/>
    </row>
    <row r="86" spans="1:46" x14ac:dyDescent="0.25">
      <c r="A86" s="1249"/>
      <c r="B86" s="466"/>
      <c r="C86" s="466"/>
      <c r="D86" s="466"/>
      <c r="E86" s="466"/>
      <c r="F86" s="466"/>
      <c r="G86" s="466"/>
      <c r="H86" s="466"/>
      <c r="I86" s="466"/>
      <c r="J86" s="466"/>
      <c r="K86" s="466"/>
      <c r="L86" s="466"/>
      <c r="M86" s="466"/>
      <c r="N86" s="466"/>
      <c r="O86" s="466"/>
      <c r="P86" s="466"/>
      <c r="Q86" s="466"/>
      <c r="R86" s="466"/>
      <c r="S86" s="466"/>
      <c r="T86" s="466"/>
      <c r="U86" s="210"/>
      <c r="V86" s="210"/>
      <c r="W86" s="210"/>
      <c r="X86" s="466"/>
      <c r="Y86" s="210"/>
      <c r="Z86" s="210"/>
      <c r="AA86" s="210"/>
      <c r="AB86" s="210"/>
      <c r="AC86" s="210"/>
      <c r="AD86" s="210"/>
      <c r="AE86" s="210"/>
      <c r="AF86" s="210"/>
      <c r="AG86" s="210"/>
      <c r="AH86" s="210"/>
      <c r="AI86" s="210"/>
      <c r="AJ86" s="210"/>
      <c r="AK86" s="210"/>
      <c r="AL86" s="466"/>
      <c r="AM86" s="466"/>
      <c r="AN86" s="466"/>
      <c r="AO86" s="466"/>
      <c r="AP86" s="466"/>
      <c r="AQ86" s="466"/>
      <c r="AR86" s="466"/>
      <c r="AS86" s="466"/>
      <c r="AT86" s="466"/>
    </row>
    <row r="87" spans="1:46" x14ac:dyDescent="0.25">
      <c r="A87" s="1249"/>
      <c r="B87" s="466"/>
      <c r="C87" s="466"/>
      <c r="D87" s="466"/>
      <c r="E87" s="466"/>
      <c r="F87" s="466"/>
      <c r="G87" s="466"/>
      <c r="H87" s="466"/>
      <c r="I87" s="466"/>
      <c r="J87" s="466"/>
      <c r="K87" s="466"/>
      <c r="L87" s="466"/>
      <c r="M87" s="466"/>
      <c r="N87" s="466"/>
      <c r="O87" s="466"/>
      <c r="P87" s="466"/>
      <c r="Q87" s="466"/>
      <c r="R87" s="466"/>
      <c r="S87" s="466"/>
      <c r="T87" s="466"/>
      <c r="U87" s="466"/>
      <c r="V87" s="466"/>
      <c r="W87" s="466"/>
      <c r="X87" s="466"/>
      <c r="Y87" s="466"/>
      <c r="Z87" s="466"/>
      <c r="AA87" s="466"/>
      <c r="AB87" s="466"/>
      <c r="AC87" s="466"/>
      <c r="AD87" s="466"/>
      <c r="AE87" s="466"/>
      <c r="AF87" s="466"/>
      <c r="AG87" s="466"/>
      <c r="AH87" s="466"/>
      <c r="AI87" s="466"/>
      <c r="AJ87" s="466"/>
      <c r="AK87" s="466"/>
      <c r="AL87" s="466"/>
      <c r="AM87" s="466"/>
      <c r="AN87" s="466"/>
      <c r="AO87" s="466"/>
      <c r="AP87" s="466"/>
      <c r="AQ87" s="466"/>
      <c r="AR87" s="466"/>
      <c r="AS87" s="466"/>
      <c r="AT87" s="466"/>
    </row>
    <row r="88" spans="1:46" x14ac:dyDescent="0.25">
      <c r="A88" s="1249"/>
      <c r="B88" s="466"/>
      <c r="C88" s="466"/>
      <c r="D88" s="466"/>
      <c r="E88" s="466"/>
      <c r="F88" s="466"/>
      <c r="G88" s="466"/>
      <c r="H88" s="466"/>
      <c r="I88" s="466"/>
      <c r="J88" s="466"/>
      <c r="K88" s="466"/>
      <c r="L88" s="466"/>
      <c r="M88" s="466"/>
      <c r="N88" s="466"/>
      <c r="O88" s="466"/>
      <c r="P88" s="466"/>
      <c r="Q88" s="466"/>
      <c r="R88" s="466"/>
      <c r="S88" s="466"/>
      <c r="T88" s="466"/>
      <c r="U88" s="454"/>
      <c r="V88" s="454"/>
      <c r="W88" s="454"/>
      <c r="X88" s="466"/>
      <c r="Y88" s="454"/>
      <c r="Z88" s="454"/>
      <c r="AA88" s="454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66"/>
      <c r="AM88" s="466"/>
      <c r="AN88" s="466"/>
      <c r="AO88" s="466"/>
      <c r="AP88" s="466"/>
      <c r="AQ88" s="466"/>
      <c r="AR88" s="466"/>
      <c r="AS88" s="466"/>
      <c r="AT88" s="466"/>
    </row>
    <row r="89" spans="1:46" x14ac:dyDescent="0.25">
      <c r="A89" s="1249"/>
      <c r="B89" s="466"/>
      <c r="C89" s="466"/>
      <c r="D89" s="466"/>
      <c r="E89" s="466"/>
      <c r="F89" s="466"/>
      <c r="G89" s="466"/>
      <c r="H89" s="466"/>
      <c r="I89" s="466"/>
      <c r="J89" s="466"/>
      <c r="K89" s="466"/>
      <c r="L89" s="466"/>
      <c r="M89" s="466"/>
      <c r="N89" s="466"/>
      <c r="O89" s="466"/>
      <c r="P89" s="466"/>
      <c r="Q89" s="466"/>
      <c r="R89" s="466"/>
      <c r="S89" s="466"/>
      <c r="T89" s="466"/>
      <c r="U89" s="466"/>
      <c r="V89" s="466"/>
      <c r="W89" s="466"/>
      <c r="X89" s="466"/>
      <c r="Y89" s="466"/>
      <c r="Z89" s="466"/>
      <c r="AA89" s="466"/>
      <c r="AB89" s="466"/>
      <c r="AC89" s="466"/>
      <c r="AD89" s="466"/>
      <c r="AE89" s="466"/>
      <c r="AF89" s="466"/>
      <c r="AG89" s="466"/>
      <c r="AH89" s="466"/>
      <c r="AI89" s="466"/>
      <c r="AJ89" s="466"/>
      <c r="AK89" s="466"/>
      <c r="AL89" s="466"/>
      <c r="AM89" s="466"/>
      <c r="AN89" s="466"/>
      <c r="AO89" s="466"/>
      <c r="AP89" s="466"/>
      <c r="AQ89" s="466"/>
      <c r="AR89" s="466"/>
      <c r="AS89" s="466"/>
      <c r="AT89" s="466"/>
    </row>
    <row r="90" spans="1:46" x14ac:dyDescent="0.25">
      <c r="A90" s="206"/>
      <c r="B90" s="466"/>
      <c r="C90" s="466"/>
      <c r="D90" s="466"/>
      <c r="E90" s="466"/>
      <c r="F90" s="466"/>
      <c r="G90" s="466"/>
      <c r="H90" s="466"/>
      <c r="I90" s="466"/>
      <c r="J90" s="466"/>
      <c r="K90" s="466"/>
      <c r="L90" s="466"/>
      <c r="M90" s="466"/>
      <c r="N90" s="466"/>
      <c r="O90" s="466"/>
      <c r="P90" s="466"/>
      <c r="Q90" s="466"/>
      <c r="R90" s="466"/>
      <c r="S90" s="466"/>
      <c r="T90" s="466"/>
      <c r="U90" s="466"/>
      <c r="V90" s="466"/>
      <c r="W90" s="466"/>
      <c r="X90" s="466"/>
      <c r="Y90" s="466"/>
      <c r="Z90" s="466"/>
      <c r="AA90" s="466"/>
      <c r="AB90" s="466"/>
      <c r="AC90" s="466"/>
      <c r="AD90" s="466"/>
      <c r="AE90" s="466"/>
      <c r="AF90" s="466"/>
      <c r="AG90" s="466"/>
      <c r="AH90" s="466"/>
      <c r="AI90" s="466"/>
      <c r="AJ90" s="466"/>
      <c r="AK90" s="466"/>
      <c r="AL90" s="466"/>
      <c r="AM90" s="466"/>
      <c r="AN90" s="466"/>
      <c r="AO90" s="466"/>
      <c r="AP90" s="466"/>
      <c r="AQ90" s="466"/>
      <c r="AR90" s="466"/>
      <c r="AS90" s="466"/>
      <c r="AT90" s="466"/>
    </row>
    <row r="91" spans="1:46" x14ac:dyDescent="0.25">
      <c r="A91" s="1249"/>
      <c r="B91" s="727"/>
      <c r="C91" s="466"/>
      <c r="D91" s="466"/>
      <c r="E91" s="466"/>
      <c r="F91" s="466"/>
      <c r="G91" s="466"/>
      <c r="H91" s="466"/>
      <c r="I91" s="466"/>
      <c r="J91" s="466"/>
      <c r="K91" s="466"/>
      <c r="L91" s="466"/>
      <c r="M91" s="466"/>
      <c r="N91" s="466"/>
      <c r="O91" s="466"/>
      <c r="P91" s="466"/>
      <c r="Q91" s="466"/>
      <c r="R91" s="466"/>
      <c r="S91" s="466"/>
      <c r="T91" s="466"/>
      <c r="U91" s="466"/>
      <c r="V91" s="466"/>
      <c r="W91" s="466"/>
      <c r="X91" s="466"/>
      <c r="Y91" s="466"/>
      <c r="Z91" s="466"/>
      <c r="AA91" s="466"/>
      <c r="AB91" s="466"/>
      <c r="AC91" s="466"/>
      <c r="AD91" s="466"/>
      <c r="AE91" s="466"/>
      <c r="AF91" s="466"/>
      <c r="AG91" s="466"/>
      <c r="AH91" s="466"/>
      <c r="AI91" s="466"/>
      <c r="AJ91" s="466"/>
      <c r="AK91" s="466"/>
      <c r="AL91" s="466"/>
      <c r="AM91" s="466"/>
      <c r="AN91" s="466"/>
      <c r="AO91" s="466"/>
      <c r="AP91" s="466"/>
      <c r="AQ91" s="466"/>
      <c r="AR91" s="466"/>
      <c r="AS91" s="466"/>
      <c r="AT91" s="466"/>
    </row>
    <row r="92" spans="1:46" x14ac:dyDescent="0.25">
      <c r="A92" s="1249"/>
      <c r="B92" s="466"/>
      <c r="C92" s="466"/>
      <c r="D92" s="466"/>
      <c r="E92" s="466"/>
      <c r="F92" s="466"/>
      <c r="G92" s="466"/>
      <c r="H92" s="466"/>
      <c r="I92" s="466"/>
      <c r="J92" s="466"/>
      <c r="K92" s="466"/>
      <c r="L92" s="466"/>
      <c r="M92" s="466"/>
      <c r="N92" s="466"/>
      <c r="O92" s="466"/>
      <c r="P92" s="466"/>
      <c r="Q92" s="466"/>
      <c r="R92" s="466"/>
      <c r="S92" s="466"/>
      <c r="T92" s="466"/>
      <c r="U92" s="223"/>
      <c r="V92" s="223"/>
      <c r="W92" s="223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466"/>
      <c r="AM92" s="466"/>
      <c r="AN92" s="466"/>
      <c r="AO92" s="466"/>
      <c r="AP92" s="466"/>
      <c r="AQ92" s="466"/>
      <c r="AR92" s="466"/>
      <c r="AS92" s="466"/>
      <c r="AT92" s="466"/>
    </row>
    <row r="93" spans="1:46" x14ac:dyDescent="0.25">
      <c r="A93" s="1249"/>
      <c r="B93" s="466"/>
      <c r="C93" s="466"/>
      <c r="D93" s="466"/>
      <c r="E93" s="466"/>
      <c r="F93" s="466"/>
      <c r="G93" s="466"/>
      <c r="H93" s="466"/>
      <c r="I93" s="466"/>
      <c r="J93" s="466"/>
      <c r="K93" s="466"/>
      <c r="L93" s="466"/>
      <c r="M93" s="466"/>
      <c r="N93" s="466"/>
      <c r="O93" s="466"/>
      <c r="P93" s="466"/>
      <c r="Q93" s="466"/>
      <c r="R93" s="466"/>
      <c r="S93" s="1249"/>
      <c r="T93" s="1249"/>
      <c r="U93" s="208"/>
      <c r="V93" s="208"/>
      <c r="W93" s="208"/>
      <c r="X93" s="466"/>
      <c r="Y93" s="208"/>
      <c r="Z93" s="208"/>
      <c r="AA93" s="208"/>
      <c r="AB93" s="208"/>
      <c r="AC93" s="208"/>
      <c r="AD93" s="208"/>
      <c r="AE93" s="208"/>
      <c r="AF93" s="208"/>
      <c r="AG93" s="208"/>
      <c r="AH93" s="208"/>
      <c r="AI93" s="208"/>
      <c r="AJ93" s="208"/>
      <c r="AK93" s="208"/>
      <c r="AL93" s="466"/>
      <c r="AM93" s="466"/>
      <c r="AN93" s="466"/>
      <c r="AO93" s="466"/>
      <c r="AP93" s="466"/>
      <c r="AQ93" s="466"/>
      <c r="AR93" s="466"/>
      <c r="AS93" s="466"/>
      <c r="AT93" s="466"/>
    </row>
    <row r="94" spans="1:46" x14ac:dyDescent="0.25">
      <c r="A94" s="1249"/>
      <c r="B94" s="466"/>
      <c r="C94" s="466"/>
      <c r="D94" s="466"/>
      <c r="E94" s="466"/>
      <c r="F94" s="466"/>
      <c r="G94" s="466"/>
      <c r="H94" s="466"/>
      <c r="I94" s="466"/>
      <c r="J94" s="466"/>
      <c r="K94" s="466"/>
      <c r="L94" s="466"/>
      <c r="M94" s="466"/>
      <c r="N94" s="466"/>
      <c r="O94" s="466"/>
      <c r="P94" s="466"/>
      <c r="Q94" s="466"/>
      <c r="R94" s="466"/>
      <c r="S94" s="466"/>
      <c r="T94" s="466"/>
      <c r="U94" s="466"/>
      <c r="V94" s="466"/>
      <c r="W94" s="466"/>
      <c r="X94" s="466"/>
      <c r="Y94" s="466"/>
      <c r="Z94" s="466"/>
      <c r="AA94" s="466"/>
      <c r="AB94" s="466"/>
      <c r="AC94" s="466"/>
      <c r="AD94" s="466"/>
      <c r="AE94" s="466"/>
      <c r="AF94" s="466"/>
      <c r="AG94" s="466"/>
      <c r="AH94" s="466"/>
      <c r="AI94" s="466"/>
      <c r="AJ94" s="466"/>
      <c r="AK94" s="466"/>
      <c r="AL94" s="466"/>
      <c r="AM94" s="466"/>
      <c r="AN94" s="466"/>
      <c r="AO94" s="466"/>
      <c r="AP94" s="466"/>
      <c r="AQ94" s="466"/>
      <c r="AR94" s="466"/>
      <c r="AS94" s="466"/>
      <c r="AT94" s="466"/>
    </row>
    <row r="95" spans="1:46" x14ac:dyDescent="0.25">
      <c r="A95" s="1249"/>
      <c r="B95" s="466"/>
      <c r="C95" s="466"/>
      <c r="D95" s="466"/>
      <c r="E95" s="466"/>
      <c r="F95" s="466"/>
      <c r="G95" s="466"/>
      <c r="H95" s="466"/>
      <c r="I95" s="466"/>
      <c r="J95" s="466"/>
      <c r="K95" s="466"/>
      <c r="L95" s="466"/>
      <c r="M95" s="466"/>
      <c r="N95" s="466"/>
      <c r="O95" s="466"/>
      <c r="P95" s="466"/>
      <c r="Q95" s="466"/>
      <c r="R95" s="466"/>
      <c r="S95" s="454"/>
      <c r="T95" s="454"/>
      <c r="U95" s="454"/>
      <c r="V95" s="454"/>
      <c r="W95" s="454"/>
      <c r="X95" s="466"/>
      <c r="Y95" s="454"/>
      <c r="Z95" s="454"/>
      <c r="AA95" s="454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66"/>
      <c r="AM95" s="466"/>
      <c r="AN95" s="466"/>
      <c r="AO95" s="466"/>
      <c r="AP95" s="466"/>
      <c r="AQ95" s="466"/>
      <c r="AR95" s="466"/>
      <c r="AS95" s="466"/>
      <c r="AT95" s="466"/>
    </row>
    <row r="96" spans="1:46" x14ac:dyDescent="0.25">
      <c r="A96" s="1249"/>
      <c r="B96" s="466"/>
      <c r="C96" s="466"/>
      <c r="D96" s="466"/>
      <c r="E96" s="466"/>
      <c r="F96" s="466"/>
      <c r="G96" s="466"/>
      <c r="H96" s="466"/>
      <c r="I96" s="466"/>
      <c r="J96" s="466"/>
      <c r="K96" s="466"/>
      <c r="L96" s="466"/>
      <c r="M96" s="466"/>
      <c r="N96" s="466"/>
      <c r="O96" s="466"/>
      <c r="P96" s="466"/>
      <c r="Q96" s="466"/>
      <c r="R96" s="466"/>
      <c r="S96" s="466"/>
      <c r="T96" s="466"/>
      <c r="U96" s="466"/>
      <c r="V96" s="466"/>
      <c r="W96" s="466"/>
      <c r="X96" s="466"/>
      <c r="Y96" s="466"/>
      <c r="Z96" s="466"/>
      <c r="AA96" s="466"/>
      <c r="AB96" s="466"/>
      <c r="AC96" s="466"/>
      <c r="AD96" s="466"/>
      <c r="AE96" s="466"/>
      <c r="AF96" s="466"/>
      <c r="AG96" s="466"/>
      <c r="AH96" s="466"/>
      <c r="AI96" s="466"/>
      <c r="AJ96" s="466"/>
      <c r="AK96" s="466"/>
      <c r="AL96" s="466"/>
      <c r="AM96" s="466"/>
      <c r="AN96" s="466"/>
      <c r="AO96" s="466"/>
      <c r="AP96" s="466"/>
      <c r="AQ96" s="466"/>
      <c r="AR96" s="466"/>
      <c r="AS96" s="466"/>
      <c r="AT96" s="466"/>
    </row>
    <row r="97" spans="1:46" x14ac:dyDescent="0.25">
      <c r="A97" s="1249"/>
      <c r="B97" s="466"/>
      <c r="C97" s="466"/>
      <c r="D97" s="466"/>
      <c r="E97" s="466"/>
      <c r="F97" s="466"/>
      <c r="G97" s="466"/>
      <c r="H97" s="466"/>
      <c r="I97" s="466"/>
      <c r="J97" s="466"/>
      <c r="K97" s="466"/>
      <c r="L97" s="466"/>
      <c r="M97" s="466"/>
      <c r="N97" s="466"/>
      <c r="O97" s="466"/>
      <c r="P97" s="466"/>
      <c r="Q97" s="466"/>
      <c r="R97" s="466"/>
      <c r="S97" s="466"/>
      <c r="T97" s="466"/>
      <c r="U97" s="466"/>
      <c r="V97" s="466"/>
      <c r="W97" s="466"/>
      <c r="X97" s="466"/>
      <c r="Y97" s="466"/>
      <c r="Z97" s="466"/>
      <c r="AA97" s="466"/>
      <c r="AB97" s="466"/>
      <c r="AC97" s="466"/>
      <c r="AD97" s="466"/>
      <c r="AE97" s="466"/>
      <c r="AF97" s="466"/>
      <c r="AG97" s="466"/>
      <c r="AH97" s="466"/>
      <c r="AI97" s="466"/>
      <c r="AJ97" s="466"/>
      <c r="AK97" s="466"/>
      <c r="AL97" s="466"/>
      <c r="AM97" s="466"/>
      <c r="AN97" s="466"/>
      <c r="AO97" s="466"/>
      <c r="AP97" s="466"/>
      <c r="AQ97" s="466"/>
      <c r="AR97" s="466"/>
      <c r="AS97" s="466"/>
      <c r="AT97" s="466"/>
    </row>
    <row r="98" spans="1:46" x14ac:dyDescent="0.25">
      <c r="A98" s="1249"/>
      <c r="B98" s="466"/>
      <c r="C98" s="466"/>
      <c r="D98" s="466"/>
      <c r="E98" s="466"/>
      <c r="F98" s="466"/>
      <c r="G98" s="466"/>
      <c r="H98" s="466"/>
      <c r="I98" s="466"/>
      <c r="J98" s="466"/>
      <c r="K98" s="466"/>
      <c r="L98" s="466"/>
      <c r="M98" s="466"/>
      <c r="N98" s="466"/>
      <c r="O98" s="466"/>
      <c r="P98" s="466"/>
      <c r="Q98" s="466"/>
      <c r="R98" s="466"/>
      <c r="S98" s="466"/>
      <c r="T98" s="466"/>
      <c r="U98" s="466"/>
      <c r="V98" s="466"/>
      <c r="W98" s="466"/>
      <c r="X98" s="466"/>
      <c r="Y98" s="466"/>
      <c r="Z98" s="466"/>
      <c r="AA98" s="466"/>
      <c r="AB98" s="466"/>
      <c r="AC98" s="466"/>
      <c r="AD98" s="466"/>
      <c r="AE98" s="466"/>
      <c r="AF98" s="466"/>
      <c r="AG98" s="466"/>
      <c r="AH98" s="466"/>
      <c r="AI98" s="466"/>
      <c r="AJ98" s="466"/>
      <c r="AK98" s="466"/>
      <c r="AL98" s="466"/>
      <c r="AM98" s="466"/>
      <c r="AN98" s="466"/>
      <c r="AO98" s="466"/>
      <c r="AP98" s="466"/>
      <c r="AQ98" s="466"/>
      <c r="AR98" s="466"/>
      <c r="AS98" s="466"/>
      <c r="AT98" s="466"/>
    </row>
    <row r="99" spans="1:46" x14ac:dyDescent="0.25">
      <c r="A99" s="1249"/>
      <c r="B99" s="466"/>
      <c r="C99" s="466"/>
      <c r="D99" s="466"/>
      <c r="E99" s="466"/>
      <c r="F99" s="466"/>
      <c r="G99" s="466"/>
      <c r="H99" s="466"/>
      <c r="I99" s="466"/>
      <c r="J99" s="466"/>
      <c r="K99" s="466"/>
      <c r="L99" s="466"/>
      <c r="M99" s="466"/>
      <c r="N99" s="466"/>
      <c r="O99" s="466"/>
      <c r="P99" s="466"/>
      <c r="Q99" s="466"/>
      <c r="R99" s="466"/>
      <c r="S99" s="466"/>
      <c r="T99" s="466"/>
      <c r="U99" s="466"/>
      <c r="V99" s="466"/>
      <c r="W99" s="466"/>
      <c r="X99" s="466"/>
      <c r="Y99" s="466"/>
      <c r="Z99" s="466"/>
      <c r="AA99" s="466"/>
      <c r="AB99" s="466"/>
      <c r="AC99" s="466"/>
      <c r="AD99" s="466"/>
      <c r="AE99" s="466"/>
      <c r="AF99" s="466"/>
      <c r="AG99" s="466"/>
      <c r="AH99" s="466"/>
      <c r="AI99" s="466"/>
      <c r="AJ99" s="466"/>
      <c r="AK99" s="466"/>
      <c r="AL99" s="466"/>
      <c r="AM99" s="466"/>
      <c r="AN99" s="466"/>
      <c r="AO99" s="466"/>
      <c r="AP99" s="466"/>
      <c r="AQ99" s="466"/>
      <c r="AR99" s="454"/>
      <c r="AS99" s="466"/>
      <c r="AT99" s="466"/>
    </row>
    <row r="100" spans="1:46" x14ac:dyDescent="0.25">
      <c r="A100" s="1249"/>
      <c r="B100" s="466"/>
      <c r="C100" s="466"/>
      <c r="D100" s="466"/>
      <c r="E100" s="466"/>
      <c r="F100" s="466"/>
      <c r="G100" s="466"/>
      <c r="H100" s="466"/>
      <c r="I100" s="466"/>
      <c r="J100" s="466"/>
      <c r="K100" s="466"/>
      <c r="L100" s="466"/>
      <c r="M100" s="466"/>
      <c r="N100" s="466"/>
      <c r="O100" s="466"/>
      <c r="P100" s="466"/>
      <c r="Q100" s="466"/>
      <c r="R100" s="466"/>
      <c r="S100" s="466"/>
      <c r="T100" s="466"/>
      <c r="U100" s="466"/>
      <c r="V100" s="466"/>
      <c r="W100" s="466"/>
      <c r="X100" s="466"/>
      <c r="Y100" s="466"/>
      <c r="Z100" s="466"/>
      <c r="AA100" s="466"/>
      <c r="AB100" s="466"/>
      <c r="AC100" s="466"/>
      <c r="AD100" s="466"/>
      <c r="AE100" s="466"/>
      <c r="AF100" s="466"/>
      <c r="AG100" s="466"/>
      <c r="AH100" s="466"/>
      <c r="AI100" s="466"/>
      <c r="AJ100" s="466"/>
      <c r="AK100" s="466"/>
      <c r="AL100" s="466"/>
      <c r="AM100" s="466"/>
      <c r="AN100" s="466"/>
      <c r="AO100" s="466"/>
      <c r="AP100" s="466"/>
      <c r="AQ100" s="422"/>
      <c r="AR100" s="466"/>
      <c r="AS100" s="466"/>
      <c r="AT100" s="466"/>
    </row>
    <row r="101" spans="1:46" x14ac:dyDescent="0.25">
      <c r="A101" s="1249"/>
      <c r="B101" s="466"/>
      <c r="C101" s="466"/>
      <c r="D101" s="466"/>
      <c r="E101" s="466"/>
      <c r="F101" s="466"/>
      <c r="G101" s="466"/>
      <c r="H101" s="466"/>
      <c r="I101" s="466"/>
      <c r="J101" s="466"/>
      <c r="K101" s="466"/>
      <c r="L101" s="466"/>
      <c r="M101" s="466"/>
      <c r="N101" s="466"/>
      <c r="O101" s="466"/>
      <c r="P101" s="466"/>
      <c r="Q101" s="466"/>
      <c r="R101" s="466"/>
      <c r="S101" s="466"/>
      <c r="T101" s="466"/>
      <c r="U101" s="466"/>
      <c r="V101" s="466"/>
      <c r="W101" s="466"/>
      <c r="X101" s="466"/>
      <c r="Y101" s="466"/>
      <c r="Z101" s="466"/>
      <c r="AA101" s="466"/>
      <c r="AB101" s="466"/>
      <c r="AC101" s="466"/>
      <c r="AD101" s="466"/>
      <c r="AE101" s="466"/>
      <c r="AF101" s="466"/>
      <c r="AG101" s="466"/>
      <c r="AH101" s="466"/>
      <c r="AI101" s="466"/>
      <c r="AJ101" s="466"/>
      <c r="AK101" s="466"/>
      <c r="AL101" s="466"/>
      <c r="AM101" s="466"/>
      <c r="AN101" s="466"/>
      <c r="AO101" s="466"/>
      <c r="AP101" s="466"/>
      <c r="AQ101" s="466"/>
      <c r="AR101" s="466"/>
      <c r="AS101" s="466"/>
      <c r="AT101" s="466"/>
    </row>
    <row r="102" spans="1:46" x14ac:dyDescent="0.25">
      <c r="A102" s="1249"/>
      <c r="B102" s="466"/>
      <c r="C102" s="466"/>
      <c r="D102" s="466"/>
      <c r="E102" s="466"/>
      <c r="F102" s="466"/>
      <c r="G102" s="466"/>
      <c r="H102" s="466"/>
      <c r="I102" s="466"/>
      <c r="J102" s="466"/>
      <c r="K102" s="466"/>
      <c r="L102" s="466"/>
      <c r="M102" s="466"/>
      <c r="N102" s="466"/>
      <c r="O102" s="466"/>
      <c r="P102" s="466"/>
      <c r="Q102" s="466"/>
      <c r="R102" s="466"/>
      <c r="S102" s="466"/>
      <c r="T102" s="466"/>
      <c r="U102" s="466"/>
      <c r="V102" s="466"/>
      <c r="W102" s="466"/>
      <c r="X102" s="466"/>
      <c r="Y102" s="466"/>
      <c r="Z102" s="466"/>
      <c r="AA102" s="466"/>
      <c r="AB102" s="466"/>
      <c r="AC102" s="466"/>
      <c r="AD102" s="466"/>
      <c r="AE102" s="466"/>
      <c r="AF102" s="466"/>
      <c r="AG102" s="466"/>
      <c r="AH102" s="466"/>
      <c r="AI102" s="466"/>
      <c r="AJ102" s="466"/>
      <c r="AK102" s="466"/>
      <c r="AL102" s="466"/>
      <c r="AM102" s="466"/>
      <c r="AN102" s="466"/>
      <c r="AO102" s="466"/>
      <c r="AP102" s="466"/>
      <c r="AQ102" s="466"/>
      <c r="AR102" s="466"/>
      <c r="AS102" s="466"/>
      <c r="AT102" s="466"/>
    </row>
    <row r="103" spans="1:46" x14ac:dyDescent="0.25">
      <c r="A103" s="1249"/>
      <c r="B103" s="466"/>
      <c r="C103" s="466"/>
      <c r="D103" s="466"/>
      <c r="E103" s="466"/>
      <c r="F103" s="466"/>
      <c r="G103" s="466"/>
      <c r="H103" s="466"/>
      <c r="I103" s="466"/>
      <c r="J103" s="466"/>
      <c r="K103" s="466"/>
      <c r="L103" s="466"/>
      <c r="M103" s="466"/>
      <c r="N103" s="466"/>
      <c r="O103" s="466"/>
      <c r="P103" s="466"/>
      <c r="Q103" s="466"/>
      <c r="R103" s="466"/>
      <c r="S103" s="466"/>
      <c r="T103" s="466"/>
      <c r="U103" s="466"/>
      <c r="V103" s="466"/>
      <c r="W103" s="466"/>
      <c r="X103" s="466"/>
      <c r="Y103" s="466"/>
      <c r="Z103" s="466"/>
      <c r="AA103" s="466"/>
      <c r="AB103" s="466"/>
      <c r="AC103" s="466"/>
      <c r="AD103" s="466"/>
      <c r="AE103" s="466"/>
      <c r="AF103" s="466"/>
      <c r="AG103" s="466"/>
      <c r="AH103" s="466"/>
      <c r="AI103" s="466"/>
      <c r="AJ103" s="466"/>
      <c r="AK103" s="466"/>
      <c r="AL103" s="466"/>
      <c r="AM103" s="466"/>
      <c r="AN103" s="466"/>
      <c r="AO103" s="466"/>
      <c r="AP103" s="466"/>
      <c r="AQ103" s="466"/>
      <c r="AR103" s="466"/>
      <c r="AS103" s="466"/>
      <c r="AT103" s="466"/>
    </row>
    <row r="104" spans="1:46" x14ac:dyDescent="0.25">
      <c r="A104" s="1249"/>
      <c r="B104" s="466"/>
      <c r="C104" s="466"/>
      <c r="D104" s="466"/>
      <c r="E104" s="466"/>
      <c r="F104" s="466"/>
      <c r="G104" s="466"/>
      <c r="H104" s="466"/>
      <c r="I104" s="466"/>
      <c r="J104" s="466"/>
      <c r="K104" s="466"/>
      <c r="L104" s="466"/>
      <c r="M104" s="466"/>
      <c r="N104" s="466"/>
      <c r="O104" s="466"/>
      <c r="P104" s="466"/>
      <c r="Q104" s="466"/>
      <c r="R104" s="466"/>
      <c r="S104" s="466"/>
      <c r="T104" s="466"/>
      <c r="U104" s="466"/>
      <c r="V104" s="466"/>
      <c r="W104" s="466"/>
      <c r="X104" s="466"/>
      <c r="Y104" s="466"/>
      <c r="Z104" s="466"/>
      <c r="AA104" s="466"/>
      <c r="AB104" s="466"/>
      <c r="AC104" s="466"/>
      <c r="AD104" s="466"/>
      <c r="AE104" s="466"/>
      <c r="AF104" s="466"/>
      <c r="AG104" s="466"/>
      <c r="AH104" s="466"/>
      <c r="AI104" s="466"/>
      <c r="AJ104" s="466"/>
      <c r="AK104" s="466"/>
      <c r="AL104" s="466"/>
      <c r="AM104" s="466"/>
      <c r="AN104" s="466"/>
      <c r="AO104" s="466"/>
      <c r="AP104" s="466"/>
      <c r="AQ104" s="466"/>
      <c r="AR104" s="466"/>
      <c r="AS104" s="466"/>
      <c r="AT104" s="466"/>
    </row>
    <row r="105" spans="1:46" x14ac:dyDescent="0.25">
      <c r="A105" s="1249"/>
      <c r="B105" s="466"/>
      <c r="C105" s="466"/>
      <c r="D105" s="466"/>
      <c r="E105" s="466"/>
      <c r="F105" s="466"/>
      <c r="G105" s="466"/>
      <c r="H105" s="466"/>
      <c r="I105" s="466"/>
      <c r="J105" s="466"/>
      <c r="K105" s="466"/>
      <c r="L105" s="466"/>
      <c r="M105" s="466"/>
      <c r="N105" s="466"/>
      <c r="O105" s="466"/>
      <c r="P105" s="466"/>
      <c r="Q105" s="466"/>
      <c r="R105" s="466"/>
      <c r="S105" s="423"/>
      <c r="T105" s="227"/>
      <c r="U105" s="423"/>
      <c r="V105" s="423"/>
      <c r="W105" s="423"/>
      <c r="X105" s="466"/>
      <c r="Y105" s="423"/>
      <c r="Z105" s="423"/>
      <c r="AA105" s="423"/>
      <c r="AB105" s="423"/>
      <c r="AC105" s="423"/>
      <c r="AD105" s="423"/>
      <c r="AE105" s="423"/>
      <c r="AF105" s="423"/>
      <c r="AG105" s="423"/>
      <c r="AH105" s="423"/>
      <c r="AI105" s="423"/>
      <c r="AJ105" s="423"/>
      <c r="AK105" s="423"/>
      <c r="AL105" s="466"/>
      <c r="AM105" s="466"/>
      <c r="AN105" s="466"/>
      <c r="AO105" s="466"/>
      <c r="AP105" s="466"/>
      <c r="AQ105" s="466"/>
      <c r="AR105" s="466"/>
      <c r="AS105" s="466"/>
      <c r="AT105" s="466"/>
    </row>
    <row r="106" spans="1:46" x14ac:dyDescent="0.25">
      <c r="A106" s="1249"/>
      <c r="B106" s="466"/>
      <c r="C106" s="466"/>
      <c r="D106" s="466"/>
      <c r="E106" s="466"/>
      <c r="F106" s="466"/>
      <c r="G106" s="466"/>
      <c r="H106" s="466"/>
      <c r="I106" s="466"/>
      <c r="J106" s="466"/>
      <c r="K106" s="466"/>
      <c r="L106" s="466"/>
      <c r="M106" s="466"/>
      <c r="N106" s="466"/>
      <c r="O106" s="466"/>
      <c r="P106" s="466"/>
      <c r="Q106" s="466"/>
      <c r="R106" s="466"/>
      <c r="S106" s="466"/>
      <c r="T106" s="466"/>
      <c r="U106" s="466"/>
      <c r="V106" s="466"/>
      <c r="W106" s="466"/>
      <c r="X106" s="466"/>
      <c r="Y106" s="466"/>
      <c r="Z106" s="466"/>
      <c r="AA106" s="466"/>
      <c r="AB106" s="466"/>
      <c r="AC106" s="466"/>
      <c r="AD106" s="466"/>
      <c r="AE106" s="466"/>
      <c r="AF106" s="466"/>
      <c r="AG106" s="466"/>
      <c r="AH106" s="466"/>
      <c r="AI106" s="466"/>
      <c r="AJ106" s="466"/>
      <c r="AK106" s="466"/>
      <c r="AL106" s="466"/>
      <c r="AM106" s="466"/>
      <c r="AN106" s="466"/>
      <c r="AO106" s="466"/>
      <c r="AP106" s="466"/>
      <c r="AQ106" s="466"/>
      <c r="AR106" s="466"/>
      <c r="AS106" s="466"/>
      <c r="AT106" s="466"/>
    </row>
    <row r="107" spans="1:46" x14ac:dyDescent="0.25">
      <c r="A107" s="1249"/>
      <c r="B107" s="466"/>
      <c r="C107" s="466"/>
      <c r="D107" s="466"/>
      <c r="E107" s="466"/>
      <c r="F107" s="466"/>
      <c r="G107" s="466"/>
      <c r="H107" s="466"/>
      <c r="I107" s="466"/>
      <c r="J107" s="466"/>
      <c r="K107" s="466"/>
      <c r="L107" s="466"/>
      <c r="M107" s="466"/>
      <c r="N107" s="466"/>
      <c r="O107" s="466"/>
      <c r="P107" s="466"/>
      <c r="Q107" s="466"/>
      <c r="R107" s="466"/>
      <c r="S107" s="466"/>
      <c r="T107" s="466"/>
      <c r="U107" s="466"/>
      <c r="V107" s="466"/>
      <c r="W107" s="466"/>
      <c r="X107" s="466"/>
      <c r="Y107" s="466"/>
      <c r="Z107" s="466"/>
      <c r="AA107" s="466"/>
      <c r="AB107" s="466"/>
      <c r="AC107" s="466"/>
      <c r="AD107" s="466"/>
      <c r="AE107" s="466"/>
      <c r="AF107" s="466"/>
      <c r="AG107" s="466"/>
      <c r="AH107" s="466"/>
      <c r="AI107" s="466"/>
      <c r="AJ107" s="466"/>
      <c r="AK107" s="466"/>
      <c r="AL107" s="227"/>
      <c r="AM107" s="466"/>
      <c r="AN107" s="466"/>
      <c r="AO107" s="466"/>
      <c r="AP107" s="466"/>
      <c r="AQ107" s="466"/>
      <c r="AR107" s="466"/>
      <c r="AS107" s="466"/>
      <c r="AT107" s="466"/>
    </row>
    <row r="108" spans="1:46" x14ac:dyDescent="0.25">
      <c r="A108" s="1249"/>
      <c r="B108" s="466"/>
      <c r="C108" s="466"/>
      <c r="D108" s="466"/>
      <c r="E108" s="466"/>
      <c r="F108" s="466"/>
      <c r="G108" s="466"/>
      <c r="H108" s="466"/>
      <c r="I108" s="466"/>
      <c r="J108" s="466"/>
      <c r="K108" s="466"/>
      <c r="L108" s="466"/>
      <c r="M108" s="466"/>
      <c r="N108" s="466"/>
      <c r="O108" s="466"/>
      <c r="P108" s="466"/>
      <c r="Q108" s="466"/>
      <c r="R108" s="466"/>
      <c r="S108" s="466"/>
      <c r="T108" s="466"/>
      <c r="U108" s="466"/>
      <c r="V108" s="466"/>
      <c r="W108" s="466"/>
      <c r="X108" s="466"/>
      <c r="Y108" s="466"/>
      <c r="Z108" s="466"/>
      <c r="AA108" s="466"/>
      <c r="AB108" s="466"/>
      <c r="AC108" s="466"/>
      <c r="AD108" s="466"/>
      <c r="AE108" s="466"/>
      <c r="AF108" s="466"/>
      <c r="AG108" s="466"/>
      <c r="AH108" s="466"/>
      <c r="AI108" s="466"/>
      <c r="AJ108" s="466"/>
      <c r="AK108" s="466"/>
      <c r="AL108" s="227"/>
      <c r="AM108" s="466"/>
      <c r="AN108" s="466"/>
      <c r="AO108" s="466"/>
      <c r="AP108" s="466"/>
      <c r="AQ108" s="466"/>
      <c r="AR108" s="466"/>
      <c r="AS108" s="466"/>
      <c r="AT108" s="466"/>
    </row>
    <row r="109" spans="1:46" x14ac:dyDescent="0.25">
      <c r="A109" s="1249"/>
      <c r="B109" s="466"/>
      <c r="C109" s="466"/>
      <c r="D109" s="466"/>
      <c r="E109" s="466"/>
      <c r="F109" s="466"/>
      <c r="G109" s="466"/>
      <c r="H109" s="466"/>
      <c r="I109" s="466"/>
      <c r="J109" s="466"/>
      <c r="K109" s="466"/>
      <c r="L109" s="466"/>
      <c r="M109" s="466"/>
      <c r="N109" s="466"/>
      <c r="O109" s="466"/>
      <c r="P109" s="466"/>
      <c r="Q109" s="466"/>
      <c r="R109" s="466"/>
      <c r="S109" s="454"/>
      <c r="T109" s="454"/>
      <c r="U109" s="454"/>
      <c r="V109" s="454"/>
      <c r="W109" s="454"/>
      <c r="X109" s="466"/>
      <c r="Y109" s="454"/>
      <c r="Z109" s="454"/>
      <c r="AA109" s="454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227"/>
      <c r="AM109" s="466"/>
      <c r="AN109" s="466"/>
      <c r="AO109" s="466"/>
      <c r="AP109" s="466"/>
      <c r="AQ109" s="466"/>
      <c r="AR109" s="466"/>
      <c r="AS109" s="466"/>
      <c r="AT109" s="466"/>
    </row>
    <row r="110" spans="1:46" x14ac:dyDescent="0.25">
      <c r="A110" s="1249"/>
      <c r="B110" s="466"/>
      <c r="C110" s="466"/>
      <c r="D110" s="466"/>
      <c r="E110" s="466"/>
      <c r="F110" s="466"/>
      <c r="G110" s="466"/>
      <c r="H110" s="466"/>
      <c r="I110" s="466"/>
      <c r="J110" s="466"/>
      <c r="K110" s="466"/>
      <c r="L110" s="466"/>
      <c r="M110" s="466"/>
      <c r="N110" s="466"/>
      <c r="O110" s="466"/>
      <c r="P110" s="466"/>
      <c r="Q110" s="466"/>
      <c r="R110" s="466"/>
      <c r="S110" s="466"/>
      <c r="T110" s="466"/>
      <c r="U110" s="466"/>
      <c r="V110" s="466"/>
      <c r="W110" s="466"/>
      <c r="X110" s="466"/>
      <c r="Y110" s="466"/>
      <c r="Z110" s="466"/>
      <c r="AA110" s="466"/>
      <c r="AB110" s="466"/>
      <c r="AC110" s="466"/>
      <c r="AD110" s="466"/>
      <c r="AE110" s="466"/>
      <c r="AF110" s="466"/>
      <c r="AG110" s="466"/>
      <c r="AH110" s="466"/>
      <c r="AI110" s="466"/>
      <c r="AJ110" s="466"/>
      <c r="AK110" s="466"/>
      <c r="AL110" s="227"/>
      <c r="AM110" s="227"/>
      <c r="AN110" s="227"/>
      <c r="AO110" s="227"/>
      <c r="AP110" s="227"/>
      <c r="AQ110" s="227"/>
      <c r="AR110" s="227"/>
      <c r="AS110" s="466"/>
      <c r="AT110" s="466"/>
    </row>
    <row r="111" spans="1:46" x14ac:dyDescent="0.25">
      <c r="A111" s="466"/>
      <c r="B111" s="466"/>
      <c r="C111" s="466"/>
      <c r="D111" s="466"/>
      <c r="E111" s="466"/>
      <c r="F111" s="466"/>
      <c r="G111" s="466"/>
      <c r="H111" s="466"/>
      <c r="I111" s="466"/>
      <c r="J111" s="466"/>
      <c r="K111" s="466"/>
      <c r="L111" s="466"/>
      <c r="M111" s="466"/>
      <c r="N111" s="466"/>
      <c r="O111" s="466"/>
      <c r="P111" s="466"/>
      <c r="Q111" s="466"/>
      <c r="R111" s="466"/>
      <c r="S111" s="466"/>
      <c r="T111" s="466"/>
      <c r="U111" s="466"/>
      <c r="V111" s="466"/>
      <c r="W111" s="466"/>
      <c r="X111" s="466"/>
      <c r="Y111" s="466"/>
      <c r="Z111" s="466"/>
      <c r="AA111" s="466"/>
      <c r="AB111" s="466"/>
      <c r="AC111" s="466"/>
      <c r="AD111" s="466"/>
      <c r="AE111" s="466"/>
      <c r="AF111" s="466"/>
      <c r="AG111" s="466"/>
      <c r="AH111" s="466"/>
      <c r="AI111" s="466"/>
      <c r="AJ111" s="466"/>
      <c r="AK111" s="466"/>
      <c r="AL111" s="227"/>
      <c r="AM111" s="227"/>
      <c r="AN111" s="227"/>
      <c r="AO111" s="227"/>
      <c r="AP111" s="227"/>
      <c r="AQ111" s="227"/>
      <c r="AR111" s="227"/>
      <c r="AS111" s="466"/>
      <c r="AT111" s="466"/>
    </row>
    <row r="112" spans="1:46" x14ac:dyDescent="0.25">
      <c r="A112" s="1261"/>
      <c r="B112" s="227"/>
      <c r="C112" s="466"/>
      <c r="D112" s="316"/>
      <c r="E112" s="466"/>
      <c r="F112" s="466"/>
      <c r="G112" s="466"/>
      <c r="H112" s="466"/>
      <c r="I112" s="466"/>
      <c r="J112" s="466"/>
      <c r="K112" s="466"/>
      <c r="L112" s="466"/>
      <c r="M112" s="466"/>
      <c r="N112" s="466"/>
      <c r="O112" s="466"/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  <c r="Z112" s="466"/>
      <c r="AA112" s="466"/>
      <c r="AB112" s="466"/>
      <c r="AC112" s="466"/>
      <c r="AD112" s="466"/>
      <c r="AE112" s="466"/>
      <c r="AF112" s="466"/>
      <c r="AG112" s="466"/>
      <c r="AH112" s="466"/>
      <c r="AI112" s="466"/>
      <c r="AJ112" s="466"/>
      <c r="AK112" s="466"/>
      <c r="AL112" s="227"/>
      <c r="AM112" s="227"/>
      <c r="AN112" s="227"/>
      <c r="AO112" s="227"/>
      <c r="AP112" s="227"/>
      <c r="AQ112" s="227"/>
      <c r="AR112" s="454"/>
      <c r="AS112" s="466"/>
      <c r="AT112" s="466"/>
    </row>
    <row r="113" spans="1:46" x14ac:dyDescent="0.25">
      <c r="A113" s="1261"/>
      <c r="B113" s="227"/>
      <c r="C113" s="466"/>
      <c r="D113" s="466"/>
      <c r="E113" s="466"/>
      <c r="F113" s="466"/>
      <c r="G113" s="466"/>
      <c r="H113" s="466"/>
      <c r="I113" s="466"/>
      <c r="J113" s="466"/>
      <c r="K113" s="466"/>
      <c r="L113" s="466"/>
      <c r="M113" s="466"/>
      <c r="N113" s="466"/>
      <c r="O113" s="466"/>
      <c r="P113" s="466"/>
      <c r="Q113" s="466"/>
      <c r="R113" s="466"/>
      <c r="S113" s="466"/>
      <c r="T113" s="466"/>
      <c r="U113" s="466"/>
      <c r="V113" s="466"/>
      <c r="W113" s="466"/>
      <c r="X113" s="466"/>
      <c r="Y113" s="466"/>
      <c r="Z113" s="466"/>
      <c r="AA113" s="466"/>
      <c r="AB113" s="466"/>
      <c r="AC113" s="466"/>
      <c r="AD113" s="466"/>
      <c r="AE113" s="466"/>
      <c r="AF113" s="466"/>
      <c r="AG113" s="466"/>
      <c r="AH113" s="466"/>
      <c r="AI113" s="466"/>
      <c r="AJ113" s="466"/>
      <c r="AK113" s="466"/>
      <c r="AL113" s="227"/>
      <c r="AM113" s="227"/>
      <c r="AN113" s="227"/>
      <c r="AO113" s="227"/>
      <c r="AP113" s="227"/>
      <c r="AQ113" s="227"/>
      <c r="AR113" s="454"/>
      <c r="AS113" s="466"/>
      <c r="AT113" s="466"/>
    </row>
    <row r="114" spans="1:46" x14ac:dyDescent="0.25">
      <c r="A114" s="466"/>
      <c r="B114" s="466"/>
      <c r="C114" s="466"/>
      <c r="D114" s="466"/>
      <c r="E114" s="466"/>
      <c r="F114" s="466"/>
      <c r="G114" s="466"/>
      <c r="H114" s="466"/>
      <c r="I114" s="466"/>
      <c r="J114" s="466"/>
      <c r="K114" s="466"/>
      <c r="L114" s="466"/>
      <c r="M114" s="466"/>
      <c r="N114" s="466"/>
      <c r="O114" s="466"/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  <c r="Z114" s="466"/>
      <c r="AA114" s="466"/>
      <c r="AB114" s="466"/>
      <c r="AC114" s="466"/>
      <c r="AD114" s="466"/>
      <c r="AE114" s="466"/>
      <c r="AF114" s="466"/>
      <c r="AG114" s="466"/>
      <c r="AH114" s="466"/>
      <c r="AI114" s="466"/>
      <c r="AJ114" s="466"/>
      <c r="AK114" s="466"/>
      <c r="AL114" s="227"/>
      <c r="AM114" s="227"/>
      <c r="AN114" s="227"/>
      <c r="AO114" s="227"/>
      <c r="AP114" s="227"/>
      <c r="AQ114" s="227"/>
      <c r="AR114" s="454"/>
      <c r="AS114" s="466"/>
      <c r="AT114" s="466"/>
    </row>
    <row r="115" spans="1:46" x14ac:dyDescent="0.25">
      <c r="A115" s="1261"/>
      <c r="B115" s="227"/>
      <c r="C115" s="466"/>
      <c r="D115" s="466"/>
      <c r="E115" s="466"/>
      <c r="F115" s="466"/>
      <c r="G115" s="466"/>
      <c r="H115" s="466"/>
      <c r="I115" s="466"/>
      <c r="J115" s="466"/>
      <c r="K115" s="466"/>
      <c r="L115" s="466"/>
      <c r="M115" s="466"/>
      <c r="N115" s="466"/>
      <c r="O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  <c r="Z115" s="466"/>
      <c r="AA115" s="466"/>
      <c r="AB115" s="466"/>
      <c r="AC115" s="466"/>
      <c r="AD115" s="466"/>
      <c r="AE115" s="466"/>
      <c r="AF115" s="466"/>
      <c r="AG115" s="466"/>
      <c r="AH115" s="466"/>
      <c r="AI115" s="466"/>
      <c r="AJ115" s="466"/>
      <c r="AK115" s="466"/>
      <c r="AL115" s="227"/>
      <c r="AM115" s="227"/>
      <c r="AN115" s="227"/>
      <c r="AO115" s="227"/>
      <c r="AP115" s="227"/>
      <c r="AQ115" s="227"/>
      <c r="AR115" s="454"/>
      <c r="AS115" s="466"/>
      <c r="AT115" s="466"/>
    </row>
    <row r="116" spans="1:46" x14ac:dyDescent="0.25">
      <c r="A116" s="227"/>
      <c r="B116" s="227"/>
      <c r="C116" s="466"/>
      <c r="D116" s="466"/>
      <c r="E116" s="466"/>
      <c r="F116" s="466"/>
      <c r="G116" s="466"/>
      <c r="H116" s="466"/>
      <c r="I116" s="466"/>
      <c r="J116" s="466"/>
      <c r="K116" s="466"/>
      <c r="L116" s="466"/>
      <c r="M116" s="466"/>
      <c r="N116" s="466"/>
      <c r="O116" s="466"/>
      <c r="P116" s="466"/>
      <c r="Q116" s="466"/>
      <c r="R116" s="466"/>
      <c r="S116" s="466"/>
      <c r="T116" s="466"/>
      <c r="U116" s="466"/>
      <c r="V116" s="466"/>
      <c r="W116" s="466"/>
      <c r="X116" s="466"/>
      <c r="Y116" s="466"/>
      <c r="Z116" s="466"/>
      <c r="AA116" s="466"/>
      <c r="AB116" s="466"/>
      <c r="AC116" s="466"/>
      <c r="AD116" s="466"/>
      <c r="AE116" s="466"/>
      <c r="AF116" s="466"/>
      <c r="AG116" s="466"/>
      <c r="AH116" s="466"/>
      <c r="AI116" s="466"/>
      <c r="AJ116" s="466"/>
      <c r="AK116" s="466"/>
      <c r="AL116" s="227"/>
      <c r="AM116" s="227"/>
      <c r="AN116" s="227"/>
      <c r="AO116" s="227"/>
      <c r="AP116" s="227"/>
      <c r="AQ116" s="227"/>
      <c r="AR116" s="454"/>
      <c r="AS116" s="466"/>
      <c r="AT116" s="466"/>
    </row>
    <row r="117" spans="1:46" x14ac:dyDescent="0.25">
      <c r="A117" s="1249"/>
      <c r="B117" s="316"/>
      <c r="C117" s="466"/>
      <c r="D117" s="466"/>
      <c r="E117" s="466"/>
      <c r="F117" s="466"/>
      <c r="G117" s="466"/>
      <c r="H117" s="466"/>
      <c r="I117" s="466"/>
      <c r="J117" s="466"/>
      <c r="K117" s="466"/>
      <c r="L117" s="466"/>
      <c r="M117" s="466"/>
      <c r="N117" s="466"/>
      <c r="O117" s="466"/>
      <c r="P117" s="466"/>
      <c r="Q117" s="466"/>
      <c r="R117" s="201"/>
      <c r="S117" s="223"/>
      <c r="T117" s="223"/>
      <c r="U117" s="223"/>
      <c r="V117" s="223"/>
      <c r="W117" s="223"/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7"/>
      <c r="AM117" s="227"/>
      <c r="AN117" s="227"/>
      <c r="AO117" s="227"/>
      <c r="AP117" s="227"/>
      <c r="AQ117" s="227"/>
      <c r="AR117" s="454"/>
      <c r="AS117" s="466"/>
      <c r="AT117" s="466"/>
    </row>
    <row r="118" spans="1:46" x14ac:dyDescent="0.25">
      <c r="A118" s="1249"/>
      <c r="B118" s="316"/>
      <c r="C118" s="466"/>
      <c r="D118" s="466"/>
      <c r="E118" s="466"/>
      <c r="F118" s="466"/>
      <c r="G118" s="466"/>
      <c r="H118" s="466"/>
      <c r="I118" s="466"/>
      <c r="J118" s="466"/>
      <c r="K118" s="466"/>
      <c r="L118" s="466"/>
      <c r="M118" s="1249"/>
      <c r="N118" s="1249"/>
      <c r="O118" s="1249"/>
      <c r="P118" s="1249"/>
      <c r="Q118" s="1249"/>
      <c r="R118" s="466"/>
      <c r="S118" s="208"/>
      <c r="T118" s="466"/>
      <c r="U118" s="208"/>
      <c r="V118" s="208"/>
      <c r="W118" s="208"/>
      <c r="X118" s="466"/>
      <c r="Y118" s="208"/>
      <c r="Z118" s="208"/>
      <c r="AA118" s="208"/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08"/>
      <c r="AL118" s="227"/>
      <c r="AM118" s="227"/>
      <c r="AN118" s="227"/>
      <c r="AO118" s="227"/>
      <c r="AP118" s="227"/>
      <c r="AQ118" s="227"/>
      <c r="AR118" s="454"/>
      <c r="AS118" s="466"/>
      <c r="AT118" s="466"/>
    </row>
    <row r="119" spans="1:46" x14ac:dyDescent="0.25">
      <c r="A119" s="1249"/>
      <c r="B119" s="316"/>
      <c r="C119" s="466"/>
      <c r="D119" s="466"/>
      <c r="E119" s="466"/>
      <c r="F119" s="466"/>
      <c r="G119" s="466"/>
      <c r="H119" s="466"/>
      <c r="I119" s="466"/>
      <c r="J119" s="466"/>
      <c r="K119" s="466"/>
      <c r="L119" s="466"/>
      <c r="M119" s="1249"/>
      <c r="N119" s="1249"/>
      <c r="O119" s="1249"/>
      <c r="P119" s="1249"/>
      <c r="Q119" s="1249"/>
      <c r="R119" s="223"/>
      <c r="S119" s="223"/>
      <c r="T119" s="223"/>
      <c r="U119" s="223"/>
      <c r="V119" s="223"/>
      <c r="W119" s="223"/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7"/>
      <c r="AM119" s="227"/>
      <c r="AN119" s="227"/>
      <c r="AO119" s="227"/>
      <c r="AP119" s="227"/>
      <c r="AQ119" s="227"/>
      <c r="AR119" s="454"/>
      <c r="AS119" s="466"/>
      <c r="AT119" s="466"/>
    </row>
    <row r="120" spans="1:46" x14ac:dyDescent="0.25">
      <c r="A120" s="1249"/>
      <c r="B120" s="316"/>
      <c r="C120" s="466"/>
      <c r="D120" s="466"/>
      <c r="E120" s="466"/>
      <c r="F120" s="466"/>
      <c r="G120" s="466"/>
      <c r="H120" s="466"/>
      <c r="I120" s="466"/>
      <c r="J120" s="466"/>
      <c r="K120" s="466"/>
      <c r="L120" s="466"/>
      <c r="M120" s="466"/>
      <c r="N120" s="466"/>
      <c r="O120" s="466"/>
      <c r="P120" s="466"/>
      <c r="Q120" s="466"/>
      <c r="R120" s="466"/>
      <c r="S120" s="454"/>
      <c r="T120" s="466"/>
      <c r="U120" s="454"/>
      <c r="V120" s="454"/>
      <c r="W120" s="454"/>
      <c r="X120" s="466"/>
      <c r="Y120" s="454"/>
      <c r="Z120" s="454"/>
      <c r="AA120" s="454"/>
      <c r="AB120" s="454"/>
      <c r="AC120" s="454"/>
      <c r="AD120" s="454"/>
      <c r="AE120" s="454"/>
      <c r="AF120" s="454"/>
      <c r="AG120" s="454"/>
      <c r="AH120" s="454"/>
      <c r="AI120" s="454"/>
      <c r="AJ120" s="454"/>
      <c r="AK120" s="454"/>
      <c r="AL120" s="227"/>
      <c r="AM120" s="227"/>
      <c r="AN120" s="227"/>
      <c r="AO120" s="227"/>
      <c r="AP120" s="227"/>
      <c r="AQ120" s="227"/>
      <c r="AR120" s="454"/>
      <c r="AS120" s="466"/>
      <c r="AT120" s="466"/>
    </row>
    <row r="121" spans="1:46" x14ac:dyDescent="0.25">
      <c r="A121" s="1249"/>
      <c r="B121" s="316"/>
      <c r="C121" s="466"/>
      <c r="D121" s="466"/>
      <c r="E121" s="466"/>
      <c r="F121" s="466"/>
      <c r="G121" s="466"/>
      <c r="H121" s="466"/>
      <c r="I121" s="466"/>
      <c r="J121" s="466"/>
      <c r="K121" s="466"/>
      <c r="L121" s="466"/>
      <c r="M121" s="466"/>
      <c r="N121" s="466"/>
      <c r="O121" s="466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  <c r="Z121" s="466"/>
      <c r="AA121" s="466"/>
      <c r="AB121" s="466"/>
      <c r="AC121" s="466"/>
      <c r="AD121" s="466"/>
      <c r="AE121" s="466"/>
      <c r="AF121" s="466"/>
      <c r="AG121" s="466"/>
      <c r="AH121" s="466"/>
      <c r="AI121" s="466"/>
      <c r="AJ121" s="466"/>
      <c r="AK121" s="466"/>
      <c r="AL121" s="227"/>
      <c r="AM121" s="227"/>
      <c r="AN121" s="227"/>
      <c r="AO121" s="227"/>
      <c r="AP121" s="227"/>
      <c r="AQ121" s="227"/>
      <c r="AR121" s="454"/>
      <c r="AS121" s="466"/>
      <c r="AT121" s="466"/>
    </row>
    <row r="122" spans="1:46" x14ac:dyDescent="0.25">
      <c r="A122" s="1249"/>
      <c r="B122" s="316"/>
      <c r="C122" s="466"/>
      <c r="D122" s="466"/>
      <c r="E122" s="466"/>
      <c r="F122" s="466"/>
      <c r="G122" s="466"/>
      <c r="H122" s="466"/>
      <c r="I122" s="466"/>
      <c r="J122" s="466"/>
      <c r="K122" s="466"/>
      <c r="L122" s="466"/>
      <c r="M122" s="454"/>
      <c r="N122" s="454"/>
      <c r="O122" s="454"/>
      <c r="P122" s="454"/>
      <c r="Q122" s="454"/>
      <c r="R122" s="466"/>
      <c r="S122" s="466"/>
      <c r="T122" s="466"/>
      <c r="U122" s="466"/>
      <c r="V122" s="466"/>
      <c r="W122" s="466"/>
      <c r="X122" s="466"/>
      <c r="Y122" s="466"/>
      <c r="Z122" s="466"/>
      <c r="AA122" s="466"/>
      <c r="AB122" s="466"/>
      <c r="AC122" s="466"/>
      <c r="AD122" s="466"/>
      <c r="AE122" s="466"/>
      <c r="AF122" s="466"/>
      <c r="AG122" s="466"/>
      <c r="AH122" s="466"/>
      <c r="AI122" s="466"/>
      <c r="AJ122" s="466"/>
      <c r="AK122" s="466"/>
      <c r="AL122" s="227"/>
      <c r="AM122" s="227"/>
      <c r="AN122" s="227"/>
      <c r="AO122" s="227"/>
      <c r="AP122" s="227"/>
      <c r="AQ122" s="227"/>
      <c r="AR122" s="454"/>
      <c r="AS122" s="466"/>
      <c r="AT122" s="466"/>
    </row>
    <row r="123" spans="1:46" x14ac:dyDescent="0.25">
      <c r="A123" s="1249"/>
      <c r="B123" s="316" t="s">
        <v>359</v>
      </c>
      <c r="C123" s="466"/>
      <c r="D123" s="466"/>
      <c r="E123" s="466"/>
      <c r="F123" s="466"/>
      <c r="G123" s="466"/>
      <c r="H123" s="466"/>
      <c r="I123" s="466"/>
      <c r="J123" s="466"/>
      <c r="K123" s="466"/>
      <c r="L123" s="466"/>
      <c r="M123" s="466"/>
      <c r="N123" s="466"/>
      <c r="O123" s="466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  <c r="Z123" s="466"/>
      <c r="AA123" s="466"/>
      <c r="AB123" s="466"/>
      <c r="AC123" s="466"/>
      <c r="AD123" s="466"/>
      <c r="AE123" s="466"/>
      <c r="AF123" s="466"/>
      <c r="AG123" s="466"/>
      <c r="AH123" s="466"/>
      <c r="AI123" s="466"/>
      <c r="AJ123" s="466"/>
      <c r="AK123" s="466"/>
      <c r="AL123" s="227"/>
      <c r="AM123" s="227"/>
      <c r="AN123" s="227"/>
      <c r="AO123" s="227"/>
      <c r="AP123" s="227"/>
      <c r="AQ123" s="227"/>
      <c r="AR123" s="454"/>
      <c r="AS123" s="466"/>
      <c r="AT123" s="466"/>
    </row>
    <row r="124" spans="1:46" x14ac:dyDescent="0.25">
      <c r="A124" s="1249"/>
      <c r="B124" s="316"/>
      <c r="C124" s="466"/>
      <c r="D124" s="466"/>
      <c r="E124" s="466"/>
      <c r="F124" s="466"/>
      <c r="G124" s="466"/>
      <c r="H124" s="466"/>
      <c r="I124" s="466"/>
      <c r="J124" s="466"/>
      <c r="K124" s="466"/>
      <c r="L124" s="466"/>
      <c r="M124" s="466"/>
      <c r="N124" s="466"/>
      <c r="O124" s="466"/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  <c r="Z124" s="466"/>
      <c r="AA124" s="466"/>
      <c r="AB124" s="466"/>
      <c r="AC124" s="466"/>
      <c r="AD124" s="466"/>
      <c r="AE124" s="466"/>
      <c r="AF124" s="466"/>
      <c r="AG124" s="466"/>
      <c r="AH124" s="466"/>
      <c r="AI124" s="466"/>
      <c r="AJ124" s="466"/>
      <c r="AK124" s="466"/>
      <c r="AL124" s="227"/>
      <c r="AM124" s="227"/>
      <c r="AN124" s="227"/>
      <c r="AO124" s="227"/>
      <c r="AP124" s="227"/>
      <c r="AQ124" s="227"/>
      <c r="AR124" s="454"/>
      <c r="AS124" s="466"/>
      <c r="AT124" s="466"/>
    </row>
    <row r="125" spans="1:46" x14ac:dyDescent="0.25">
      <c r="A125" s="1249"/>
      <c r="B125" s="316"/>
      <c r="C125" s="466"/>
      <c r="D125" s="466"/>
      <c r="E125" s="466"/>
      <c r="F125" s="466"/>
      <c r="G125" s="466"/>
      <c r="H125" s="466"/>
      <c r="I125" s="466"/>
      <c r="J125" s="466"/>
      <c r="K125" s="466"/>
      <c r="L125" s="466"/>
      <c r="M125" s="466"/>
      <c r="N125" s="466"/>
      <c r="O125" s="466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  <c r="Z125" s="466"/>
      <c r="AA125" s="466"/>
      <c r="AB125" s="466"/>
      <c r="AC125" s="466"/>
      <c r="AD125" s="466"/>
      <c r="AE125" s="466"/>
      <c r="AF125" s="466"/>
      <c r="AG125" s="466"/>
      <c r="AH125" s="466"/>
      <c r="AI125" s="466"/>
      <c r="AJ125" s="466"/>
      <c r="AK125" s="466"/>
      <c r="AL125" s="227"/>
      <c r="AM125" s="227"/>
      <c r="AN125" s="227"/>
      <c r="AO125" s="227"/>
      <c r="AP125" s="227"/>
      <c r="AQ125" s="227"/>
      <c r="AR125" s="454"/>
      <c r="AS125" s="466"/>
      <c r="AT125" s="466"/>
    </row>
    <row r="126" spans="1:46" x14ac:dyDescent="0.25">
      <c r="A126" s="1249"/>
      <c r="B126" s="316"/>
      <c r="C126" s="466"/>
      <c r="D126" s="466"/>
      <c r="E126" s="466"/>
      <c r="F126" s="466"/>
      <c r="G126" s="466"/>
      <c r="H126" s="466"/>
      <c r="I126" s="466"/>
      <c r="J126" s="466"/>
      <c r="K126" s="466"/>
      <c r="L126" s="466"/>
      <c r="M126" s="454"/>
      <c r="N126" s="454"/>
      <c r="O126" s="454"/>
      <c r="P126" s="454"/>
      <c r="Q126" s="454"/>
      <c r="R126" s="466"/>
      <c r="S126" s="454"/>
      <c r="T126" s="466"/>
      <c r="U126" s="454"/>
      <c r="V126" s="454"/>
      <c r="W126" s="454"/>
      <c r="X126" s="466"/>
      <c r="Y126" s="454"/>
      <c r="Z126" s="454"/>
      <c r="AA126" s="454"/>
      <c r="AB126" s="454"/>
      <c r="AC126" s="454"/>
      <c r="AD126" s="454"/>
      <c r="AE126" s="454"/>
      <c r="AF126" s="454"/>
      <c r="AG126" s="454"/>
      <c r="AH126" s="454"/>
      <c r="AI126" s="454"/>
      <c r="AJ126" s="454"/>
      <c r="AK126" s="454"/>
      <c r="AL126" s="227"/>
      <c r="AM126" s="227"/>
      <c r="AN126" s="227"/>
      <c r="AO126" s="227"/>
      <c r="AP126" s="227"/>
      <c r="AQ126" s="227"/>
      <c r="AR126" s="454"/>
      <c r="AS126" s="466"/>
      <c r="AT126" s="466"/>
    </row>
    <row r="127" spans="1:46" x14ac:dyDescent="0.25">
      <c r="A127" s="1249"/>
      <c r="B127" s="316"/>
      <c r="C127" s="466"/>
      <c r="D127" s="466"/>
      <c r="E127" s="466"/>
      <c r="F127" s="466"/>
      <c r="G127" s="466"/>
      <c r="H127" s="466"/>
      <c r="I127" s="466"/>
      <c r="J127" s="466"/>
      <c r="K127" s="466"/>
      <c r="L127" s="466"/>
      <c r="M127" s="454"/>
      <c r="N127" s="454"/>
      <c r="O127" s="454"/>
      <c r="P127" s="454"/>
      <c r="Q127" s="454"/>
      <c r="R127" s="466"/>
      <c r="S127" s="454"/>
      <c r="T127" s="466"/>
      <c r="U127" s="454"/>
      <c r="V127" s="454"/>
      <c r="W127" s="454"/>
      <c r="X127" s="466"/>
      <c r="Y127" s="454"/>
      <c r="Z127" s="454"/>
      <c r="AA127" s="454"/>
      <c r="AB127" s="454"/>
      <c r="AC127" s="454"/>
      <c r="AD127" s="454"/>
      <c r="AE127" s="454"/>
      <c r="AF127" s="454"/>
      <c r="AG127" s="454"/>
      <c r="AH127" s="454"/>
      <c r="AI127" s="454"/>
      <c r="AJ127" s="454"/>
      <c r="AK127" s="454"/>
      <c r="AL127" s="227"/>
      <c r="AM127" s="227"/>
      <c r="AN127" s="227"/>
      <c r="AO127" s="227"/>
      <c r="AP127" s="227"/>
      <c r="AQ127" s="227"/>
      <c r="AR127" s="454"/>
      <c r="AS127" s="466"/>
      <c r="AT127" s="466"/>
    </row>
    <row r="128" spans="1:46" x14ac:dyDescent="0.25">
      <c r="A128" s="1249"/>
      <c r="B128" s="316"/>
      <c r="C128" s="466"/>
      <c r="D128" s="466"/>
      <c r="E128" s="466"/>
      <c r="F128" s="466"/>
      <c r="G128" s="466"/>
      <c r="H128" s="466"/>
      <c r="I128" s="466"/>
      <c r="J128" s="466"/>
      <c r="K128" s="466"/>
      <c r="L128" s="466"/>
      <c r="M128" s="454"/>
      <c r="N128" s="454"/>
      <c r="O128" s="454"/>
      <c r="P128" s="454"/>
      <c r="Q128" s="454"/>
      <c r="R128" s="466"/>
      <c r="S128" s="454"/>
      <c r="T128" s="466"/>
      <c r="U128" s="454"/>
      <c r="V128" s="454"/>
      <c r="W128" s="454"/>
      <c r="X128" s="466"/>
      <c r="Y128" s="454"/>
      <c r="Z128" s="454"/>
      <c r="AA128" s="454"/>
      <c r="AB128" s="454"/>
      <c r="AC128" s="454"/>
      <c r="AD128" s="454"/>
      <c r="AE128" s="454"/>
      <c r="AF128" s="454"/>
      <c r="AG128" s="454"/>
      <c r="AH128" s="454"/>
      <c r="AI128" s="454"/>
      <c r="AJ128" s="454"/>
      <c r="AK128" s="454"/>
      <c r="AL128" s="227"/>
      <c r="AM128" s="227"/>
      <c r="AN128" s="227"/>
      <c r="AO128" s="227"/>
      <c r="AP128" s="227"/>
      <c r="AQ128" s="227"/>
      <c r="AR128" s="454"/>
      <c r="AS128" s="466"/>
      <c r="AT128" s="466"/>
    </row>
    <row r="129" spans="1:46" x14ac:dyDescent="0.25">
      <c r="A129" s="1249"/>
      <c r="B129" s="316"/>
      <c r="C129" s="466"/>
      <c r="D129" s="466"/>
      <c r="E129" s="466"/>
      <c r="F129" s="466"/>
      <c r="G129" s="466"/>
      <c r="H129" s="466"/>
      <c r="I129" s="466"/>
      <c r="J129" s="466"/>
      <c r="K129" s="466"/>
      <c r="L129" s="466"/>
      <c r="M129" s="454"/>
      <c r="N129" s="454"/>
      <c r="O129" s="454"/>
      <c r="P129" s="454"/>
      <c r="Q129" s="454"/>
      <c r="R129" s="466"/>
      <c r="S129" s="454"/>
      <c r="T129" s="466"/>
      <c r="U129" s="454"/>
      <c r="V129" s="454"/>
      <c r="W129" s="454"/>
      <c r="X129" s="466"/>
      <c r="Y129" s="454"/>
      <c r="Z129" s="454"/>
      <c r="AA129" s="454"/>
      <c r="AB129" s="454"/>
      <c r="AC129" s="454"/>
      <c r="AD129" s="454"/>
      <c r="AE129" s="454"/>
      <c r="AF129" s="454"/>
      <c r="AG129" s="454"/>
      <c r="AH129" s="454"/>
      <c r="AI129" s="454"/>
      <c r="AJ129" s="454"/>
      <c r="AK129" s="454"/>
      <c r="AL129" s="227"/>
      <c r="AM129" s="227"/>
      <c r="AN129" s="227"/>
      <c r="AO129" s="227"/>
      <c r="AP129" s="227"/>
      <c r="AQ129" s="227"/>
      <c r="AR129" s="454"/>
      <c r="AS129" s="466"/>
      <c r="AT129" s="466"/>
    </row>
    <row r="130" spans="1:46" x14ac:dyDescent="0.25">
      <c r="A130" s="1249"/>
      <c r="B130" s="316"/>
      <c r="C130" s="466"/>
      <c r="D130" s="466"/>
      <c r="E130" s="466"/>
      <c r="F130" s="466"/>
      <c r="G130" s="466"/>
      <c r="H130" s="466"/>
      <c r="I130" s="466"/>
      <c r="J130" s="466"/>
      <c r="K130" s="466"/>
      <c r="L130" s="466"/>
      <c r="M130" s="454"/>
      <c r="N130" s="454"/>
      <c r="O130" s="454"/>
      <c r="P130" s="454"/>
      <c r="Q130" s="454"/>
      <c r="R130" s="466"/>
      <c r="S130" s="454"/>
      <c r="T130" s="466"/>
      <c r="U130" s="454"/>
      <c r="V130" s="454"/>
      <c r="W130" s="454"/>
      <c r="X130" s="466"/>
      <c r="Y130" s="454"/>
      <c r="Z130" s="454"/>
      <c r="AA130" s="454"/>
      <c r="AB130" s="454"/>
      <c r="AC130" s="454"/>
      <c r="AD130" s="454"/>
      <c r="AE130" s="454"/>
      <c r="AF130" s="454"/>
      <c r="AG130" s="454"/>
      <c r="AH130" s="454"/>
      <c r="AI130" s="454"/>
      <c r="AJ130" s="454"/>
      <c r="AK130" s="454"/>
      <c r="AL130" s="227"/>
      <c r="AM130" s="227"/>
      <c r="AN130" s="227"/>
      <c r="AO130" s="227"/>
      <c r="AP130" s="227"/>
      <c r="AQ130" s="227"/>
      <c r="AR130" s="454"/>
      <c r="AS130" s="466"/>
      <c r="AT130" s="466"/>
    </row>
    <row r="131" spans="1:46" x14ac:dyDescent="0.25">
      <c r="A131" s="1249"/>
      <c r="B131" s="316"/>
      <c r="C131" s="466"/>
      <c r="D131" s="466"/>
      <c r="E131" s="466"/>
      <c r="F131" s="466"/>
      <c r="G131" s="466"/>
      <c r="H131" s="466"/>
      <c r="I131" s="466"/>
      <c r="J131" s="466"/>
      <c r="K131" s="466"/>
      <c r="L131" s="466"/>
      <c r="M131" s="454"/>
      <c r="N131" s="454"/>
      <c r="O131" s="454"/>
      <c r="P131" s="454"/>
      <c r="Q131" s="454"/>
      <c r="R131" s="466"/>
      <c r="S131" s="454"/>
      <c r="T131" s="466"/>
      <c r="U131" s="454"/>
      <c r="V131" s="454"/>
      <c r="W131" s="454"/>
      <c r="X131" s="466"/>
      <c r="Y131" s="454"/>
      <c r="Z131" s="454"/>
      <c r="AA131" s="454"/>
      <c r="AB131" s="454"/>
      <c r="AC131" s="454"/>
      <c r="AD131" s="454"/>
      <c r="AE131" s="454"/>
      <c r="AF131" s="454"/>
      <c r="AG131" s="454"/>
      <c r="AH131" s="454"/>
      <c r="AI131" s="454"/>
      <c r="AJ131" s="454"/>
      <c r="AK131" s="454"/>
      <c r="AL131" s="227"/>
      <c r="AM131" s="227"/>
      <c r="AN131" s="227"/>
      <c r="AO131" s="227"/>
      <c r="AP131" s="227"/>
      <c r="AQ131" s="227"/>
      <c r="AR131" s="454"/>
      <c r="AS131" s="466"/>
      <c r="AT131" s="466"/>
    </row>
    <row r="132" spans="1:46" x14ac:dyDescent="0.25">
      <c r="A132" s="1249"/>
      <c r="B132" s="316"/>
      <c r="C132" s="466"/>
      <c r="D132" s="466"/>
      <c r="E132" s="466"/>
      <c r="F132" s="466"/>
      <c r="G132" s="466"/>
      <c r="H132" s="466"/>
      <c r="I132" s="466"/>
      <c r="J132" s="466"/>
      <c r="K132" s="466"/>
      <c r="L132" s="466"/>
      <c r="M132" s="454"/>
      <c r="N132" s="454"/>
      <c r="O132" s="454"/>
      <c r="P132" s="454"/>
      <c r="Q132" s="454"/>
      <c r="R132" s="466"/>
      <c r="S132" s="454"/>
      <c r="T132" s="466"/>
      <c r="U132" s="454"/>
      <c r="V132" s="454"/>
      <c r="W132" s="454"/>
      <c r="X132" s="466"/>
      <c r="Y132" s="454"/>
      <c r="Z132" s="454"/>
      <c r="AA132" s="454"/>
      <c r="AB132" s="454"/>
      <c r="AC132" s="454"/>
      <c r="AD132" s="454"/>
      <c r="AE132" s="454"/>
      <c r="AF132" s="454"/>
      <c r="AG132" s="454"/>
      <c r="AH132" s="454"/>
      <c r="AI132" s="454"/>
      <c r="AJ132" s="454"/>
      <c r="AK132" s="454"/>
      <c r="AL132" s="227"/>
      <c r="AM132" s="227"/>
      <c r="AN132" s="227"/>
      <c r="AO132" s="227"/>
      <c r="AP132" s="227"/>
      <c r="AQ132" s="227"/>
      <c r="AR132" s="454"/>
      <c r="AS132" s="466"/>
      <c r="AT132" s="466"/>
    </row>
    <row r="133" spans="1:46" x14ac:dyDescent="0.25">
      <c r="A133" s="1249"/>
      <c r="B133" s="316"/>
      <c r="C133" s="466"/>
      <c r="D133" s="466"/>
      <c r="E133" s="466"/>
      <c r="F133" s="466"/>
      <c r="G133" s="466"/>
      <c r="H133" s="466"/>
      <c r="I133" s="466"/>
      <c r="J133" s="466"/>
      <c r="K133" s="466"/>
      <c r="L133" s="466"/>
      <c r="M133" s="454"/>
      <c r="N133" s="454"/>
      <c r="O133" s="454"/>
      <c r="P133" s="454"/>
      <c r="Q133" s="454"/>
      <c r="R133" s="466"/>
      <c r="S133" s="454"/>
      <c r="T133" s="466"/>
      <c r="U133" s="454"/>
      <c r="V133" s="454"/>
      <c r="W133" s="454"/>
      <c r="X133" s="466"/>
      <c r="Y133" s="454"/>
      <c r="Z133" s="454"/>
      <c r="AA133" s="454"/>
      <c r="AB133" s="454"/>
      <c r="AC133" s="454"/>
      <c r="AD133" s="454"/>
      <c r="AE133" s="454"/>
      <c r="AF133" s="454"/>
      <c r="AG133" s="454"/>
      <c r="AH133" s="454"/>
      <c r="AI133" s="454"/>
      <c r="AJ133" s="454"/>
      <c r="AK133" s="454"/>
      <c r="AL133" s="227"/>
      <c r="AM133" s="227"/>
      <c r="AN133" s="227"/>
      <c r="AO133" s="227"/>
      <c r="AP133" s="227"/>
      <c r="AQ133" s="227"/>
      <c r="AR133" s="454"/>
      <c r="AS133" s="466"/>
      <c r="AT133" s="466"/>
    </row>
    <row r="134" spans="1:46" x14ac:dyDescent="0.25">
      <c r="A134" s="1249"/>
      <c r="B134" s="316"/>
      <c r="C134" s="466"/>
      <c r="D134" s="466"/>
      <c r="E134" s="466"/>
      <c r="F134" s="466"/>
      <c r="G134" s="466"/>
      <c r="H134" s="466"/>
      <c r="I134" s="466"/>
      <c r="J134" s="466"/>
      <c r="K134" s="466"/>
      <c r="L134" s="466"/>
      <c r="M134" s="454"/>
      <c r="N134" s="454"/>
      <c r="O134" s="454"/>
      <c r="P134" s="454"/>
      <c r="Q134" s="454"/>
      <c r="R134" s="466"/>
      <c r="S134" s="454"/>
      <c r="T134" s="466"/>
      <c r="U134" s="454"/>
      <c r="V134" s="454"/>
      <c r="W134" s="454"/>
      <c r="X134" s="466"/>
      <c r="Y134" s="454"/>
      <c r="Z134" s="454"/>
      <c r="AA134" s="454"/>
      <c r="AB134" s="454"/>
      <c r="AC134" s="454"/>
      <c r="AD134" s="454"/>
      <c r="AE134" s="454"/>
      <c r="AF134" s="454"/>
      <c r="AG134" s="454"/>
      <c r="AH134" s="454"/>
      <c r="AI134" s="454"/>
      <c r="AJ134" s="454"/>
      <c r="AK134" s="454"/>
      <c r="AL134" s="227"/>
      <c r="AM134" s="227"/>
      <c r="AN134" s="227"/>
      <c r="AO134" s="227"/>
      <c r="AP134" s="227"/>
      <c r="AQ134" s="227"/>
      <c r="AR134" s="454"/>
      <c r="AS134" s="466"/>
      <c r="AT134" s="466"/>
    </row>
    <row r="135" spans="1:46" x14ac:dyDescent="0.25">
      <c r="A135" s="1249"/>
      <c r="B135" s="316"/>
      <c r="C135" s="466"/>
      <c r="D135" s="466"/>
      <c r="E135" s="466"/>
      <c r="F135" s="466"/>
      <c r="G135" s="466"/>
      <c r="H135" s="466"/>
      <c r="I135" s="466"/>
      <c r="J135" s="466"/>
      <c r="K135" s="466"/>
      <c r="L135" s="466"/>
      <c r="M135" s="454"/>
      <c r="N135" s="454"/>
      <c r="O135" s="454"/>
      <c r="P135" s="454"/>
      <c r="Q135" s="454"/>
      <c r="R135" s="466"/>
      <c r="S135" s="454"/>
      <c r="T135" s="466"/>
      <c r="U135" s="454"/>
      <c r="V135" s="454"/>
      <c r="W135" s="454"/>
      <c r="X135" s="466"/>
      <c r="Y135" s="454"/>
      <c r="Z135" s="454"/>
      <c r="AA135" s="454"/>
      <c r="AB135" s="454"/>
      <c r="AC135" s="454"/>
      <c r="AD135" s="454"/>
      <c r="AE135" s="454"/>
      <c r="AF135" s="454"/>
      <c r="AG135" s="454"/>
      <c r="AH135" s="454"/>
      <c r="AI135" s="454"/>
      <c r="AJ135" s="454"/>
      <c r="AK135" s="454"/>
      <c r="AL135" s="227"/>
      <c r="AM135" s="227"/>
      <c r="AN135" s="227"/>
      <c r="AO135" s="227"/>
      <c r="AP135" s="227"/>
      <c r="AQ135" s="227"/>
      <c r="AR135" s="454"/>
      <c r="AS135" s="466"/>
      <c r="AT135" s="466"/>
    </row>
    <row r="136" spans="1:46" x14ac:dyDescent="0.25">
      <c r="A136" s="1249"/>
      <c r="B136" s="316"/>
      <c r="C136" s="466"/>
      <c r="D136" s="466"/>
      <c r="E136" s="466"/>
      <c r="F136" s="466"/>
      <c r="G136" s="466"/>
      <c r="H136" s="466"/>
      <c r="I136" s="466"/>
      <c r="J136" s="466"/>
      <c r="K136" s="466"/>
      <c r="L136" s="466"/>
      <c r="M136" s="454"/>
      <c r="N136" s="454"/>
      <c r="O136" s="454"/>
      <c r="P136" s="454"/>
      <c r="Q136" s="454"/>
      <c r="R136" s="466"/>
      <c r="S136" s="454"/>
      <c r="T136" s="466"/>
      <c r="U136" s="454"/>
      <c r="V136" s="454"/>
      <c r="W136" s="454"/>
      <c r="X136" s="466"/>
      <c r="Y136" s="454"/>
      <c r="Z136" s="454"/>
      <c r="AA136" s="454"/>
      <c r="AB136" s="454"/>
      <c r="AC136" s="454"/>
      <c r="AD136" s="454"/>
      <c r="AE136" s="454"/>
      <c r="AF136" s="454"/>
      <c r="AG136" s="454"/>
      <c r="AH136" s="454"/>
      <c r="AI136" s="454"/>
      <c r="AJ136" s="454"/>
      <c r="AK136" s="454"/>
      <c r="AL136" s="227"/>
      <c r="AM136" s="227"/>
      <c r="AN136" s="227"/>
      <c r="AO136" s="227"/>
      <c r="AP136" s="227"/>
      <c r="AQ136" s="227"/>
      <c r="AR136" s="454"/>
      <c r="AS136" s="466"/>
      <c r="AT136" s="466"/>
    </row>
    <row r="137" spans="1:46" x14ac:dyDescent="0.25">
      <c r="A137" s="1249"/>
      <c r="B137" s="316"/>
      <c r="C137" s="466"/>
      <c r="D137" s="466"/>
      <c r="E137" s="466"/>
      <c r="F137" s="466"/>
      <c r="G137" s="466"/>
      <c r="H137" s="466"/>
      <c r="I137" s="466"/>
      <c r="J137" s="466"/>
      <c r="K137" s="466"/>
      <c r="L137" s="466"/>
      <c r="M137" s="454"/>
      <c r="N137" s="454"/>
      <c r="O137" s="454"/>
      <c r="P137" s="454"/>
      <c r="Q137" s="454"/>
      <c r="R137" s="466"/>
      <c r="S137" s="454"/>
      <c r="T137" s="466"/>
      <c r="U137" s="454"/>
      <c r="V137" s="454"/>
      <c r="W137" s="454"/>
      <c r="X137" s="466"/>
      <c r="Y137" s="454"/>
      <c r="Z137" s="454"/>
      <c r="AA137" s="454"/>
      <c r="AB137" s="454"/>
      <c r="AC137" s="454"/>
      <c r="AD137" s="454"/>
      <c r="AE137" s="454"/>
      <c r="AF137" s="454"/>
      <c r="AG137" s="454"/>
      <c r="AH137" s="454"/>
      <c r="AI137" s="454"/>
      <c r="AJ137" s="454"/>
      <c r="AK137" s="454"/>
      <c r="AL137" s="227"/>
      <c r="AM137" s="227"/>
      <c r="AN137" s="227"/>
      <c r="AO137" s="227"/>
      <c r="AP137" s="227"/>
      <c r="AQ137" s="227"/>
      <c r="AR137" s="454"/>
      <c r="AS137" s="466"/>
      <c r="AT137" s="466"/>
    </row>
    <row r="138" spans="1:46" x14ac:dyDescent="0.25">
      <c r="A138" s="1249"/>
      <c r="B138" s="316"/>
      <c r="C138" s="466"/>
      <c r="D138" s="466"/>
      <c r="E138" s="466"/>
      <c r="F138" s="466"/>
      <c r="G138" s="466"/>
      <c r="H138" s="466"/>
      <c r="I138" s="466"/>
      <c r="J138" s="466"/>
      <c r="K138" s="466"/>
      <c r="L138" s="466"/>
      <c r="M138" s="454"/>
      <c r="N138" s="454"/>
      <c r="O138" s="454"/>
      <c r="P138" s="454"/>
      <c r="Q138" s="454"/>
      <c r="R138" s="466"/>
      <c r="S138" s="454"/>
      <c r="T138" s="466"/>
      <c r="U138" s="454"/>
      <c r="V138" s="454"/>
      <c r="W138" s="454"/>
      <c r="X138" s="466"/>
      <c r="Y138" s="454"/>
      <c r="Z138" s="454"/>
      <c r="AA138" s="454"/>
      <c r="AB138" s="454"/>
      <c r="AC138" s="454"/>
      <c r="AD138" s="454"/>
      <c r="AE138" s="454"/>
      <c r="AF138" s="454"/>
      <c r="AG138" s="454"/>
      <c r="AH138" s="454"/>
      <c r="AI138" s="454"/>
      <c r="AJ138" s="454"/>
      <c r="AK138" s="454"/>
      <c r="AL138" s="227"/>
      <c r="AM138" s="227"/>
      <c r="AN138" s="227"/>
      <c r="AO138" s="227"/>
      <c r="AP138" s="227"/>
      <c r="AQ138" s="227"/>
      <c r="AR138" s="454"/>
      <c r="AS138" s="466"/>
      <c r="AT138" s="466"/>
    </row>
    <row r="139" spans="1:46" x14ac:dyDescent="0.25">
      <c r="A139" s="1249"/>
      <c r="B139" s="316"/>
      <c r="C139" s="466"/>
      <c r="D139" s="466"/>
      <c r="E139" s="466"/>
      <c r="F139" s="466"/>
      <c r="G139" s="466"/>
      <c r="H139" s="466"/>
      <c r="I139" s="466"/>
      <c r="J139" s="466"/>
      <c r="K139" s="466"/>
      <c r="L139" s="466"/>
      <c r="M139" s="454"/>
      <c r="N139" s="454"/>
      <c r="O139" s="454"/>
      <c r="P139" s="454"/>
      <c r="Q139" s="454"/>
      <c r="R139" s="466"/>
      <c r="S139" s="454"/>
      <c r="T139" s="466"/>
      <c r="U139" s="454"/>
      <c r="V139" s="454"/>
      <c r="W139" s="454"/>
      <c r="X139" s="466"/>
      <c r="Y139" s="454"/>
      <c r="Z139" s="454"/>
      <c r="AA139" s="454"/>
      <c r="AB139" s="454"/>
      <c r="AC139" s="454"/>
      <c r="AD139" s="454"/>
      <c r="AE139" s="454"/>
      <c r="AF139" s="454"/>
      <c r="AG139" s="454"/>
      <c r="AH139" s="454"/>
      <c r="AI139" s="454"/>
      <c r="AJ139" s="454"/>
      <c r="AK139" s="454"/>
      <c r="AL139" s="227"/>
      <c r="AM139" s="227"/>
      <c r="AN139" s="227"/>
      <c r="AO139" s="227"/>
      <c r="AP139" s="227"/>
      <c r="AQ139" s="227"/>
      <c r="AR139" s="454"/>
      <c r="AS139" s="466"/>
      <c r="AT139" s="466"/>
    </row>
    <row r="140" spans="1:46" x14ac:dyDescent="0.25">
      <c r="A140" s="1249"/>
      <c r="B140" s="316"/>
      <c r="C140" s="466"/>
      <c r="D140" s="466"/>
      <c r="E140" s="466"/>
      <c r="F140" s="466"/>
      <c r="G140" s="466"/>
      <c r="H140" s="466"/>
      <c r="I140" s="466"/>
      <c r="J140" s="466"/>
      <c r="K140" s="466"/>
      <c r="L140" s="466"/>
      <c r="M140" s="454"/>
      <c r="N140" s="454"/>
      <c r="O140" s="454"/>
      <c r="P140" s="454"/>
      <c r="Q140" s="454"/>
      <c r="R140" s="466"/>
      <c r="S140" s="454"/>
      <c r="T140" s="466"/>
      <c r="U140" s="454"/>
      <c r="V140" s="454"/>
      <c r="W140" s="454"/>
      <c r="X140" s="466"/>
      <c r="Y140" s="454"/>
      <c r="Z140" s="454"/>
      <c r="AA140" s="454"/>
      <c r="AB140" s="454"/>
      <c r="AC140" s="454"/>
      <c r="AD140" s="454"/>
      <c r="AE140" s="454"/>
      <c r="AF140" s="454"/>
      <c r="AG140" s="454"/>
      <c r="AH140" s="454"/>
      <c r="AI140" s="454"/>
      <c r="AJ140" s="454"/>
      <c r="AK140" s="454"/>
      <c r="AL140" s="227"/>
      <c r="AM140" s="227"/>
      <c r="AN140" s="227"/>
      <c r="AO140" s="227"/>
      <c r="AP140" s="227"/>
      <c r="AQ140" s="227"/>
      <c r="AR140" s="454"/>
      <c r="AS140" s="466"/>
      <c r="AT140" s="466"/>
    </row>
    <row r="141" spans="1:46" x14ac:dyDescent="0.25">
      <c r="A141" s="1249"/>
      <c r="B141" s="316"/>
      <c r="C141" s="466"/>
      <c r="D141" s="466"/>
      <c r="E141" s="466"/>
      <c r="F141" s="466"/>
      <c r="G141" s="466"/>
      <c r="H141" s="466"/>
      <c r="I141" s="466"/>
      <c r="J141" s="466"/>
      <c r="K141" s="466"/>
      <c r="L141" s="466"/>
      <c r="M141" s="454"/>
      <c r="N141" s="454"/>
      <c r="O141" s="454"/>
      <c r="P141" s="454"/>
      <c r="Q141" s="454"/>
      <c r="R141" s="466"/>
      <c r="S141" s="454"/>
      <c r="T141" s="466"/>
      <c r="U141" s="454"/>
      <c r="V141" s="454"/>
      <c r="W141" s="454"/>
      <c r="X141" s="466"/>
      <c r="Y141" s="454"/>
      <c r="Z141" s="454"/>
      <c r="AA141" s="454"/>
      <c r="AB141" s="454"/>
      <c r="AC141" s="454"/>
      <c r="AD141" s="454"/>
      <c r="AE141" s="454"/>
      <c r="AF141" s="454"/>
      <c r="AG141" s="454"/>
      <c r="AH141" s="454"/>
      <c r="AI141" s="454"/>
      <c r="AJ141" s="454"/>
      <c r="AK141" s="454"/>
      <c r="AL141" s="227"/>
      <c r="AM141" s="227"/>
      <c r="AN141" s="227"/>
      <c r="AO141" s="227"/>
      <c r="AP141" s="227"/>
      <c r="AQ141" s="227"/>
      <c r="AR141" s="454"/>
      <c r="AS141" s="466"/>
      <c r="AT141" s="466"/>
    </row>
    <row r="142" spans="1:46" x14ac:dyDescent="0.25">
      <c r="A142" s="1249"/>
      <c r="B142" s="316"/>
      <c r="C142" s="466"/>
      <c r="D142" s="466"/>
      <c r="E142" s="466"/>
      <c r="F142" s="466"/>
      <c r="G142" s="466"/>
      <c r="H142" s="466"/>
      <c r="I142" s="466"/>
      <c r="J142" s="466"/>
      <c r="K142" s="466"/>
      <c r="L142" s="466"/>
      <c r="M142" s="454"/>
      <c r="N142" s="454"/>
      <c r="O142" s="454"/>
      <c r="P142" s="454"/>
      <c r="Q142" s="454"/>
      <c r="R142" s="466"/>
      <c r="S142" s="454"/>
      <c r="T142" s="466"/>
      <c r="U142" s="454"/>
      <c r="V142" s="454"/>
      <c r="W142" s="454"/>
      <c r="X142" s="466"/>
      <c r="Y142" s="454"/>
      <c r="Z142" s="454"/>
      <c r="AA142" s="454"/>
      <c r="AB142" s="454"/>
      <c r="AC142" s="454"/>
      <c r="AD142" s="454"/>
      <c r="AE142" s="454"/>
      <c r="AF142" s="454"/>
      <c r="AG142" s="454"/>
      <c r="AH142" s="454"/>
      <c r="AI142" s="454"/>
      <c r="AJ142" s="454"/>
      <c r="AK142" s="454"/>
      <c r="AL142" s="227"/>
      <c r="AM142" s="227"/>
      <c r="AN142" s="227"/>
      <c r="AO142" s="227"/>
      <c r="AP142" s="227"/>
      <c r="AQ142" s="227"/>
      <c r="AR142" s="454"/>
      <c r="AS142" s="466"/>
      <c r="AT142" s="466"/>
    </row>
    <row r="143" spans="1:46" x14ac:dyDescent="0.25">
      <c r="A143" s="466"/>
      <c r="B143" s="466"/>
      <c r="C143" s="466"/>
      <c r="D143" s="466"/>
      <c r="E143" s="466"/>
      <c r="F143" s="466"/>
      <c r="G143" s="466"/>
      <c r="H143" s="466"/>
      <c r="I143" s="466"/>
      <c r="J143" s="466"/>
      <c r="K143" s="466"/>
      <c r="L143" s="466"/>
      <c r="M143" s="466"/>
      <c r="N143" s="466"/>
      <c r="O143" s="466"/>
      <c r="P143" s="466"/>
      <c r="Q143" s="466"/>
      <c r="R143" s="466"/>
      <c r="S143" s="466"/>
      <c r="T143" s="466"/>
      <c r="U143" s="466"/>
      <c r="V143" s="466"/>
      <c r="W143" s="466"/>
      <c r="X143" s="466"/>
      <c r="Y143" s="466"/>
      <c r="Z143" s="466"/>
      <c r="AA143" s="466"/>
      <c r="AB143" s="466"/>
      <c r="AC143" s="466"/>
      <c r="AD143" s="466"/>
      <c r="AE143" s="466"/>
      <c r="AF143" s="466"/>
      <c r="AG143" s="466"/>
      <c r="AH143" s="466"/>
      <c r="AI143" s="466"/>
      <c r="AJ143" s="466"/>
      <c r="AK143" s="466"/>
      <c r="AL143" s="227"/>
      <c r="AM143" s="227"/>
      <c r="AN143" s="227"/>
      <c r="AO143" s="227"/>
      <c r="AP143" s="227"/>
      <c r="AQ143" s="227"/>
      <c r="AR143" s="454"/>
      <c r="AS143" s="466"/>
      <c r="AT143" s="466"/>
    </row>
    <row r="144" spans="1:46" x14ac:dyDescent="0.25">
      <c r="A144" s="223"/>
      <c r="B144" s="203"/>
      <c r="C144" s="223"/>
      <c r="D144" s="223"/>
      <c r="E144" s="223"/>
      <c r="F144" s="223"/>
      <c r="G144" s="223"/>
      <c r="H144" s="223"/>
      <c r="I144" s="223"/>
      <c r="J144" s="223"/>
      <c r="K144" s="223"/>
      <c r="L144" s="223"/>
      <c r="M144" s="357"/>
      <c r="N144" s="357"/>
      <c r="O144" s="357"/>
      <c r="P144" s="357"/>
      <c r="Q144" s="357"/>
      <c r="R144" s="223"/>
      <c r="S144" s="357"/>
      <c r="T144" s="223"/>
      <c r="U144" s="357"/>
      <c r="V144" s="357"/>
      <c r="W144" s="357"/>
      <c r="X144" s="223"/>
      <c r="Y144" s="357"/>
      <c r="Z144" s="357"/>
      <c r="AA144" s="357"/>
      <c r="AB144" s="357"/>
      <c r="AC144" s="357"/>
      <c r="AD144" s="357"/>
      <c r="AE144" s="357"/>
      <c r="AF144" s="357"/>
      <c r="AG144" s="357"/>
      <c r="AH144" s="357"/>
      <c r="AI144" s="357"/>
      <c r="AJ144" s="357"/>
      <c r="AK144" s="357"/>
      <c r="AL144" s="227"/>
      <c r="AM144" s="227"/>
      <c r="AN144" s="227"/>
      <c r="AO144" s="227"/>
      <c r="AP144" s="227"/>
      <c r="AQ144" s="227"/>
      <c r="AR144" s="454"/>
      <c r="AS144" s="466"/>
      <c r="AT144" s="466"/>
    </row>
    <row r="145" spans="1:46" x14ac:dyDescent="0.25">
      <c r="A145" s="223"/>
      <c r="B145" s="203"/>
      <c r="C145" s="223"/>
      <c r="D145" s="223"/>
      <c r="E145" s="223"/>
      <c r="F145" s="223"/>
      <c r="G145" s="223"/>
      <c r="H145" s="223"/>
      <c r="I145" s="223"/>
      <c r="J145" s="223"/>
      <c r="K145" s="223"/>
      <c r="L145" s="223"/>
      <c r="M145" s="357"/>
      <c r="N145" s="357"/>
      <c r="O145" s="357"/>
      <c r="P145" s="357"/>
      <c r="Q145" s="357"/>
      <c r="R145" s="223"/>
      <c r="S145" s="357"/>
      <c r="T145" s="223"/>
      <c r="U145" s="357"/>
      <c r="V145" s="357"/>
      <c r="W145" s="357"/>
      <c r="X145" s="223"/>
      <c r="Y145" s="357"/>
      <c r="Z145" s="357"/>
      <c r="AA145" s="357"/>
      <c r="AB145" s="357"/>
      <c r="AC145" s="357"/>
      <c r="AD145" s="357"/>
      <c r="AE145" s="357"/>
      <c r="AF145" s="357"/>
      <c r="AG145" s="357"/>
      <c r="AH145" s="357"/>
      <c r="AI145" s="357"/>
      <c r="AJ145" s="357"/>
      <c r="AK145" s="357"/>
      <c r="AL145" s="227"/>
      <c r="AM145" s="227"/>
      <c r="AN145" s="227"/>
      <c r="AO145" s="227"/>
      <c r="AP145" s="227"/>
      <c r="AQ145" s="227"/>
      <c r="AR145" s="454"/>
      <c r="AS145" s="466"/>
      <c r="AT145" s="466"/>
    </row>
    <row r="146" spans="1:46" x14ac:dyDescent="0.25">
      <c r="A146" s="223"/>
      <c r="B146" s="203"/>
      <c r="C146" s="223"/>
      <c r="D146" s="223"/>
      <c r="E146" s="223"/>
      <c r="F146" s="223"/>
      <c r="G146" s="223"/>
      <c r="H146" s="223"/>
      <c r="I146" s="223"/>
      <c r="J146" s="223"/>
      <c r="K146" s="223"/>
      <c r="L146" s="223"/>
      <c r="M146" s="357"/>
      <c r="N146" s="357"/>
      <c r="O146" s="357"/>
      <c r="P146" s="357"/>
      <c r="Q146" s="357"/>
      <c r="R146" s="223"/>
      <c r="S146" s="357"/>
      <c r="T146" s="223"/>
      <c r="U146" s="357"/>
      <c r="V146" s="357"/>
      <c r="W146" s="357"/>
      <c r="X146" s="223"/>
      <c r="Y146" s="357"/>
      <c r="Z146" s="357"/>
      <c r="AA146" s="357"/>
      <c r="AB146" s="357"/>
      <c r="AC146" s="357"/>
      <c r="AD146" s="357"/>
      <c r="AE146" s="357"/>
      <c r="AF146" s="357"/>
      <c r="AG146" s="357"/>
      <c r="AH146" s="357"/>
      <c r="AI146" s="357"/>
      <c r="AJ146" s="357"/>
      <c r="AK146" s="357"/>
      <c r="AL146" s="227"/>
      <c r="AM146" s="227"/>
      <c r="AN146" s="227"/>
      <c r="AO146" s="227"/>
      <c r="AP146" s="227"/>
      <c r="AQ146" s="227"/>
      <c r="AR146" s="454"/>
      <c r="AS146" s="466"/>
      <c r="AT146" s="466"/>
    </row>
    <row r="147" spans="1:46" x14ac:dyDescent="0.25">
      <c r="A147" s="223"/>
      <c r="B147" s="203"/>
      <c r="C147" s="223"/>
      <c r="D147" s="223"/>
      <c r="E147" s="223"/>
      <c r="F147" s="223"/>
      <c r="G147" s="223"/>
      <c r="H147" s="223"/>
      <c r="I147" s="223"/>
      <c r="J147" s="223"/>
      <c r="K147" s="223"/>
      <c r="L147" s="223"/>
      <c r="M147" s="357"/>
      <c r="N147" s="357"/>
      <c r="O147" s="357"/>
      <c r="P147" s="357"/>
      <c r="Q147" s="357"/>
      <c r="R147" s="223"/>
      <c r="S147" s="357"/>
      <c r="T147" s="223"/>
      <c r="U147" s="357"/>
      <c r="V147" s="357"/>
      <c r="W147" s="357"/>
      <c r="X147" s="223"/>
      <c r="Y147" s="357"/>
      <c r="Z147" s="357"/>
      <c r="AA147" s="357"/>
      <c r="AB147" s="357"/>
      <c r="AC147" s="357"/>
      <c r="AD147" s="357"/>
      <c r="AE147" s="357"/>
      <c r="AF147" s="357"/>
      <c r="AG147" s="357"/>
      <c r="AH147" s="357"/>
      <c r="AI147" s="357"/>
      <c r="AJ147" s="357"/>
      <c r="AK147" s="357"/>
      <c r="AL147" s="227"/>
      <c r="AM147" s="227"/>
      <c r="AN147" s="227"/>
      <c r="AO147" s="227"/>
      <c r="AP147" s="227"/>
      <c r="AQ147" s="227"/>
      <c r="AR147" s="454"/>
      <c r="AS147" s="466"/>
      <c r="AT147" s="466"/>
    </row>
    <row r="148" spans="1:46" x14ac:dyDescent="0.25">
      <c r="A148" s="223"/>
      <c r="B148" s="203"/>
      <c r="C148" s="223"/>
      <c r="D148" s="223"/>
      <c r="E148" s="223"/>
      <c r="F148" s="223"/>
      <c r="G148" s="223"/>
      <c r="H148" s="223"/>
      <c r="I148" s="223"/>
      <c r="J148" s="223"/>
      <c r="K148" s="223"/>
      <c r="L148" s="223"/>
      <c r="M148" s="223"/>
      <c r="N148" s="223"/>
      <c r="O148" s="223"/>
      <c r="P148" s="223"/>
      <c r="Q148" s="223"/>
      <c r="R148" s="223"/>
      <c r="S148" s="223"/>
      <c r="T148" s="223"/>
      <c r="U148" s="223"/>
      <c r="V148" s="223"/>
      <c r="W148" s="223"/>
      <c r="X148" s="223"/>
      <c r="Y148" s="223"/>
      <c r="Z148" s="223"/>
      <c r="AA148" s="223"/>
      <c r="AB148" s="223"/>
      <c r="AC148" s="223"/>
      <c r="AD148" s="223"/>
      <c r="AE148" s="223"/>
      <c r="AF148" s="223"/>
      <c r="AG148" s="223"/>
      <c r="AH148" s="223"/>
      <c r="AI148" s="223"/>
      <c r="AJ148" s="223"/>
      <c r="AK148" s="223"/>
      <c r="AL148" s="227"/>
      <c r="AM148" s="227"/>
      <c r="AN148" s="227"/>
      <c r="AO148" s="227"/>
      <c r="AP148" s="227"/>
      <c r="AQ148" s="227"/>
      <c r="AR148" s="454"/>
      <c r="AS148" s="466"/>
      <c r="AT148" s="466"/>
    </row>
    <row r="149" spans="1:46" x14ac:dyDescent="0.25">
      <c r="A149" s="223"/>
      <c r="B149" s="203"/>
      <c r="C149" s="223"/>
      <c r="D149" s="223"/>
      <c r="E149" s="223"/>
      <c r="F149" s="223"/>
      <c r="G149" s="223"/>
      <c r="H149" s="223"/>
      <c r="I149" s="223"/>
      <c r="J149" s="223"/>
      <c r="K149" s="223"/>
      <c r="L149" s="223"/>
      <c r="M149" s="223"/>
      <c r="N149" s="223"/>
      <c r="O149" s="223"/>
      <c r="P149" s="223"/>
      <c r="Q149" s="223"/>
      <c r="R149" s="223"/>
      <c r="S149" s="223"/>
      <c r="T149" s="223"/>
      <c r="U149" s="223"/>
      <c r="V149" s="223"/>
      <c r="W149" s="223"/>
      <c r="X149" s="223"/>
      <c r="Y149" s="223"/>
      <c r="Z149" s="223"/>
      <c r="AA149" s="223"/>
      <c r="AB149" s="223"/>
      <c r="AC149" s="223"/>
      <c r="AD149" s="223"/>
      <c r="AE149" s="223"/>
      <c r="AF149" s="223"/>
      <c r="AG149" s="223"/>
      <c r="AH149" s="223"/>
      <c r="AI149" s="223"/>
      <c r="AJ149" s="223"/>
      <c r="AK149" s="223"/>
      <c r="AL149" s="1262"/>
      <c r="AM149" s="1262"/>
      <c r="AN149" s="466"/>
      <c r="AO149" s="466"/>
      <c r="AP149" s="466"/>
      <c r="AQ149" s="466"/>
      <c r="AR149" s="466"/>
      <c r="AS149" s="466"/>
      <c r="AT149" s="466"/>
    </row>
    <row r="150" spans="1:46" x14ac:dyDescent="0.25">
      <c r="A150" s="1263"/>
      <c r="B150" s="203"/>
      <c r="C150" s="223"/>
      <c r="D150" s="223"/>
      <c r="E150" s="223"/>
      <c r="F150" s="223"/>
      <c r="G150" s="223"/>
      <c r="H150" s="223"/>
      <c r="I150" s="223"/>
      <c r="J150" s="223"/>
      <c r="K150" s="223"/>
      <c r="L150" s="223"/>
      <c r="M150" s="223"/>
      <c r="N150" s="223"/>
      <c r="O150" s="223"/>
      <c r="P150" s="223"/>
      <c r="Q150" s="223"/>
      <c r="R150" s="223"/>
      <c r="S150" s="223"/>
      <c r="T150" s="223"/>
      <c r="U150" s="223"/>
      <c r="V150" s="223"/>
      <c r="W150" s="223"/>
      <c r="X150" s="223"/>
      <c r="Y150" s="223"/>
      <c r="Z150" s="223"/>
      <c r="AA150" s="223"/>
      <c r="AB150" s="223"/>
      <c r="AC150" s="223"/>
      <c r="AD150" s="223"/>
      <c r="AE150" s="223"/>
      <c r="AF150" s="223"/>
      <c r="AG150" s="223"/>
      <c r="AH150" s="223"/>
      <c r="AI150" s="223"/>
      <c r="AJ150" s="223"/>
      <c r="AK150" s="223"/>
      <c r="AL150" s="1262"/>
      <c r="AM150" s="1262"/>
      <c r="AN150" s="466"/>
      <c r="AO150" s="466"/>
      <c r="AP150" s="466"/>
      <c r="AQ150" s="466"/>
      <c r="AR150" s="466"/>
      <c r="AS150" s="466"/>
      <c r="AT150" s="466"/>
    </row>
    <row r="151" spans="1:46" x14ac:dyDescent="0.25">
      <c r="A151" s="190"/>
      <c r="B151" s="203"/>
      <c r="C151" s="223"/>
      <c r="D151" s="223"/>
      <c r="E151" s="223"/>
      <c r="F151" s="223"/>
      <c r="G151" s="223"/>
      <c r="H151" s="223"/>
      <c r="I151" s="223"/>
      <c r="J151" s="223"/>
      <c r="K151" s="223"/>
      <c r="L151" s="223"/>
      <c r="M151" s="466"/>
      <c r="N151" s="466"/>
      <c r="O151" s="466"/>
      <c r="P151" s="466"/>
      <c r="Q151" s="466"/>
      <c r="R151" s="223"/>
      <c r="S151" s="223"/>
      <c r="T151" s="223"/>
      <c r="U151" s="223"/>
      <c r="V151" s="223"/>
      <c r="W151" s="223"/>
      <c r="X151" s="223"/>
      <c r="Y151" s="1264"/>
      <c r="Z151" s="1264"/>
      <c r="AA151" s="1264"/>
      <c r="AB151" s="1264"/>
      <c r="AC151" s="1264"/>
      <c r="AD151" s="1264"/>
      <c r="AE151" s="1264"/>
      <c r="AF151" s="1264"/>
      <c r="AG151" s="1264"/>
      <c r="AH151" s="1264"/>
      <c r="AI151" s="1264"/>
      <c r="AJ151" s="1264"/>
      <c r="AK151" s="1264"/>
      <c r="AL151" s="1262"/>
      <c r="AM151" s="1262"/>
      <c r="AN151" s="466"/>
      <c r="AO151" s="466"/>
      <c r="AP151" s="466"/>
      <c r="AQ151" s="466"/>
      <c r="AR151" s="466"/>
      <c r="AS151" s="466"/>
      <c r="AT151" s="466"/>
    </row>
    <row r="152" spans="1:46" x14ac:dyDescent="0.25">
      <c r="A152" s="1263"/>
      <c r="B152" s="203"/>
      <c r="C152" s="223"/>
      <c r="D152" s="223"/>
      <c r="E152" s="223"/>
      <c r="F152" s="223"/>
      <c r="G152" s="223"/>
      <c r="H152" s="223"/>
      <c r="I152" s="223"/>
      <c r="J152" s="223"/>
      <c r="K152" s="223"/>
      <c r="L152" s="223"/>
      <c r="M152" s="223"/>
      <c r="N152" s="223"/>
      <c r="O152" s="223"/>
      <c r="P152" s="223"/>
      <c r="Q152" s="223"/>
      <c r="R152" s="223"/>
      <c r="S152" s="223"/>
      <c r="T152" s="223"/>
      <c r="U152" s="223"/>
      <c r="V152" s="223"/>
      <c r="W152" s="223"/>
      <c r="X152" s="223"/>
      <c r="Y152" s="223"/>
      <c r="Z152" s="223"/>
      <c r="AA152" s="223"/>
      <c r="AB152" s="223"/>
      <c r="AC152" s="223"/>
      <c r="AD152" s="223"/>
      <c r="AE152" s="223"/>
      <c r="AF152" s="223"/>
      <c r="AG152" s="223"/>
      <c r="AH152" s="223"/>
      <c r="AI152" s="223"/>
      <c r="AJ152" s="223"/>
      <c r="AK152" s="223"/>
      <c r="AL152" s="1262"/>
      <c r="AM152" s="1262"/>
      <c r="AN152" s="466"/>
      <c r="AO152" s="466"/>
      <c r="AP152" s="466"/>
      <c r="AQ152" s="466"/>
      <c r="AR152" s="466"/>
      <c r="AS152" s="466"/>
      <c r="AT152" s="466"/>
    </row>
    <row r="153" spans="1:46" x14ac:dyDescent="0.25">
      <c r="A153" s="1263"/>
      <c r="B153" s="203"/>
      <c r="C153" s="223"/>
      <c r="D153" s="223"/>
      <c r="E153" s="223"/>
      <c r="F153" s="223"/>
      <c r="G153" s="223"/>
      <c r="H153" s="223"/>
      <c r="I153" s="223"/>
      <c r="J153" s="223"/>
      <c r="K153" s="223"/>
      <c r="L153" s="223"/>
      <c r="M153" s="223"/>
      <c r="N153" s="223"/>
      <c r="O153" s="223"/>
      <c r="P153" s="223"/>
      <c r="Q153" s="223"/>
      <c r="R153" s="223"/>
      <c r="S153" s="223"/>
      <c r="T153" s="223"/>
      <c r="U153" s="223"/>
      <c r="V153" s="223"/>
      <c r="W153" s="223"/>
      <c r="X153" s="223"/>
      <c r="Y153" s="223"/>
      <c r="Z153" s="223"/>
      <c r="AA153" s="223"/>
      <c r="AB153" s="223"/>
      <c r="AC153" s="223"/>
      <c r="AD153" s="223"/>
      <c r="AE153" s="223"/>
      <c r="AF153" s="223"/>
      <c r="AG153" s="223"/>
      <c r="AH153" s="223"/>
      <c r="AI153" s="223"/>
      <c r="AJ153" s="223"/>
      <c r="AK153" s="223"/>
      <c r="AL153" s="1262"/>
      <c r="AM153" s="1262"/>
      <c r="AN153" s="466"/>
      <c r="AO153" s="466"/>
      <c r="AP153" s="466"/>
      <c r="AQ153" s="466"/>
      <c r="AR153" s="466"/>
      <c r="AS153" s="466"/>
      <c r="AT153" s="466"/>
    </row>
    <row r="154" spans="1:46" x14ac:dyDescent="0.25">
      <c r="A154" s="190"/>
      <c r="B154" s="203"/>
      <c r="C154" s="223"/>
      <c r="D154" s="223"/>
      <c r="E154" s="223"/>
      <c r="F154" s="223"/>
      <c r="G154" s="223"/>
      <c r="H154" s="223"/>
      <c r="I154" s="223"/>
      <c r="J154" s="223"/>
      <c r="K154" s="223"/>
      <c r="L154" s="223"/>
      <c r="M154" s="223"/>
      <c r="N154" s="223"/>
      <c r="O154" s="223"/>
      <c r="P154" s="223"/>
      <c r="Q154" s="223"/>
      <c r="R154" s="223"/>
      <c r="S154" s="223"/>
      <c r="T154" s="223"/>
      <c r="U154" s="223"/>
      <c r="V154" s="223"/>
      <c r="W154" s="223"/>
      <c r="X154" s="223"/>
      <c r="Y154" s="223"/>
      <c r="Z154" s="223"/>
      <c r="AA154" s="223"/>
      <c r="AB154" s="223"/>
      <c r="AC154" s="223"/>
      <c r="AD154" s="223"/>
      <c r="AE154" s="223"/>
      <c r="AF154" s="223"/>
      <c r="AG154" s="223"/>
      <c r="AH154" s="223"/>
      <c r="AI154" s="223"/>
      <c r="AJ154" s="223"/>
      <c r="AK154" s="223"/>
      <c r="AL154" s="1262"/>
      <c r="AM154" s="1262"/>
      <c r="AN154" s="466"/>
      <c r="AO154" s="466"/>
      <c r="AP154" s="466"/>
      <c r="AQ154" s="466"/>
      <c r="AR154" s="466"/>
      <c r="AS154" s="466"/>
      <c r="AT154" s="466"/>
    </row>
    <row r="155" spans="1:46" x14ac:dyDescent="0.25">
      <c r="A155" s="1249"/>
      <c r="B155" s="316"/>
      <c r="C155" s="466"/>
      <c r="D155" s="466"/>
      <c r="E155" s="466"/>
      <c r="F155" s="466"/>
      <c r="G155" s="466"/>
      <c r="H155" s="466"/>
      <c r="I155" s="466"/>
      <c r="J155" s="466"/>
      <c r="K155" s="466"/>
      <c r="L155" s="466"/>
      <c r="M155" s="466"/>
      <c r="N155" s="466"/>
      <c r="O155" s="466"/>
      <c r="P155" s="466"/>
      <c r="Q155" s="466"/>
      <c r="R155" s="466"/>
      <c r="S155" s="466"/>
      <c r="T155" s="466"/>
      <c r="U155" s="466"/>
      <c r="V155" s="466"/>
      <c r="W155" s="466"/>
      <c r="X155" s="466"/>
      <c r="Y155" s="466"/>
      <c r="Z155" s="466"/>
      <c r="AA155" s="466"/>
      <c r="AB155" s="466"/>
      <c r="AC155" s="466"/>
      <c r="AD155" s="466"/>
      <c r="AE155" s="466"/>
      <c r="AF155" s="466"/>
      <c r="AG155" s="466"/>
      <c r="AH155" s="466"/>
      <c r="AI155" s="466"/>
      <c r="AJ155" s="466"/>
      <c r="AK155" s="466"/>
      <c r="AL155" s="1262"/>
      <c r="AM155" s="1262"/>
      <c r="AN155" s="466"/>
      <c r="AO155" s="466"/>
      <c r="AP155" s="466"/>
      <c r="AQ155" s="466"/>
      <c r="AR155" s="466"/>
      <c r="AS155" s="466"/>
      <c r="AT155" s="466"/>
    </row>
    <row r="156" spans="1:46" x14ac:dyDescent="0.25">
      <c r="A156" s="466"/>
      <c r="B156" s="466"/>
      <c r="C156" s="466"/>
      <c r="D156" s="466"/>
      <c r="E156" s="466"/>
      <c r="F156" s="466"/>
      <c r="G156" s="466"/>
      <c r="H156" s="466"/>
      <c r="I156" s="466"/>
      <c r="J156" s="466"/>
      <c r="K156" s="466"/>
      <c r="L156" s="466"/>
      <c r="M156" s="466"/>
      <c r="N156" s="466"/>
      <c r="O156" s="466"/>
      <c r="P156" s="466"/>
      <c r="Q156" s="466"/>
      <c r="R156" s="466"/>
      <c r="S156" s="466"/>
      <c r="T156" s="466"/>
      <c r="U156" s="466"/>
      <c r="V156" s="466"/>
      <c r="W156" s="466"/>
      <c r="X156" s="466"/>
      <c r="Y156" s="466"/>
      <c r="Z156" s="466"/>
      <c r="AA156" s="466"/>
      <c r="AB156" s="466"/>
      <c r="AC156" s="466"/>
      <c r="AD156" s="466"/>
      <c r="AE156" s="466"/>
      <c r="AF156" s="466"/>
      <c r="AG156" s="466"/>
      <c r="AH156" s="466"/>
      <c r="AI156" s="466"/>
      <c r="AJ156" s="466"/>
      <c r="AK156" s="466"/>
      <c r="AL156" s="1262"/>
      <c r="AM156" s="1262"/>
      <c r="AN156" s="466"/>
      <c r="AO156" s="466"/>
      <c r="AP156" s="466"/>
      <c r="AQ156" s="466"/>
      <c r="AR156" s="466"/>
      <c r="AS156" s="466"/>
      <c r="AT156" s="466"/>
    </row>
    <row r="157" spans="1:46" x14ac:dyDescent="0.25">
      <c r="A157" s="1261"/>
      <c r="B157" s="466"/>
      <c r="C157" s="227"/>
      <c r="D157" s="227"/>
      <c r="E157" s="227"/>
      <c r="F157" s="466"/>
      <c r="G157" s="466"/>
      <c r="H157" s="466"/>
      <c r="I157" s="466"/>
      <c r="J157" s="466"/>
      <c r="K157" s="466"/>
      <c r="L157" s="466"/>
      <c r="M157" s="466"/>
      <c r="N157" s="466"/>
      <c r="O157" s="466"/>
      <c r="P157" s="466"/>
      <c r="Q157" s="466"/>
      <c r="R157" s="466"/>
      <c r="S157" s="466"/>
      <c r="T157" s="466"/>
      <c r="U157" s="466"/>
      <c r="V157" s="466"/>
      <c r="W157" s="466"/>
      <c r="X157" s="466"/>
      <c r="Y157" s="466"/>
      <c r="Z157" s="466"/>
      <c r="AA157" s="466"/>
      <c r="AB157" s="466"/>
      <c r="AC157" s="466"/>
      <c r="AD157" s="466"/>
      <c r="AE157" s="466"/>
      <c r="AF157" s="466"/>
      <c r="AG157" s="466"/>
      <c r="AH157" s="466"/>
      <c r="AI157" s="466"/>
      <c r="AJ157" s="466"/>
      <c r="AK157" s="466"/>
      <c r="AL157" s="1262"/>
      <c r="AM157" s="1262"/>
      <c r="AN157" s="466"/>
      <c r="AO157" s="466"/>
      <c r="AP157" s="466"/>
      <c r="AQ157" s="466"/>
      <c r="AR157" s="466"/>
      <c r="AS157" s="466"/>
      <c r="AT157" s="466"/>
    </row>
    <row r="158" spans="1:46" x14ac:dyDescent="0.25">
      <c r="A158" s="1265"/>
      <c r="B158" s="227"/>
      <c r="C158" s="227"/>
      <c r="D158" s="227"/>
      <c r="E158" s="227"/>
      <c r="F158" s="466"/>
      <c r="G158" s="466"/>
      <c r="H158" s="466"/>
      <c r="I158" s="466"/>
      <c r="J158" s="466"/>
      <c r="K158" s="466"/>
      <c r="L158" s="466"/>
      <c r="M158" s="454"/>
      <c r="N158" s="454"/>
      <c r="O158" s="454"/>
      <c r="P158" s="454"/>
      <c r="Q158" s="454"/>
      <c r="R158" s="454"/>
      <c r="S158" s="454"/>
      <c r="T158" s="454"/>
      <c r="U158" s="454"/>
      <c r="V158" s="454"/>
      <c r="W158" s="454"/>
      <c r="X158" s="454"/>
      <c r="Y158" s="454"/>
      <c r="Z158" s="454"/>
      <c r="AA158" s="454"/>
      <c r="AB158" s="454"/>
      <c r="AC158" s="454"/>
      <c r="AD158" s="454"/>
      <c r="AE158" s="454"/>
      <c r="AF158" s="454"/>
      <c r="AG158" s="454"/>
      <c r="AH158" s="454"/>
      <c r="AI158" s="454"/>
      <c r="AJ158" s="454"/>
      <c r="AK158" s="454"/>
      <c r="AL158" s="227"/>
      <c r="AM158" s="1262"/>
      <c r="AN158" s="466"/>
      <c r="AO158" s="466"/>
      <c r="AP158" s="466"/>
      <c r="AQ158" s="466"/>
      <c r="AR158" s="466"/>
      <c r="AS158" s="466"/>
      <c r="AT158" s="466"/>
    </row>
    <row r="159" spans="1:46" x14ac:dyDescent="0.25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F159" s="227"/>
      <c r="AG159" s="227"/>
      <c r="AH159" s="227"/>
      <c r="AI159" s="227"/>
      <c r="AJ159" s="227"/>
      <c r="AK159" s="227"/>
      <c r="AL159" s="466"/>
      <c r="AM159" s="1262"/>
      <c r="AN159" s="466"/>
      <c r="AO159" s="466"/>
      <c r="AP159" s="466"/>
      <c r="AQ159" s="466"/>
      <c r="AR159" s="466"/>
      <c r="AS159" s="466"/>
      <c r="AT159" s="466"/>
    </row>
    <row r="160" spans="1:46" x14ac:dyDescent="0.25">
      <c r="A160" s="227"/>
      <c r="B160" s="466"/>
      <c r="C160" s="227"/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F160" s="227"/>
      <c r="AG160" s="227"/>
      <c r="AH160" s="227"/>
      <c r="AI160" s="227"/>
      <c r="AJ160" s="227"/>
      <c r="AK160" s="227"/>
      <c r="AL160" s="227"/>
      <c r="AM160" s="227"/>
      <c r="AN160" s="227"/>
      <c r="AO160" s="227"/>
      <c r="AP160" s="227"/>
      <c r="AQ160" s="466"/>
      <c r="AR160" s="466"/>
      <c r="AS160" s="466"/>
      <c r="AT160" s="466"/>
    </row>
    <row r="161" spans="1:46" x14ac:dyDescent="0.25">
      <c r="A161" s="227"/>
      <c r="B161" s="227"/>
      <c r="C161" s="227"/>
      <c r="D161" s="227"/>
      <c r="E161" s="227"/>
      <c r="F161" s="227"/>
      <c r="G161" s="227"/>
      <c r="H161" s="227"/>
      <c r="I161" s="227"/>
      <c r="J161" s="227"/>
      <c r="K161" s="227"/>
      <c r="L161" s="227"/>
      <c r="M161" s="208"/>
      <c r="N161" s="208"/>
      <c r="O161" s="208"/>
      <c r="P161" s="208"/>
      <c r="Q161" s="208"/>
      <c r="R161" s="466"/>
      <c r="S161" s="466"/>
      <c r="T161" s="466"/>
      <c r="U161" s="208"/>
      <c r="V161" s="208"/>
      <c r="W161" s="208"/>
      <c r="X161" s="466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27"/>
      <c r="AM161" s="227"/>
      <c r="AN161" s="227"/>
      <c r="AO161" s="227"/>
      <c r="AP161" s="227"/>
      <c r="AQ161" s="466"/>
      <c r="AR161" s="466"/>
      <c r="AS161" s="466"/>
      <c r="AT161" s="466"/>
    </row>
    <row r="162" spans="1:46" x14ac:dyDescent="0.25">
      <c r="A162" s="227"/>
      <c r="B162" s="227"/>
      <c r="C162" s="227"/>
      <c r="D162" s="227"/>
      <c r="E162" s="227"/>
      <c r="F162" s="227"/>
      <c r="G162" s="227"/>
      <c r="H162" s="227"/>
      <c r="I162" s="227"/>
      <c r="J162" s="227"/>
      <c r="K162" s="227"/>
      <c r="L162" s="227"/>
      <c r="M162" s="227"/>
      <c r="N162" s="227"/>
      <c r="O162" s="227"/>
      <c r="P162" s="227"/>
      <c r="Q162" s="227"/>
      <c r="R162" s="227"/>
      <c r="S162" s="208"/>
      <c r="T162" s="227"/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F162" s="227"/>
      <c r="AG162" s="227"/>
      <c r="AH162" s="227"/>
      <c r="AI162" s="227"/>
      <c r="AJ162" s="227"/>
      <c r="AK162" s="227"/>
      <c r="AL162" s="466"/>
      <c r="AM162" s="227"/>
      <c r="AN162" s="227"/>
      <c r="AO162" s="227"/>
      <c r="AP162" s="466"/>
      <c r="AQ162" s="466"/>
      <c r="AR162" s="466"/>
      <c r="AS162" s="466"/>
      <c r="AT162" s="466"/>
    </row>
    <row r="163" spans="1:46" x14ac:dyDescent="0.25">
      <c r="A163" s="227"/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  <c r="L163" s="227"/>
      <c r="M163" s="227"/>
      <c r="N163" s="227"/>
      <c r="O163" s="227"/>
      <c r="P163" s="227"/>
      <c r="Q163" s="227"/>
      <c r="R163" s="227"/>
      <c r="S163" s="227"/>
      <c r="T163" s="227"/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F163" s="227"/>
      <c r="AG163" s="227"/>
      <c r="AH163" s="227"/>
      <c r="AI163" s="227"/>
      <c r="AJ163" s="227"/>
      <c r="AK163" s="227"/>
      <c r="AL163" s="466"/>
      <c r="AM163" s="227"/>
      <c r="AN163" s="227"/>
      <c r="AO163" s="227"/>
      <c r="AP163" s="466"/>
      <c r="AQ163" s="466"/>
      <c r="AR163" s="466"/>
      <c r="AS163" s="466"/>
      <c r="AT163" s="466"/>
    </row>
    <row r="164" spans="1:46" x14ac:dyDescent="0.25">
      <c r="A164" s="227"/>
      <c r="B164" s="227"/>
      <c r="C164" s="227"/>
      <c r="D164" s="227"/>
      <c r="E164" s="227"/>
      <c r="F164" s="227"/>
      <c r="G164" s="227"/>
      <c r="H164" s="227"/>
      <c r="I164" s="466"/>
      <c r="J164" s="466"/>
      <c r="K164" s="466"/>
      <c r="L164" s="466"/>
      <c r="M164" s="454"/>
      <c r="N164" s="454"/>
      <c r="O164" s="454"/>
      <c r="P164" s="454"/>
      <c r="Q164" s="454"/>
      <c r="R164" s="227"/>
      <c r="S164" s="454"/>
      <c r="T164" s="454"/>
      <c r="U164" s="454"/>
      <c r="V164" s="454"/>
      <c r="W164" s="454"/>
      <c r="X164" s="454"/>
      <c r="Y164" s="454"/>
      <c r="Z164" s="454"/>
      <c r="AA164" s="454"/>
      <c r="AB164" s="454"/>
      <c r="AC164" s="454"/>
      <c r="AD164" s="454"/>
      <c r="AE164" s="454"/>
      <c r="AF164" s="454"/>
      <c r="AG164" s="454"/>
      <c r="AH164" s="454"/>
      <c r="AI164" s="454"/>
      <c r="AJ164" s="454"/>
      <c r="AK164" s="454"/>
      <c r="AL164" s="466"/>
      <c r="AM164" s="454"/>
      <c r="AN164" s="227"/>
      <c r="AO164" s="454"/>
      <c r="AP164" s="466"/>
      <c r="AQ164" s="466"/>
      <c r="AR164" s="466"/>
      <c r="AS164" s="466"/>
      <c r="AT164" s="466"/>
    </row>
    <row r="165" spans="1:46" x14ac:dyDescent="0.25">
      <c r="A165" s="227"/>
      <c r="B165" s="227"/>
      <c r="C165" s="227"/>
      <c r="D165" s="227"/>
      <c r="E165" s="227"/>
      <c r="F165" s="227"/>
      <c r="G165" s="227"/>
      <c r="H165" s="227"/>
      <c r="I165" s="466"/>
      <c r="J165" s="466"/>
      <c r="K165" s="466"/>
      <c r="L165" s="466"/>
      <c r="M165" s="454"/>
      <c r="N165" s="454"/>
      <c r="O165" s="454"/>
      <c r="P165" s="454"/>
      <c r="Q165" s="454"/>
      <c r="R165" s="227"/>
      <c r="S165" s="466"/>
      <c r="T165" s="454"/>
      <c r="U165" s="454"/>
      <c r="V165" s="454"/>
      <c r="W165" s="454"/>
      <c r="X165" s="454"/>
      <c r="Y165" s="454"/>
      <c r="Z165" s="454"/>
      <c r="AA165" s="454"/>
      <c r="AB165" s="454"/>
      <c r="AC165" s="454"/>
      <c r="AD165" s="454"/>
      <c r="AE165" s="454"/>
      <c r="AF165" s="454"/>
      <c r="AG165" s="454"/>
      <c r="AH165" s="454"/>
      <c r="AI165" s="454"/>
      <c r="AJ165" s="454"/>
      <c r="AK165" s="454"/>
      <c r="AL165" s="466"/>
      <c r="AM165" s="227"/>
      <c r="AN165" s="227"/>
      <c r="AO165" s="227"/>
      <c r="AP165" s="227"/>
      <c r="AQ165" s="466"/>
      <c r="AR165" s="466"/>
      <c r="AS165" s="466"/>
      <c r="AT165" s="466"/>
    </row>
    <row r="166" spans="1:46" x14ac:dyDescent="0.25">
      <c r="A166" s="227"/>
      <c r="B166" s="227"/>
      <c r="C166" s="227"/>
      <c r="D166" s="227"/>
      <c r="E166" s="227"/>
      <c r="F166" s="227"/>
      <c r="G166" s="227"/>
      <c r="H166" s="227"/>
      <c r="I166" s="466"/>
      <c r="J166" s="466"/>
      <c r="K166" s="466"/>
      <c r="L166" s="466"/>
      <c r="M166" s="466"/>
      <c r="N166" s="466"/>
      <c r="O166" s="466"/>
      <c r="P166" s="466"/>
      <c r="Q166" s="466"/>
      <c r="R166" s="227"/>
      <c r="S166" s="466"/>
      <c r="T166" s="466"/>
      <c r="U166" s="466"/>
      <c r="V166" s="466"/>
      <c r="W166" s="466"/>
      <c r="X166" s="466"/>
      <c r="Y166" s="466"/>
      <c r="Z166" s="466"/>
      <c r="AA166" s="466"/>
      <c r="AB166" s="466"/>
      <c r="AC166" s="466"/>
      <c r="AD166" s="466"/>
      <c r="AE166" s="466"/>
      <c r="AF166" s="466"/>
      <c r="AG166" s="466"/>
      <c r="AH166" s="466"/>
      <c r="AI166" s="466"/>
      <c r="AJ166" s="466"/>
      <c r="AK166" s="466"/>
      <c r="AL166" s="466"/>
      <c r="AM166" s="227"/>
      <c r="AN166" s="359"/>
      <c r="AO166" s="359"/>
      <c r="AP166" s="359"/>
      <c r="AQ166" s="359"/>
      <c r="AR166" s="359"/>
      <c r="AS166" s="466"/>
      <c r="AT166" s="466"/>
    </row>
    <row r="167" spans="1:46" x14ac:dyDescent="0.25">
      <c r="A167" s="227"/>
      <c r="B167" s="227"/>
      <c r="C167" s="227"/>
      <c r="D167" s="227"/>
      <c r="E167" s="227"/>
      <c r="F167" s="227"/>
      <c r="G167" s="227"/>
      <c r="H167" s="227"/>
      <c r="I167" s="466"/>
      <c r="J167" s="466"/>
      <c r="K167" s="466"/>
      <c r="L167" s="466"/>
      <c r="M167" s="466"/>
      <c r="N167" s="466"/>
      <c r="O167" s="466"/>
      <c r="P167" s="466"/>
      <c r="Q167" s="466"/>
      <c r="R167" s="227"/>
      <c r="S167" s="466"/>
      <c r="T167" s="466"/>
      <c r="U167" s="466"/>
      <c r="V167" s="466"/>
      <c r="W167" s="466"/>
      <c r="X167" s="466"/>
      <c r="Y167" s="466"/>
      <c r="Z167" s="466"/>
      <c r="AA167" s="466"/>
      <c r="AB167" s="466"/>
      <c r="AC167" s="466"/>
      <c r="AD167" s="466"/>
      <c r="AE167" s="466"/>
      <c r="AF167" s="466"/>
      <c r="AG167" s="466"/>
      <c r="AH167" s="466"/>
      <c r="AI167" s="466"/>
      <c r="AJ167" s="466"/>
      <c r="AK167" s="466"/>
      <c r="AL167" s="466"/>
      <c r="AM167" s="227"/>
      <c r="AN167" s="359"/>
      <c r="AO167" s="359"/>
      <c r="AP167" s="359"/>
      <c r="AQ167" s="359"/>
      <c r="AR167" s="359"/>
      <c r="AS167" s="466"/>
      <c r="AT167" s="466"/>
    </row>
    <row r="168" spans="1:46" x14ac:dyDescent="0.25">
      <c r="A168" s="227"/>
      <c r="B168" s="227"/>
      <c r="C168" s="227"/>
      <c r="D168" s="227"/>
      <c r="E168" s="227"/>
      <c r="F168" s="227"/>
      <c r="G168" s="227"/>
      <c r="H168" s="227"/>
      <c r="I168" s="466"/>
      <c r="J168" s="466"/>
      <c r="K168" s="466"/>
      <c r="L168" s="466"/>
      <c r="M168" s="466"/>
      <c r="N168" s="466"/>
      <c r="O168" s="466"/>
      <c r="P168" s="466"/>
      <c r="Q168" s="466"/>
      <c r="R168" s="227"/>
      <c r="S168" s="466"/>
      <c r="T168" s="466"/>
      <c r="U168" s="466"/>
      <c r="V168" s="466"/>
      <c r="W168" s="466"/>
      <c r="X168" s="466"/>
      <c r="Y168" s="466"/>
      <c r="Z168" s="466"/>
      <c r="AA168" s="466"/>
      <c r="AB168" s="466"/>
      <c r="AC168" s="466"/>
      <c r="AD168" s="466"/>
      <c r="AE168" s="466"/>
      <c r="AF168" s="466"/>
      <c r="AG168" s="466"/>
      <c r="AH168" s="466"/>
      <c r="AI168" s="466"/>
      <c r="AJ168" s="466"/>
      <c r="AK168" s="466"/>
      <c r="AL168" s="466"/>
      <c r="AM168" s="227"/>
      <c r="AN168" s="359"/>
      <c r="AO168" s="359"/>
      <c r="AP168" s="359"/>
      <c r="AQ168" s="359"/>
      <c r="AR168" s="359"/>
      <c r="AS168" s="466"/>
      <c r="AT168" s="466"/>
    </row>
    <row r="169" spans="1:46" x14ac:dyDescent="0.25">
      <c r="A169" s="227"/>
      <c r="B169" s="227"/>
      <c r="C169" s="227"/>
      <c r="D169" s="227"/>
      <c r="E169" s="227"/>
      <c r="F169" s="227"/>
      <c r="G169" s="227"/>
      <c r="H169" s="227"/>
      <c r="I169" s="466"/>
      <c r="J169" s="466"/>
      <c r="K169" s="466"/>
      <c r="L169" s="466"/>
      <c r="M169" s="466"/>
      <c r="N169" s="466"/>
      <c r="O169" s="466"/>
      <c r="P169" s="466"/>
      <c r="Q169" s="466"/>
      <c r="R169" s="227"/>
      <c r="S169" s="466"/>
      <c r="T169" s="466"/>
      <c r="U169" s="466"/>
      <c r="V169" s="466"/>
      <c r="W169" s="466"/>
      <c r="X169" s="466"/>
      <c r="Y169" s="466"/>
      <c r="Z169" s="466"/>
      <c r="AA169" s="466"/>
      <c r="AB169" s="466"/>
      <c r="AC169" s="466"/>
      <c r="AD169" s="466"/>
      <c r="AE169" s="466"/>
      <c r="AF169" s="466"/>
      <c r="AG169" s="466"/>
      <c r="AH169" s="466"/>
      <c r="AI169" s="466"/>
      <c r="AJ169" s="466"/>
      <c r="AK169" s="466"/>
      <c r="AL169" s="466"/>
      <c r="AM169" s="227"/>
      <c r="AN169" s="359"/>
      <c r="AO169" s="359"/>
      <c r="AP169" s="359"/>
      <c r="AQ169" s="359"/>
      <c r="AR169" s="359"/>
      <c r="AS169" s="466"/>
      <c r="AT169" s="466"/>
    </row>
    <row r="170" spans="1:46" x14ac:dyDescent="0.25">
      <c r="A170" s="227"/>
      <c r="B170" s="227"/>
      <c r="C170" s="227"/>
      <c r="D170" s="227"/>
      <c r="E170" s="227"/>
      <c r="F170" s="227"/>
      <c r="G170" s="227"/>
      <c r="H170" s="227"/>
      <c r="I170" s="466"/>
      <c r="J170" s="466"/>
      <c r="K170" s="466"/>
      <c r="L170" s="466"/>
      <c r="M170" s="466"/>
      <c r="N170" s="466"/>
      <c r="O170" s="466"/>
      <c r="P170" s="466"/>
      <c r="Q170" s="466"/>
      <c r="R170" s="227"/>
      <c r="S170" s="466"/>
      <c r="T170" s="466"/>
      <c r="U170" s="466"/>
      <c r="V170" s="466"/>
      <c r="W170" s="466"/>
      <c r="X170" s="466"/>
      <c r="Y170" s="466"/>
      <c r="Z170" s="466"/>
      <c r="AA170" s="466"/>
      <c r="AB170" s="466"/>
      <c r="AC170" s="466"/>
      <c r="AD170" s="466"/>
      <c r="AE170" s="466"/>
      <c r="AF170" s="466"/>
      <c r="AG170" s="466"/>
      <c r="AH170" s="466"/>
      <c r="AI170" s="466"/>
      <c r="AJ170" s="466"/>
      <c r="AK170" s="466"/>
      <c r="AL170" s="466"/>
      <c r="AM170" s="466"/>
      <c r="AN170" s="359"/>
      <c r="AO170" s="359"/>
      <c r="AP170" s="359"/>
      <c r="AQ170" s="359"/>
      <c r="AR170" s="359"/>
      <c r="AS170" s="466"/>
      <c r="AT170" s="466"/>
    </row>
    <row r="171" spans="1:46" x14ac:dyDescent="0.25">
      <c r="A171" s="227"/>
      <c r="B171" s="227"/>
      <c r="C171" s="466"/>
      <c r="D171" s="227"/>
      <c r="E171" s="227"/>
      <c r="F171" s="227"/>
      <c r="G171" s="227"/>
      <c r="H171" s="227"/>
      <c r="I171" s="466"/>
      <c r="J171" s="466"/>
      <c r="K171" s="466"/>
      <c r="L171" s="466"/>
      <c r="M171" s="466"/>
      <c r="N171" s="466"/>
      <c r="O171" s="466"/>
      <c r="P171" s="466"/>
      <c r="Q171" s="466"/>
      <c r="R171" s="227"/>
      <c r="S171" s="466"/>
      <c r="T171" s="466"/>
      <c r="U171" s="466"/>
      <c r="V171" s="466"/>
      <c r="W171" s="466"/>
      <c r="X171" s="466"/>
      <c r="Y171" s="466"/>
      <c r="Z171" s="466"/>
      <c r="AA171" s="466"/>
      <c r="AB171" s="466"/>
      <c r="AC171" s="466"/>
      <c r="AD171" s="466"/>
      <c r="AE171" s="466"/>
      <c r="AF171" s="466"/>
      <c r="AG171" s="466"/>
      <c r="AH171" s="466"/>
      <c r="AI171" s="466"/>
      <c r="AJ171" s="466"/>
      <c r="AK171" s="466"/>
      <c r="AL171" s="466"/>
      <c r="AM171" s="466"/>
      <c r="AN171" s="359"/>
      <c r="AO171" s="359"/>
      <c r="AP171" s="359"/>
      <c r="AQ171" s="359"/>
      <c r="AR171" s="359"/>
      <c r="AS171" s="466"/>
      <c r="AT171" s="466"/>
    </row>
    <row r="172" spans="1:46" x14ac:dyDescent="0.25">
      <c r="A172" s="227"/>
      <c r="B172" s="227"/>
      <c r="C172" s="227"/>
      <c r="D172" s="227"/>
      <c r="E172" s="227"/>
      <c r="F172" s="227"/>
      <c r="G172" s="227"/>
      <c r="H172" s="227"/>
      <c r="I172" s="466"/>
      <c r="J172" s="466"/>
      <c r="K172" s="466"/>
      <c r="L172" s="466"/>
      <c r="M172" s="116"/>
      <c r="N172" s="116"/>
      <c r="O172" s="116"/>
      <c r="P172" s="116"/>
      <c r="Q172" s="116"/>
      <c r="R172" s="227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208"/>
      <c r="AM172" s="466"/>
      <c r="AN172" s="359"/>
      <c r="AO172" s="359"/>
      <c r="AP172" s="359"/>
      <c r="AQ172" s="359"/>
      <c r="AR172" s="359"/>
      <c r="AS172" s="466"/>
      <c r="AT172" s="466"/>
    </row>
    <row r="173" spans="1:46" x14ac:dyDescent="0.25">
      <c r="A173" s="227"/>
      <c r="B173" s="227"/>
      <c r="C173" s="227"/>
      <c r="D173" s="227"/>
      <c r="E173" s="227"/>
      <c r="F173" s="227"/>
      <c r="G173" s="227"/>
      <c r="H173" s="227"/>
      <c r="I173" s="466"/>
      <c r="J173" s="466"/>
      <c r="K173" s="466"/>
      <c r="L173" s="466"/>
      <c r="M173" s="466"/>
      <c r="N173" s="466"/>
      <c r="O173" s="466"/>
      <c r="P173" s="466"/>
      <c r="Q173" s="466"/>
      <c r="R173" s="227"/>
      <c r="S173" s="466"/>
      <c r="T173" s="466"/>
      <c r="U173" s="466"/>
      <c r="V173" s="466"/>
      <c r="W173" s="466"/>
      <c r="X173" s="466"/>
      <c r="Y173" s="466"/>
      <c r="Z173" s="466"/>
      <c r="AA173" s="466"/>
      <c r="AB173" s="466"/>
      <c r="AC173" s="466"/>
      <c r="AD173" s="466"/>
      <c r="AE173" s="466"/>
      <c r="AF173" s="466"/>
      <c r="AG173" s="466"/>
      <c r="AH173" s="466"/>
      <c r="AI173" s="466"/>
      <c r="AJ173" s="466"/>
      <c r="AK173" s="466"/>
      <c r="AL173" s="227"/>
      <c r="AM173" s="466"/>
      <c r="AN173" s="359"/>
      <c r="AO173" s="359"/>
      <c r="AP173" s="359"/>
      <c r="AQ173" s="359"/>
      <c r="AR173" s="359"/>
      <c r="AS173" s="466"/>
      <c r="AT173" s="466"/>
    </row>
    <row r="174" spans="1:46" x14ac:dyDescent="0.25">
      <c r="A174" s="227"/>
      <c r="B174" s="227"/>
      <c r="C174" s="466"/>
      <c r="D174" s="227"/>
      <c r="E174" s="227"/>
      <c r="F174" s="227"/>
      <c r="G174" s="227"/>
      <c r="H174" s="227"/>
      <c r="I174" s="466"/>
      <c r="J174" s="466"/>
      <c r="K174" s="466"/>
      <c r="L174" s="466"/>
      <c r="M174" s="454"/>
      <c r="N174" s="454"/>
      <c r="O174" s="454"/>
      <c r="P174" s="454"/>
      <c r="Q174" s="454"/>
      <c r="R174" s="227"/>
      <c r="S174" s="454"/>
      <c r="T174" s="454"/>
      <c r="U174" s="454"/>
      <c r="V174" s="454"/>
      <c r="W174" s="454"/>
      <c r="X174" s="454"/>
      <c r="Y174" s="454"/>
      <c r="Z174" s="454"/>
      <c r="AA174" s="454"/>
      <c r="AB174" s="454"/>
      <c r="AC174" s="454"/>
      <c r="AD174" s="454"/>
      <c r="AE174" s="454"/>
      <c r="AF174" s="454"/>
      <c r="AG174" s="454"/>
      <c r="AH174" s="454"/>
      <c r="AI174" s="454"/>
      <c r="AJ174" s="454"/>
      <c r="AK174" s="454"/>
      <c r="AL174" s="466"/>
      <c r="AM174" s="466"/>
      <c r="AN174" s="359"/>
      <c r="AO174" s="359"/>
      <c r="AP174" s="359"/>
      <c r="AQ174" s="359"/>
      <c r="AR174" s="359"/>
      <c r="AS174" s="466"/>
      <c r="AT174" s="466"/>
    </row>
    <row r="175" spans="1:46" x14ac:dyDescent="0.25">
      <c r="A175" s="227"/>
      <c r="B175" s="227"/>
      <c r="C175" s="227"/>
      <c r="D175" s="227"/>
      <c r="E175" s="227"/>
      <c r="F175" s="227"/>
      <c r="G175" s="227"/>
      <c r="H175" s="227"/>
      <c r="I175" s="227"/>
      <c r="J175" s="227"/>
      <c r="K175" s="227"/>
      <c r="L175" s="227"/>
      <c r="M175" s="227"/>
      <c r="N175" s="227"/>
      <c r="O175" s="227"/>
      <c r="P175" s="227"/>
      <c r="Q175" s="227"/>
      <c r="R175" s="227"/>
      <c r="S175" s="227"/>
      <c r="T175" s="227"/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F175" s="227"/>
      <c r="AG175" s="227"/>
      <c r="AH175" s="227"/>
      <c r="AI175" s="227"/>
      <c r="AJ175" s="227"/>
      <c r="AK175" s="227"/>
      <c r="AL175" s="466"/>
      <c r="AM175" s="466"/>
      <c r="AN175" s="359"/>
      <c r="AO175" s="359"/>
      <c r="AP175" s="359"/>
      <c r="AQ175" s="359"/>
      <c r="AR175" s="359"/>
      <c r="AS175" s="466"/>
      <c r="AT175" s="466"/>
    </row>
    <row r="176" spans="1:46" x14ac:dyDescent="0.25">
      <c r="A176" s="227"/>
      <c r="B176" s="126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F176" s="227"/>
      <c r="AG176" s="227"/>
      <c r="AH176" s="227"/>
      <c r="AI176" s="227"/>
      <c r="AJ176" s="227"/>
      <c r="AK176" s="227"/>
      <c r="AL176" s="466"/>
      <c r="AM176" s="466"/>
      <c r="AN176" s="359"/>
      <c r="AO176" s="359"/>
      <c r="AP176" s="359"/>
      <c r="AQ176" s="359"/>
      <c r="AR176" s="359"/>
      <c r="AS176" s="466"/>
      <c r="AT176" s="466"/>
    </row>
    <row r="177" spans="1:46" x14ac:dyDescent="0.25">
      <c r="A177" s="227"/>
      <c r="B177" s="227"/>
      <c r="C177" s="227"/>
      <c r="D177" s="227"/>
      <c r="E177" s="227"/>
      <c r="F177" s="227"/>
      <c r="G177" s="227"/>
      <c r="H177" s="227"/>
      <c r="I177" s="227"/>
      <c r="J177" s="227"/>
      <c r="K177" s="227"/>
      <c r="L177" s="227"/>
      <c r="M177" s="227"/>
      <c r="N177" s="227"/>
      <c r="O177" s="227"/>
      <c r="P177" s="227"/>
      <c r="Q177" s="227"/>
      <c r="R177" s="227"/>
      <c r="S177" s="227"/>
      <c r="T177" s="227"/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F177" s="227"/>
      <c r="AG177" s="227"/>
      <c r="AH177" s="227"/>
      <c r="AI177" s="227"/>
      <c r="AJ177" s="227"/>
      <c r="AK177" s="227"/>
      <c r="AL177" s="466"/>
      <c r="AM177" s="466"/>
      <c r="AN177" s="359"/>
      <c r="AO177" s="359"/>
      <c r="AP177" s="359"/>
      <c r="AQ177" s="359"/>
      <c r="AR177" s="359"/>
      <c r="AS177" s="466"/>
      <c r="AT177" s="466"/>
    </row>
    <row r="178" spans="1:46" x14ac:dyDescent="0.25">
      <c r="A178" s="227"/>
      <c r="B178" s="227"/>
      <c r="C178" s="227"/>
      <c r="D178" s="227"/>
      <c r="E178" s="227"/>
      <c r="F178" s="227"/>
      <c r="G178" s="227"/>
      <c r="H178" s="227"/>
      <c r="I178" s="227"/>
      <c r="J178" s="227"/>
      <c r="K178" s="227"/>
      <c r="L178" s="227"/>
      <c r="M178" s="227"/>
      <c r="N178" s="227"/>
      <c r="O178" s="227"/>
      <c r="P178" s="227"/>
      <c r="Q178" s="227"/>
      <c r="R178" s="227"/>
      <c r="S178" s="227"/>
      <c r="T178" s="227"/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F178" s="227"/>
      <c r="AG178" s="227"/>
      <c r="AH178" s="227"/>
      <c r="AI178" s="227"/>
      <c r="AJ178" s="227"/>
      <c r="AK178" s="227"/>
      <c r="AL178" s="466"/>
      <c r="AM178" s="466"/>
      <c r="AN178" s="359"/>
      <c r="AO178" s="359"/>
      <c r="AP178" s="359"/>
      <c r="AQ178" s="359"/>
      <c r="AR178" s="359"/>
      <c r="AS178" s="466"/>
      <c r="AT178" s="466"/>
    </row>
    <row r="179" spans="1:46" x14ac:dyDescent="0.25">
      <c r="A179" s="251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7"/>
      <c r="Q179" s="227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7"/>
      <c r="AH179" s="227"/>
      <c r="AI179" s="227"/>
      <c r="AJ179" s="227"/>
      <c r="AK179" s="227"/>
      <c r="AL179" s="466"/>
      <c r="AM179" s="466"/>
      <c r="AN179" s="359"/>
      <c r="AO179" s="359"/>
      <c r="AP179" s="359"/>
      <c r="AQ179" s="359"/>
      <c r="AR179" s="359"/>
      <c r="AS179" s="466"/>
      <c r="AT179" s="466"/>
    </row>
    <row r="180" spans="1:46" x14ac:dyDescent="0.25">
      <c r="A180" s="1261"/>
      <c r="B180" s="227"/>
      <c r="C180" s="227"/>
      <c r="D180" s="466"/>
      <c r="E180" s="466"/>
      <c r="F180" s="466"/>
      <c r="G180" s="466"/>
      <c r="H180" s="466"/>
      <c r="I180" s="466"/>
      <c r="J180" s="466"/>
      <c r="K180" s="466"/>
      <c r="L180" s="466"/>
      <c r="M180" s="466"/>
      <c r="N180" s="466"/>
      <c r="O180" s="466"/>
      <c r="P180" s="466"/>
      <c r="Q180" s="466"/>
      <c r="R180" s="466"/>
      <c r="S180" s="466"/>
      <c r="T180" s="466"/>
      <c r="U180" s="466"/>
      <c r="V180" s="466"/>
      <c r="W180" s="466"/>
      <c r="X180" s="466"/>
      <c r="Y180" s="466"/>
      <c r="Z180" s="466"/>
      <c r="AA180" s="466"/>
      <c r="AB180" s="466"/>
      <c r="AC180" s="466"/>
      <c r="AD180" s="466"/>
      <c r="AE180" s="466"/>
      <c r="AF180" s="466"/>
      <c r="AG180" s="466"/>
      <c r="AH180" s="466"/>
      <c r="AI180" s="466"/>
      <c r="AJ180" s="466"/>
      <c r="AK180" s="466"/>
      <c r="AL180" s="466"/>
      <c r="AM180" s="466"/>
      <c r="AN180" s="359"/>
      <c r="AO180" s="359"/>
      <c r="AP180" s="359"/>
      <c r="AQ180" s="359"/>
      <c r="AR180" s="359"/>
      <c r="AS180" s="466"/>
      <c r="AT180" s="466"/>
    </row>
    <row r="181" spans="1:46" x14ac:dyDescent="0.25">
      <c r="A181" s="1261"/>
      <c r="B181" s="227"/>
      <c r="C181" s="466"/>
      <c r="D181" s="227"/>
      <c r="E181" s="227"/>
      <c r="F181" s="227"/>
      <c r="G181" s="227"/>
      <c r="H181" s="227"/>
      <c r="I181" s="227"/>
      <c r="J181" s="227"/>
      <c r="K181" s="227"/>
      <c r="L181" s="227"/>
      <c r="M181" s="227"/>
      <c r="N181" s="227"/>
      <c r="O181" s="227"/>
      <c r="P181" s="227"/>
      <c r="Q181" s="227"/>
      <c r="R181" s="227"/>
      <c r="S181" s="227"/>
      <c r="T181" s="227"/>
      <c r="U181" s="227"/>
      <c r="V181" s="227"/>
      <c r="W181" s="227"/>
      <c r="X181" s="227"/>
      <c r="Y181" s="227"/>
      <c r="Z181" s="227"/>
      <c r="AA181" s="227"/>
      <c r="AB181" s="227"/>
      <c r="AC181" s="227"/>
      <c r="AD181" s="227"/>
      <c r="AE181" s="227"/>
      <c r="AF181" s="227"/>
      <c r="AG181" s="227"/>
      <c r="AH181" s="227"/>
      <c r="AI181" s="227"/>
      <c r="AJ181" s="227"/>
      <c r="AK181" s="227"/>
      <c r="AL181" s="466"/>
      <c r="AM181" s="466"/>
      <c r="AN181" s="466"/>
      <c r="AO181" s="466"/>
      <c r="AP181" s="466"/>
      <c r="AQ181" s="466"/>
      <c r="AR181" s="466"/>
      <c r="AS181" s="466"/>
      <c r="AT181" s="466"/>
    </row>
    <row r="182" spans="1:46" x14ac:dyDescent="0.25">
      <c r="A182" s="1261"/>
      <c r="B182" s="466"/>
      <c r="C182" s="466"/>
      <c r="D182" s="227"/>
      <c r="E182" s="227"/>
      <c r="F182" s="227"/>
      <c r="G182" s="227"/>
      <c r="H182" s="227"/>
      <c r="I182" s="227"/>
      <c r="J182" s="227"/>
      <c r="K182" s="227"/>
      <c r="L182" s="227"/>
      <c r="M182" s="227"/>
      <c r="N182" s="227"/>
      <c r="O182" s="227"/>
      <c r="P182" s="227"/>
      <c r="Q182" s="227"/>
      <c r="R182" s="227"/>
      <c r="S182" s="227"/>
      <c r="T182" s="227"/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F182" s="227"/>
      <c r="AG182" s="227"/>
      <c r="AH182" s="227"/>
      <c r="AI182" s="227"/>
      <c r="AJ182" s="227"/>
      <c r="AK182" s="227"/>
      <c r="AL182" s="466"/>
      <c r="AM182" s="466"/>
      <c r="AN182" s="466"/>
      <c r="AO182" s="466"/>
      <c r="AP182" s="466"/>
      <c r="AQ182" s="466"/>
      <c r="AR182" s="466"/>
      <c r="AS182" s="466"/>
      <c r="AT182" s="466"/>
    </row>
    <row r="183" spans="1:46" x14ac:dyDescent="0.25">
      <c r="A183" s="1265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  <c r="M183" s="466"/>
      <c r="N183" s="466"/>
      <c r="O183" s="466"/>
      <c r="P183" s="466"/>
      <c r="Q183" s="466"/>
      <c r="R183" s="131"/>
      <c r="S183" s="454"/>
      <c r="T183" s="131"/>
      <c r="U183" s="131"/>
      <c r="V183" s="131"/>
      <c r="W183" s="131"/>
      <c r="X183" s="131"/>
      <c r="Y183" s="131"/>
      <c r="Z183" s="131"/>
      <c r="AA183" s="131"/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466"/>
      <c r="AM183" s="466"/>
      <c r="AN183" s="466"/>
      <c r="AO183" s="466"/>
      <c r="AP183" s="466"/>
      <c r="AQ183" s="466"/>
      <c r="AR183" s="466"/>
      <c r="AS183" s="466"/>
      <c r="AT183" s="466"/>
    </row>
    <row r="184" spans="1:46" x14ac:dyDescent="0.25">
      <c r="A184" s="227"/>
      <c r="B184" s="126"/>
      <c r="C184" s="227"/>
      <c r="D184" s="227"/>
      <c r="E184" s="227"/>
      <c r="F184" s="227"/>
      <c r="G184" s="227"/>
      <c r="H184" s="227"/>
      <c r="I184" s="227"/>
      <c r="J184" s="227"/>
      <c r="K184" s="227"/>
      <c r="L184" s="227"/>
      <c r="M184" s="466"/>
      <c r="N184" s="466"/>
      <c r="O184" s="466"/>
      <c r="P184" s="466"/>
      <c r="Q184" s="466"/>
      <c r="R184" s="466"/>
      <c r="S184" s="466"/>
      <c r="T184" s="466"/>
      <c r="U184" s="466"/>
      <c r="V184" s="466"/>
      <c r="W184" s="466"/>
      <c r="X184" s="466"/>
      <c r="Y184" s="466"/>
      <c r="Z184" s="466"/>
      <c r="AA184" s="466"/>
      <c r="AB184" s="466"/>
      <c r="AC184" s="466"/>
      <c r="AD184" s="466"/>
      <c r="AE184" s="466"/>
      <c r="AF184" s="466"/>
      <c r="AG184" s="466"/>
      <c r="AH184" s="466"/>
      <c r="AI184" s="466"/>
      <c r="AJ184" s="466"/>
      <c r="AK184" s="466"/>
      <c r="AL184" s="466"/>
      <c r="AM184" s="466"/>
      <c r="AN184" s="466"/>
      <c r="AO184" s="466"/>
      <c r="AP184" s="466"/>
      <c r="AQ184" s="466"/>
      <c r="AR184" s="466"/>
      <c r="AS184" s="466"/>
      <c r="AT184" s="466"/>
    </row>
    <row r="185" spans="1:46" x14ac:dyDescent="0.25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  <c r="M185" s="466"/>
      <c r="N185" s="466"/>
      <c r="O185" s="466"/>
      <c r="P185" s="466"/>
      <c r="Q185" s="466"/>
      <c r="R185" s="466"/>
      <c r="S185" s="466"/>
      <c r="T185" s="466"/>
      <c r="U185" s="466"/>
      <c r="V185" s="466"/>
      <c r="W185" s="466"/>
      <c r="X185" s="466"/>
      <c r="Y185" s="466"/>
      <c r="Z185" s="466"/>
      <c r="AA185" s="466"/>
      <c r="AB185" s="466"/>
      <c r="AC185" s="466"/>
      <c r="AD185" s="466"/>
      <c r="AE185" s="466"/>
      <c r="AF185" s="466"/>
      <c r="AG185" s="466"/>
      <c r="AH185" s="466"/>
      <c r="AI185" s="466"/>
      <c r="AJ185" s="466"/>
      <c r="AK185" s="466"/>
      <c r="AL185" s="466"/>
      <c r="AM185" s="466"/>
      <c r="AN185" s="466"/>
      <c r="AO185" s="466"/>
      <c r="AP185" s="466"/>
      <c r="AQ185" s="466"/>
      <c r="AR185" s="466"/>
      <c r="AS185" s="466"/>
      <c r="AT185" s="466"/>
    </row>
    <row r="186" spans="1:46" x14ac:dyDescent="0.25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  <c r="M186" s="466"/>
      <c r="N186" s="466"/>
      <c r="O186" s="466"/>
      <c r="P186" s="466"/>
      <c r="Q186" s="466"/>
      <c r="R186" s="454"/>
      <c r="S186" s="454"/>
      <c r="T186" s="454"/>
      <c r="U186" s="454"/>
      <c r="V186" s="454"/>
      <c r="W186" s="454"/>
      <c r="X186" s="454"/>
      <c r="Y186" s="454"/>
      <c r="Z186" s="454"/>
      <c r="AA186" s="454"/>
      <c r="AB186" s="454"/>
      <c r="AC186" s="454"/>
      <c r="AD186" s="454"/>
      <c r="AE186" s="454"/>
      <c r="AF186" s="454"/>
      <c r="AG186" s="454"/>
      <c r="AH186" s="454"/>
      <c r="AI186" s="454"/>
      <c r="AJ186" s="454"/>
      <c r="AK186" s="454"/>
      <c r="AL186" s="466"/>
      <c r="AM186" s="466"/>
      <c r="AN186" s="466"/>
      <c r="AO186" s="466"/>
      <c r="AP186" s="466"/>
      <c r="AQ186" s="466"/>
      <c r="AR186" s="466"/>
      <c r="AS186" s="466"/>
      <c r="AT186" s="466"/>
    </row>
    <row r="187" spans="1:46" x14ac:dyDescent="0.25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  <c r="M187" s="454"/>
      <c r="N187" s="454"/>
      <c r="O187" s="454"/>
      <c r="P187" s="454"/>
      <c r="Q187" s="454"/>
      <c r="R187" s="454"/>
      <c r="S187" s="454"/>
      <c r="T187" s="454"/>
      <c r="U187" s="454"/>
      <c r="V187" s="454"/>
      <c r="W187" s="454"/>
      <c r="X187" s="454"/>
      <c r="Y187" s="454"/>
      <c r="Z187" s="454"/>
      <c r="AA187" s="454"/>
      <c r="AB187" s="454"/>
      <c r="AC187" s="454"/>
      <c r="AD187" s="454"/>
      <c r="AE187" s="454"/>
      <c r="AF187" s="454"/>
      <c r="AG187" s="454"/>
      <c r="AH187" s="454"/>
      <c r="AI187" s="454"/>
      <c r="AJ187" s="454"/>
      <c r="AK187" s="454"/>
      <c r="AL187" s="466"/>
      <c r="AM187" s="466"/>
      <c r="AN187" s="466"/>
      <c r="AO187" s="466"/>
      <c r="AP187" s="466"/>
      <c r="AQ187" s="466"/>
      <c r="AR187" s="466"/>
      <c r="AS187" s="466"/>
      <c r="AT187" s="466"/>
    </row>
    <row r="188" spans="1:46" x14ac:dyDescent="0.25">
      <c r="A188" s="1261"/>
      <c r="B188" s="227"/>
      <c r="C188" s="466"/>
      <c r="D188" s="466"/>
      <c r="E188" s="466"/>
      <c r="F188" s="466"/>
      <c r="G188" s="466"/>
      <c r="H188" s="466"/>
      <c r="I188" s="466"/>
      <c r="J188" s="466"/>
      <c r="K188" s="466"/>
      <c r="L188" s="466"/>
      <c r="M188" s="466"/>
      <c r="N188" s="466"/>
      <c r="O188" s="466"/>
      <c r="P188" s="466"/>
      <c r="Q188" s="466"/>
      <c r="R188" s="466"/>
      <c r="S188" s="466"/>
      <c r="T188" s="466"/>
      <c r="U188" s="466"/>
      <c r="V188" s="466"/>
      <c r="W188" s="466"/>
      <c r="X188" s="466"/>
      <c r="Y188" s="466"/>
      <c r="Z188" s="466"/>
      <c r="AA188" s="466"/>
      <c r="AB188" s="466"/>
      <c r="AC188" s="466"/>
      <c r="AD188" s="466"/>
      <c r="AE188" s="466"/>
      <c r="AF188" s="466"/>
      <c r="AG188" s="466"/>
      <c r="AH188" s="466"/>
      <c r="AI188" s="466"/>
      <c r="AJ188" s="466"/>
      <c r="AK188" s="466"/>
      <c r="AL188" s="466"/>
      <c r="AM188" s="466"/>
      <c r="AN188" s="466"/>
      <c r="AO188" s="466"/>
      <c r="AP188" s="466"/>
      <c r="AQ188" s="466"/>
      <c r="AR188" s="466"/>
      <c r="AS188" s="466"/>
      <c r="AT188" s="466"/>
    </row>
    <row r="189" spans="1:46" x14ac:dyDescent="0.25">
      <c r="A189" s="1265"/>
      <c r="B189" s="227"/>
      <c r="C189" s="466"/>
      <c r="D189" s="466"/>
      <c r="E189" s="466"/>
      <c r="F189" s="466"/>
      <c r="G189" s="466"/>
      <c r="H189" s="466"/>
      <c r="I189" s="466"/>
      <c r="J189" s="466"/>
      <c r="K189" s="466"/>
      <c r="L189" s="466"/>
      <c r="M189" s="466"/>
      <c r="N189" s="466"/>
      <c r="O189" s="466"/>
      <c r="P189" s="466"/>
      <c r="Q189" s="466"/>
      <c r="R189" s="201"/>
      <c r="S189" s="223"/>
      <c r="T189" s="223"/>
      <c r="U189" s="223"/>
      <c r="V189" s="223"/>
      <c r="W189" s="223"/>
      <c r="X189" s="223"/>
      <c r="Y189" s="223"/>
      <c r="Z189" s="223"/>
      <c r="AA189" s="223"/>
      <c r="AB189" s="223"/>
      <c r="AC189" s="223"/>
      <c r="AD189" s="223"/>
      <c r="AE189" s="223"/>
      <c r="AF189" s="223"/>
      <c r="AG189" s="223"/>
      <c r="AH189" s="223"/>
      <c r="AI189" s="223"/>
      <c r="AJ189" s="223"/>
      <c r="AK189" s="223"/>
      <c r="AL189" s="466"/>
      <c r="AM189" s="466"/>
      <c r="AN189" s="466"/>
      <c r="AO189" s="466"/>
      <c r="AP189" s="466"/>
      <c r="AQ189" s="466"/>
      <c r="AR189" s="466"/>
      <c r="AS189" s="466"/>
      <c r="AT189" s="466"/>
    </row>
    <row r="190" spans="1:46" x14ac:dyDescent="0.25">
      <c r="A190" s="1265"/>
      <c r="B190" s="227"/>
      <c r="C190" s="466"/>
      <c r="D190" s="466"/>
      <c r="E190" s="466"/>
      <c r="F190" s="466"/>
      <c r="G190" s="466"/>
      <c r="H190" s="466"/>
      <c r="I190" s="466"/>
      <c r="J190" s="466"/>
      <c r="K190" s="466"/>
      <c r="L190" s="466"/>
      <c r="M190" s="208"/>
      <c r="N190" s="208"/>
      <c r="O190" s="208"/>
      <c r="P190" s="208"/>
      <c r="Q190" s="208"/>
      <c r="R190" s="466"/>
      <c r="S190" s="208"/>
      <c r="T190" s="466"/>
      <c r="U190" s="208"/>
      <c r="V190" s="208"/>
      <c r="W190" s="208"/>
      <c r="X190" s="466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466"/>
      <c r="AM190" s="466"/>
      <c r="AN190" s="466"/>
      <c r="AO190" s="466"/>
      <c r="AP190" s="466"/>
      <c r="AQ190" s="466"/>
      <c r="AR190" s="466"/>
      <c r="AS190" s="466"/>
      <c r="AT190" s="466"/>
    </row>
    <row r="191" spans="1:46" x14ac:dyDescent="0.25">
      <c r="A191" s="1265"/>
      <c r="B191" s="227"/>
      <c r="C191" s="466"/>
      <c r="D191" s="466"/>
      <c r="E191" s="466"/>
      <c r="F191" s="466"/>
      <c r="G191" s="466"/>
      <c r="H191" s="466"/>
      <c r="I191" s="466"/>
      <c r="J191" s="466"/>
      <c r="K191" s="466"/>
      <c r="L191" s="466"/>
      <c r="M191" s="208"/>
      <c r="N191" s="208"/>
      <c r="O191" s="208"/>
      <c r="P191" s="208"/>
      <c r="Q191" s="208"/>
      <c r="R191" s="466"/>
      <c r="S191" s="208"/>
      <c r="T191" s="466"/>
      <c r="U191" s="208"/>
      <c r="V191" s="208"/>
      <c r="W191" s="208"/>
      <c r="X191" s="466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466"/>
      <c r="AM191" s="466"/>
      <c r="AN191" s="466"/>
      <c r="AO191" s="466"/>
      <c r="AP191" s="466"/>
      <c r="AQ191" s="466"/>
      <c r="AR191" s="466"/>
      <c r="AS191" s="466"/>
      <c r="AT191" s="466"/>
    </row>
    <row r="192" spans="1:46" x14ac:dyDescent="0.25">
      <c r="A192" s="466"/>
      <c r="B192" s="466"/>
      <c r="C192" s="466"/>
      <c r="D192" s="466"/>
      <c r="E192" s="466"/>
      <c r="F192" s="466"/>
      <c r="G192" s="466"/>
      <c r="H192" s="466"/>
      <c r="I192" s="466"/>
      <c r="J192" s="466"/>
      <c r="K192" s="466"/>
      <c r="L192" s="466"/>
      <c r="M192" s="454"/>
      <c r="N192" s="454"/>
      <c r="O192" s="454"/>
      <c r="P192" s="454"/>
      <c r="Q192" s="454"/>
      <c r="R192" s="454"/>
      <c r="S192" s="454"/>
      <c r="T192" s="454"/>
      <c r="U192" s="454"/>
      <c r="V192" s="454"/>
      <c r="W192" s="454"/>
      <c r="X192" s="454"/>
      <c r="Y192" s="454"/>
      <c r="Z192" s="454"/>
      <c r="AA192" s="454"/>
      <c r="AB192" s="454"/>
      <c r="AC192" s="454"/>
      <c r="AD192" s="454"/>
      <c r="AE192" s="454"/>
      <c r="AF192" s="454"/>
      <c r="AG192" s="454"/>
      <c r="AH192" s="454"/>
      <c r="AI192" s="454"/>
      <c r="AJ192" s="454"/>
      <c r="AK192" s="454"/>
      <c r="AL192" s="466"/>
      <c r="AM192" s="466"/>
      <c r="AN192" s="466"/>
      <c r="AO192" s="466"/>
      <c r="AP192" s="466"/>
      <c r="AQ192" s="466"/>
      <c r="AR192" s="466"/>
      <c r="AS192" s="466"/>
      <c r="AT192" s="466"/>
    </row>
    <row r="193" spans="1:46" x14ac:dyDescent="0.25">
      <c r="A193" s="466"/>
      <c r="B193" s="466"/>
      <c r="C193" s="466"/>
      <c r="D193" s="466"/>
      <c r="E193" s="466"/>
      <c r="F193" s="466"/>
      <c r="G193" s="466"/>
      <c r="H193" s="466"/>
      <c r="I193" s="466"/>
      <c r="J193" s="466"/>
      <c r="K193" s="466"/>
      <c r="L193" s="466"/>
      <c r="M193" s="466"/>
      <c r="N193" s="466"/>
      <c r="O193" s="466"/>
      <c r="P193" s="466"/>
      <c r="Q193" s="466"/>
      <c r="R193" s="466"/>
      <c r="S193" s="466"/>
      <c r="T193" s="466"/>
      <c r="U193" s="466"/>
      <c r="V193" s="466"/>
      <c r="W193" s="466"/>
      <c r="X193" s="466"/>
      <c r="Y193" s="466"/>
      <c r="Z193" s="466"/>
      <c r="AA193" s="466"/>
      <c r="AB193" s="466"/>
      <c r="AC193" s="466"/>
      <c r="AD193" s="466"/>
      <c r="AE193" s="466"/>
      <c r="AF193" s="466"/>
      <c r="AG193" s="466"/>
      <c r="AH193" s="466"/>
      <c r="AI193" s="466"/>
      <c r="AJ193" s="466"/>
      <c r="AK193" s="466"/>
      <c r="AL193" s="466"/>
      <c r="AM193" s="466"/>
      <c r="AN193" s="466"/>
      <c r="AO193" s="466"/>
      <c r="AP193" s="466"/>
      <c r="AQ193" s="466"/>
      <c r="AR193" s="466"/>
      <c r="AS193" s="466"/>
      <c r="AT193" s="466"/>
    </row>
    <row r="194" spans="1:46" x14ac:dyDescent="0.25">
      <c r="A194" s="466"/>
      <c r="B194" s="466"/>
      <c r="C194" s="466"/>
      <c r="D194" s="466"/>
      <c r="E194" s="466"/>
      <c r="F194" s="466"/>
      <c r="G194" s="466"/>
      <c r="H194" s="466"/>
      <c r="I194" s="466"/>
      <c r="J194" s="466"/>
      <c r="K194" s="466"/>
      <c r="L194" s="466"/>
      <c r="M194" s="466"/>
      <c r="N194" s="466"/>
      <c r="O194" s="466"/>
      <c r="P194" s="466"/>
      <c r="Q194" s="466"/>
      <c r="R194" s="396"/>
      <c r="S194" s="466"/>
      <c r="T194" s="396"/>
      <c r="U194" s="466"/>
      <c r="V194" s="466"/>
      <c r="W194" s="466"/>
      <c r="X194" s="396"/>
      <c r="Y194" s="466"/>
      <c r="Z194" s="466"/>
      <c r="AA194" s="466"/>
      <c r="AB194" s="466"/>
      <c r="AC194" s="466"/>
      <c r="AD194" s="466"/>
      <c r="AE194" s="466"/>
      <c r="AF194" s="466"/>
      <c r="AG194" s="466"/>
      <c r="AH194" s="466"/>
      <c r="AI194" s="466"/>
      <c r="AJ194" s="466"/>
      <c r="AK194" s="466"/>
      <c r="AL194" s="466"/>
      <c r="AM194" s="466"/>
      <c r="AN194" s="466"/>
      <c r="AO194" s="466"/>
      <c r="AP194" s="466"/>
      <c r="AQ194" s="466"/>
      <c r="AR194" s="466"/>
      <c r="AS194" s="466"/>
      <c r="AT194" s="466"/>
    </row>
    <row r="195" spans="1:46" x14ac:dyDescent="0.25">
      <c r="A195" s="466"/>
      <c r="B195" s="466"/>
      <c r="C195" s="466"/>
      <c r="D195" s="466"/>
      <c r="E195" s="466"/>
      <c r="F195" s="466"/>
      <c r="G195" s="466"/>
      <c r="H195" s="466"/>
      <c r="I195" s="466"/>
      <c r="J195" s="466"/>
      <c r="K195" s="466"/>
      <c r="L195" s="466"/>
      <c r="M195" s="466"/>
      <c r="N195" s="466"/>
      <c r="O195" s="466"/>
      <c r="P195" s="466"/>
      <c r="Q195" s="466"/>
      <c r="R195" s="466"/>
      <c r="S195" s="466"/>
      <c r="T195" s="466"/>
      <c r="U195" s="466"/>
      <c r="V195" s="466"/>
      <c r="W195" s="466"/>
      <c r="X195" s="466"/>
      <c r="Y195" s="466"/>
      <c r="Z195" s="466"/>
      <c r="AA195" s="466"/>
      <c r="AB195" s="466"/>
      <c r="AC195" s="466"/>
      <c r="AD195" s="466"/>
      <c r="AE195" s="466"/>
      <c r="AF195" s="466"/>
      <c r="AG195" s="466"/>
      <c r="AH195" s="466"/>
      <c r="AI195" s="466"/>
      <c r="AJ195" s="466"/>
      <c r="AK195" s="466"/>
      <c r="AL195" s="466"/>
      <c r="AM195" s="466"/>
      <c r="AN195" s="466"/>
      <c r="AO195" s="466"/>
      <c r="AP195" s="466"/>
      <c r="AQ195" s="466"/>
      <c r="AR195" s="466"/>
      <c r="AS195" s="466"/>
      <c r="AT195" s="466"/>
    </row>
    <row r="196" spans="1:46" x14ac:dyDescent="0.25">
      <c r="A196" s="466"/>
      <c r="B196" s="466"/>
      <c r="C196" s="466"/>
      <c r="D196" s="466"/>
      <c r="E196" s="466"/>
      <c r="F196" s="466"/>
      <c r="G196" s="466"/>
      <c r="H196" s="466"/>
      <c r="I196" s="466"/>
      <c r="J196" s="466"/>
      <c r="K196" s="466"/>
      <c r="L196" s="466"/>
      <c r="M196" s="466"/>
      <c r="N196" s="466"/>
      <c r="O196" s="466"/>
      <c r="P196" s="466"/>
      <c r="Q196" s="466"/>
      <c r="R196" s="466"/>
      <c r="S196" s="454"/>
      <c r="T196" s="454"/>
      <c r="U196" s="454"/>
      <c r="V196" s="454"/>
      <c r="W196" s="454"/>
      <c r="X196" s="454"/>
      <c r="Y196" s="454"/>
      <c r="Z196" s="454"/>
      <c r="AA196" s="454"/>
      <c r="AB196" s="454"/>
      <c r="AC196" s="454"/>
      <c r="AD196" s="454"/>
      <c r="AE196" s="454"/>
      <c r="AF196" s="454"/>
      <c r="AG196" s="454"/>
      <c r="AH196" s="454"/>
      <c r="AI196" s="454"/>
      <c r="AJ196" s="454"/>
      <c r="AK196" s="454"/>
      <c r="AL196" s="466"/>
      <c r="AM196" s="466"/>
      <c r="AN196" s="466"/>
      <c r="AO196" s="466"/>
      <c r="AP196" s="466"/>
      <c r="AQ196" s="466"/>
      <c r="AR196" s="466"/>
      <c r="AS196" s="466"/>
      <c r="AT196" s="466"/>
    </row>
    <row r="197" spans="1:46" x14ac:dyDescent="0.25">
      <c r="A197" s="227"/>
      <c r="B197" s="227"/>
      <c r="C197" s="227"/>
      <c r="D197" s="227"/>
      <c r="E197" s="227"/>
      <c r="F197" s="227"/>
      <c r="G197" s="227"/>
      <c r="H197" s="227"/>
      <c r="I197" s="227"/>
      <c r="J197" s="227"/>
      <c r="K197" s="227"/>
      <c r="L197" s="227"/>
      <c r="M197" s="454"/>
      <c r="N197" s="454"/>
      <c r="O197" s="454"/>
      <c r="P197" s="454"/>
      <c r="Q197" s="454"/>
      <c r="R197" s="454"/>
      <c r="S197" s="454"/>
      <c r="T197" s="454"/>
      <c r="U197" s="454"/>
      <c r="V197" s="454"/>
      <c r="W197" s="454"/>
      <c r="X197" s="454"/>
      <c r="Y197" s="454"/>
      <c r="Z197" s="454"/>
      <c r="AA197" s="454"/>
      <c r="AB197" s="454"/>
      <c r="AC197" s="454"/>
      <c r="AD197" s="454"/>
      <c r="AE197" s="454"/>
      <c r="AF197" s="454"/>
      <c r="AG197" s="454"/>
      <c r="AH197" s="454"/>
      <c r="AI197" s="454"/>
      <c r="AJ197" s="454"/>
      <c r="AK197" s="454"/>
      <c r="AL197" s="466"/>
      <c r="AM197" s="466"/>
      <c r="AN197" s="466"/>
      <c r="AO197" s="466"/>
      <c r="AP197" s="466"/>
      <c r="AQ197" s="466"/>
      <c r="AR197" s="466"/>
      <c r="AS197" s="466"/>
      <c r="AT197" s="466"/>
    </row>
    <row r="198" spans="1:46" x14ac:dyDescent="0.25">
      <c r="A198" s="227"/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  <c r="L198" s="227"/>
      <c r="M198" s="454"/>
      <c r="N198" s="454"/>
      <c r="O198" s="454"/>
      <c r="P198" s="454"/>
      <c r="Q198" s="454"/>
      <c r="R198" s="454"/>
      <c r="S198" s="454"/>
      <c r="T198" s="454"/>
      <c r="U198" s="454"/>
      <c r="V198" s="454"/>
      <c r="W198" s="454"/>
      <c r="X198" s="454"/>
      <c r="Y198" s="454"/>
      <c r="Z198" s="454"/>
      <c r="AA198" s="454"/>
      <c r="AB198" s="454"/>
      <c r="AC198" s="454"/>
      <c r="AD198" s="454"/>
      <c r="AE198" s="454"/>
      <c r="AF198" s="454"/>
      <c r="AG198" s="454"/>
      <c r="AH198" s="454"/>
      <c r="AI198" s="454"/>
      <c r="AJ198" s="454"/>
      <c r="AK198" s="454"/>
      <c r="AL198" s="466"/>
      <c r="AM198" s="466"/>
      <c r="AN198" s="466"/>
      <c r="AO198" s="466"/>
      <c r="AP198" s="466"/>
      <c r="AQ198" s="466"/>
      <c r="AR198" s="466"/>
      <c r="AS198" s="466"/>
      <c r="AT198" s="466"/>
    </row>
    <row r="199" spans="1:46" x14ac:dyDescent="0.25">
      <c r="A199" s="227"/>
      <c r="B199" s="227"/>
      <c r="C199" s="227"/>
      <c r="D199" s="227"/>
      <c r="E199" s="227"/>
      <c r="F199" s="227"/>
      <c r="G199" s="227"/>
      <c r="H199" s="227"/>
      <c r="I199" s="227"/>
      <c r="J199" s="227"/>
      <c r="K199" s="227"/>
      <c r="L199" s="227"/>
      <c r="M199" s="454"/>
      <c r="N199" s="454"/>
      <c r="O199" s="454"/>
      <c r="P199" s="454"/>
      <c r="Q199" s="454"/>
      <c r="R199" s="454"/>
      <c r="S199" s="454"/>
      <c r="T199" s="454"/>
      <c r="U199" s="454"/>
      <c r="V199" s="454"/>
      <c r="W199" s="454"/>
      <c r="X199" s="454"/>
      <c r="Y199" s="454"/>
      <c r="Z199" s="454"/>
      <c r="AA199" s="454"/>
      <c r="AB199" s="454"/>
      <c r="AC199" s="454"/>
      <c r="AD199" s="454"/>
      <c r="AE199" s="454"/>
      <c r="AF199" s="454"/>
      <c r="AG199" s="454"/>
      <c r="AH199" s="454"/>
      <c r="AI199" s="454"/>
      <c r="AJ199" s="454"/>
      <c r="AK199" s="454"/>
      <c r="AL199" s="466"/>
      <c r="AM199" s="466"/>
      <c r="AN199" s="466"/>
      <c r="AO199" s="466"/>
      <c r="AP199" s="466"/>
      <c r="AQ199" s="466"/>
      <c r="AR199" s="466"/>
      <c r="AS199" s="466"/>
      <c r="AT199" s="466"/>
    </row>
    <row r="200" spans="1:46" x14ac:dyDescent="0.25">
      <c r="A200" s="227"/>
      <c r="B200" s="227"/>
      <c r="C200" s="227"/>
      <c r="D200" s="227"/>
      <c r="E200" s="227"/>
      <c r="F200" s="227"/>
      <c r="G200" s="227"/>
      <c r="H200" s="227"/>
      <c r="I200" s="227"/>
      <c r="J200" s="227"/>
      <c r="K200" s="227"/>
      <c r="L200" s="227"/>
      <c r="M200" s="454"/>
      <c r="N200" s="454"/>
      <c r="O200" s="454"/>
      <c r="P200" s="454"/>
      <c r="Q200" s="454"/>
      <c r="R200" s="454"/>
      <c r="S200" s="454"/>
      <c r="T200" s="454"/>
      <c r="U200" s="454"/>
      <c r="V200" s="454"/>
      <c r="W200" s="454"/>
      <c r="X200" s="454"/>
      <c r="Y200" s="454"/>
      <c r="Z200" s="454"/>
      <c r="AA200" s="454"/>
      <c r="AB200" s="454"/>
      <c r="AC200" s="454"/>
      <c r="AD200" s="454"/>
      <c r="AE200" s="454"/>
      <c r="AF200" s="454"/>
      <c r="AG200" s="454"/>
      <c r="AH200" s="454"/>
      <c r="AI200" s="454"/>
      <c r="AJ200" s="454"/>
      <c r="AK200" s="454"/>
      <c r="AL200" s="466"/>
      <c r="AM200" s="466"/>
      <c r="AN200" s="466"/>
      <c r="AO200" s="466"/>
      <c r="AP200" s="466"/>
      <c r="AQ200" s="466"/>
      <c r="AR200" s="466"/>
      <c r="AS200" s="466"/>
      <c r="AT200" s="466"/>
    </row>
    <row r="201" spans="1:46" x14ac:dyDescent="0.25">
      <c r="A201" s="227"/>
      <c r="B201" s="227"/>
      <c r="C201" s="227"/>
      <c r="D201" s="227"/>
      <c r="E201" s="227"/>
      <c r="F201" s="227"/>
      <c r="G201" s="227"/>
      <c r="H201" s="227"/>
      <c r="I201" s="227"/>
      <c r="J201" s="227"/>
      <c r="K201" s="227"/>
      <c r="L201" s="227"/>
      <c r="M201" s="454"/>
      <c r="N201" s="454"/>
      <c r="O201" s="454"/>
      <c r="P201" s="454"/>
      <c r="Q201" s="454"/>
      <c r="R201" s="454"/>
      <c r="S201" s="454"/>
      <c r="T201" s="454"/>
      <c r="U201" s="454"/>
      <c r="V201" s="454"/>
      <c r="W201" s="454"/>
      <c r="X201" s="454"/>
      <c r="Y201" s="454"/>
      <c r="Z201" s="454"/>
      <c r="AA201" s="454"/>
      <c r="AB201" s="454"/>
      <c r="AC201" s="454"/>
      <c r="AD201" s="454"/>
      <c r="AE201" s="454"/>
      <c r="AF201" s="454"/>
      <c r="AG201" s="454"/>
      <c r="AH201" s="454"/>
      <c r="AI201" s="454"/>
      <c r="AJ201" s="454"/>
      <c r="AK201" s="454"/>
      <c r="AL201" s="466"/>
      <c r="AM201" s="466"/>
      <c r="AN201" s="466"/>
      <c r="AO201" s="466"/>
      <c r="AP201" s="466"/>
      <c r="AQ201" s="466"/>
      <c r="AR201" s="466"/>
      <c r="AS201" s="466"/>
      <c r="AT201" s="466"/>
    </row>
    <row r="202" spans="1:46" x14ac:dyDescent="0.25">
      <c r="A202" s="227"/>
      <c r="B202" s="227"/>
      <c r="C202" s="227"/>
      <c r="D202" s="227"/>
      <c r="E202" s="227"/>
      <c r="F202" s="227"/>
      <c r="G202" s="227"/>
      <c r="H202" s="227"/>
      <c r="I202" s="227"/>
      <c r="J202" s="227"/>
      <c r="K202" s="227"/>
      <c r="L202" s="227"/>
      <c r="M202" s="454"/>
      <c r="N202" s="454"/>
      <c r="O202" s="454"/>
      <c r="P202" s="454"/>
      <c r="Q202" s="454"/>
      <c r="R202" s="454"/>
      <c r="S202" s="454"/>
      <c r="T202" s="454"/>
      <c r="U202" s="454"/>
      <c r="V202" s="454"/>
      <c r="W202" s="454"/>
      <c r="X202" s="454"/>
      <c r="Y202" s="454"/>
      <c r="Z202" s="454"/>
      <c r="AA202" s="454"/>
      <c r="AB202" s="454"/>
      <c r="AC202" s="454"/>
      <c r="AD202" s="454"/>
      <c r="AE202" s="454"/>
      <c r="AF202" s="454"/>
      <c r="AG202" s="454"/>
      <c r="AH202" s="454"/>
      <c r="AI202" s="454"/>
      <c r="AJ202" s="454"/>
      <c r="AK202" s="454"/>
      <c r="AL202" s="466"/>
      <c r="AM202" s="466"/>
      <c r="AN202" s="466"/>
      <c r="AO202" s="466"/>
      <c r="AP202" s="466"/>
      <c r="AQ202" s="466"/>
      <c r="AR202" s="466"/>
      <c r="AS202" s="466"/>
      <c r="AT202" s="466"/>
    </row>
    <row r="203" spans="1:46" x14ac:dyDescent="0.25">
      <c r="A203" s="227"/>
      <c r="B203" s="227"/>
      <c r="C203" s="227"/>
      <c r="D203" s="227"/>
      <c r="E203" s="227"/>
      <c r="F203" s="227"/>
      <c r="G203" s="227"/>
      <c r="H203" s="227"/>
      <c r="I203" s="227"/>
      <c r="J203" s="227"/>
      <c r="K203" s="227"/>
      <c r="L203" s="227"/>
      <c r="M203" s="454"/>
      <c r="N203" s="454"/>
      <c r="O203" s="454"/>
      <c r="P203" s="454"/>
      <c r="Q203" s="454"/>
      <c r="R203" s="454"/>
      <c r="S203" s="454"/>
      <c r="T203" s="454"/>
      <c r="U203" s="454"/>
      <c r="V203" s="454"/>
      <c r="W203" s="454"/>
      <c r="X203" s="454"/>
      <c r="Y203" s="454"/>
      <c r="Z203" s="454"/>
      <c r="AA203" s="454"/>
      <c r="AB203" s="454"/>
      <c r="AC203" s="454"/>
      <c r="AD203" s="454"/>
      <c r="AE203" s="454"/>
      <c r="AF203" s="454"/>
      <c r="AG203" s="454"/>
      <c r="AH203" s="454"/>
      <c r="AI203" s="454"/>
      <c r="AJ203" s="454"/>
      <c r="AK203" s="454"/>
      <c r="AL203" s="466"/>
      <c r="AM203" s="466"/>
      <c r="AN203" s="466"/>
      <c r="AO203" s="466"/>
      <c r="AP203" s="466"/>
      <c r="AQ203" s="466"/>
      <c r="AR203" s="466"/>
      <c r="AS203" s="466"/>
      <c r="AT203" s="466"/>
    </row>
    <row r="204" spans="1:46" x14ac:dyDescent="0.25">
      <c r="A204" s="227"/>
      <c r="B204" s="227"/>
      <c r="C204" s="227"/>
      <c r="D204" s="227"/>
      <c r="E204" s="227"/>
      <c r="F204" s="227"/>
      <c r="G204" s="227"/>
      <c r="H204" s="227"/>
      <c r="I204" s="227"/>
      <c r="J204" s="227"/>
      <c r="K204" s="227"/>
      <c r="L204" s="227"/>
      <c r="M204" s="454"/>
      <c r="N204" s="454"/>
      <c r="O204" s="454"/>
      <c r="P204" s="454"/>
      <c r="Q204" s="454"/>
      <c r="R204" s="454"/>
      <c r="S204" s="454"/>
      <c r="T204" s="454"/>
      <c r="U204" s="454"/>
      <c r="V204" s="454"/>
      <c r="W204" s="454"/>
      <c r="X204" s="454"/>
      <c r="Y204" s="454"/>
      <c r="Z204" s="454"/>
      <c r="AA204" s="454"/>
      <c r="AB204" s="454"/>
      <c r="AC204" s="454"/>
      <c r="AD204" s="454"/>
      <c r="AE204" s="454"/>
      <c r="AF204" s="454"/>
      <c r="AG204" s="454"/>
      <c r="AH204" s="454"/>
      <c r="AI204" s="454"/>
      <c r="AJ204" s="454"/>
      <c r="AK204" s="454"/>
      <c r="AL204" s="466"/>
      <c r="AM204" s="466"/>
      <c r="AN204" s="466"/>
      <c r="AO204" s="466"/>
      <c r="AP204" s="466"/>
      <c r="AQ204" s="466"/>
      <c r="AR204" s="466"/>
      <c r="AS204" s="466"/>
      <c r="AT204" s="466"/>
    </row>
    <row r="205" spans="1:46" x14ac:dyDescent="0.25">
      <c r="A205" s="227"/>
      <c r="B205" s="227"/>
      <c r="C205" s="227"/>
      <c r="D205" s="227"/>
      <c r="E205" s="227"/>
      <c r="F205" s="227"/>
      <c r="G205" s="227"/>
      <c r="H205" s="227"/>
      <c r="I205" s="227"/>
      <c r="J205" s="227"/>
      <c r="K205" s="227"/>
      <c r="L205" s="227"/>
      <c r="M205" s="454"/>
      <c r="N205" s="454"/>
      <c r="O205" s="454"/>
      <c r="P205" s="454"/>
      <c r="Q205" s="454"/>
      <c r="R205" s="454"/>
      <c r="S205" s="454"/>
      <c r="T205" s="454"/>
      <c r="U205" s="454"/>
      <c r="V205" s="454"/>
      <c r="W205" s="454"/>
      <c r="X205" s="454"/>
      <c r="Y205" s="454"/>
      <c r="Z205" s="454"/>
      <c r="AA205" s="454"/>
      <c r="AB205" s="454"/>
      <c r="AC205" s="454"/>
      <c r="AD205" s="454"/>
      <c r="AE205" s="454"/>
      <c r="AF205" s="454"/>
      <c r="AG205" s="454"/>
      <c r="AH205" s="454"/>
      <c r="AI205" s="454"/>
      <c r="AJ205" s="454"/>
      <c r="AK205" s="454"/>
      <c r="AL205" s="466"/>
      <c r="AM205" s="466"/>
      <c r="AN205" s="466"/>
      <c r="AO205" s="466"/>
      <c r="AP205" s="466"/>
      <c r="AQ205" s="466"/>
      <c r="AR205" s="466"/>
      <c r="AS205" s="466"/>
      <c r="AT205" s="466"/>
    </row>
    <row r="206" spans="1:46" x14ac:dyDescent="0.25">
      <c r="A206" s="227"/>
      <c r="B206" s="227"/>
      <c r="C206" s="227"/>
      <c r="D206" s="227"/>
      <c r="E206" s="227"/>
      <c r="F206" s="227"/>
      <c r="G206" s="227"/>
      <c r="H206" s="227"/>
      <c r="I206" s="227"/>
      <c r="J206" s="227"/>
      <c r="K206" s="227"/>
      <c r="L206" s="227"/>
      <c r="M206" s="454"/>
      <c r="N206" s="454"/>
      <c r="O206" s="454"/>
      <c r="P206" s="454"/>
      <c r="Q206" s="454"/>
      <c r="R206" s="454"/>
      <c r="S206" s="454"/>
      <c r="T206" s="454"/>
      <c r="U206" s="454"/>
      <c r="V206" s="454"/>
      <c r="W206" s="454"/>
      <c r="X206" s="454"/>
      <c r="Y206" s="454"/>
      <c r="Z206" s="454"/>
      <c r="AA206" s="454"/>
      <c r="AB206" s="454"/>
      <c r="AC206" s="454"/>
      <c r="AD206" s="454"/>
      <c r="AE206" s="454"/>
      <c r="AF206" s="454"/>
      <c r="AG206" s="454"/>
      <c r="AH206" s="454"/>
      <c r="AI206" s="454"/>
      <c r="AJ206" s="454"/>
      <c r="AK206" s="454"/>
      <c r="AL206" s="466"/>
      <c r="AM206" s="466"/>
      <c r="AN206" s="466"/>
      <c r="AO206" s="466"/>
      <c r="AP206" s="466"/>
      <c r="AQ206" s="466"/>
      <c r="AR206" s="466"/>
      <c r="AS206" s="466"/>
      <c r="AT206" s="466"/>
    </row>
    <row r="207" spans="1:46" x14ac:dyDescent="0.25">
      <c r="A207" s="227"/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454"/>
      <c r="N207" s="454"/>
      <c r="O207" s="454"/>
      <c r="P207" s="454"/>
      <c r="Q207" s="454"/>
      <c r="R207" s="454"/>
      <c r="S207" s="454"/>
      <c r="T207" s="454"/>
      <c r="U207" s="454"/>
      <c r="V207" s="454"/>
      <c r="W207" s="454"/>
      <c r="X207" s="454"/>
      <c r="Y207" s="454"/>
      <c r="Z207" s="454"/>
      <c r="AA207" s="454"/>
      <c r="AB207" s="454"/>
      <c r="AC207" s="454"/>
      <c r="AD207" s="454"/>
      <c r="AE207" s="454"/>
      <c r="AF207" s="454"/>
      <c r="AG207" s="454"/>
      <c r="AH207" s="454"/>
      <c r="AI207" s="454"/>
      <c r="AJ207" s="454"/>
      <c r="AK207" s="454"/>
      <c r="AL207" s="466"/>
      <c r="AM207" s="466"/>
      <c r="AN207" s="466"/>
      <c r="AO207" s="466"/>
      <c r="AP207" s="466"/>
      <c r="AQ207" s="466"/>
      <c r="AR207" s="466"/>
      <c r="AS207" s="466"/>
      <c r="AT207" s="466"/>
    </row>
    <row r="208" spans="1:46" x14ac:dyDescent="0.25">
      <c r="A208" s="227"/>
      <c r="B208" s="227"/>
      <c r="C208" s="227"/>
      <c r="D208" s="227"/>
      <c r="E208" s="227"/>
      <c r="F208" s="227"/>
      <c r="G208" s="227"/>
      <c r="H208" s="227"/>
      <c r="I208" s="227"/>
      <c r="J208" s="227"/>
      <c r="K208" s="227"/>
      <c r="L208" s="227"/>
      <c r="M208" s="454"/>
      <c r="N208" s="454"/>
      <c r="O208" s="454"/>
      <c r="P208" s="454"/>
      <c r="Q208" s="454"/>
      <c r="R208" s="454"/>
      <c r="S208" s="454"/>
      <c r="T208" s="454"/>
      <c r="U208" s="454"/>
      <c r="V208" s="454"/>
      <c r="W208" s="454"/>
      <c r="X208" s="454"/>
      <c r="Y208" s="454"/>
      <c r="Z208" s="454"/>
      <c r="AA208" s="454"/>
      <c r="AB208" s="454"/>
      <c r="AC208" s="454"/>
      <c r="AD208" s="454"/>
      <c r="AE208" s="454"/>
      <c r="AF208" s="454"/>
      <c r="AG208" s="454"/>
      <c r="AH208" s="454"/>
      <c r="AI208" s="454"/>
      <c r="AJ208" s="454"/>
      <c r="AK208" s="454"/>
      <c r="AL208" s="466"/>
      <c r="AM208" s="466"/>
      <c r="AN208" s="466"/>
      <c r="AO208" s="466"/>
      <c r="AP208" s="466"/>
      <c r="AQ208" s="466"/>
      <c r="AR208" s="466"/>
      <c r="AS208" s="466"/>
      <c r="AT208" s="466"/>
    </row>
    <row r="209" spans="1:46" x14ac:dyDescent="0.25">
      <c r="A209" s="227"/>
      <c r="B209" s="227"/>
      <c r="C209" s="227"/>
      <c r="D209" s="227"/>
      <c r="E209" s="227"/>
      <c r="F209" s="227"/>
      <c r="G209" s="227"/>
      <c r="H209" s="227"/>
      <c r="I209" s="227"/>
      <c r="J209" s="227"/>
      <c r="K209" s="227"/>
      <c r="L209" s="227"/>
      <c r="M209" s="454"/>
      <c r="N209" s="454"/>
      <c r="O209" s="454"/>
      <c r="P209" s="454"/>
      <c r="Q209" s="454"/>
      <c r="R209" s="454"/>
      <c r="S209" s="454"/>
      <c r="T209" s="454"/>
      <c r="U209" s="454"/>
      <c r="V209" s="454"/>
      <c r="W209" s="454"/>
      <c r="X209" s="454"/>
      <c r="Y209" s="454"/>
      <c r="Z209" s="454"/>
      <c r="AA209" s="454"/>
      <c r="AB209" s="454"/>
      <c r="AC209" s="454"/>
      <c r="AD209" s="454"/>
      <c r="AE209" s="454"/>
      <c r="AF209" s="454"/>
      <c r="AG209" s="454"/>
      <c r="AH209" s="454"/>
      <c r="AI209" s="454"/>
      <c r="AJ209" s="454"/>
      <c r="AK209" s="454"/>
      <c r="AL209" s="466"/>
      <c r="AM209" s="466"/>
      <c r="AN209" s="466"/>
      <c r="AO209" s="466"/>
      <c r="AP209" s="466"/>
      <c r="AQ209" s="466"/>
      <c r="AR209" s="466"/>
      <c r="AS209" s="466"/>
      <c r="AT209" s="466"/>
    </row>
    <row r="210" spans="1:46" x14ac:dyDescent="0.25">
      <c r="A210" s="227"/>
      <c r="B210" s="227"/>
      <c r="C210" s="227"/>
      <c r="D210" s="227"/>
      <c r="E210" s="227"/>
      <c r="F210" s="227"/>
      <c r="G210" s="227"/>
      <c r="H210" s="227"/>
      <c r="I210" s="227"/>
      <c r="J210" s="227"/>
      <c r="K210" s="227"/>
      <c r="L210" s="227"/>
      <c r="M210" s="454"/>
      <c r="N210" s="454"/>
      <c r="O210" s="454"/>
      <c r="P210" s="454"/>
      <c r="Q210" s="454"/>
      <c r="R210" s="454"/>
      <c r="S210" s="454"/>
      <c r="T210" s="454"/>
      <c r="U210" s="454"/>
      <c r="V210" s="454"/>
      <c r="W210" s="454"/>
      <c r="X210" s="454"/>
      <c r="Y210" s="454"/>
      <c r="Z210" s="454"/>
      <c r="AA210" s="454"/>
      <c r="AB210" s="454"/>
      <c r="AC210" s="454"/>
      <c r="AD210" s="454"/>
      <c r="AE210" s="454"/>
      <c r="AF210" s="454"/>
      <c r="AG210" s="454"/>
      <c r="AH210" s="454"/>
      <c r="AI210" s="454"/>
      <c r="AJ210" s="454"/>
      <c r="AK210" s="454"/>
      <c r="AL210" s="466"/>
      <c r="AM210" s="466"/>
      <c r="AN210" s="466"/>
      <c r="AO210" s="466"/>
      <c r="AP210" s="466"/>
      <c r="AQ210" s="466"/>
      <c r="AR210" s="466"/>
      <c r="AS210" s="466"/>
      <c r="AT210" s="466"/>
    </row>
    <row r="211" spans="1:46" x14ac:dyDescent="0.25">
      <c r="A211" s="227"/>
      <c r="B211" s="227"/>
      <c r="C211" s="227"/>
      <c r="D211" s="227"/>
      <c r="E211" s="227"/>
      <c r="F211" s="227"/>
      <c r="G211" s="227"/>
      <c r="H211" s="227"/>
      <c r="I211" s="227"/>
      <c r="J211" s="227"/>
      <c r="K211" s="227"/>
      <c r="L211" s="227"/>
      <c r="M211" s="454"/>
      <c r="N211" s="454"/>
      <c r="O211" s="454"/>
      <c r="P211" s="454"/>
      <c r="Q211" s="454"/>
      <c r="R211" s="454"/>
      <c r="S211" s="454"/>
      <c r="T211" s="454"/>
      <c r="U211" s="454"/>
      <c r="V211" s="454"/>
      <c r="W211" s="454"/>
      <c r="X211" s="454"/>
      <c r="Y211" s="454"/>
      <c r="Z211" s="454"/>
      <c r="AA211" s="454"/>
      <c r="AB211" s="454"/>
      <c r="AC211" s="454"/>
      <c r="AD211" s="454"/>
      <c r="AE211" s="454"/>
      <c r="AF211" s="454"/>
      <c r="AG211" s="454"/>
      <c r="AH211" s="454"/>
      <c r="AI211" s="454"/>
      <c r="AJ211" s="454"/>
      <c r="AK211" s="454"/>
      <c r="AL211" s="466"/>
      <c r="AM211" s="466"/>
      <c r="AN211" s="466"/>
      <c r="AO211" s="466"/>
      <c r="AP211" s="466"/>
      <c r="AQ211" s="466"/>
      <c r="AR211" s="466"/>
      <c r="AS211" s="466"/>
      <c r="AT211" s="466"/>
    </row>
    <row r="212" spans="1:46" x14ac:dyDescent="0.25">
      <c r="A212" s="227"/>
      <c r="B212" s="227"/>
      <c r="C212" s="227"/>
      <c r="D212" s="227"/>
      <c r="E212" s="227"/>
      <c r="F212" s="227"/>
      <c r="G212" s="227"/>
      <c r="H212" s="227"/>
      <c r="I212" s="227"/>
      <c r="J212" s="227"/>
      <c r="K212" s="227"/>
      <c r="L212" s="227"/>
      <c r="M212" s="454"/>
      <c r="N212" s="454"/>
      <c r="O212" s="454"/>
      <c r="P212" s="454"/>
      <c r="Q212" s="454"/>
      <c r="R212" s="454"/>
      <c r="S212" s="454"/>
      <c r="T212" s="454"/>
      <c r="U212" s="454"/>
      <c r="V212" s="454"/>
      <c r="W212" s="454"/>
      <c r="X212" s="454"/>
      <c r="Y212" s="454"/>
      <c r="Z212" s="454"/>
      <c r="AA212" s="454"/>
      <c r="AB212" s="454"/>
      <c r="AC212" s="454"/>
      <c r="AD212" s="454"/>
      <c r="AE212" s="454"/>
      <c r="AF212" s="454"/>
      <c r="AG212" s="454"/>
      <c r="AH212" s="454"/>
      <c r="AI212" s="454"/>
      <c r="AJ212" s="454"/>
      <c r="AK212" s="454"/>
      <c r="AL212" s="466"/>
      <c r="AM212" s="466"/>
      <c r="AN212" s="466"/>
      <c r="AO212" s="466"/>
      <c r="AP212" s="466"/>
      <c r="AQ212" s="466"/>
      <c r="AR212" s="466"/>
      <c r="AS212" s="466"/>
      <c r="AT212" s="466"/>
    </row>
    <row r="213" spans="1:46" x14ac:dyDescent="0.25">
      <c r="A213" s="227"/>
      <c r="B213" s="227"/>
      <c r="C213" s="227"/>
      <c r="D213" s="227"/>
      <c r="E213" s="227"/>
      <c r="F213" s="227"/>
      <c r="G213" s="227"/>
      <c r="H213" s="227"/>
      <c r="I213" s="227"/>
      <c r="J213" s="227"/>
      <c r="K213" s="227"/>
      <c r="L213" s="227"/>
      <c r="M213" s="454"/>
      <c r="N213" s="454"/>
      <c r="O213" s="454"/>
      <c r="P213" s="454"/>
      <c r="Q213" s="454"/>
      <c r="R213" s="454"/>
      <c r="S213" s="454"/>
      <c r="T213" s="454"/>
      <c r="U213" s="454"/>
      <c r="V213" s="454"/>
      <c r="W213" s="454"/>
      <c r="X213" s="454"/>
      <c r="Y213" s="454"/>
      <c r="Z213" s="454"/>
      <c r="AA213" s="454"/>
      <c r="AB213" s="454"/>
      <c r="AC213" s="454"/>
      <c r="AD213" s="454"/>
      <c r="AE213" s="454"/>
      <c r="AF213" s="454"/>
      <c r="AG213" s="454"/>
      <c r="AH213" s="454"/>
      <c r="AI213" s="454"/>
      <c r="AJ213" s="454"/>
      <c r="AK213" s="454"/>
      <c r="AL213" s="466"/>
      <c r="AM213" s="466"/>
      <c r="AN213" s="466"/>
      <c r="AO213" s="466"/>
      <c r="AP213" s="466"/>
      <c r="AQ213" s="466"/>
      <c r="AR213" s="466"/>
      <c r="AS213" s="466"/>
      <c r="AT213" s="466"/>
    </row>
    <row r="214" spans="1:46" x14ac:dyDescent="0.25">
      <c r="A214" s="223"/>
      <c r="B214" s="1266"/>
      <c r="C214" s="1266"/>
      <c r="D214" s="1266"/>
      <c r="E214" s="1266"/>
      <c r="F214" s="223"/>
      <c r="G214" s="223"/>
      <c r="H214" s="223"/>
      <c r="I214" s="223"/>
      <c r="J214" s="223"/>
      <c r="K214" s="223"/>
      <c r="L214" s="223"/>
      <c r="M214" s="223"/>
      <c r="N214" s="223"/>
      <c r="O214" s="223"/>
      <c r="P214" s="223"/>
      <c r="Q214" s="223"/>
      <c r="R214" s="223"/>
      <c r="S214" s="223"/>
      <c r="T214" s="223"/>
      <c r="U214" s="223"/>
      <c r="V214" s="223"/>
      <c r="W214" s="223"/>
      <c r="X214" s="223"/>
      <c r="Y214" s="223"/>
      <c r="Z214" s="223"/>
      <c r="AA214" s="223"/>
      <c r="AB214" s="223"/>
      <c r="AC214" s="223"/>
      <c r="AD214" s="223"/>
      <c r="AE214" s="223"/>
      <c r="AF214" s="223"/>
      <c r="AG214" s="223"/>
      <c r="AH214" s="223"/>
      <c r="AI214" s="223"/>
      <c r="AJ214" s="223"/>
      <c r="AK214" s="223"/>
      <c r="AL214" s="466"/>
      <c r="AM214" s="466"/>
      <c r="AN214" s="466"/>
      <c r="AO214" s="466"/>
      <c r="AP214" s="466"/>
      <c r="AQ214" s="466"/>
      <c r="AR214" s="466"/>
      <c r="AS214" s="466"/>
      <c r="AT214" s="466"/>
    </row>
    <row r="215" spans="1:46" x14ac:dyDescent="0.25">
      <c r="A215" s="223"/>
      <c r="B215" s="223"/>
      <c r="C215" s="223"/>
      <c r="D215" s="223"/>
      <c r="E215" s="223"/>
      <c r="F215" s="223"/>
      <c r="G215" s="223"/>
      <c r="H215" s="223"/>
      <c r="I215" s="223"/>
      <c r="J215" s="223"/>
      <c r="K215" s="223"/>
      <c r="L215" s="223"/>
      <c r="M215" s="223"/>
      <c r="N215" s="223"/>
      <c r="O215" s="223"/>
      <c r="P215" s="223"/>
      <c r="Q215" s="223"/>
      <c r="R215" s="223"/>
      <c r="S215" s="223"/>
      <c r="T215" s="223"/>
      <c r="U215" s="223"/>
      <c r="V215" s="223"/>
      <c r="W215" s="223"/>
      <c r="X215" s="223"/>
      <c r="Y215" s="223"/>
      <c r="Z215" s="223"/>
      <c r="AA215" s="223"/>
      <c r="AB215" s="223"/>
      <c r="AC215" s="223"/>
      <c r="AD215" s="223"/>
      <c r="AE215" s="223"/>
      <c r="AF215" s="223"/>
      <c r="AG215" s="223"/>
      <c r="AH215" s="223"/>
      <c r="AI215" s="223"/>
      <c r="AJ215" s="223"/>
      <c r="AK215" s="223"/>
      <c r="AL215" s="466"/>
      <c r="AM215" s="466"/>
      <c r="AN215" s="466"/>
      <c r="AO215" s="466"/>
      <c r="AP215" s="466"/>
      <c r="AQ215" s="466"/>
      <c r="AR215" s="466"/>
      <c r="AS215" s="466"/>
      <c r="AT215" s="466"/>
    </row>
    <row r="216" spans="1:46" x14ac:dyDescent="0.25">
      <c r="A216" s="466"/>
      <c r="B216" s="466"/>
      <c r="C216" s="466"/>
      <c r="D216" s="466"/>
      <c r="E216" s="466"/>
      <c r="F216" s="466"/>
      <c r="G216" s="466"/>
      <c r="H216" s="466"/>
      <c r="I216" s="466"/>
      <c r="J216" s="466"/>
      <c r="K216" s="466"/>
      <c r="L216" s="466"/>
      <c r="M216" s="466"/>
      <c r="N216" s="466"/>
      <c r="O216" s="466"/>
      <c r="P216" s="466"/>
      <c r="Q216" s="466"/>
      <c r="R216" s="466"/>
      <c r="S216" s="466"/>
      <c r="T216" s="466"/>
      <c r="U216" s="466"/>
      <c r="V216" s="466"/>
      <c r="W216" s="466"/>
      <c r="X216" s="466"/>
      <c r="Y216" s="466"/>
      <c r="Z216" s="466"/>
      <c r="AA216" s="466"/>
      <c r="AB216" s="466"/>
      <c r="AC216" s="466"/>
      <c r="AD216" s="466"/>
      <c r="AE216" s="466"/>
      <c r="AF216" s="466"/>
      <c r="AG216" s="466"/>
      <c r="AH216" s="466"/>
      <c r="AI216" s="466"/>
      <c r="AJ216" s="466"/>
      <c r="AK216" s="466"/>
      <c r="AL216" s="466"/>
      <c r="AM216" s="466"/>
      <c r="AN216" s="466"/>
      <c r="AO216" s="466"/>
      <c r="AP216" s="466"/>
      <c r="AQ216" s="466"/>
      <c r="AR216" s="466"/>
      <c r="AS216" s="466"/>
      <c r="AT216" s="466"/>
    </row>
    <row r="217" spans="1:46" x14ac:dyDescent="0.25">
      <c r="A217" s="223"/>
      <c r="B217" s="223"/>
      <c r="C217" s="223"/>
      <c r="D217" s="223"/>
      <c r="E217" s="223"/>
      <c r="F217" s="223"/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3"/>
      <c r="T217" s="223"/>
      <c r="U217" s="223"/>
      <c r="V217" s="223"/>
      <c r="W217" s="223"/>
      <c r="X217" s="223"/>
      <c r="Y217" s="223"/>
      <c r="Z217" s="223"/>
      <c r="AA217" s="223"/>
      <c r="AB217" s="223"/>
      <c r="AC217" s="223"/>
      <c r="AD217" s="223"/>
      <c r="AE217" s="223"/>
      <c r="AF217" s="223"/>
      <c r="AG217" s="223"/>
      <c r="AH217" s="223"/>
      <c r="AI217" s="223"/>
      <c r="AJ217" s="223"/>
      <c r="AK217" s="223"/>
      <c r="AL217" s="466"/>
      <c r="AM217" s="466"/>
      <c r="AN217" s="466"/>
      <c r="AO217" s="466"/>
      <c r="AP217" s="466"/>
      <c r="AQ217" s="466"/>
      <c r="AR217" s="466"/>
      <c r="AS217" s="466"/>
      <c r="AT217" s="466"/>
    </row>
    <row r="218" spans="1:46" x14ac:dyDescent="0.25">
      <c r="A218" s="466"/>
      <c r="B218" s="466"/>
      <c r="C218" s="466"/>
      <c r="D218" s="466"/>
      <c r="E218" s="466"/>
      <c r="F218" s="466"/>
      <c r="G218" s="466"/>
      <c r="H218" s="466"/>
      <c r="I218" s="466"/>
      <c r="J218" s="466"/>
      <c r="K218" s="466"/>
      <c r="L218" s="466"/>
      <c r="M218" s="466"/>
      <c r="N218" s="466"/>
      <c r="O218" s="466"/>
      <c r="P218" s="466"/>
      <c r="Q218" s="466"/>
      <c r="R218" s="466"/>
      <c r="S218" s="466"/>
      <c r="T218" s="466"/>
      <c r="U218" s="466"/>
      <c r="V218" s="466"/>
      <c r="W218" s="466"/>
      <c r="X218" s="466"/>
      <c r="Y218" s="466"/>
      <c r="Z218" s="466"/>
      <c r="AA218" s="466"/>
      <c r="AB218" s="466"/>
      <c r="AC218" s="466"/>
      <c r="AD218" s="466"/>
      <c r="AE218" s="466"/>
      <c r="AF218" s="466"/>
      <c r="AG218" s="466"/>
      <c r="AH218" s="466"/>
      <c r="AI218" s="466"/>
      <c r="AJ218" s="466"/>
      <c r="AK218" s="466"/>
      <c r="AL218" s="466"/>
      <c r="AM218" s="466"/>
      <c r="AN218" s="466"/>
      <c r="AO218" s="466"/>
      <c r="AP218" s="466"/>
      <c r="AQ218" s="466"/>
      <c r="AR218" s="466"/>
      <c r="AS218" s="466"/>
      <c r="AT218" s="466"/>
    </row>
    <row r="219" spans="1:46" x14ac:dyDescent="0.25">
      <c r="A219" s="466"/>
      <c r="B219" s="466"/>
      <c r="C219" s="466"/>
      <c r="D219" s="466"/>
      <c r="E219" s="466"/>
      <c r="F219" s="466"/>
      <c r="G219" s="466"/>
      <c r="H219" s="466"/>
      <c r="I219" s="466"/>
      <c r="J219" s="466"/>
      <c r="K219" s="466"/>
      <c r="L219" s="466"/>
      <c r="M219" s="466"/>
      <c r="N219" s="466"/>
      <c r="O219" s="466"/>
      <c r="P219" s="466"/>
      <c r="Q219" s="466"/>
      <c r="R219" s="466"/>
      <c r="S219" s="466"/>
      <c r="T219" s="466"/>
      <c r="U219" s="466"/>
      <c r="V219" s="466"/>
      <c r="W219" s="466"/>
      <c r="X219" s="466"/>
      <c r="Y219" s="466"/>
      <c r="Z219" s="466"/>
      <c r="AA219" s="466"/>
      <c r="AB219" s="466"/>
      <c r="AC219" s="466"/>
      <c r="AD219" s="466"/>
      <c r="AE219" s="466"/>
      <c r="AF219" s="466"/>
      <c r="AG219" s="466"/>
      <c r="AH219" s="466"/>
      <c r="AI219" s="466"/>
      <c r="AJ219" s="466"/>
      <c r="AK219" s="466"/>
      <c r="AL219" s="466"/>
      <c r="AM219" s="466"/>
      <c r="AN219" s="466"/>
      <c r="AO219" s="466"/>
      <c r="AP219" s="466"/>
      <c r="AQ219" s="466"/>
      <c r="AR219" s="466"/>
      <c r="AS219" s="466"/>
      <c r="AT219" s="466"/>
    </row>
    <row r="220" spans="1:46" x14ac:dyDescent="0.25">
      <c r="A220" s="466"/>
      <c r="B220" s="466"/>
      <c r="C220" s="466"/>
      <c r="D220" s="466"/>
      <c r="E220" s="466"/>
      <c r="F220" s="466"/>
      <c r="G220" s="466"/>
      <c r="H220" s="466"/>
      <c r="I220" s="466"/>
      <c r="J220" s="466"/>
      <c r="K220" s="466"/>
      <c r="L220" s="466"/>
      <c r="M220" s="466"/>
      <c r="N220" s="466"/>
      <c r="O220" s="466"/>
      <c r="P220" s="466"/>
      <c r="Q220" s="466"/>
      <c r="R220" s="466"/>
      <c r="S220" s="466"/>
      <c r="T220" s="466"/>
      <c r="U220" s="466"/>
      <c r="V220" s="466"/>
      <c r="W220" s="466"/>
      <c r="X220" s="466"/>
      <c r="Y220" s="466"/>
      <c r="Z220" s="466"/>
      <c r="AA220" s="466"/>
      <c r="AB220" s="466"/>
      <c r="AC220" s="466"/>
      <c r="AD220" s="466"/>
      <c r="AE220" s="466"/>
      <c r="AF220" s="466"/>
      <c r="AG220" s="466"/>
      <c r="AH220" s="466"/>
      <c r="AI220" s="466"/>
      <c r="AJ220" s="466"/>
      <c r="AK220" s="466"/>
      <c r="AL220" s="466"/>
      <c r="AM220" s="466"/>
      <c r="AN220" s="466"/>
      <c r="AO220" s="466"/>
      <c r="AP220" s="466"/>
      <c r="AQ220" s="466"/>
      <c r="AR220" s="466"/>
      <c r="AS220" s="466"/>
      <c r="AT220" s="466"/>
    </row>
    <row r="221" spans="1:46" x14ac:dyDescent="0.25">
      <c r="A221" s="466"/>
      <c r="B221" s="466"/>
      <c r="C221" s="466"/>
      <c r="D221" s="466"/>
      <c r="E221" s="466"/>
      <c r="F221" s="466"/>
      <c r="G221" s="466"/>
      <c r="H221" s="466"/>
      <c r="I221" s="466"/>
      <c r="J221" s="466"/>
      <c r="K221" s="466"/>
      <c r="L221" s="466"/>
      <c r="M221" s="466"/>
      <c r="N221" s="466"/>
      <c r="O221" s="466"/>
      <c r="P221" s="466"/>
      <c r="Q221" s="466"/>
      <c r="R221" s="466"/>
      <c r="S221" s="466"/>
      <c r="T221" s="466"/>
      <c r="U221" s="466"/>
      <c r="V221" s="466"/>
      <c r="W221" s="466"/>
      <c r="X221" s="466"/>
      <c r="Y221" s="466"/>
      <c r="Z221" s="466"/>
      <c r="AA221" s="466"/>
      <c r="AB221" s="466"/>
      <c r="AC221" s="466"/>
      <c r="AD221" s="466"/>
      <c r="AE221" s="466"/>
      <c r="AF221" s="466"/>
      <c r="AG221" s="466"/>
      <c r="AH221" s="466"/>
      <c r="AI221" s="466"/>
      <c r="AJ221" s="466"/>
      <c r="AK221" s="466"/>
      <c r="AL221" s="466"/>
      <c r="AM221" s="466"/>
      <c r="AN221" s="466"/>
      <c r="AO221" s="466"/>
      <c r="AP221" s="466"/>
      <c r="AQ221" s="466"/>
      <c r="AR221" s="466"/>
      <c r="AS221" s="466"/>
      <c r="AT221" s="466"/>
    </row>
    <row r="222" spans="1:46" x14ac:dyDescent="0.25">
      <c r="A222" s="466"/>
      <c r="B222" s="466"/>
      <c r="C222" s="466"/>
      <c r="D222" s="466"/>
      <c r="E222" s="466"/>
      <c r="F222" s="466"/>
      <c r="G222" s="466"/>
      <c r="H222" s="466"/>
      <c r="I222" s="466"/>
      <c r="J222" s="466"/>
      <c r="K222" s="466"/>
      <c r="L222" s="466"/>
      <c r="M222" s="466"/>
      <c r="N222" s="466"/>
      <c r="O222" s="466"/>
      <c r="P222" s="466"/>
      <c r="Q222" s="466"/>
      <c r="R222" s="466"/>
      <c r="S222" s="466"/>
      <c r="T222" s="466"/>
      <c r="U222" s="466"/>
      <c r="V222" s="466"/>
      <c r="W222" s="466"/>
      <c r="X222" s="466"/>
      <c r="Y222" s="466"/>
      <c r="Z222" s="466"/>
      <c r="AA222" s="466"/>
      <c r="AB222" s="466"/>
      <c r="AC222" s="466"/>
      <c r="AD222" s="466"/>
      <c r="AE222" s="466"/>
      <c r="AF222" s="466"/>
      <c r="AG222" s="466"/>
      <c r="AH222" s="466"/>
      <c r="AI222" s="466"/>
      <c r="AJ222" s="466"/>
      <c r="AK222" s="466"/>
      <c r="AL222" s="466"/>
      <c r="AM222" s="466"/>
      <c r="AN222" s="466"/>
      <c r="AO222" s="466"/>
      <c r="AP222" s="466"/>
      <c r="AQ222" s="466"/>
      <c r="AR222" s="466"/>
      <c r="AS222" s="466"/>
      <c r="AT222" s="466"/>
    </row>
    <row r="223" spans="1:46" x14ac:dyDescent="0.25">
      <c r="A223" s="466"/>
      <c r="B223" s="466"/>
      <c r="C223" s="466"/>
      <c r="D223" s="466"/>
      <c r="E223" s="466"/>
      <c r="F223" s="466"/>
      <c r="G223" s="466"/>
      <c r="H223" s="466"/>
      <c r="I223" s="466"/>
      <c r="J223" s="466"/>
      <c r="K223" s="466"/>
      <c r="L223" s="466"/>
      <c r="M223" s="466"/>
      <c r="N223" s="466"/>
      <c r="O223" s="466"/>
      <c r="P223" s="466"/>
      <c r="Q223" s="466"/>
      <c r="R223" s="466"/>
      <c r="S223" s="466"/>
      <c r="T223" s="466"/>
      <c r="U223" s="466"/>
      <c r="V223" s="466"/>
      <c r="W223" s="466"/>
      <c r="X223" s="466"/>
      <c r="Y223" s="466"/>
      <c r="Z223" s="466"/>
      <c r="AA223" s="466"/>
      <c r="AB223" s="466"/>
      <c r="AC223" s="466"/>
      <c r="AD223" s="466"/>
      <c r="AE223" s="466"/>
      <c r="AF223" s="466"/>
      <c r="AG223" s="466"/>
      <c r="AH223" s="466"/>
      <c r="AI223" s="466"/>
      <c r="AJ223" s="466"/>
      <c r="AK223" s="466"/>
      <c r="AL223" s="466"/>
      <c r="AM223" s="466"/>
      <c r="AN223" s="466"/>
      <c r="AO223" s="466"/>
      <c r="AP223" s="466"/>
      <c r="AQ223" s="466"/>
      <c r="AR223" s="466"/>
      <c r="AS223" s="466"/>
      <c r="AT223" s="466"/>
    </row>
    <row r="224" spans="1:46" x14ac:dyDescent="0.25">
      <c r="A224" s="466"/>
      <c r="B224" s="466"/>
      <c r="C224" s="466"/>
      <c r="D224" s="466"/>
      <c r="E224" s="466"/>
      <c r="F224" s="466"/>
      <c r="G224" s="466"/>
      <c r="H224" s="466"/>
      <c r="I224" s="466"/>
      <c r="J224" s="466"/>
      <c r="K224" s="466"/>
      <c r="L224" s="466"/>
      <c r="M224" s="466"/>
      <c r="N224" s="466"/>
      <c r="O224" s="466"/>
      <c r="P224" s="466"/>
      <c r="Q224" s="466"/>
      <c r="R224" s="466"/>
      <c r="S224" s="466"/>
      <c r="T224" s="466"/>
      <c r="U224" s="466"/>
      <c r="V224" s="466"/>
      <c r="W224" s="466"/>
      <c r="X224" s="466"/>
      <c r="Y224" s="466"/>
      <c r="Z224" s="466"/>
      <c r="AA224" s="466"/>
      <c r="AB224" s="466"/>
      <c r="AC224" s="466"/>
      <c r="AD224" s="466"/>
      <c r="AE224" s="466"/>
      <c r="AF224" s="466"/>
      <c r="AG224" s="466"/>
      <c r="AH224" s="466"/>
      <c r="AI224" s="466"/>
      <c r="AJ224" s="466"/>
      <c r="AK224" s="466"/>
      <c r="AL224" s="466"/>
      <c r="AM224" s="466"/>
      <c r="AN224" s="466"/>
      <c r="AO224" s="466"/>
      <c r="AP224" s="466"/>
      <c r="AQ224" s="466"/>
      <c r="AR224" s="466"/>
      <c r="AS224" s="466"/>
      <c r="AT224" s="466"/>
    </row>
    <row r="225" spans="1:46" x14ac:dyDescent="0.25">
      <c r="A225" s="466"/>
      <c r="B225" s="466"/>
      <c r="C225" s="466"/>
      <c r="D225" s="466"/>
      <c r="E225" s="466"/>
      <c r="F225" s="466"/>
      <c r="G225" s="466"/>
      <c r="H225" s="466"/>
      <c r="I225" s="466"/>
      <c r="J225" s="466"/>
      <c r="K225" s="466"/>
      <c r="L225" s="466"/>
      <c r="M225" s="466"/>
      <c r="N225" s="466"/>
      <c r="O225" s="466"/>
      <c r="P225" s="466"/>
      <c r="Q225" s="466"/>
      <c r="R225" s="466"/>
      <c r="S225" s="466"/>
      <c r="T225" s="466"/>
      <c r="U225" s="466"/>
      <c r="V225" s="466"/>
      <c r="W225" s="466"/>
      <c r="X225" s="466"/>
      <c r="Y225" s="466"/>
      <c r="Z225" s="466"/>
      <c r="AA225" s="466"/>
      <c r="AB225" s="466"/>
      <c r="AC225" s="466"/>
      <c r="AD225" s="466"/>
      <c r="AE225" s="466"/>
      <c r="AF225" s="466"/>
      <c r="AG225" s="466"/>
      <c r="AH225" s="466"/>
      <c r="AI225" s="466"/>
      <c r="AJ225" s="466"/>
      <c r="AK225" s="466"/>
      <c r="AL225" s="466"/>
      <c r="AM225" s="466"/>
      <c r="AN225" s="466"/>
      <c r="AO225" s="466"/>
      <c r="AP225" s="466"/>
      <c r="AQ225" s="466"/>
      <c r="AR225" s="466"/>
      <c r="AS225" s="466"/>
      <c r="AT225" s="466"/>
    </row>
    <row r="226" spans="1:46" x14ac:dyDescent="0.25">
      <c r="A226" s="466"/>
      <c r="B226" s="466"/>
      <c r="C226" s="466"/>
      <c r="D226" s="466"/>
      <c r="E226" s="466"/>
      <c r="F226" s="466"/>
      <c r="G226" s="466"/>
      <c r="H226" s="466"/>
      <c r="I226" s="466"/>
      <c r="J226" s="466"/>
      <c r="K226" s="466"/>
      <c r="L226" s="466"/>
      <c r="M226" s="466"/>
      <c r="N226" s="466"/>
      <c r="O226" s="466"/>
      <c r="P226" s="466"/>
      <c r="Q226" s="466"/>
      <c r="R226" s="466"/>
      <c r="S226" s="466"/>
      <c r="T226" s="466"/>
      <c r="U226" s="466"/>
      <c r="V226" s="466"/>
      <c r="W226" s="466"/>
      <c r="X226" s="466"/>
      <c r="Y226" s="466"/>
      <c r="Z226" s="466"/>
      <c r="AA226" s="466"/>
      <c r="AB226" s="466"/>
      <c r="AC226" s="466"/>
      <c r="AD226" s="466"/>
      <c r="AE226" s="466"/>
      <c r="AF226" s="466"/>
      <c r="AG226" s="466"/>
      <c r="AH226" s="466"/>
      <c r="AI226" s="466"/>
      <c r="AJ226" s="466"/>
      <c r="AK226" s="466"/>
      <c r="AL226" s="466"/>
      <c r="AM226" s="466"/>
      <c r="AN226" s="466"/>
      <c r="AO226" s="466"/>
      <c r="AP226" s="466"/>
      <c r="AQ226" s="466"/>
      <c r="AR226" s="466"/>
      <c r="AS226" s="466"/>
      <c r="AT226" s="466"/>
    </row>
    <row r="227" spans="1:46" x14ac:dyDescent="0.25">
      <c r="A227" s="466"/>
      <c r="B227" s="466"/>
      <c r="C227" s="466"/>
      <c r="D227" s="466"/>
      <c r="E227" s="466"/>
      <c r="F227" s="466"/>
      <c r="G227" s="466"/>
      <c r="H227" s="466"/>
      <c r="I227" s="466"/>
      <c r="J227" s="466"/>
      <c r="K227" s="466"/>
      <c r="L227" s="466"/>
      <c r="M227" s="466"/>
      <c r="N227" s="466"/>
      <c r="O227" s="466"/>
      <c r="P227" s="466"/>
      <c r="Q227" s="466"/>
      <c r="R227" s="466"/>
      <c r="S227" s="466"/>
      <c r="T227" s="466"/>
      <c r="U227" s="466"/>
      <c r="V227" s="466"/>
      <c r="W227" s="466"/>
      <c r="X227" s="466"/>
      <c r="Y227" s="466"/>
      <c r="Z227" s="466"/>
      <c r="AA227" s="466"/>
      <c r="AB227" s="466"/>
      <c r="AC227" s="466"/>
      <c r="AD227" s="466"/>
      <c r="AE227" s="466"/>
      <c r="AF227" s="466"/>
      <c r="AG227" s="466"/>
      <c r="AH227" s="466"/>
      <c r="AI227" s="466"/>
      <c r="AJ227" s="466"/>
      <c r="AK227" s="466"/>
      <c r="AL227" s="466"/>
      <c r="AM227" s="466"/>
      <c r="AN227" s="466"/>
      <c r="AO227" s="466"/>
      <c r="AP227" s="466"/>
      <c r="AQ227" s="466"/>
      <c r="AR227" s="466"/>
      <c r="AS227" s="466"/>
      <c r="AT227" s="466"/>
    </row>
    <row r="228" spans="1:46" x14ac:dyDescent="0.25">
      <c r="A228" s="466"/>
      <c r="B228" s="466"/>
      <c r="C228" s="466"/>
      <c r="D228" s="466"/>
      <c r="E228" s="466"/>
      <c r="F228" s="466"/>
      <c r="G228" s="466"/>
      <c r="H228" s="466"/>
      <c r="I228" s="466"/>
      <c r="J228" s="466"/>
      <c r="K228" s="466"/>
      <c r="L228" s="466"/>
      <c r="M228" s="466"/>
      <c r="N228" s="466"/>
      <c r="O228" s="466"/>
      <c r="P228" s="466"/>
      <c r="Q228" s="466"/>
      <c r="R228" s="466"/>
      <c r="S228" s="466"/>
      <c r="T228" s="466"/>
      <c r="U228" s="466"/>
      <c r="V228" s="466"/>
      <c r="W228" s="466"/>
      <c r="X228" s="466"/>
      <c r="Y228" s="466"/>
      <c r="Z228" s="466"/>
      <c r="AA228" s="466"/>
      <c r="AB228" s="466"/>
      <c r="AC228" s="466"/>
      <c r="AD228" s="466"/>
      <c r="AE228" s="466"/>
      <c r="AF228" s="466"/>
      <c r="AG228" s="466"/>
      <c r="AH228" s="466"/>
      <c r="AI228" s="466"/>
      <c r="AJ228" s="466"/>
      <c r="AK228" s="466"/>
      <c r="AL228" s="466"/>
      <c r="AM228" s="466"/>
      <c r="AN228" s="466"/>
      <c r="AO228" s="466"/>
      <c r="AP228" s="466"/>
      <c r="AQ228" s="466"/>
      <c r="AR228" s="466"/>
      <c r="AS228" s="466"/>
      <c r="AT228" s="466"/>
    </row>
    <row r="229" spans="1:46" x14ac:dyDescent="0.25">
      <c r="A229" s="466"/>
      <c r="B229" s="466"/>
      <c r="C229" s="466"/>
      <c r="D229" s="466"/>
      <c r="E229" s="466"/>
      <c r="F229" s="466"/>
      <c r="G229" s="466"/>
      <c r="H229" s="466"/>
      <c r="I229" s="466"/>
      <c r="J229" s="466"/>
      <c r="K229" s="466"/>
      <c r="L229" s="466"/>
      <c r="M229" s="466"/>
      <c r="N229" s="466"/>
      <c r="O229" s="466"/>
      <c r="P229" s="466"/>
      <c r="Q229" s="466"/>
      <c r="R229" s="466"/>
      <c r="S229" s="466"/>
      <c r="T229" s="466"/>
      <c r="U229" s="466"/>
      <c r="V229" s="466"/>
      <c r="W229" s="466"/>
      <c r="X229" s="466"/>
      <c r="Y229" s="466"/>
      <c r="Z229" s="466"/>
      <c r="AA229" s="466"/>
      <c r="AB229" s="466"/>
      <c r="AC229" s="466"/>
      <c r="AD229" s="466"/>
      <c r="AE229" s="466"/>
      <c r="AF229" s="466"/>
      <c r="AG229" s="466"/>
      <c r="AH229" s="466"/>
      <c r="AI229" s="466"/>
      <c r="AJ229" s="466"/>
      <c r="AK229" s="466"/>
      <c r="AL229" s="466"/>
      <c r="AM229" s="466"/>
      <c r="AN229" s="466"/>
      <c r="AO229" s="466"/>
      <c r="AP229" s="466"/>
      <c r="AQ229" s="466"/>
      <c r="AR229" s="466"/>
      <c r="AS229" s="466"/>
      <c r="AT229" s="466"/>
    </row>
    <row r="230" spans="1:46" x14ac:dyDescent="0.25">
      <c r="A230" s="466"/>
      <c r="B230" s="466"/>
      <c r="C230" s="466"/>
      <c r="D230" s="466"/>
      <c r="E230" s="466"/>
      <c r="F230" s="466"/>
      <c r="G230" s="466"/>
      <c r="H230" s="466"/>
      <c r="I230" s="466"/>
      <c r="J230" s="466"/>
      <c r="K230" s="466"/>
      <c r="L230" s="466"/>
      <c r="M230" s="466"/>
      <c r="N230" s="466"/>
      <c r="O230" s="466"/>
      <c r="P230" s="466"/>
      <c r="Q230" s="466"/>
      <c r="R230" s="466"/>
      <c r="S230" s="466"/>
      <c r="T230" s="466"/>
      <c r="U230" s="466"/>
      <c r="V230" s="466"/>
      <c r="W230" s="466"/>
      <c r="X230" s="466"/>
      <c r="Y230" s="466"/>
      <c r="Z230" s="466"/>
      <c r="AA230" s="466"/>
      <c r="AB230" s="466"/>
      <c r="AC230" s="466"/>
      <c r="AD230" s="466"/>
      <c r="AE230" s="466"/>
      <c r="AF230" s="466"/>
      <c r="AG230" s="466"/>
      <c r="AH230" s="466"/>
      <c r="AI230" s="466"/>
      <c r="AJ230" s="466"/>
      <c r="AK230" s="466"/>
      <c r="AL230" s="466"/>
      <c r="AM230" s="466"/>
      <c r="AN230" s="466"/>
      <c r="AO230" s="466"/>
      <c r="AP230" s="466"/>
      <c r="AQ230" s="466"/>
      <c r="AR230" s="466"/>
      <c r="AS230" s="466"/>
      <c r="AT230" s="466"/>
    </row>
    <row r="231" spans="1:46" x14ac:dyDescent="0.25">
      <c r="A231" s="466"/>
      <c r="B231" s="466"/>
      <c r="C231" s="466"/>
      <c r="D231" s="466"/>
      <c r="E231" s="466"/>
      <c r="F231" s="466"/>
      <c r="G231" s="466"/>
      <c r="H231" s="466"/>
      <c r="I231" s="466"/>
      <c r="J231" s="466"/>
      <c r="K231" s="466"/>
      <c r="L231" s="466"/>
      <c r="M231" s="466"/>
      <c r="N231" s="466"/>
      <c r="O231" s="466"/>
      <c r="P231" s="466"/>
      <c r="Q231" s="466"/>
      <c r="R231" s="466"/>
      <c r="S231" s="466"/>
      <c r="T231" s="466"/>
      <c r="U231" s="466"/>
      <c r="V231" s="466"/>
      <c r="W231" s="466"/>
      <c r="X231" s="466"/>
      <c r="Y231" s="466"/>
      <c r="Z231" s="466"/>
      <c r="AA231" s="466"/>
      <c r="AB231" s="466"/>
      <c r="AC231" s="466"/>
      <c r="AD231" s="466"/>
      <c r="AE231" s="466"/>
      <c r="AF231" s="466"/>
      <c r="AG231" s="466"/>
      <c r="AH231" s="466"/>
      <c r="AI231" s="466"/>
      <c r="AJ231" s="466"/>
      <c r="AK231" s="466"/>
      <c r="AL231" s="466"/>
      <c r="AM231" s="466"/>
      <c r="AN231" s="466"/>
      <c r="AO231" s="466"/>
      <c r="AP231" s="466"/>
      <c r="AQ231" s="466"/>
      <c r="AR231" s="466"/>
      <c r="AS231" s="466"/>
      <c r="AT231" s="466"/>
    </row>
    <row r="232" spans="1:46" x14ac:dyDescent="0.25">
      <c r="A232" s="466"/>
      <c r="B232" s="466"/>
      <c r="C232" s="466"/>
      <c r="D232" s="466"/>
      <c r="E232" s="466"/>
      <c r="F232" s="466"/>
      <c r="G232" s="466"/>
      <c r="H232" s="466"/>
      <c r="I232" s="466"/>
      <c r="J232" s="466"/>
      <c r="K232" s="466"/>
      <c r="L232" s="466"/>
      <c r="M232" s="466"/>
      <c r="N232" s="466"/>
      <c r="O232" s="466"/>
      <c r="P232" s="466"/>
      <c r="Q232" s="466"/>
      <c r="R232" s="466"/>
      <c r="S232" s="466"/>
      <c r="T232" s="466"/>
      <c r="U232" s="466"/>
      <c r="V232" s="466"/>
      <c r="W232" s="466"/>
      <c r="X232" s="466"/>
      <c r="Y232" s="466"/>
      <c r="Z232" s="466"/>
      <c r="AA232" s="466"/>
      <c r="AB232" s="466"/>
      <c r="AC232" s="466"/>
      <c r="AD232" s="466"/>
      <c r="AE232" s="466"/>
      <c r="AF232" s="466"/>
      <c r="AG232" s="466"/>
      <c r="AH232" s="466"/>
      <c r="AI232" s="466"/>
      <c r="AJ232" s="466"/>
      <c r="AK232" s="466"/>
      <c r="AL232" s="466"/>
      <c r="AM232" s="466"/>
      <c r="AN232" s="466"/>
      <c r="AO232" s="466"/>
      <c r="AP232" s="466"/>
      <c r="AQ232" s="466"/>
      <c r="AR232" s="466"/>
      <c r="AS232" s="466"/>
      <c r="AT232" s="466"/>
    </row>
    <row r="233" spans="1:46" x14ac:dyDescent="0.25">
      <c r="A233" s="466"/>
      <c r="B233" s="466"/>
      <c r="C233" s="466"/>
      <c r="D233" s="466"/>
      <c r="E233" s="466"/>
      <c r="F233" s="466"/>
      <c r="G233" s="466"/>
      <c r="H233" s="466"/>
      <c r="I233" s="466"/>
      <c r="J233" s="466"/>
      <c r="K233" s="466"/>
      <c r="L233" s="466"/>
      <c r="M233" s="466"/>
      <c r="N233" s="466"/>
      <c r="O233" s="466"/>
      <c r="P233" s="466"/>
      <c r="Q233" s="466"/>
      <c r="R233" s="466"/>
      <c r="S233" s="466"/>
      <c r="T233" s="466"/>
      <c r="U233" s="466"/>
      <c r="V233" s="466"/>
      <c r="W233" s="466"/>
      <c r="X233" s="466"/>
      <c r="Y233" s="466"/>
      <c r="Z233" s="466"/>
      <c r="AA233" s="466"/>
      <c r="AB233" s="466"/>
      <c r="AC233" s="466"/>
      <c r="AD233" s="466"/>
      <c r="AE233" s="466"/>
      <c r="AF233" s="466"/>
      <c r="AG233" s="466"/>
      <c r="AH233" s="466"/>
      <c r="AI233" s="466"/>
      <c r="AJ233" s="466"/>
      <c r="AK233" s="466"/>
      <c r="AL233" s="466"/>
      <c r="AM233" s="466"/>
      <c r="AN233" s="466"/>
      <c r="AO233" s="466"/>
      <c r="AP233" s="466"/>
      <c r="AQ233" s="466"/>
      <c r="AR233" s="466"/>
      <c r="AS233" s="466"/>
      <c r="AT233" s="466"/>
    </row>
    <row r="234" spans="1:46" x14ac:dyDescent="0.25">
      <c r="A234" s="466"/>
      <c r="B234" s="466"/>
      <c r="C234" s="466"/>
      <c r="D234" s="466"/>
      <c r="E234" s="466"/>
      <c r="F234" s="466"/>
      <c r="G234" s="466"/>
      <c r="H234" s="466"/>
      <c r="I234" s="466"/>
      <c r="J234" s="466"/>
      <c r="K234" s="466"/>
      <c r="L234" s="466"/>
      <c r="M234" s="466"/>
      <c r="N234" s="466"/>
      <c r="O234" s="466"/>
      <c r="P234" s="466"/>
      <c r="Q234" s="466"/>
      <c r="R234" s="466"/>
      <c r="S234" s="466"/>
      <c r="T234" s="466"/>
      <c r="U234" s="466"/>
      <c r="V234" s="466"/>
      <c r="W234" s="466"/>
      <c r="X234" s="466"/>
      <c r="Y234" s="466"/>
      <c r="Z234" s="466"/>
      <c r="AA234" s="466"/>
      <c r="AB234" s="466"/>
      <c r="AC234" s="466"/>
      <c r="AD234" s="466"/>
      <c r="AE234" s="466"/>
      <c r="AF234" s="466"/>
      <c r="AG234" s="466"/>
      <c r="AH234" s="466"/>
      <c r="AI234" s="466"/>
      <c r="AJ234" s="466"/>
      <c r="AK234" s="466"/>
      <c r="AL234" s="466"/>
      <c r="AM234" s="466"/>
      <c r="AN234" s="466"/>
      <c r="AO234" s="466"/>
      <c r="AP234" s="466"/>
      <c r="AQ234" s="466"/>
      <c r="AR234" s="466"/>
      <c r="AS234" s="466"/>
      <c r="AT234" s="466"/>
    </row>
    <row r="235" spans="1:46" x14ac:dyDescent="0.25">
      <c r="A235" s="466"/>
      <c r="B235" s="466"/>
      <c r="C235" s="466"/>
      <c r="D235" s="466"/>
      <c r="E235" s="466"/>
      <c r="F235" s="466"/>
      <c r="G235" s="466"/>
      <c r="H235" s="466"/>
      <c r="I235" s="466"/>
      <c r="J235" s="466"/>
      <c r="K235" s="466"/>
      <c r="L235" s="466"/>
      <c r="M235" s="466"/>
      <c r="N235" s="466"/>
      <c r="O235" s="466"/>
      <c r="P235" s="466"/>
      <c r="Q235" s="466"/>
      <c r="R235" s="466"/>
      <c r="S235" s="466"/>
      <c r="T235" s="466"/>
      <c r="U235" s="466"/>
      <c r="V235" s="466"/>
      <c r="W235" s="466"/>
      <c r="X235" s="466"/>
      <c r="Y235" s="466"/>
      <c r="Z235" s="466"/>
      <c r="AA235" s="466"/>
      <c r="AB235" s="466"/>
      <c r="AC235" s="466"/>
      <c r="AD235" s="466"/>
      <c r="AE235" s="466"/>
      <c r="AF235" s="466"/>
      <c r="AG235" s="466"/>
      <c r="AH235" s="466"/>
      <c r="AI235" s="466"/>
      <c r="AJ235" s="466"/>
      <c r="AK235" s="466"/>
      <c r="AL235" s="466"/>
      <c r="AM235" s="466"/>
      <c r="AN235" s="466"/>
      <c r="AO235" s="466"/>
      <c r="AP235" s="466"/>
      <c r="AQ235" s="466"/>
      <c r="AR235" s="466"/>
      <c r="AS235" s="466"/>
      <c r="AT235" s="466"/>
    </row>
    <row r="236" spans="1:46" x14ac:dyDescent="0.25">
      <c r="A236" s="466"/>
      <c r="B236" s="466"/>
      <c r="C236" s="466"/>
      <c r="D236" s="466"/>
      <c r="E236" s="466"/>
      <c r="F236" s="466"/>
      <c r="G236" s="466"/>
      <c r="H236" s="466"/>
      <c r="I236" s="466"/>
      <c r="J236" s="466"/>
      <c r="K236" s="466"/>
      <c r="L236" s="466"/>
      <c r="M236" s="466"/>
      <c r="N236" s="466"/>
      <c r="O236" s="466"/>
      <c r="P236" s="466"/>
      <c r="Q236" s="466"/>
      <c r="R236" s="466"/>
      <c r="S236" s="466"/>
      <c r="T236" s="466"/>
      <c r="U236" s="466"/>
      <c r="V236" s="466"/>
      <c r="W236" s="466"/>
      <c r="X236" s="466"/>
      <c r="Y236" s="466"/>
      <c r="Z236" s="466"/>
      <c r="AA236" s="466"/>
      <c r="AB236" s="466"/>
      <c r="AC236" s="466"/>
      <c r="AD236" s="466"/>
      <c r="AE236" s="466"/>
      <c r="AF236" s="466"/>
      <c r="AG236" s="466"/>
      <c r="AH236" s="466"/>
      <c r="AI236" s="466"/>
      <c r="AJ236" s="466"/>
      <c r="AK236" s="466"/>
      <c r="AL236" s="466"/>
      <c r="AM236" s="466"/>
      <c r="AN236" s="466"/>
      <c r="AO236" s="466"/>
      <c r="AP236" s="466"/>
      <c r="AQ236" s="466"/>
      <c r="AR236" s="466"/>
      <c r="AS236" s="466"/>
      <c r="AT236" s="466"/>
    </row>
    <row r="237" spans="1:46" x14ac:dyDescent="0.25">
      <c r="A237" s="466"/>
      <c r="B237" s="466"/>
      <c r="C237" s="466"/>
      <c r="D237" s="466"/>
      <c r="E237" s="466"/>
      <c r="F237" s="466"/>
      <c r="G237" s="466"/>
      <c r="H237" s="466"/>
      <c r="I237" s="466"/>
      <c r="J237" s="466"/>
      <c r="K237" s="466"/>
      <c r="L237" s="466"/>
      <c r="M237" s="466"/>
      <c r="N237" s="466"/>
      <c r="O237" s="466"/>
      <c r="P237" s="466"/>
      <c r="Q237" s="466"/>
      <c r="R237" s="466"/>
      <c r="S237" s="466"/>
      <c r="T237" s="466"/>
      <c r="U237" s="466"/>
      <c r="V237" s="466"/>
      <c r="W237" s="466"/>
      <c r="X237" s="466"/>
      <c r="Y237" s="466"/>
      <c r="Z237" s="466"/>
      <c r="AA237" s="466"/>
      <c r="AB237" s="466"/>
      <c r="AC237" s="466"/>
      <c r="AD237" s="466"/>
      <c r="AE237" s="466"/>
      <c r="AF237" s="466"/>
      <c r="AG237" s="466"/>
      <c r="AH237" s="466"/>
      <c r="AI237" s="466"/>
      <c r="AJ237" s="466"/>
      <c r="AK237" s="466"/>
      <c r="AL237" s="466"/>
      <c r="AM237" s="466"/>
      <c r="AN237" s="466"/>
      <c r="AO237" s="466"/>
      <c r="AP237" s="466"/>
      <c r="AQ237" s="466"/>
      <c r="AR237" s="466"/>
      <c r="AS237" s="466"/>
      <c r="AT237" s="466"/>
    </row>
    <row r="238" spans="1:46" x14ac:dyDescent="0.25">
      <c r="A238" s="466"/>
      <c r="B238" s="466"/>
      <c r="C238" s="466"/>
      <c r="D238" s="466"/>
      <c r="E238" s="466"/>
      <c r="F238" s="466"/>
      <c r="G238" s="466"/>
      <c r="H238" s="466"/>
      <c r="I238" s="466"/>
      <c r="J238" s="466"/>
      <c r="K238" s="466"/>
      <c r="L238" s="466"/>
      <c r="M238" s="466"/>
      <c r="N238" s="466"/>
      <c r="O238" s="466"/>
      <c r="P238" s="466"/>
      <c r="Q238" s="466"/>
      <c r="R238" s="466"/>
      <c r="S238" s="466"/>
      <c r="T238" s="466"/>
      <c r="U238" s="466"/>
      <c r="V238" s="466"/>
      <c r="W238" s="466"/>
      <c r="X238" s="466"/>
      <c r="Y238" s="466"/>
      <c r="Z238" s="466"/>
      <c r="AA238" s="466"/>
      <c r="AB238" s="466"/>
      <c r="AC238" s="466"/>
      <c r="AD238" s="466"/>
      <c r="AE238" s="466"/>
      <c r="AF238" s="466"/>
      <c r="AG238" s="466"/>
      <c r="AH238" s="466"/>
      <c r="AI238" s="466"/>
      <c r="AJ238" s="466"/>
      <c r="AK238" s="466"/>
      <c r="AL238" s="466"/>
      <c r="AM238" s="466"/>
      <c r="AN238" s="466"/>
      <c r="AO238" s="466"/>
      <c r="AP238" s="466"/>
      <c r="AQ238" s="466"/>
      <c r="AR238" s="466"/>
      <c r="AS238" s="466"/>
      <c r="AT238" s="466"/>
    </row>
    <row r="239" spans="1:46" x14ac:dyDescent="0.25">
      <c r="A239" s="466"/>
      <c r="B239" s="466"/>
      <c r="C239" s="466"/>
      <c r="D239" s="466"/>
      <c r="E239" s="466"/>
      <c r="F239" s="466"/>
      <c r="G239" s="466"/>
      <c r="H239" s="466"/>
      <c r="I239" s="466"/>
      <c r="J239" s="466"/>
      <c r="K239" s="466"/>
      <c r="L239" s="466"/>
      <c r="M239" s="466"/>
      <c r="N239" s="466"/>
      <c r="O239" s="466"/>
      <c r="P239" s="466"/>
      <c r="Q239" s="466"/>
      <c r="R239" s="466"/>
      <c r="S239" s="466"/>
      <c r="T239" s="466"/>
      <c r="U239" s="466"/>
      <c r="V239" s="466"/>
      <c r="W239" s="466"/>
      <c r="X239" s="466"/>
      <c r="Y239" s="466"/>
      <c r="Z239" s="466"/>
      <c r="AA239" s="466"/>
      <c r="AB239" s="466"/>
      <c r="AC239" s="466"/>
      <c r="AD239" s="466"/>
      <c r="AE239" s="466"/>
      <c r="AF239" s="466"/>
      <c r="AG239" s="466"/>
      <c r="AH239" s="466"/>
      <c r="AI239" s="466"/>
      <c r="AJ239" s="466"/>
      <c r="AK239" s="466"/>
      <c r="AL239" s="466"/>
      <c r="AM239" s="466"/>
      <c r="AN239" s="466"/>
      <c r="AO239" s="466"/>
      <c r="AP239" s="466"/>
      <c r="AQ239" s="466"/>
      <c r="AR239" s="466"/>
      <c r="AS239" s="466"/>
      <c r="AT239" s="466"/>
    </row>
    <row r="240" spans="1:46" x14ac:dyDescent="0.25">
      <c r="A240" s="466"/>
      <c r="B240" s="466"/>
      <c r="C240" s="466"/>
      <c r="D240" s="466"/>
      <c r="E240" s="466"/>
      <c r="F240" s="466"/>
      <c r="G240" s="466"/>
      <c r="H240" s="466"/>
      <c r="I240" s="466"/>
      <c r="J240" s="466"/>
      <c r="K240" s="466"/>
      <c r="L240" s="466"/>
      <c r="M240" s="466"/>
      <c r="N240" s="466"/>
      <c r="O240" s="466"/>
      <c r="P240" s="466"/>
      <c r="Q240" s="466"/>
      <c r="R240" s="466"/>
      <c r="S240" s="466"/>
      <c r="T240" s="466"/>
      <c r="U240" s="466"/>
      <c r="V240" s="466"/>
      <c r="W240" s="466"/>
      <c r="X240" s="466"/>
      <c r="Y240" s="466"/>
      <c r="Z240" s="466"/>
      <c r="AA240" s="466"/>
      <c r="AB240" s="466"/>
      <c r="AC240" s="466"/>
      <c r="AD240" s="466"/>
      <c r="AE240" s="466"/>
      <c r="AF240" s="466"/>
      <c r="AG240" s="466"/>
      <c r="AH240" s="466"/>
      <c r="AI240" s="466"/>
      <c r="AJ240" s="466"/>
      <c r="AK240" s="466"/>
      <c r="AL240" s="466"/>
      <c r="AM240" s="466"/>
      <c r="AN240" s="466"/>
      <c r="AO240" s="466"/>
      <c r="AP240" s="466"/>
      <c r="AQ240" s="466"/>
      <c r="AR240" s="466"/>
      <c r="AS240" s="466"/>
      <c r="AT240" s="466"/>
    </row>
    <row r="241" spans="1:46" x14ac:dyDescent="0.25">
      <c r="A241" s="466"/>
      <c r="B241" s="466"/>
      <c r="C241" s="466"/>
      <c r="D241" s="466"/>
      <c r="E241" s="466"/>
      <c r="F241" s="466"/>
      <c r="G241" s="466"/>
      <c r="H241" s="466"/>
      <c r="I241" s="466"/>
      <c r="J241" s="466"/>
      <c r="K241" s="466"/>
      <c r="L241" s="466"/>
      <c r="M241" s="466"/>
      <c r="N241" s="466"/>
      <c r="O241" s="466"/>
      <c r="P241" s="466"/>
      <c r="Q241" s="466"/>
      <c r="R241" s="466"/>
      <c r="S241" s="466"/>
      <c r="T241" s="466"/>
      <c r="U241" s="466"/>
      <c r="V241" s="466"/>
      <c r="W241" s="466"/>
      <c r="X241" s="466"/>
      <c r="Y241" s="466"/>
      <c r="Z241" s="466"/>
      <c r="AA241" s="466"/>
      <c r="AB241" s="466"/>
      <c r="AC241" s="466"/>
      <c r="AD241" s="466"/>
      <c r="AE241" s="466"/>
      <c r="AF241" s="466"/>
      <c r="AG241" s="466"/>
      <c r="AH241" s="466"/>
      <c r="AI241" s="466"/>
      <c r="AJ241" s="466"/>
      <c r="AK241" s="466"/>
      <c r="AL241" s="466"/>
      <c r="AM241" s="466"/>
      <c r="AN241" s="466"/>
      <c r="AO241" s="466"/>
      <c r="AP241" s="466"/>
      <c r="AQ241" s="466"/>
      <c r="AR241" s="466"/>
      <c r="AS241" s="466"/>
      <c r="AT241" s="466"/>
    </row>
    <row r="242" spans="1:46" x14ac:dyDescent="0.25">
      <c r="A242" s="466"/>
      <c r="B242" s="466"/>
      <c r="C242" s="466"/>
      <c r="D242" s="466"/>
      <c r="E242" s="466"/>
      <c r="F242" s="466"/>
      <c r="G242" s="466"/>
      <c r="H242" s="466"/>
      <c r="I242" s="466"/>
      <c r="J242" s="466"/>
      <c r="K242" s="466"/>
      <c r="L242" s="466"/>
      <c r="M242" s="466"/>
      <c r="N242" s="466"/>
      <c r="O242" s="466"/>
      <c r="P242" s="466"/>
      <c r="Q242" s="466"/>
      <c r="R242" s="466"/>
      <c r="S242" s="466"/>
      <c r="T242" s="466"/>
      <c r="U242" s="466"/>
      <c r="V242" s="466"/>
      <c r="W242" s="466"/>
      <c r="X242" s="466"/>
      <c r="Y242" s="466"/>
      <c r="Z242" s="466"/>
      <c r="AA242" s="466"/>
      <c r="AB242" s="466"/>
      <c r="AC242" s="466"/>
      <c r="AD242" s="466"/>
      <c r="AE242" s="466"/>
      <c r="AF242" s="466"/>
      <c r="AG242" s="466"/>
      <c r="AH242" s="466"/>
      <c r="AI242" s="466"/>
      <c r="AJ242" s="466"/>
      <c r="AK242" s="466"/>
      <c r="AL242" s="466"/>
      <c r="AM242" s="466"/>
      <c r="AN242" s="466"/>
      <c r="AO242" s="466"/>
      <c r="AP242" s="466"/>
      <c r="AQ242" s="466"/>
      <c r="AR242" s="466"/>
      <c r="AS242" s="466"/>
      <c r="AT242" s="466"/>
    </row>
    <row r="243" spans="1:46" x14ac:dyDescent="0.25">
      <c r="A243" s="466"/>
      <c r="B243" s="466"/>
      <c r="C243" s="466"/>
      <c r="D243" s="466"/>
      <c r="E243" s="466"/>
      <c r="F243" s="466"/>
      <c r="G243" s="466"/>
      <c r="H243" s="466"/>
      <c r="I243" s="466"/>
      <c r="J243" s="466"/>
      <c r="K243" s="466"/>
      <c r="L243" s="466"/>
      <c r="M243" s="466"/>
      <c r="N243" s="466"/>
      <c r="O243" s="466"/>
      <c r="P243" s="466"/>
      <c r="Q243" s="466"/>
      <c r="R243" s="466"/>
      <c r="S243" s="466"/>
      <c r="T243" s="466"/>
      <c r="U243" s="466"/>
      <c r="V243" s="466"/>
      <c r="W243" s="466"/>
      <c r="X243" s="466"/>
      <c r="Y243" s="466"/>
      <c r="Z243" s="466"/>
      <c r="AA243" s="466"/>
      <c r="AB243" s="466"/>
      <c r="AC243" s="466"/>
      <c r="AD243" s="466"/>
      <c r="AE243" s="466"/>
      <c r="AF243" s="466"/>
      <c r="AG243" s="466"/>
      <c r="AH243" s="466"/>
      <c r="AI243" s="466"/>
      <c r="AJ243" s="466"/>
      <c r="AK243" s="466"/>
      <c r="AL243" s="466"/>
      <c r="AM243" s="466"/>
    </row>
    <row r="244" spans="1:46" x14ac:dyDescent="0.25">
      <c r="A244" s="466"/>
      <c r="B244" s="466"/>
      <c r="C244" s="466"/>
      <c r="D244" s="466"/>
      <c r="E244" s="466"/>
      <c r="F244" s="466"/>
      <c r="G244" s="466"/>
      <c r="H244" s="466"/>
      <c r="I244" s="466"/>
      <c r="J244" s="466"/>
      <c r="K244" s="466"/>
      <c r="L244" s="466"/>
      <c r="M244" s="466"/>
      <c r="N244" s="466"/>
      <c r="O244" s="466"/>
      <c r="P244" s="466"/>
      <c r="Q244" s="466"/>
      <c r="R244" s="466"/>
      <c r="S244" s="466"/>
      <c r="T244" s="466"/>
      <c r="U244" s="466"/>
      <c r="V244" s="466"/>
      <c r="W244" s="466"/>
      <c r="X244" s="466"/>
      <c r="Y244" s="466"/>
      <c r="Z244" s="466"/>
      <c r="AA244" s="466"/>
      <c r="AB244" s="466"/>
      <c r="AC244" s="466"/>
      <c r="AD244" s="466"/>
      <c r="AE244" s="466"/>
      <c r="AF244" s="466"/>
      <c r="AG244" s="466"/>
      <c r="AH244" s="466"/>
      <c r="AI244" s="466"/>
      <c r="AJ244" s="466"/>
      <c r="AK244" s="466"/>
      <c r="AL244" s="466"/>
      <c r="AM244" s="466"/>
    </row>
    <row r="245" spans="1:46" x14ac:dyDescent="0.25">
      <c r="A245" s="466"/>
      <c r="B245" s="466"/>
      <c r="C245" s="466"/>
      <c r="D245" s="466"/>
      <c r="E245" s="466"/>
      <c r="F245" s="466"/>
      <c r="G245" s="466"/>
      <c r="H245" s="466"/>
      <c r="I245" s="466"/>
      <c r="J245" s="466"/>
      <c r="K245" s="466"/>
      <c r="L245" s="466"/>
      <c r="M245" s="466"/>
      <c r="N245" s="466"/>
      <c r="O245" s="466"/>
      <c r="P245" s="466"/>
      <c r="Q245" s="466"/>
      <c r="R245" s="466"/>
      <c r="S245" s="466"/>
      <c r="T245" s="466"/>
      <c r="U245" s="466"/>
      <c r="V245" s="466"/>
      <c r="W245" s="466"/>
      <c r="X245" s="466"/>
      <c r="Y245" s="466"/>
      <c r="Z245" s="466"/>
      <c r="AA245" s="466"/>
      <c r="AB245" s="466"/>
      <c r="AC245" s="466"/>
      <c r="AD245" s="466"/>
      <c r="AE245" s="466"/>
      <c r="AF245" s="466"/>
      <c r="AG245" s="466"/>
      <c r="AH245" s="466"/>
      <c r="AI245" s="466"/>
      <c r="AJ245" s="466"/>
      <c r="AK245" s="466"/>
      <c r="AL245" s="466"/>
      <c r="AM245" s="466"/>
    </row>
    <row r="246" spans="1:46" x14ac:dyDescent="0.25">
      <c r="A246" s="466"/>
      <c r="B246" s="466"/>
      <c r="C246" s="466"/>
      <c r="D246" s="466"/>
      <c r="E246" s="466"/>
      <c r="F246" s="466"/>
      <c r="G246" s="466"/>
      <c r="H246" s="466"/>
      <c r="I246" s="466"/>
      <c r="J246" s="466"/>
      <c r="K246" s="466"/>
      <c r="L246" s="466"/>
      <c r="M246" s="466"/>
      <c r="N246" s="466"/>
      <c r="O246" s="466"/>
      <c r="P246" s="466"/>
      <c r="Q246" s="466"/>
      <c r="R246" s="466"/>
      <c r="S246" s="466"/>
      <c r="T246" s="466"/>
      <c r="U246" s="466"/>
      <c r="V246" s="466"/>
      <c r="W246" s="466"/>
      <c r="X246" s="466"/>
      <c r="Y246" s="466"/>
      <c r="Z246" s="466"/>
      <c r="AA246" s="466"/>
      <c r="AB246" s="466"/>
      <c r="AC246" s="466"/>
      <c r="AD246" s="466"/>
      <c r="AE246" s="466"/>
      <c r="AF246" s="466"/>
      <c r="AG246" s="466"/>
      <c r="AH246" s="466"/>
      <c r="AI246" s="466"/>
      <c r="AJ246" s="466"/>
      <c r="AK246" s="466"/>
      <c r="AL246" s="466"/>
      <c r="AM246" s="466"/>
    </row>
    <row r="247" spans="1:46" x14ac:dyDescent="0.25">
      <c r="A247" s="466"/>
      <c r="B247" s="466"/>
      <c r="C247" s="466"/>
      <c r="D247" s="466"/>
      <c r="E247" s="466"/>
      <c r="F247" s="466"/>
      <c r="G247" s="466"/>
      <c r="H247" s="466"/>
      <c r="I247" s="466"/>
      <c r="J247" s="466"/>
      <c r="K247" s="466"/>
      <c r="L247" s="466"/>
      <c r="M247" s="466"/>
      <c r="N247" s="466"/>
      <c r="O247" s="466"/>
      <c r="P247" s="466"/>
      <c r="Q247" s="466"/>
      <c r="R247" s="466"/>
      <c r="S247" s="466"/>
      <c r="T247" s="466"/>
      <c r="U247" s="466"/>
      <c r="V247" s="466"/>
      <c r="W247" s="466"/>
      <c r="X247" s="466"/>
      <c r="Y247" s="466"/>
      <c r="Z247" s="466"/>
      <c r="AA247" s="466"/>
      <c r="AB247" s="466"/>
      <c r="AC247" s="466"/>
      <c r="AD247" s="466"/>
      <c r="AE247" s="466"/>
      <c r="AF247" s="466"/>
      <c r="AG247" s="466"/>
      <c r="AH247" s="466"/>
      <c r="AI247" s="466"/>
      <c r="AJ247" s="466"/>
      <c r="AK247" s="466"/>
      <c r="AL247" s="466"/>
      <c r="AM247" s="466"/>
    </row>
    <row r="248" spans="1:46" x14ac:dyDescent="0.25">
      <c r="A248" s="466"/>
      <c r="B248" s="466"/>
      <c r="C248" s="466"/>
      <c r="D248" s="466"/>
      <c r="E248" s="466"/>
      <c r="F248" s="466"/>
      <c r="G248" s="466"/>
      <c r="H248" s="466"/>
      <c r="I248" s="466"/>
      <c r="J248" s="466"/>
      <c r="K248" s="466"/>
      <c r="L248" s="466"/>
      <c r="M248" s="466"/>
      <c r="N248" s="466"/>
      <c r="O248" s="466"/>
      <c r="P248" s="466"/>
      <c r="Q248" s="466"/>
      <c r="R248" s="466"/>
      <c r="S248" s="466"/>
      <c r="T248" s="466"/>
      <c r="U248" s="466"/>
      <c r="V248" s="466"/>
      <c r="W248" s="466"/>
      <c r="X248" s="466"/>
      <c r="Y248" s="466"/>
      <c r="Z248" s="466"/>
      <c r="AA248" s="466"/>
      <c r="AB248" s="466"/>
      <c r="AC248" s="466"/>
      <c r="AD248" s="466"/>
      <c r="AE248" s="466"/>
      <c r="AF248" s="466"/>
      <c r="AG248" s="466"/>
      <c r="AH248" s="466"/>
      <c r="AI248" s="466"/>
      <c r="AJ248" s="466"/>
      <c r="AK248" s="466"/>
      <c r="AL248" s="466"/>
      <c r="AM248" s="466"/>
    </row>
    <row r="249" spans="1:46" x14ac:dyDescent="0.25">
      <c r="A249" s="466"/>
      <c r="B249" s="466"/>
      <c r="C249" s="466"/>
      <c r="D249" s="466"/>
      <c r="E249" s="466"/>
      <c r="F249" s="466"/>
      <c r="G249" s="466"/>
      <c r="H249" s="466"/>
      <c r="I249" s="466"/>
      <c r="J249" s="466"/>
      <c r="K249" s="466"/>
      <c r="L249" s="466"/>
      <c r="M249" s="466"/>
      <c r="N249" s="466"/>
      <c r="O249" s="466"/>
      <c r="P249" s="466"/>
      <c r="Q249" s="466"/>
      <c r="R249" s="466"/>
      <c r="S249" s="466"/>
      <c r="T249" s="466"/>
      <c r="U249" s="466"/>
      <c r="V249" s="466"/>
      <c r="W249" s="466"/>
      <c r="X249" s="466"/>
      <c r="Y249" s="466"/>
      <c r="Z249" s="466"/>
      <c r="AA249" s="466"/>
      <c r="AB249" s="466"/>
      <c r="AC249" s="466"/>
      <c r="AD249" s="466"/>
      <c r="AE249" s="466"/>
      <c r="AF249" s="466"/>
      <c r="AG249" s="466"/>
      <c r="AH249" s="466"/>
      <c r="AI249" s="466"/>
      <c r="AJ249" s="466"/>
      <c r="AK249" s="466"/>
      <c r="AL249" s="466"/>
      <c r="AM249" s="466"/>
    </row>
    <row r="250" spans="1:46" x14ac:dyDescent="0.25">
      <c r="A250" s="466"/>
      <c r="B250" s="466"/>
      <c r="C250" s="466"/>
      <c r="D250" s="466"/>
      <c r="E250" s="466"/>
      <c r="F250" s="466"/>
      <c r="G250" s="466"/>
      <c r="H250" s="466"/>
      <c r="I250" s="466"/>
      <c r="J250" s="466"/>
      <c r="K250" s="466"/>
      <c r="L250" s="466"/>
      <c r="M250" s="466"/>
      <c r="N250" s="466"/>
      <c r="O250" s="466"/>
      <c r="P250" s="466"/>
      <c r="Q250" s="466"/>
      <c r="R250" s="466"/>
      <c r="S250" s="466"/>
      <c r="T250" s="466"/>
      <c r="U250" s="466"/>
      <c r="V250" s="466"/>
      <c r="W250" s="466"/>
      <c r="X250" s="466"/>
      <c r="Y250" s="466"/>
      <c r="Z250" s="466"/>
      <c r="AA250" s="466"/>
      <c r="AB250" s="466"/>
      <c r="AC250" s="466"/>
      <c r="AD250" s="466"/>
      <c r="AE250" s="466"/>
      <c r="AF250" s="466"/>
      <c r="AG250" s="466"/>
      <c r="AH250" s="466"/>
      <c r="AI250" s="466"/>
      <c r="AJ250" s="466"/>
      <c r="AK250" s="466"/>
      <c r="AL250" s="466"/>
      <c r="AM250" s="466"/>
    </row>
    <row r="251" spans="1:46" x14ac:dyDescent="0.25">
      <c r="A251" s="466"/>
      <c r="B251" s="466"/>
      <c r="C251" s="466"/>
      <c r="D251" s="466"/>
      <c r="E251" s="466"/>
      <c r="F251" s="466"/>
      <c r="G251" s="466"/>
      <c r="H251" s="466"/>
      <c r="I251" s="466"/>
      <c r="J251" s="466"/>
      <c r="K251" s="466"/>
      <c r="L251" s="466"/>
      <c r="M251" s="466"/>
      <c r="N251" s="466"/>
      <c r="O251" s="466"/>
      <c r="P251" s="466"/>
      <c r="Q251" s="466"/>
      <c r="R251" s="466"/>
      <c r="S251" s="466"/>
      <c r="T251" s="466"/>
      <c r="U251" s="466"/>
      <c r="V251" s="466"/>
      <c r="W251" s="466"/>
      <c r="X251" s="466"/>
      <c r="Y251" s="466"/>
      <c r="Z251" s="466"/>
      <c r="AA251" s="466"/>
      <c r="AB251" s="466"/>
      <c r="AC251" s="466"/>
      <c r="AD251" s="466"/>
      <c r="AE251" s="466"/>
      <c r="AF251" s="466"/>
      <c r="AG251" s="466"/>
      <c r="AH251" s="466"/>
      <c r="AI251" s="466"/>
      <c r="AJ251" s="466"/>
      <c r="AK251" s="466"/>
      <c r="AL251" s="466"/>
      <c r="AM251" s="466"/>
    </row>
    <row r="252" spans="1:46" x14ac:dyDescent="0.25">
      <c r="A252" s="466"/>
      <c r="B252" s="466"/>
      <c r="C252" s="466"/>
      <c r="D252" s="466"/>
      <c r="E252" s="466"/>
      <c r="F252" s="466"/>
      <c r="G252" s="466"/>
      <c r="H252" s="466"/>
      <c r="I252" s="466"/>
      <c r="J252" s="466"/>
      <c r="K252" s="466"/>
      <c r="L252" s="466"/>
      <c r="M252" s="466"/>
      <c r="N252" s="466"/>
      <c r="O252" s="466"/>
      <c r="P252" s="466"/>
      <c r="Q252" s="466"/>
      <c r="R252" s="466"/>
      <c r="S252" s="466"/>
      <c r="T252" s="466"/>
      <c r="U252" s="466"/>
      <c r="V252" s="466"/>
      <c r="W252" s="466"/>
      <c r="X252" s="466"/>
      <c r="Y252" s="466"/>
      <c r="Z252" s="466"/>
      <c r="AA252" s="466"/>
      <c r="AB252" s="466"/>
      <c r="AC252" s="466"/>
      <c r="AD252" s="466"/>
      <c r="AE252" s="466"/>
      <c r="AF252" s="466"/>
      <c r="AG252" s="466"/>
      <c r="AH252" s="466"/>
      <c r="AI252" s="466"/>
      <c r="AJ252" s="466"/>
      <c r="AK252" s="466"/>
      <c r="AL252" s="466"/>
      <c r="AM252" s="466"/>
    </row>
    <row r="253" spans="1:46" x14ac:dyDescent="0.25">
      <c r="A253" s="466"/>
      <c r="B253" s="466"/>
      <c r="C253" s="466"/>
      <c r="D253" s="466"/>
      <c r="E253" s="466"/>
      <c r="F253" s="466"/>
      <c r="G253" s="466"/>
      <c r="H253" s="466"/>
      <c r="I253" s="466"/>
      <c r="J253" s="466"/>
      <c r="K253" s="466"/>
      <c r="L253" s="466"/>
      <c r="M253" s="466"/>
      <c r="N253" s="466"/>
      <c r="O253" s="466"/>
      <c r="P253" s="466"/>
      <c r="Q253" s="466"/>
      <c r="R253" s="466"/>
      <c r="S253" s="466"/>
      <c r="T253" s="466"/>
      <c r="U253" s="466"/>
      <c r="V253" s="466"/>
      <c r="W253" s="466"/>
      <c r="X253" s="466"/>
      <c r="Y253" s="466"/>
      <c r="Z253" s="466"/>
      <c r="AA253" s="466"/>
      <c r="AB253" s="466"/>
      <c r="AC253" s="466"/>
      <c r="AD253" s="466"/>
      <c r="AE253" s="466"/>
      <c r="AF253" s="466"/>
      <c r="AG253" s="466"/>
      <c r="AH253" s="466"/>
      <c r="AI253" s="466"/>
      <c r="AJ253" s="466"/>
      <c r="AK253" s="466"/>
      <c r="AL253" s="466"/>
      <c r="AM253" s="466"/>
    </row>
    <row r="254" spans="1:46" x14ac:dyDescent="0.25">
      <c r="A254" s="466"/>
      <c r="B254" s="466"/>
      <c r="C254" s="466"/>
      <c r="D254" s="466"/>
      <c r="E254" s="466"/>
      <c r="F254" s="466"/>
      <c r="G254" s="466"/>
      <c r="H254" s="466"/>
      <c r="I254" s="466"/>
      <c r="J254" s="466"/>
      <c r="K254" s="466"/>
      <c r="L254" s="466"/>
      <c r="M254" s="466"/>
      <c r="N254" s="466"/>
      <c r="O254" s="466"/>
      <c r="P254" s="466"/>
      <c r="Q254" s="466"/>
      <c r="R254" s="466"/>
      <c r="S254" s="466"/>
      <c r="T254" s="466"/>
      <c r="U254" s="466"/>
      <c r="V254" s="466"/>
      <c r="W254" s="466"/>
      <c r="X254" s="466"/>
      <c r="Y254" s="466"/>
      <c r="Z254" s="466"/>
      <c r="AA254" s="466"/>
      <c r="AB254" s="466"/>
      <c r="AC254" s="466"/>
      <c r="AD254" s="466"/>
      <c r="AE254" s="466"/>
      <c r="AF254" s="466"/>
      <c r="AG254" s="466"/>
      <c r="AH254" s="466"/>
      <c r="AI254" s="466"/>
      <c r="AJ254" s="466"/>
      <c r="AK254" s="466"/>
      <c r="AL254" s="466"/>
      <c r="AM254" s="466"/>
    </row>
    <row r="255" spans="1:46" x14ac:dyDescent="0.25">
      <c r="A255" s="466"/>
      <c r="B255" s="466"/>
      <c r="C255" s="466"/>
      <c r="D255" s="466"/>
      <c r="E255" s="466"/>
      <c r="F255" s="466"/>
      <c r="G255" s="466"/>
      <c r="H255" s="466"/>
      <c r="I255" s="466"/>
      <c r="J255" s="466"/>
      <c r="K255" s="466"/>
      <c r="L255" s="466"/>
      <c r="M255" s="466"/>
      <c r="N255" s="466"/>
      <c r="O255" s="466"/>
      <c r="P255" s="466"/>
      <c r="Q255" s="466"/>
      <c r="R255" s="466"/>
      <c r="S255" s="466"/>
      <c r="T255" s="466"/>
      <c r="U255" s="466"/>
      <c r="V255" s="466"/>
      <c r="W255" s="466"/>
      <c r="X255" s="466"/>
      <c r="Y255" s="466"/>
      <c r="Z255" s="466"/>
      <c r="AA255" s="466"/>
      <c r="AB255" s="466"/>
      <c r="AC255" s="466"/>
      <c r="AD255" s="466"/>
      <c r="AE255" s="466"/>
      <c r="AF255" s="466"/>
      <c r="AG255" s="466"/>
      <c r="AH255" s="466"/>
      <c r="AI255" s="466"/>
      <c r="AJ255" s="466"/>
      <c r="AK255" s="466"/>
      <c r="AL255" s="466"/>
      <c r="AM255" s="466"/>
    </row>
    <row r="256" spans="1:46" x14ac:dyDescent="0.25">
      <c r="A256" s="466"/>
      <c r="B256" s="466"/>
      <c r="C256" s="466"/>
      <c r="D256" s="466"/>
      <c r="E256" s="466"/>
      <c r="F256" s="466"/>
      <c r="G256" s="466"/>
      <c r="H256" s="466"/>
      <c r="I256" s="466"/>
      <c r="J256" s="466"/>
      <c r="K256" s="466"/>
      <c r="L256" s="466"/>
      <c r="M256" s="466"/>
      <c r="N256" s="466"/>
      <c r="O256" s="466"/>
      <c r="P256" s="466"/>
      <c r="Q256" s="466"/>
      <c r="R256" s="466"/>
      <c r="S256" s="466"/>
      <c r="T256" s="466"/>
      <c r="U256" s="466"/>
      <c r="V256" s="466"/>
      <c r="W256" s="466"/>
      <c r="X256" s="466"/>
      <c r="Y256" s="466"/>
      <c r="Z256" s="466"/>
      <c r="AA256" s="466"/>
      <c r="AB256" s="466"/>
      <c r="AC256" s="466"/>
      <c r="AD256" s="466"/>
      <c r="AE256" s="466"/>
      <c r="AF256" s="466"/>
      <c r="AG256" s="466"/>
      <c r="AH256" s="466"/>
      <c r="AI256" s="466"/>
      <c r="AJ256" s="466"/>
      <c r="AK256" s="466"/>
      <c r="AL256" s="466"/>
      <c r="AM256" s="466"/>
    </row>
    <row r="257" spans="1:39" x14ac:dyDescent="0.25">
      <c r="A257" s="466"/>
      <c r="B257" s="466"/>
      <c r="C257" s="466"/>
      <c r="D257" s="466"/>
      <c r="E257" s="466"/>
      <c r="F257" s="466"/>
      <c r="G257" s="466"/>
      <c r="H257" s="466"/>
      <c r="I257" s="466"/>
      <c r="J257" s="466"/>
      <c r="K257" s="466"/>
      <c r="L257" s="466"/>
      <c r="M257" s="466"/>
      <c r="N257" s="466"/>
      <c r="O257" s="466"/>
      <c r="P257" s="466"/>
      <c r="Q257" s="466"/>
      <c r="R257" s="466"/>
      <c r="S257" s="466"/>
      <c r="T257" s="466"/>
      <c r="U257" s="466"/>
      <c r="V257" s="466"/>
      <c r="W257" s="466"/>
      <c r="X257" s="466"/>
      <c r="Y257" s="466"/>
      <c r="Z257" s="466"/>
      <c r="AA257" s="466"/>
      <c r="AB257" s="466"/>
      <c r="AC257" s="466"/>
      <c r="AD257" s="466"/>
      <c r="AE257" s="466"/>
      <c r="AF257" s="466"/>
      <c r="AG257" s="466"/>
      <c r="AH257" s="466"/>
      <c r="AI257" s="466"/>
      <c r="AJ257" s="466"/>
      <c r="AK257" s="466"/>
      <c r="AL257" s="466"/>
      <c r="AM257" s="466"/>
    </row>
    <row r="258" spans="1:39" x14ac:dyDescent="0.25">
      <c r="A258" s="466"/>
      <c r="B258" s="466"/>
      <c r="C258" s="466"/>
      <c r="D258" s="466"/>
      <c r="E258" s="466"/>
      <c r="F258" s="466"/>
      <c r="G258" s="466"/>
      <c r="H258" s="466"/>
      <c r="I258" s="466"/>
      <c r="J258" s="466"/>
      <c r="K258" s="466"/>
      <c r="L258" s="466"/>
      <c r="M258" s="466"/>
      <c r="N258" s="466"/>
      <c r="O258" s="466"/>
      <c r="P258" s="466"/>
      <c r="Q258" s="466"/>
      <c r="R258" s="466"/>
      <c r="S258" s="466"/>
      <c r="T258" s="466"/>
      <c r="U258" s="466"/>
      <c r="V258" s="466"/>
      <c r="W258" s="466"/>
      <c r="X258" s="466"/>
      <c r="Y258" s="466"/>
      <c r="Z258" s="466"/>
      <c r="AA258" s="466"/>
      <c r="AB258" s="466"/>
      <c r="AC258" s="466"/>
      <c r="AD258" s="466"/>
      <c r="AE258" s="466"/>
      <c r="AF258" s="466"/>
      <c r="AG258" s="466"/>
      <c r="AH258" s="466"/>
      <c r="AI258" s="466"/>
      <c r="AJ258" s="466"/>
      <c r="AK258" s="466"/>
      <c r="AL258" s="466"/>
      <c r="AM258" s="466"/>
    </row>
    <row r="259" spans="1:39" x14ac:dyDescent="0.25">
      <c r="A259" s="466"/>
      <c r="B259" s="466"/>
      <c r="C259" s="466"/>
      <c r="D259" s="466"/>
      <c r="E259" s="466"/>
      <c r="F259" s="466"/>
      <c r="G259" s="466"/>
      <c r="H259" s="466"/>
      <c r="I259" s="466"/>
      <c r="J259" s="466"/>
      <c r="K259" s="466"/>
      <c r="L259" s="466"/>
      <c r="M259" s="466"/>
      <c r="N259" s="466"/>
      <c r="O259" s="466"/>
      <c r="P259" s="466"/>
      <c r="Q259" s="466"/>
      <c r="R259" s="466"/>
      <c r="S259" s="466"/>
      <c r="T259" s="466"/>
      <c r="U259" s="466"/>
      <c r="V259" s="466"/>
      <c r="W259" s="466"/>
      <c r="X259" s="466"/>
      <c r="Y259" s="466"/>
      <c r="Z259" s="466"/>
      <c r="AA259" s="466"/>
      <c r="AB259" s="466"/>
      <c r="AC259" s="466"/>
      <c r="AD259" s="466"/>
      <c r="AE259" s="466"/>
      <c r="AF259" s="466"/>
      <c r="AG259" s="466"/>
      <c r="AH259" s="466"/>
      <c r="AI259" s="466"/>
      <c r="AJ259" s="466"/>
      <c r="AK259" s="466"/>
      <c r="AL259" s="466"/>
      <c r="AM259" s="466"/>
    </row>
    <row r="260" spans="1:39" x14ac:dyDescent="0.25">
      <c r="A260" s="466"/>
      <c r="B260" s="466"/>
      <c r="C260" s="466"/>
      <c r="D260" s="466"/>
      <c r="E260" s="466"/>
      <c r="F260" s="466"/>
      <c r="G260" s="466"/>
      <c r="H260" s="466"/>
      <c r="I260" s="466"/>
      <c r="J260" s="466"/>
      <c r="K260" s="466"/>
      <c r="L260" s="466"/>
      <c r="M260" s="466"/>
      <c r="N260" s="466"/>
      <c r="O260" s="466"/>
      <c r="P260" s="466"/>
      <c r="Q260" s="466"/>
      <c r="R260" s="466"/>
      <c r="S260" s="466"/>
      <c r="T260" s="466"/>
      <c r="U260" s="466"/>
      <c r="V260" s="466"/>
      <c r="W260" s="466"/>
      <c r="X260" s="466"/>
      <c r="Y260" s="466"/>
      <c r="Z260" s="466"/>
      <c r="AA260" s="466"/>
      <c r="AB260" s="466"/>
      <c r="AC260" s="466"/>
      <c r="AD260" s="466"/>
      <c r="AE260" s="466"/>
      <c r="AF260" s="466"/>
      <c r="AG260" s="466"/>
      <c r="AH260" s="466"/>
      <c r="AI260" s="466"/>
      <c r="AJ260" s="466"/>
      <c r="AK260" s="466"/>
      <c r="AL260" s="466"/>
      <c r="AM260" s="466"/>
    </row>
    <row r="261" spans="1:39" x14ac:dyDescent="0.25">
      <c r="A261" s="466"/>
      <c r="B261" s="466"/>
      <c r="C261" s="466"/>
      <c r="D261" s="466"/>
      <c r="E261" s="466"/>
      <c r="F261" s="466"/>
      <c r="G261" s="466"/>
      <c r="H261" s="466"/>
      <c r="I261" s="466"/>
      <c r="J261" s="466"/>
      <c r="K261" s="466"/>
      <c r="L261" s="466"/>
      <c r="M261" s="466"/>
      <c r="N261" s="466"/>
      <c r="O261" s="466"/>
      <c r="P261" s="466"/>
      <c r="Q261" s="466"/>
      <c r="R261" s="466"/>
      <c r="S261" s="466"/>
      <c r="T261" s="466"/>
      <c r="U261" s="466"/>
      <c r="V261" s="466"/>
      <c r="W261" s="466"/>
      <c r="X261" s="466"/>
      <c r="Y261" s="466"/>
      <c r="Z261" s="466"/>
      <c r="AA261" s="466"/>
      <c r="AB261" s="466"/>
      <c r="AC261" s="466"/>
      <c r="AD261" s="466"/>
      <c r="AE261" s="466"/>
      <c r="AF261" s="466"/>
      <c r="AG261" s="466"/>
      <c r="AH261" s="466"/>
      <c r="AI261" s="466"/>
      <c r="AJ261" s="466"/>
      <c r="AK261" s="466"/>
      <c r="AL261" s="466"/>
      <c r="AM261" s="466"/>
    </row>
    <row r="262" spans="1:39" x14ac:dyDescent="0.25">
      <c r="A262" s="466"/>
      <c r="B262" s="466"/>
      <c r="C262" s="466"/>
      <c r="D262" s="466"/>
      <c r="E262" s="466"/>
      <c r="F262" s="466"/>
      <c r="G262" s="466"/>
      <c r="H262" s="466"/>
      <c r="I262" s="466"/>
      <c r="J262" s="466"/>
      <c r="K262" s="466"/>
      <c r="L262" s="466"/>
      <c r="M262" s="466"/>
      <c r="N262" s="466"/>
      <c r="O262" s="466"/>
      <c r="P262" s="466"/>
      <c r="Q262" s="466"/>
      <c r="R262" s="466"/>
      <c r="S262" s="466"/>
      <c r="T262" s="466"/>
      <c r="U262" s="466"/>
      <c r="V262" s="466"/>
      <c r="W262" s="466"/>
      <c r="X262" s="466"/>
      <c r="Y262" s="466"/>
      <c r="Z262" s="466"/>
      <c r="AA262" s="466"/>
      <c r="AB262" s="466"/>
      <c r="AC262" s="466"/>
      <c r="AD262" s="466"/>
      <c r="AE262" s="466"/>
      <c r="AF262" s="466"/>
      <c r="AG262" s="466"/>
      <c r="AH262" s="466"/>
      <c r="AI262" s="466"/>
      <c r="AJ262" s="466"/>
      <c r="AK262" s="466"/>
      <c r="AL262" s="466"/>
      <c r="AM262" s="466"/>
    </row>
    <row r="263" spans="1:39" x14ac:dyDescent="0.25">
      <c r="A263" s="466"/>
      <c r="B263" s="466"/>
      <c r="C263" s="466"/>
      <c r="D263" s="466"/>
      <c r="E263" s="466"/>
      <c r="F263" s="466"/>
      <c r="G263" s="466"/>
      <c r="H263" s="466"/>
      <c r="I263" s="466"/>
      <c r="J263" s="466"/>
      <c r="K263" s="466"/>
      <c r="L263" s="466"/>
      <c r="M263" s="466"/>
      <c r="N263" s="466"/>
      <c r="O263" s="466"/>
      <c r="P263" s="466"/>
      <c r="Q263" s="466"/>
      <c r="R263" s="466"/>
      <c r="S263" s="466"/>
      <c r="T263" s="466"/>
      <c r="U263" s="466"/>
      <c r="V263" s="466"/>
      <c r="W263" s="466"/>
      <c r="X263" s="466"/>
      <c r="Y263" s="466"/>
      <c r="Z263" s="466"/>
      <c r="AA263" s="466"/>
      <c r="AB263" s="466"/>
      <c r="AC263" s="466"/>
      <c r="AD263" s="466"/>
      <c r="AE263" s="466"/>
      <c r="AF263" s="466"/>
      <c r="AG263" s="466"/>
      <c r="AH263" s="466"/>
      <c r="AI263" s="466"/>
      <c r="AJ263" s="466"/>
      <c r="AK263" s="466"/>
      <c r="AL263" s="466"/>
      <c r="AM263" s="466"/>
    </row>
    <row r="264" spans="1:39" x14ac:dyDescent="0.25">
      <c r="A264" s="466"/>
      <c r="B264" s="466"/>
      <c r="C264" s="466"/>
      <c r="D264" s="466"/>
      <c r="E264" s="466"/>
      <c r="F264" s="466"/>
      <c r="G264" s="466"/>
      <c r="H264" s="466"/>
      <c r="I264" s="466"/>
      <c r="J264" s="466"/>
      <c r="K264" s="466"/>
      <c r="L264" s="466"/>
      <c r="M264" s="466"/>
      <c r="N264" s="466"/>
      <c r="O264" s="466"/>
      <c r="P264" s="466"/>
      <c r="Q264" s="466"/>
      <c r="R264" s="466"/>
      <c r="S264" s="466"/>
      <c r="T264" s="466"/>
      <c r="U264" s="466"/>
      <c r="V264" s="466"/>
      <c r="W264" s="466"/>
      <c r="X264" s="466"/>
      <c r="Y264" s="466"/>
      <c r="Z264" s="466"/>
      <c r="AA264" s="466"/>
      <c r="AB264" s="466"/>
      <c r="AC264" s="466"/>
      <c r="AD264" s="466"/>
      <c r="AE264" s="466"/>
      <c r="AF264" s="466"/>
      <c r="AG264" s="466"/>
      <c r="AH264" s="466"/>
      <c r="AI264" s="466"/>
      <c r="AJ264" s="466"/>
      <c r="AK264" s="466"/>
      <c r="AL264" s="466"/>
      <c r="AM264" s="466"/>
    </row>
    <row r="265" spans="1:39" x14ac:dyDescent="0.25">
      <c r="A265" s="466"/>
      <c r="B265" s="466"/>
      <c r="C265" s="466"/>
      <c r="D265" s="466"/>
      <c r="E265" s="466"/>
      <c r="F265" s="466"/>
      <c r="G265" s="466"/>
      <c r="H265" s="466"/>
      <c r="I265" s="466"/>
      <c r="J265" s="466"/>
      <c r="K265" s="466"/>
      <c r="L265" s="466"/>
      <c r="M265" s="466"/>
      <c r="N265" s="466"/>
      <c r="O265" s="466"/>
      <c r="P265" s="466"/>
      <c r="Q265" s="466"/>
      <c r="R265" s="466"/>
      <c r="S265" s="466"/>
      <c r="T265" s="466"/>
      <c r="U265" s="466"/>
      <c r="V265" s="466"/>
      <c r="W265" s="466"/>
      <c r="X265" s="466"/>
      <c r="Y265" s="466"/>
      <c r="Z265" s="466"/>
      <c r="AA265" s="466"/>
      <c r="AB265" s="466"/>
      <c r="AC265" s="466"/>
      <c r="AD265" s="466"/>
      <c r="AE265" s="466"/>
      <c r="AF265" s="466"/>
      <c r="AG265" s="466"/>
      <c r="AH265" s="466"/>
      <c r="AI265" s="466"/>
      <c r="AJ265" s="466"/>
      <c r="AK265" s="466"/>
      <c r="AL265" s="466"/>
      <c r="AM265" s="466"/>
    </row>
    <row r="266" spans="1:39" x14ac:dyDescent="0.25">
      <c r="A266" s="466"/>
      <c r="B266" s="466"/>
      <c r="C266" s="466"/>
      <c r="D266" s="466"/>
      <c r="E266" s="466"/>
      <c r="F266" s="466"/>
      <c r="G266" s="466"/>
      <c r="H266" s="466"/>
      <c r="I266" s="466"/>
      <c r="J266" s="466"/>
      <c r="K266" s="466"/>
      <c r="L266" s="466"/>
      <c r="M266" s="466"/>
      <c r="N266" s="466"/>
      <c r="O266" s="466"/>
      <c r="P266" s="466"/>
      <c r="Q266" s="466"/>
      <c r="R266" s="466"/>
      <c r="S266" s="466"/>
      <c r="T266" s="466"/>
      <c r="U266" s="466"/>
      <c r="V266" s="466"/>
      <c r="W266" s="466"/>
      <c r="X266" s="466"/>
      <c r="Y266" s="466"/>
      <c r="Z266" s="466"/>
      <c r="AA266" s="466"/>
      <c r="AB266" s="466"/>
      <c r="AC266" s="466"/>
      <c r="AD266" s="466"/>
      <c r="AE266" s="466"/>
      <c r="AF266" s="466"/>
      <c r="AG266" s="466"/>
      <c r="AH266" s="466"/>
      <c r="AI266" s="466"/>
      <c r="AJ266" s="466"/>
      <c r="AK266" s="466"/>
      <c r="AL266" s="466"/>
      <c r="AM266" s="466"/>
    </row>
    <row r="267" spans="1:39" x14ac:dyDescent="0.25">
      <c r="A267" s="466"/>
      <c r="B267" s="466"/>
      <c r="C267" s="466"/>
      <c r="D267" s="466"/>
      <c r="E267" s="466"/>
      <c r="F267" s="466"/>
      <c r="G267" s="466"/>
      <c r="H267" s="466"/>
      <c r="I267" s="466"/>
      <c r="J267" s="466"/>
      <c r="K267" s="466"/>
      <c r="L267" s="466"/>
      <c r="M267" s="466"/>
      <c r="N267" s="466"/>
      <c r="O267" s="466"/>
      <c r="P267" s="466"/>
      <c r="Q267" s="466"/>
      <c r="R267" s="466"/>
      <c r="S267" s="466"/>
      <c r="T267" s="466"/>
      <c r="U267" s="466"/>
      <c r="V267" s="466"/>
      <c r="W267" s="466"/>
      <c r="X267" s="466"/>
      <c r="Y267" s="466"/>
      <c r="Z267" s="466"/>
      <c r="AA267" s="466"/>
      <c r="AB267" s="466"/>
      <c r="AC267" s="466"/>
      <c r="AD267" s="466"/>
      <c r="AE267" s="466"/>
      <c r="AF267" s="466"/>
      <c r="AG267" s="466"/>
      <c r="AH267" s="466"/>
      <c r="AI267" s="466"/>
      <c r="AJ267" s="466"/>
      <c r="AK267" s="466"/>
      <c r="AL267" s="466"/>
      <c r="AM267" s="466"/>
    </row>
    <row r="268" spans="1:39" x14ac:dyDescent="0.25">
      <c r="A268" s="466"/>
      <c r="B268" s="466"/>
      <c r="C268" s="466"/>
      <c r="D268" s="466"/>
      <c r="E268" s="466"/>
      <c r="F268" s="466"/>
      <c r="G268" s="466"/>
      <c r="H268" s="466"/>
      <c r="I268" s="466"/>
      <c r="J268" s="466"/>
      <c r="K268" s="466"/>
      <c r="L268" s="466"/>
      <c r="M268" s="466"/>
      <c r="N268" s="466"/>
      <c r="O268" s="466"/>
      <c r="P268" s="466"/>
      <c r="Q268" s="466"/>
      <c r="R268" s="466"/>
      <c r="S268" s="466"/>
      <c r="T268" s="466"/>
      <c r="U268" s="466"/>
      <c r="V268" s="466"/>
      <c r="W268" s="466"/>
      <c r="X268" s="466"/>
      <c r="Y268" s="466"/>
      <c r="Z268" s="466"/>
      <c r="AA268" s="466"/>
      <c r="AB268" s="466"/>
      <c r="AC268" s="466"/>
      <c r="AD268" s="466"/>
      <c r="AE268" s="466"/>
      <c r="AF268" s="466"/>
      <c r="AG268" s="466"/>
      <c r="AH268" s="466"/>
      <c r="AI268" s="466"/>
      <c r="AJ268" s="466"/>
      <c r="AK268" s="466"/>
      <c r="AL268" s="466"/>
      <c r="AM268" s="466"/>
    </row>
    <row r="269" spans="1:39" x14ac:dyDescent="0.25">
      <c r="A269" s="466"/>
      <c r="B269" s="466"/>
      <c r="C269" s="466"/>
      <c r="D269" s="466"/>
      <c r="E269" s="466"/>
      <c r="F269" s="466"/>
      <c r="G269" s="466"/>
      <c r="H269" s="466"/>
      <c r="I269" s="466"/>
      <c r="J269" s="466"/>
      <c r="K269" s="466"/>
      <c r="L269" s="466"/>
      <c r="M269" s="466"/>
      <c r="N269" s="466"/>
      <c r="O269" s="466"/>
      <c r="P269" s="466"/>
      <c r="Q269" s="466"/>
      <c r="R269" s="466"/>
      <c r="S269" s="466"/>
      <c r="T269" s="466"/>
      <c r="U269" s="466"/>
      <c r="V269" s="466"/>
      <c r="W269" s="466"/>
      <c r="X269" s="466"/>
      <c r="Y269" s="466"/>
      <c r="Z269" s="466"/>
      <c r="AA269" s="466"/>
      <c r="AB269" s="466"/>
      <c r="AC269" s="466"/>
      <c r="AD269" s="466"/>
      <c r="AE269" s="466"/>
      <c r="AF269" s="466"/>
      <c r="AG269" s="466"/>
      <c r="AH269" s="466"/>
      <c r="AI269" s="466"/>
      <c r="AJ269" s="466"/>
      <c r="AK269" s="466"/>
      <c r="AL269" s="466"/>
      <c r="AM269" s="466"/>
    </row>
    <row r="270" spans="1:39" x14ac:dyDescent="0.25">
      <c r="A270" s="466"/>
      <c r="B270" s="466"/>
      <c r="C270" s="466"/>
      <c r="D270" s="466"/>
      <c r="E270" s="466"/>
      <c r="F270" s="466"/>
      <c r="G270" s="466"/>
      <c r="H270" s="466"/>
      <c r="I270" s="466"/>
      <c r="J270" s="466"/>
      <c r="K270" s="466"/>
      <c r="L270" s="466"/>
      <c r="M270" s="466"/>
      <c r="N270" s="466"/>
      <c r="O270" s="466"/>
      <c r="P270" s="466"/>
      <c r="Q270" s="466"/>
      <c r="R270" s="466"/>
      <c r="S270" s="466"/>
      <c r="T270" s="466"/>
      <c r="U270" s="466"/>
      <c r="V270" s="466"/>
      <c r="W270" s="466"/>
      <c r="X270" s="466"/>
      <c r="Y270" s="466"/>
      <c r="Z270" s="466"/>
      <c r="AA270" s="466"/>
      <c r="AB270" s="466"/>
      <c r="AC270" s="466"/>
      <c r="AD270" s="466"/>
      <c r="AE270" s="466"/>
      <c r="AF270" s="466"/>
      <c r="AG270" s="466"/>
      <c r="AH270" s="466"/>
      <c r="AI270" s="466"/>
      <c r="AJ270" s="466"/>
      <c r="AK270" s="466"/>
      <c r="AL270" s="466"/>
      <c r="AM270" s="466"/>
    </row>
    <row r="271" spans="1:39" x14ac:dyDescent="0.25">
      <c r="A271" s="466"/>
      <c r="B271" s="466"/>
      <c r="C271" s="466"/>
      <c r="D271" s="466"/>
      <c r="E271" s="466"/>
      <c r="F271" s="466"/>
      <c r="G271" s="466"/>
      <c r="H271" s="466"/>
      <c r="I271" s="466"/>
      <c r="J271" s="466"/>
      <c r="K271" s="466"/>
      <c r="L271" s="466"/>
      <c r="M271" s="466"/>
      <c r="N271" s="466"/>
      <c r="O271" s="466"/>
      <c r="P271" s="466"/>
      <c r="Q271" s="466"/>
      <c r="R271" s="466"/>
      <c r="S271" s="466"/>
      <c r="T271" s="466"/>
      <c r="U271" s="466"/>
      <c r="V271" s="466"/>
      <c r="W271" s="466"/>
      <c r="X271" s="466"/>
      <c r="Y271" s="466"/>
      <c r="Z271" s="466"/>
      <c r="AA271" s="466"/>
      <c r="AB271" s="466"/>
      <c r="AC271" s="466"/>
      <c r="AD271" s="466"/>
      <c r="AE271" s="466"/>
      <c r="AF271" s="466"/>
      <c r="AG271" s="466"/>
      <c r="AH271" s="466"/>
      <c r="AI271" s="466"/>
      <c r="AJ271" s="466"/>
      <c r="AK271" s="466"/>
      <c r="AL271" s="466"/>
      <c r="AM271" s="466"/>
    </row>
    <row r="272" spans="1:39" x14ac:dyDescent="0.25">
      <c r="A272" s="466"/>
      <c r="B272" s="466"/>
      <c r="C272" s="466"/>
      <c r="D272" s="466"/>
      <c r="E272" s="466"/>
      <c r="F272" s="466"/>
      <c r="G272" s="466"/>
      <c r="H272" s="466"/>
      <c r="I272" s="466"/>
      <c r="J272" s="466"/>
      <c r="K272" s="466"/>
      <c r="L272" s="466"/>
      <c r="M272" s="466"/>
      <c r="N272" s="466"/>
      <c r="O272" s="466"/>
      <c r="P272" s="466"/>
      <c r="Q272" s="466"/>
      <c r="R272" s="466"/>
      <c r="S272" s="466"/>
      <c r="T272" s="466"/>
      <c r="U272" s="466"/>
      <c r="V272" s="466"/>
      <c r="W272" s="466"/>
      <c r="X272" s="466"/>
      <c r="Y272" s="466"/>
      <c r="Z272" s="466"/>
      <c r="AA272" s="466"/>
      <c r="AB272" s="466"/>
      <c r="AC272" s="466"/>
      <c r="AD272" s="466"/>
      <c r="AE272" s="466"/>
      <c r="AF272" s="466"/>
      <c r="AG272" s="466"/>
      <c r="AH272" s="466"/>
      <c r="AI272" s="466"/>
      <c r="AJ272" s="466"/>
      <c r="AK272" s="466"/>
      <c r="AL272" s="466"/>
      <c r="AM272" s="466"/>
    </row>
    <row r="273" spans="1:39" x14ac:dyDescent="0.25">
      <c r="A273" s="466"/>
      <c r="B273" s="466"/>
      <c r="C273" s="466"/>
      <c r="D273" s="466"/>
      <c r="E273" s="466"/>
      <c r="F273" s="466"/>
      <c r="G273" s="466"/>
      <c r="H273" s="466"/>
      <c r="I273" s="466"/>
      <c r="J273" s="466"/>
      <c r="K273" s="466"/>
      <c r="L273" s="466"/>
      <c r="M273" s="466"/>
      <c r="N273" s="466"/>
      <c r="O273" s="466"/>
      <c r="P273" s="466"/>
      <c r="Q273" s="466"/>
      <c r="R273" s="466"/>
      <c r="S273" s="466"/>
      <c r="T273" s="466"/>
      <c r="U273" s="466"/>
      <c r="V273" s="466"/>
      <c r="W273" s="466"/>
      <c r="X273" s="466"/>
      <c r="Y273" s="466"/>
      <c r="Z273" s="466"/>
      <c r="AA273" s="466"/>
      <c r="AB273" s="466"/>
      <c r="AC273" s="466"/>
      <c r="AD273" s="466"/>
      <c r="AE273" s="466"/>
      <c r="AF273" s="466"/>
      <c r="AG273" s="466"/>
      <c r="AH273" s="466"/>
      <c r="AI273" s="466"/>
      <c r="AJ273" s="466"/>
      <c r="AK273" s="466"/>
      <c r="AL273" s="466"/>
      <c r="AM273" s="466"/>
    </row>
    <row r="274" spans="1:39" x14ac:dyDescent="0.25">
      <c r="A274" s="466"/>
      <c r="B274" s="466"/>
      <c r="C274" s="466"/>
      <c r="D274" s="466"/>
      <c r="E274" s="466"/>
      <c r="F274" s="466"/>
      <c r="G274" s="466"/>
      <c r="H274" s="466"/>
      <c r="I274" s="466"/>
      <c r="J274" s="466"/>
      <c r="K274" s="466"/>
      <c r="L274" s="466"/>
      <c r="M274" s="466"/>
      <c r="N274" s="466"/>
      <c r="O274" s="466"/>
      <c r="P274" s="466"/>
      <c r="Q274" s="466"/>
      <c r="R274" s="466"/>
      <c r="S274" s="466"/>
      <c r="T274" s="466"/>
      <c r="U274" s="466"/>
      <c r="V274" s="466"/>
      <c r="W274" s="466"/>
      <c r="X274" s="466"/>
      <c r="Y274" s="466"/>
      <c r="Z274" s="466"/>
      <c r="AA274" s="466"/>
      <c r="AB274" s="466"/>
      <c r="AC274" s="466"/>
      <c r="AD274" s="466"/>
      <c r="AE274" s="466"/>
      <c r="AF274" s="466"/>
      <c r="AG274" s="466"/>
      <c r="AH274" s="466"/>
      <c r="AI274" s="466"/>
      <c r="AJ274" s="466"/>
      <c r="AK274" s="466"/>
      <c r="AL274" s="466"/>
      <c r="AM274" s="466"/>
    </row>
    <row r="275" spans="1:39" x14ac:dyDescent="0.25">
      <c r="A275" s="466"/>
      <c r="B275" s="466"/>
      <c r="C275" s="466"/>
      <c r="D275" s="466"/>
      <c r="E275" s="466"/>
      <c r="F275" s="466"/>
      <c r="G275" s="466"/>
      <c r="H275" s="466"/>
      <c r="I275" s="466"/>
      <c r="J275" s="466"/>
      <c r="K275" s="466"/>
      <c r="L275" s="466"/>
      <c r="M275" s="466"/>
      <c r="N275" s="466"/>
      <c r="O275" s="466"/>
      <c r="P275" s="466"/>
      <c r="Q275" s="466"/>
      <c r="R275" s="466"/>
      <c r="S275" s="466"/>
      <c r="T275" s="466"/>
      <c r="U275" s="466"/>
      <c r="V275" s="466"/>
      <c r="W275" s="466"/>
      <c r="X275" s="466"/>
      <c r="Y275" s="466"/>
      <c r="Z275" s="466"/>
      <c r="AA275" s="466"/>
      <c r="AB275" s="466"/>
      <c r="AC275" s="466"/>
      <c r="AD275" s="466"/>
      <c r="AE275" s="466"/>
      <c r="AF275" s="466"/>
      <c r="AG275" s="466"/>
      <c r="AH275" s="466"/>
      <c r="AI275" s="466"/>
      <c r="AJ275" s="466"/>
      <c r="AK275" s="466"/>
      <c r="AL275" s="466"/>
      <c r="AM275" s="466"/>
    </row>
    <row r="276" spans="1:39" x14ac:dyDescent="0.25">
      <c r="A276" s="466"/>
      <c r="B276" s="466"/>
      <c r="C276" s="466"/>
      <c r="D276" s="466"/>
      <c r="E276" s="466"/>
      <c r="F276" s="466"/>
      <c r="G276" s="466"/>
      <c r="H276" s="466"/>
      <c r="I276" s="466"/>
      <c r="J276" s="466"/>
      <c r="K276" s="466"/>
      <c r="L276" s="466"/>
      <c r="M276" s="466"/>
      <c r="N276" s="466"/>
      <c r="O276" s="466"/>
      <c r="P276" s="466"/>
      <c r="Q276" s="466"/>
      <c r="R276" s="466"/>
      <c r="S276" s="466"/>
      <c r="T276" s="466"/>
      <c r="U276" s="466"/>
      <c r="V276" s="466"/>
      <c r="W276" s="466"/>
      <c r="X276" s="466"/>
      <c r="Y276" s="466"/>
      <c r="Z276" s="466"/>
      <c r="AA276" s="466"/>
      <c r="AB276" s="466"/>
      <c r="AC276" s="466"/>
      <c r="AD276" s="466"/>
      <c r="AE276" s="466"/>
      <c r="AF276" s="466"/>
      <c r="AG276" s="466"/>
      <c r="AH276" s="466"/>
      <c r="AI276" s="466"/>
      <c r="AJ276" s="466"/>
      <c r="AK276" s="466"/>
      <c r="AL276" s="466"/>
      <c r="AM276" s="466"/>
    </row>
    <row r="277" spans="1:39" x14ac:dyDescent="0.25">
      <c r="A277" s="466"/>
      <c r="B277" s="466"/>
      <c r="C277" s="466"/>
      <c r="D277" s="466"/>
      <c r="E277" s="466"/>
      <c r="F277" s="466"/>
      <c r="G277" s="466"/>
      <c r="H277" s="466"/>
      <c r="I277" s="466"/>
      <c r="J277" s="466"/>
      <c r="K277" s="466"/>
      <c r="L277" s="466"/>
      <c r="M277" s="466"/>
      <c r="N277" s="466"/>
      <c r="O277" s="466"/>
      <c r="P277" s="466"/>
      <c r="Q277" s="466"/>
      <c r="R277" s="466"/>
      <c r="S277" s="466"/>
      <c r="T277" s="466"/>
      <c r="U277" s="466"/>
      <c r="V277" s="466"/>
      <c r="W277" s="466"/>
      <c r="X277" s="466"/>
      <c r="Y277" s="466"/>
      <c r="Z277" s="466"/>
      <c r="AA277" s="466"/>
      <c r="AB277" s="466"/>
      <c r="AC277" s="466"/>
      <c r="AD277" s="466"/>
      <c r="AE277" s="466"/>
      <c r="AF277" s="466"/>
      <c r="AG277" s="466"/>
      <c r="AH277" s="466"/>
      <c r="AI277" s="466"/>
      <c r="AJ277" s="466"/>
      <c r="AK277" s="466"/>
      <c r="AL277" s="466"/>
      <c r="AM277" s="466"/>
    </row>
    <row r="278" spans="1:39" x14ac:dyDescent="0.25">
      <c r="AL278" s="466"/>
      <c r="AM278" s="466"/>
    </row>
  </sheetData>
  <printOptions horizontalCentered="1"/>
  <pageMargins left="0.5" right="0.5" top="0.75" bottom="0.5" header="0.5" footer="0.5"/>
  <pageSetup scale="49" orientation="landscape" horizontalDpi="4294967295" verticalDpi="4294967295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33"/>
  <dimension ref="A1:EI331"/>
  <sheetViews>
    <sheetView view="pageBreakPreview" topLeftCell="A69" zoomScale="80" zoomScaleNormal="90" zoomScaleSheetLayoutView="80" workbookViewId="0">
      <selection activeCell="W96" sqref="W96"/>
    </sheetView>
  </sheetViews>
  <sheetFormatPr defaultRowHeight="15.75" x14ac:dyDescent="0.25"/>
  <cols>
    <col min="1" max="1" width="3.28515625" style="998" customWidth="1"/>
    <col min="2" max="4" width="2.7109375" style="998" customWidth="1"/>
    <col min="5" max="5" width="29.85546875" style="998" customWidth="1"/>
    <col min="6" max="6" width="4.7109375" style="998" customWidth="1"/>
    <col min="7" max="9" width="2.28515625" style="998" customWidth="1"/>
    <col min="10" max="10" width="18.7109375" style="998" customWidth="1"/>
    <col min="11" max="11" width="14.5703125" style="998" customWidth="1"/>
    <col min="12" max="12" width="2.7109375" style="998" customWidth="1"/>
    <col min="13" max="13" width="14.5703125" style="998" customWidth="1"/>
    <col min="14" max="14" width="2.7109375" style="998" customWidth="1"/>
    <col min="15" max="15" width="14.5703125" style="998" customWidth="1"/>
    <col min="16" max="16" width="2.7109375" style="998" customWidth="1"/>
    <col min="17" max="17" width="14.5703125" style="998" customWidth="1"/>
    <col min="18" max="18" width="2.7109375" style="998" customWidth="1"/>
    <col min="19" max="19" width="14.5703125" style="998" customWidth="1"/>
    <col min="20" max="20" width="15.42578125" style="227" customWidth="1"/>
    <col min="21" max="21" width="2.7109375" style="227" customWidth="1"/>
    <col min="22" max="22" width="14.140625" style="227" customWidth="1"/>
    <col min="23" max="23" width="12.85546875" style="227" bestFit="1" customWidth="1"/>
    <col min="24" max="24" width="14.5703125" style="227" bestFit="1" customWidth="1"/>
    <col min="25" max="25" width="3.7109375" style="227" customWidth="1"/>
    <col min="26" max="26" width="13.140625" style="227" bestFit="1" customWidth="1"/>
    <col min="27" max="27" width="2.7109375" style="227" customWidth="1"/>
    <col min="28" max="28" width="14" style="227" bestFit="1" customWidth="1"/>
    <col min="29" max="29" width="1.28515625" style="227" customWidth="1"/>
    <col min="30" max="30" width="15.85546875" style="227" customWidth="1"/>
    <col min="31" max="31" width="3.140625" style="227" customWidth="1"/>
    <col min="32" max="32" width="15.85546875" style="227" customWidth="1"/>
    <col min="33" max="33" width="3.140625" style="227" customWidth="1"/>
    <col min="34" max="34" width="15.85546875" style="227" customWidth="1"/>
    <col min="35" max="35" width="3.140625" style="227" customWidth="1"/>
    <col min="36" max="36" width="15.85546875" style="227" customWidth="1"/>
    <col min="37" max="37" width="3.140625" style="227" customWidth="1"/>
    <col min="38" max="38" width="15.85546875" style="227" customWidth="1"/>
    <col min="39" max="39" width="3.140625" style="227" customWidth="1"/>
    <col min="40" max="40" width="15.85546875" style="227" customWidth="1"/>
    <col min="41" max="41" width="3.140625" style="227" customWidth="1"/>
    <col min="42" max="42" width="15.85546875" style="227" customWidth="1"/>
    <col min="43" max="43" width="3.140625" style="227" customWidth="1"/>
    <col min="44" max="44" width="15.85546875" style="227" customWidth="1"/>
    <col min="45" max="45" width="3.140625" style="227" customWidth="1"/>
    <col min="46" max="46" width="15.85546875" style="227" customWidth="1"/>
    <col min="47" max="48" width="9.140625" style="227"/>
    <col min="49" max="49" width="14.5703125" style="227" bestFit="1" customWidth="1"/>
    <col min="50" max="139" width="9.140625" style="227"/>
    <col min="140" max="263" width="9.140625" style="998"/>
    <col min="264" max="265" width="4.7109375" style="998" customWidth="1"/>
    <col min="266" max="267" width="12.7109375" style="998" customWidth="1"/>
    <col min="268" max="268" width="10.140625" style="998" customWidth="1"/>
    <col min="269" max="269" width="1.85546875" style="998" customWidth="1"/>
    <col min="270" max="270" width="15.5703125" style="998" customWidth="1"/>
    <col min="271" max="271" width="2.7109375" style="998" customWidth="1"/>
    <col min="272" max="272" width="14.85546875" style="998" customWidth="1"/>
    <col min="273" max="273" width="2.7109375" style="998" customWidth="1"/>
    <col min="274" max="274" width="13.7109375" style="998" bestFit="1" customWidth="1"/>
    <col min="275" max="275" width="2.7109375" style="998" customWidth="1"/>
    <col min="276" max="276" width="13.42578125" style="998" customWidth="1"/>
    <col min="277" max="277" width="2.7109375" style="998" customWidth="1"/>
    <col min="278" max="278" width="13.7109375" style="998" customWidth="1"/>
    <col min="279" max="279" width="9.140625" style="998"/>
    <col min="280" max="280" width="13" style="998" bestFit="1" customWidth="1"/>
    <col min="281" max="281" width="9.140625" style="998"/>
    <col min="282" max="282" width="13" style="998" bestFit="1" customWidth="1"/>
    <col min="283" max="283" width="9.140625" style="998"/>
    <col min="284" max="284" width="12.140625" style="998" bestFit="1" customWidth="1"/>
    <col min="285" max="285" width="9.140625" style="998"/>
    <col min="286" max="286" width="9" style="998" customWidth="1"/>
    <col min="287" max="287" width="0" style="998" hidden="1" customWidth="1"/>
    <col min="288" max="288" width="10.140625" style="998" bestFit="1" customWidth="1"/>
    <col min="289" max="289" width="1.7109375" style="998" customWidth="1"/>
    <col min="290" max="290" width="10.140625" style="998" bestFit="1" customWidth="1"/>
    <col min="291" max="291" width="1.7109375" style="998" customWidth="1"/>
    <col min="292" max="292" width="10.140625" style="998" bestFit="1" customWidth="1"/>
    <col min="293" max="293" width="9.140625" style="998"/>
    <col min="294" max="294" width="11" style="998" bestFit="1" customWidth="1"/>
    <col min="295" max="295" width="1.7109375" style="998" customWidth="1"/>
    <col min="296" max="296" width="13" style="998" bestFit="1" customWidth="1"/>
    <col min="297" max="297" width="1.7109375" style="998" customWidth="1"/>
    <col min="298" max="298" width="12.140625" style="998" bestFit="1" customWidth="1"/>
    <col min="299" max="519" width="9.140625" style="998"/>
    <col min="520" max="521" width="4.7109375" style="998" customWidth="1"/>
    <col min="522" max="523" width="12.7109375" style="998" customWidth="1"/>
    <col min="524" max="524" width="10.140625" style="998" customWidth="1"/>
    <col min="525" max="525" width="1.85546875" style="998" customWidth="1"/>
    <col min="526" max="526" width="15.5703125" style="998" customWidth="1"/>
    <col min="527" max="527" width="2.7109375" style="998" customWidth="1"/>
    <col min="528" max="528" width="14.85546875" style="998" customWidth="1"/>
    <col min="529" max="529" width="2.7109375" style="998" customWidth="1"/>
    <col min="530" max="530" width="13.7109375" style="998" bestFit="1" customWidth="1"/>
    <col min="531" max="531" width="2.7109375" style="998" customWidth="1"/>
    <col min="532" max="532" width="13.42578125" style="998" customWidth="1"/>
    <col min="533" max="533" width="2.7109375" style="998" customWidth="1"/>
    <col min="534" max="534" width="13.7109375" style="998" customWidth="1"/>
    <col min="535" max="535" width="9.140625" style="998"/>
    <col min="536" max="536" width="13" style="998" bestFit="1" customWidth="1"/>
    <col min="537" max="537" width="9.140625" style="998"/>
    <col min="538" max="538" width="13" style="998" bestFit="1" customWidth="1"/>
    <col min="539" max="539" width="9.140625" style="998"/>
    <col min="540" max="540" width="12.140625" style="998" bestFit="1" customWidth="1"/>
    <col min="541" max="541" width="9.140625" style="998"/>
    <col min="542" max="542" width="9" style="998" customWidth="1"/>
    <col min="543" max="543" width="0" style="998" hidden="1" customWidth="1"/>
    <col min="544" max="544" width="10.140625" style="998" bestFit="1" customWidth="1"/>
    <col min="545" max="545" width="1.7109375" style="998" customWidth="1"/>
    <col min="546" max="546" width="10.140625" style="998" bestFit="1" customWidth="1"/>
    <col min="547" max="547" width="1.7109375" style="998" customWidth="1"/>
    <col min="548" max="548" width="10.140625" style="998" bestFit="1" customWidth="1"/>
    <col min="549" max="549" width="9.140625" style="998"/>
    <col min="550" max="550" width="11" style="998" bestFit="1" customWidth="1"/>
    <col min="551" max="551" width="1.7109375" style="998" customWidth="1"/>
    <col min="552" max="552" width="13" style="998" bestFit="1" customWidth="1"/>
    <col min="553" max="553" width="1.7109375" style="998" customWidth="1"/>
    <col min="554" max="554" width="12.140625" style="998" bestFit="1" customWidth="1"/>
    <col min="555" max="775" width="9.140625" style="998"/>
    <col min="776" max="777" width="4.7109375" style="998" customWidth="1"/>
    <col min="778" max="779" width="12.7109375" style="998" customWidth="1"/>
    <col min="780" max="780" width="10.140625" style="998" customWidth="1"/>
    <col min="781" max="781" width="1.85546875" style="998" customWidth="1"/>
    <col min="782" max="782" width="15.5703125" style="998" customWidth="1"/>
    <col min="783" max="783" width="2.7109375" style="998" customWidth="1"/>
    <col min="784" max="784" width="14.85546875" style="998" customWidth="1"/>
    <col min="785" max="785" width="2.7109375" style="998" customWidth="1"/>
    <col min="786" max="786" width="13.7109375" style="998" bestFit="1" customWidth="1"/>
    <col min="787" max="787" width="2.7109375" style="998" customWidth="1"/>
    <col min="788" max="788" width="13.42578125" style="998" customWidth="1"/>
    <col min="789" max="789" width="2.7109375" style="998" customWidth="1"/>
    <col min="790" max="790" width="13.7109375" style="998" customWidth="1"/>
    <col min="791" max="791" width="9.140625" style="998"/>
    <col min="792" max="792" width="13" style="998" bestFit="1" customWidth="1"/>
    <col min="793" max="793" width="9.140625" style="998"/>
    <col min="794" max="794" width="13" style="998" bestFit="1" customWidth="1"/>
    <col min="795" max="795" width="9.140625" style="998"/>
    <col min="796" max="796" width="12.140625" style="998" bestFit="1" customWidth="1"/>
    <col min="797" max="797" width="9.140625" style="998"/>
    <col min="798" max="798" width="9" style="998" customWidth="1"/>
    <col min="799" max="799" width="0" style="998" hidden="1" customWidth="1"/>
    <col min="800" max="800" width="10.140625" style="998" bestFit="1" customWidth="1"/>
    <col min="801" max="801" width="1.7109375" style="998" customWidth="1"/>
    <col min="802" max="802" width="10.140625" style="998" bestFit="1" customWidth="1"/>
    <col min="803" max="803" width="1.7109375" style="998" customWidth="1"/>
    <col min="804" max="804" width="10.140625" style="998" bestFit="1" customWidth="1"/>
    <col min="805" max="805" width="9.140625" style="998"/>
    <col min="806" max="806" width="11" style="998" bestFit="1" customWidth="1"/>
    <col min="807" max="807" width="1.7109375" style="998" customWidth="1"/>
    <col min="808" max="808" width="13" style="998" bestFit="1" customWidth="1"/>
    <col min="809" max="809" width="1.7109375" style="998" customWidth="1"/>
    <col min="810" max="810" width="12.140625" style="998" bestFit="1" customWidth="1"/>
    <col min="811" max="1031" width="9.140625" style="998"/>
    <col min="1032" max="1033" width="4.7109375" style="998" customWidth="1"/>
    <col min="1034" max="1035" width="12.7109375" style="998" customWidth="1"/>
    <col min="1036" max="1036" width="10.140625" style="998" customWidth="1"/>
    <col min="1037" max="1037" width="1.85546875" style="998" customWidth="1"/>
    <col min="1038" max="1038" width="15.5703125" style="998" customWidth="1"/>
    <col min="1039" max="1039" width="2.7109375" style="998" customWidth="1"/>
    <col min="1040" max="1040" width="14.85546875" style="998" customWidth="1"/>
    <col min="1041" max="1041" width="2.7109375" style="998" customWidth="1"/>
    <col min="1042" max="1042" width="13.7109375" style="998" bestFit="1" customWidth="1"/>
    <col min="1043" max="1043" width="2.7109375" style="998" customWidth="1"/>
    <col min="1044" max="1044" width="13.42578125" style="998" customWidth="1"/>
    <col min="1045" max="1045" width="2.7109375" style="998" customWidth="1"/>
    <col min="1046" max="1046" width="13.7109375" style="998" customWidth="1"/>
    <col min="1047" max="1047" width="9.140625" style="998"/>
    <col min="1048" max="1048" width="13" style="998" bestFit="1" customWidth="1"/>
    <col min="1049" max="1049" width="9.140625" style="998"/>
    <col min="1050" max="1050" width="13" style="998" bestFit="1" customWidth="1"/>
    <col min="1051" max="1051" width="9.140625" style="998"/>
    <col min="1052" max="1052" width="12.140625" style="998" bestFit="1" customWidth="1"/>
    <col min="1053" max="1053" width="9.140625" style="998"/>
    <col min="1054" max="1054" width="9" style="998" customWidth="1"/>
    <col min="1055" max="1055" width="0" style="998" hidden="1" customWidth="1"/>
    <col min="1056" max="1056" width="10.140625" style="998" bestFit="1" customWidth="1"/>
    <col min="1057" max="1057" width="1.7109375" style="998" customWidth="1"/>
    <col min="1058" max="1058" width="10.140625" style="998" bestFit="1" customWidth="1"/>
    <col min="1059" max="1059" width="1.7109375" style="998" customWidth="1"/>
    <col min="1060" max="1060" width="10.140625" style="998" bestFit="1" customWidth="1"/>
    <col min="1061" max="1061" width="9.140625" style="998"/>
    <col min="1062" max="1062" width="11" style="998" bestFit="1" customWidth="1"/>
    <col min="1063" max="1063" width="1.7109375" style="998" customWidth="1"/>
    <col min="1064" max="1064" width="13" style="998" bestFit="1" customWidth="1"/>
    <col min="1065" max="1065" width="1.7109375" style="998" customWidth="1"/>
    <col min="1066" max="1066" width="12.140625" style="998" bestFit="1" customWidth="1"/>
    <col min="1067" max="1287" width="9.140625" style="998"/>
    <col min="1288" max="1289" width="4.7109375" style="998" customWidth="1"/>
    <col min="1290" max="1291" width="12.7109375" style="998" customWidth="1"/>
    <col min="1292" max="1292" width="10.140625" style="998" customWidth="1"/>
    <col min="1293" max="1293" width="1.85546875" style="998" customWidth="1"/>
    <col min="1294" max="1294" width="15.5703125" style="998" customWidth="1"/>
    <col min="1295" max="1295" width="2.7109375" style="998" customWidth="1"/>
    <col min="1296" max="1296" width="14.85546875" style="998" customWidth="1"/>
    <col min="1297" max="1297" width="2.7109375" style="998" customWidth="1"/>
    <col min="1298" max="1298" width="13.7109375" style="998" bestFit="1" customWidth="1"/>
    <col min="1299" max="1299" width="2.7109375" style="998" customWidth="1"/>
    <col min="1300" max="1300" width="13.42578125" style="998" customWidth="1"/>
    <col min="1301" max="1301" width="2.7109375" style="998" customWidth="1"/>
    <col min="1302" max="1302" width="13.7109375" style="998" customWidth="1"/>
    <col min="1303" max="1303" width="9.140625" style="998"/>
    <col min="1304" max="1304" width="13" style="998" bestFit="1" customWidth="1"/>
    <col min="1305" max="1305" width="9.140625" style="998"/>
    <col min="1306" max="1306" width="13" style="998" bestFit="1" customWidth="1"/>
    <col min="1307" max="1307" width="9.140625" style="998"/>
    <col min="1308" max="1308" width="12.140625" style="998" bestFit="1" customWidth="1"/>
    <col min="1309" max="1309" width="9.140625" style="998"/>
    <col min="1310" max="1310" width="9" style="998" customWidth="1"/>
    <col min="1311" max="1311" width="0" style="998" hidden="1" customWidth="1"/>
    <col min="1312" max="1312" width="10.140625" style="998" bestFit="1" customWidth="1"/>
    <col min="1313" max="1313" width="1.7109375" style="998" customWidth="1"/>
    <col min="1314" max="1314" width="10.140625" style="998" bestFit="1" customWidth="1"/>
    <col min="1315" max="1315" width="1.7109375" style="998" customWidth="1"/>
    <col min="1316" max="1316" width="10.140625" style="998" bestFit="1" customWidth="1"/>
    <col min="1317" max="1317" width="9.140625" style="998"/>
    <col min="1318" max="1318" width="11" style="998" bestFit="1" customWidth="1"/>
    <col min="1319" max="1319" width="1.7109375" style="998" customWidth="1"/>
    <col min="1320" max="1320" width="13" style="998" bestFit="1" customWidth="1"/>
    <col min="1321" max="1321" width="1.7109375" style="998" customWidth="1"/>
    <col min="1322" max="1322" width="12.140625" style="998" bestFit="1" customWidth="1"/>
    <col min="1323" max="1543" width="9.140625" style="998"/>
    <col min="1544" max="1545" width="4.7109375" style="998" customWidth="1"/>
    <col min="1546" max="1547" width="12.7109375" style="998" customWidth="1"/>
    <col min="1548" max="1548" width="10.140625" style="998" customWidth="1"/>
    <col min="1549" max="1549" width="1.85546875" style="998" customWidth="1"/>
    <col min="1550" max="1550" width="15.5703125" style="998" customWidth="1"/>
    <col min="1551" max="1551" width="2.7109375" style="998" customWidth="1"/>
    <col min="1552" max="1552" width="14.85546875" style="998" customWidth="1"/>
    <col min="1553" max="1553" width="2.7109375" style="998" customWidth="1"/>
    <col min="1554" max="1554" width="13.7109375" style="998" bestFit="1" customWidth="1"/>
    <col min="1555" max="1555" width="2.7109375" style="998" customWidth="1"/>
    <col min="1556" max="1556" width="13.42578125" style="998" customWidth="1"/>
    <col min="1557" max="1557" width="2.7109375" style="998" customWidth="1"/>
    <col min="1558" max="1558" width="13.7109375" style="998" customWidth="1"/>
    <col min="1559" max="1559" width="9.140625" style="998"/>
    <col min="1560" max="1560" width="13" style="998" bestFit="1" customWidth="1"/>
    <col min="1561" max="1561" width="9.140625" style="998"/>
    <col min="1562" max="1562" width="13" style="998" bestFit="1" customWidth="1"/>
    <col min="1563" max="1563" width="9.140625" style="998"/>
    <col min="1564" max="1564" width="12.140625" style="998" bestFit="1" customWidth="1"/>
    <col min="1565" max="1565" width="9.140625" style="998"/>
    <col min="1566" max="1566" width="9" style="998" customWidth="1"/>
    <col min="1567" max="1567" width="0" style="998" hidden="1" customWidth="1"/>
    <col min="1568" max="1568" width="10.140625" style="998" bestFit="1" customWidth="1"/>
    <col min="1569" max="1569" width="1.7109375" style="998" customWidth="1"/>
    <col min="1570" max="1570" width="10.140625" style="998" bestFit="1" customWidth="1"/>
    <col min="1571" max="1571" width="1.7109375" style="998" customWidth="1"/>
    <col min="1572" max="1572" width="10.140625" style="998" bestFit="1" customWidth="1"/>
    <col min="1573" max="1573" width="9.140625" style="998"/>
    <col min="1574" max="1574" width="11" style="998" bestFit="1" customWidth="1"/>
    <col min="1575" max="1575" width="1.7109375" style="998" customWidth="1"/>
    <col min="1576" max="1576" width="13" style="998" bestFit="1" customWidth="1"/>
    <col min="1577" max="1577" width="1.7109375" style="998" customWidth="1"/>
    <col min="1578" max="1578" width="12.140625" style="998" bestFit="1" customWidth="1"/>
    <col min="1579" max="1799" width="9.140625" style="998"/>
    <col min="1800" max="1801" width="4.7109375" style="998" customWidth="1"/>
    <col min="1802" max="1803" width="12.7109375" style="998" customWidth="1"/>
    <col min="1804" max="1804" width="10.140625" style="998" customWidth="1"/>
    <col min="1805" max="1805" width="1.85546875" style="998" customWidth="1"/>
    <col min="1806" max="1806" width="15.5703125" style="998" customWidth="1"/>
    <col min="1807" max="1807" width="2.7109375" style="998" customWidth="1"/>
    <col min="1808" max="1808" width="14.85546875" style="998" customWidth="1"/>
    <col min="1809" max="1809" width="2.7109375" style="998" customWidth="1"/>
    <col min="1810" max="1810" width="13.7109375" style="998" bestFit="1" customWidth="1"/>
    <col min="1811" max="1811" width="2.7109375" style="998" customWidth="1"/>
    <col min="1812" max="1812" width="13.42578125" style="998" customWidth="1"/>
    <col min="1813" max="1813" width="2.7109375" style="998" customWidth="1"/>
    <col min="1814" max="1814" width="13.7109375" style="998" customWidth="1"/>
    <col min="1815" max="1815" width="9.140625" style="998"/>
    <col min="1816" max="1816" width="13" style="998" bestFit="1" customWidth="1"/>
    <col min="1817" max="1817" width="9.140625" style="998"/>
    <col min="1818" max="1818" width="13" style="998" bestFit="1" customWidth="1"/>
    <col min="1819" max="1819" width="9.140625" style="998"/>
    <col min="1820" max="1820" width="12.140625" style="998" bestFit="1" customWidth="1"/>
    <col min="1821" max="1821" width="9.140625" style="998"/>
    <col min="1822" max="1822" width="9" style="998" customWidth="1"/>
    <col min="1823" max="1823" width="0" style="998" hidden="1" customWidth="1"/>
    <col min="1824" max="1824" width="10.140625" style="998" bestFit="1" customWidth="1"/>
    <col min="1825" max="1825" width="1.7109375" style="998" customWidth="1"/>
    <col min="1826" max="1826" width="10.140625" style="998" bestFit="1" customWidth="1"/>
    <col min="1827" max="1827" width="1.7109375" style="998" customWidth="1"/>
    <col min="1828" max="1828" width="10.140625" style="998" bestFit="1" customWidth="1"/>
    <col min="1829" max="1829" width="9.140625" style="998"/>
    <col min="1830" max="1830" width="11" style="998" bestFit="1" customWidth="1"/>
    <col min="1831" max="1831" width="1.7109375" style="998" customWidth="1"/>
    <col min="1832" max="1832" width="13" style="998" bestFit="1" customWidth="1"/>
    <col min="1833" max="1833" width="1.7109375" style="998" customWidth="1"/>
    <col min="1834" max="1834" width="12.140625" style="998" bestFit="1" customWidth="1"/>
    <col min="1835" max="2055" width="9.140625" style="998"/>
    <col min="2056" max="2057" width="4.7109375" style="998" customWidth="1"/>
    <col min="2058" max="2059" width="12.7109375" style="998" customWidth="1"/>
    <col min="2060" max="2060" width="10.140625" style="998" customWidth="1"/>
    <col min="2061" max="2061" width="1.85546875" style="998" customWidth="1"/>
    <col min="2062" max="2062" width="15.5703125" style="998" customWidth="1"/>
    <col min="2063" max="2063" width="2.7109375" style="998" customWidth="1"/>
    <col min="2064" max="2064" width="14.85546875" style="998" customWidth="1"/>
    <col min="2065" max="2065" width="2.7109375" style="998" customWidth="1"/>
    <col min="2066" max="2066" width="13.7109375" style="998" bestFit="1" customWidth="1"/>
    <col min="2067" max="2067" width="2.7109375" style="998" customWidth="1"/>
    <col min="2068" max="2068" width="13.42578125" style="998" customWidth="1"/>
    <col min="2069" max="2069" width="2.7109375" style="998" customWidth="1"/>
    <col min="2070" max="2070" width="13.7109375" style="998" customWidth="1"/>
    <col min="2071" max="2071" width="9.140625" style="998"/>
    <col min="2072" max="2072" width="13" style="998" bestFit="1" customWidth="1"/>
    <col min="2073" max="2073" width="9.140625" style="998"/>
    <col min="2074" max="2074" width="13" style="998" bestFit="1" customWidth="1"/>
    <col min="2075" max="2075" width="9.140625" style="998"/>
    <col min="2076" max="2076" width="12.140625" style="998" bestFit="1" customWidth="1"/>
    <col min="2077" max="2077" width="9.140625" style="998"/>
    <col min="2078" max="2078" width="9" style="998" customWidth="1"/>
    <col min="2079" max="2079" width="0" style="998" hidden="1" customWidth="1"/>
    <col min="2080" max="2080" width="10.140625" style="998" bestFit="1" customWidth="1"/>
    <col min="2081" max="2081" width="1.7109375" style="998" customWidth="1"/>
    <col min="2082" max="2082" width="10.140625" style="998" bestFit="1" customWidth="1"/>
    <col min="2083" max="2083" width="1.7109375" style="998" customWidth="1"/>
    <col min="2084" max="2084" width="10.140625" style="998" bestFit="1" customWidth="1"/>
    <col min="2085" max="2085" width="9.140625" style="998"/>
    <col min="2086" max="2086" width="11" style="998" bestFit="1" customWidth="1"/>
    <col min="2087" max="2087" width="1.7109375" style="998" customWidth="1"/>
    <col min="2088" max="2088" width="13" style="998" bestFit="1" customWidth="1"/>
    <col min="2089" max="2089" width="1.7109375" style="998" customWidth="1"/>
    <col min="2090" max="2090" width="12.140625" style="998" bestFit="1" customWidth="1"/>
    <col min="2091" max="2311" width="9.140625" style="998"/>
    <col min="2312" max="2313" width="4.7109375" style="998" customWidth="1"/>
    <col min="2314" max="2315" width="12.7109375" style="998" customWidth="1"/>
    <col min="2316" max="2316" width="10.140625" style="998" customWidth="1"/>
    <col min="2317" max="2317" width="1.85546875" style="998" customWidth="1"/>
    <col min="2318" max="2318" width="15.5703125" style="998" customWidth="1"/>
    <col min="2319" max="2319" width="2.7109375" style="998" customWidth="1"/>
    <col min="2320" max="2320" width="14.85546875" style="998" customWidth="1"/>
    <col min="2321" max="2321" width="2.7109375" style="998" customWidth="1"/>
    <col min="2322" max="2322" width="13.7109375" style="998" bestFit="1" customWidth="1"/>
    <col min="2323" max="2323" width="2.7109375" style="998" customWidth="1"/>
    <col min="2324" max="2324" width="13.42578125" style="998" customWidth="1"/>
    <col min="2325" max="2325" width="2.7109375" style="998" customWidth="1"/>
    <col min="2326" max="2326" width="13.7109375" style="998" customWidth="1"/>
    <col min="2327" max="2327" width="9.140625" style="998"/>
    <col min="2328" max="2328" width="13" style="998" bestFit="1" customWidth="1"/>
    <col min="2329" max="2329" width="9.140625" style="998"/>
    <col min="2330" max="2330" width="13" style="998" bestFit="1" customWidth="1"/>
    <col min="2331" max="2331" width="9.140625" style="998"/>
    <col min="2332" max="2332" width="12.140625" style="998" bestFit="1" customWidth="1"/>
    <col min="2333" max="2333" width="9.140625" style="998"/>
    <col min="2334" max="2334" width="9" style="998" customWidth="1"/>
    <col min="2335" max="2335" width="0" style="998" hidden="1" customWidth="1"/>
    <col min="2336" max="2336" width="10.140625" style="998" bestFit="1" customWidth="1"/>
    <col min="2337" max="2337" width="1.7109375" style="998" customWidth="1"/>
    <col min="2338" max="2338" width="10.140625" style="998" bestFit="1" customWidth="1"/>
    <col min="2339" max="2339" width="1.7109375" style="998" customWidth="1"/>
    <col min="2340" max="2340" width="10.140625" style="998" bestFit="1" customWidth="1"/>
    <col min="2341" max="2341" width="9.140625" style="998"/>
    <col min="2342" max="2342" width="11" style="998" bestFit="1" customWidth="1"/>
    <col min="2343" max="2343" width="1.7109375" style="998" customWidth="1"/>
    <col min="2344" max="2344" width="13" style="998" bestFit="1" customWidth="1"/>
    <col min="2345" max="2345" width="1.7109375" style="998" customWidth="1"/>
    <col min="2346" max="2346" width="12.140625" style="998" bestFit="1" customWidth="1"/>
    <col min="2347" max="2567" width="9.140625" style="998"/>
    <col min="2568" max="2569" width="4.7109375" style="998" customWidth="1"/>
    <col min="2570" max="2571" width="12.7109375" style="998" customWidth="1"/>
    <col min="2572" max="2572" width="10.140625" style="998" customWidth="1"/>
    <col min="2573" max="2573" width="1.85546875" style="998" customWidth="1"/>
    <col min="2574" max="2574" width="15.5703125" style="998" customWidth="1"/>
    <col min="2575" max="2575" width="2.7109375" style="998" customWidth="1"/>
    <col min="2576" max="2576" width="14.85546875" style="998" customWidth="1"/>
    <col min="2577" max="2577" width="2.7109375" style="998" customWidth="1"/>
    <col min="2578" max="2578" width="13.7109375" style="998" bestFit="1" customWidth="1"/>
    <col min="2579" max="2579" width="2.7109375" style="998" customWidth="1"/>
    <col min="2580" max="2580" width="13.42578125" style="998" customWidth="1"/>
    <col min="2581" max="2581" width="2.7109375" style="998" customWidth="1"/>
    <col min="2582" max="2582" width="13.7109375" style="998" customWidth="1"/>
    <col min="2583" max="2583" width="9.140625" style="998"/>
    <col min="2584" max="2584" width="13" style="998" bestFit="1" customWidth="1"/>
    <col min="2585" max="2585" width="9.140625" style="998"/>
    <col min="2586" max="2586" width="13" style="998" bestFit="1" customWidth="1"/>
    <col min="2587" max="2587" width="9.140625" style="998"/>
    <col min="2588" max="2588" width="12.140625" style="998" bestFit="1" customWidth="1"/>
    <col min="2589" max="2589" width="9.140625" style="998"/>
    <col min="2590" max="2590" width="9" style="998" customWidth="1"/>
    <col min="2591" max="2591" width="0" style="998" hidden="1" customWidth="1"/>
    <col min="2592" max="2592" width="10.140625" style="998" bestFit="1" customWidth="1"/>
    <col min="2593" max="2593" width="1.7109375" style="998" customWidth="1"/>
    <col min="2594" max="2594" width="10.140625" style="998" bestFit="1" customWidth="1"/>
    <col min="2595" max="2595" width="1.7109375" style="998" customWidth="1"/>
    <col min="2596" max="2596" width="10.140625" style="998" bestFit="1" customWidth="1"/>
    <col min="2597" max="2597" width="9.140625" style="998"/>
    <col min="2598" max="2598" width="11" style="998" bestFit="1" customWidth="1"/>
    <col min="2599" max="2599" width="1.7109375" style="998" customWidth="1"/>
    <col min="2600" max="2600" width="13" style="998" bestFit="1" customWidth="1"/>
    <col min="2601" max="2601" width="1.7109375" style="998" customWidth="1"/>
    <col min="2602" max="2602" width="12.140625" style="998" bestFit="1" customWidth="1"/>
    <col min="2603" max="2823" width="9.140625" style="998"/>
    <col min="2824" max="2825" width="4.7109375" style="998" customWidth="1"/>
    <col min="2826" max="2827" width="12.7109375" style="998" customWidth="1"/>
    <col min="2828" max="2828" width="10.140625" style="998" customWidth="1"/>
    <col min="2829" max="2829" width="1.85546875" style="998" customWidth="1"/>
    <col min="2830" max="2830" width="15.5703125" style="998" customWidth="1"/>
    <col min="2831" max="2831" width="2.7109375" style="998" customWidth="1"/>
    <col min="2832" max="2832" width="14.85546875" style="998" customWidth="1"/>
    <col min="2833" max="2833" width="2.7109375" style="998" customWidth="1"/>
    <col min="2834" max="2834" width="13.7109375" style="998" bestFit="1" customWidth="1"/>
    <col min="2835" max="2835" width="2.7109375" style="998" customWidth="1"/>
    <col min="2836" max="2836" width="13.42578125" style="998" customWidth="1"/>
    <col min="2837" max="2837" width="2.7109375" style="998" customWidth="1"/>
    <col min="2838" max="2838" width="13.7109375" style="998" customWidth="1"/>
    <col min="2839" max="2839" width="9.140625" style="998"/>
    <col min="2840" max="2840" width="13" style="998" bestFit="1" customWidth="1"/>
    <col min="2841" max="2841" width="9.140625" style="998"/>
    <col min="2842" max="2842" width="13" style="998" bestFit="1" customWidth="1"/>
    <col min="2843" max="2843" width="9.140625" style="998"/>
    <col min="2844" max="2844" width="12.140625" style="998" bestFit="1" customWidth="1"/>
    <col min="2845" max="2845" width="9.140625" style="998"/>
    <col min="2846" max="2846" width="9" style="998" customWidth="1"/>
    <col min="2847" max="2847" width="0" style="998" hidden="1" customWidth="1"/>
    <col min="2848" max="2848" width="10.140625" style="998" bestFit="1" customWidth="1"/>
    <col min="2849" max="2849" width="1.7109375" style="998" customWidth="1"/>
    <col min="2850" max="2850" width="10.140625" style="998" bestFit="1" customWidth="1"/>
    <col min="2851" max="2851" width="1.7109375" style="998" customWidth="1"/>
    <col min="2852" max="2852" width="10.140625" style="998" bestFit="1" customWidth="1"/>
    <col min="2853" max="2853" width="9.140625" style="998"/>
    <col min="2854" max="2854" width="11" style="998" bestFit="1" customWidth="1"/>
    <col min="2855" max="2855" width="1.7109375" style="998" customWidth="1"/>
    <col min="2856" max="2856" width="13" style="998" bestFit="1" customWidth="1"/>
    <col min="2857" max="2857" width="1.7109375" style="998" customWidth="1"/>
    <col min="2858" max="2858" width="12.140625" style="998" bestFit="1" customWidth="1"/>
    <col min="2859" max="3079" width="9.140625" style="998"/>
    <col min="3080" max="3081" width="4.7109375" style="998" customWidth="1"/>
    <col min="3082" max="3083" width="12.7109375" style="998" customWidth="1"/>
    <col min="3084" max="3084" width="10.140625" style="998" customWidth="1"/>
    <col min="3085" max="3085" width="1.85546875" style="998" customWidth="1"/>
    <col min="3086" max="3086" width="15.5703125" style="998" customWidth="1"/>
    <col min="3087" max="3087" width="2.7109375" style="998" customWidth="1"/>
    <col min="3088" max="3088" width="14.85546875" style="998" customWidth="1"/>
    <col min="3089" max="3089" width="2.7109375" style="998" customWidth="1"/>
    <col min="3090" max="3090" width="13.7109375" style="998" bestFit="1" customWidth="1"/>
    <col min="3091" max="3091" width="2.7109375" style="998" customWidth="1"/>
    <col min="3092" max="3092" width="13.42578125" style="998" customWidth="1"/>
    <col min="3093" max="3093" width="2.7109375" style="998" customWidth="1"/>
    <col min="3094" max="3094" width="13.7109375" style="998" customWidth="1"/>
    <col min="3095" max="3095" width="9.140625" style="998"/>
    <col min="3096" max="3096" width="13" style="998" bestFit="1" customWidth="1"/>
    <col min="3097" max="3097" width="9.140625" style="998"/>
    <col min="3098" max="3098" width="13" style="998" bestFit="1" customWidth="1"/>
    <col min="3099" max="3099" width="9.140625" style="998"/>
    <col min="3100" max="3100" width="12.140625" style="998" bestFit="1" customWidth="1"/>
    <col min="3101" max="3101" width="9.140625" style="998"/>
    <col min="3102" max="3102" width="9" style="998" customWidth="1"/>
    <col min="3103" max="3103" width="0" style="998" hidden="1" customWidth="1"/>
    <col min="3104" max="3104" width="10.140625" style="998" bestFit="1" customWidth="1"/>
    <col min="3105" max="3105" width="1.7109375" style="998" customWidth="1"/>
    <col min="3106" max="3106" width="10.140625" style="998" bestFit="1" customWidth="1"/>
    <col min="3107" max="3107" width="1.7109375" style="998" customWidth="1"/>
    <col min="3108" max="3108" width="10.140625" style="998" bestFit="1" customWidth="1"/>
    <col min="3109" max="3109" width="9.140625" style="998"/>
    <col min="3110" max="3110" width="11" style="998" bestFit="1" customWidth="1"/>
    <col min="3111" max="3111" width="1.7109375" style="998" customWidth="1"/>
    <col min="3112" max="3112" width="13" style="998" bestFit="1" customWidth="1"/>
    <col min="3113" max="3113" width="1.7109375" style="998" customWidth="1"/>
    <col min="3114" max="3114" width="12.140625" style="998" bestFit="1" customWidth="1"/>
    <col min="3115" max="3335" width="9.140625" style="998"/>
    <col min="3336" max="3337" width="4.7109375" style="998" customWidth="1"/>
    <col min="3338" max="3339" width="12.7109375" style="998" customWidth="1"/>
    <col min="3340" max="3340" width="10.140625" style="998" customWidth="1"/>
    <col min="3341" max="3341" width="1.85546875" style="998" customWidth="1"/>
    <col min="3342" max="3342" width="15.5703125" style="998" customWidth="1"/>
    <col min="3343" max="3343" width="2.7109375" style="998" customWidth="1"/>
    <col min="3344" max="3344" width="14.85546875" style="998" customWidth="1"/>
    <col min="3345" max="3345" width="2.7109375" style="998" customWidth="1"/>
    <col min="3346" max="3346" width="13.7109375" style="998" bestFit="1" customWidth="1"/>
    <col min="3347" max="3347" width="2.7109375" style="998" customWidth="1"/>
    <col min="3348" max="3348" width="13.42578125" style="998" customWidth="1"/>
    <col min="3349" max="3349" width="2.7109375" style="998" customWidth="1"/>
    <col min="3350" max="3350" width="13.7109375" style="998" customWidth="1"/>
    <col min="3351" max="3351" width="9.140625" style="998"/>
    <col min="3352" max="3352" width="13" style="998" bestFit="1" customWidth="1"/>
    <col min="3353" max="3353" width="9.140625" style="998"/>
    <col min="3354" max="3354" width="13" style="998" bestFit="1" customWidth="1"/>
    <col min="3355" max="3355" width="9.140625" style="998"/>
    <col min="3356" max="3356" width="12.140625" style="998" bestFit="1" customWidth="1"/>
    <col min="3357" max="3357" width="9.140625" style="998"/>
    <col min="3358" max="3358" width="9" style="998" customWidth="1"/>
    <col min="3359" max="3359" width="0" style="998" hidden="1" customWidth="1"/>
    <col min="3360" max="3360" width="10.140625" style="998" bestFit="1" customWidth="1"/>
    <col min="3361" max="3361" width="1.7109375" style="998" customWidth="1"/>
    <col min="3362" max="3362" width="10.140625" style="998" bestFit="1" customWidth="1"/>
    <col min="3363" max="3363" width="1.7109375" style="998" customWidth="1"/>
    <col min="3364" max="3364" width="10.140625" style="998" bestFit="1" customWidth="1"/>
    <col min="3365" max="3365" width="9.140625" style="998"/>
    <col min="3366" max="3366" width="11" style="998" bestFit="1" customWidth="1"/>
    <col min="3367" max="3367" width="1.7109375" style="998" customWidth="1"/>
    <col min="3368" max="3368" width="13" style="998" bestFit="1" customWidth="1"/>
    <col min="3369" max="3369" width="1.7109375" style="998" customWidth="1"/>
    <col min="3370" max="3370" width="12.140625" style="998" bestFit="1" customWidth="1"/>
    <col min="3371" max="3591" width="9.140625" style="998"/>
    <col min="3592" max="3593" width="4.7109375" style="998" customWidth="1"/>
    <col min="3594" max="3595" width="12.7109375" style="998" customWidth="1"/>
    <col min="3596" max="3596" width="10.140625" style="998" customWidth="1"/>
    <col min="3597" max="3597" width="1.85546875" style="998" customWidth="1"/>
    <col min="3598" max="3598" width="15.5703125" style="998" customWidth="1"/>
    <col min="3599" max="3599" width="2.7109375" style="998" customWidth="1"/>
    <col min="3600" max="3600" width="14.85546875" style="998" customWidth="1"/>
    <col min="3601" max="3601" width="2.7109375" style="998" customWidth="1"/>
    <col min="3602" max="3602" width="13.7109375" style="998" bestFit="1" customWidth="1"/>
    <col min="3603" max="3603" width="2.7109375" style="998" customWidth="1"/>
    <col min="3604" max="3604" width="13.42578125" style="998" customWidth="1"/>
    <col min="3605" max="3605" width="2.7109375" style="998" customWidth="1"/>
    <col min="3606" max="3606" width="13.7109375" style="998" customWidth="1"/>
    <col min="3607" max="3607" width="9.140625" style="998"/>
    <col min="3608" max="3608" width="13" style="998" bestFit="1" customWidth="1"/>
    <col min="3609" max="3609" width="9.140625" style="998"/>
    <col min="3610" max="3610" width="13" style="998" bestFit="1" customWidth="1"/>
    <col min="3611" max="3611" width="9.140625" style="998"/>
    <col min="3612" max="3612" width="12.140625" style="998" bestFit="1" customWidth="1"/>
    <col min="3613" max="3613" width="9.140625" style="998"/>
    <col min="3614" max="3614" width="9" style="998" customWidth="1"/>
    <col min="3615" max="3615" width="0" style="998" hidden="1" customWidth="1"/>
    <col min="3616" max="3616" width="10.140625" style="998" bestFit="1" customWidth="1"/>
    <col min="3617" max="3617" width="1.7109375" style="998" customWidth="1"/>
    <col min="3618" max="3618" width="10.140625" style="998" bestFit="1" customWidth="1"/>
    <col min="3619" max="3619" width="1.7109375" style="998" customWidth="1"/>
    <col min="3620" max="3620" width="10.140625" style="998" bestFit="1" customWidth="1"/>
    <col min="3621" max="3621" width="9.140625" style="998"/>
    <col min="3622" max="3622" width="11" style="998" bestFit="1" customWidth="1"/>
    <col min="3623" max="3623" width="1.7109375" style="998" customWidth="1"/>
    <col min="3624" max="3624" width="13" style="998" bestFit="1" customWidth="1"/>
    <col min="3625" max="3625" width="1.7109375" style="998" customWidth="1"/>
    <col min="3626" max="3626" width="12.140625" style="998" bestFit="1" customWidth="1"/>
    <col min="3627" max="3847" width="9.140625" style="998"/>
    <col min="3848" max="3849" width="4.7109375" style="998" customWidth="1"/>
    <col min="3850" max="3851" width="12.7109375" style="998" customWidth="1"/>
    <col min="3852" max="3852" width="10.140625" style="998" customWidth="1"/>
    <col min="3853" max="3853" width="1.85546875" style="998" customWidth="1"/>
    <col min="3854" max="3854" width="15.5703125" style="998" customWidth="1"/>
    <col min="3855" max="3855" width="2.7109375" style="998" customWidth="1"/>
    <col min="3856" max="3856" width="14.85546875" style="998" customWidth="1"/>
    <col min="3857" max="3857" width="2.7109375" style="998" customWidth="1"/>
    <col min="3858" max="3858" width="13.7109375" style="998" bestFit="1" customWidth="1"/>
    <col min="3859" max="3859" width="2.7109375" style="998" customWidth="1"/>
    <col min="3860" max="3860" width="13.42578125" style="998" customWidth="1"/>
    <col min="3861" max="3861" width="2.7109375" style="998" customWidth="1"/>
    <col min="3862" max="3862" width="13.7109375" style="998" customWidth="1"/>
    <col min="3863" max="3863" width="9.140625" style="998"/>
    <col min="3864" max="3864" width="13" style="998" bestFit="1" customWidth="1"/>
    <col min="3865" max="3865" width="9.140625" style="998"/>
    <col min="3866" max="3866" width="13" style="998" bestFit="1" customWidth="1"/>
    <col min="3867" max="3867" width="9.140625" style="998"/>
    <col min="3868" max="3868" width="12.140625" style="998" bestFit="1" customWidth="1"/>
    <col min="3869" max="3869" width="9.140625" style="998"/>
    <col min="3870" max="3870" width="9" style="998" customWidth="1"/>
    <col min="3871" max="3871" width="0" style="998" hidden="1" customWidth="1"/>
    <col min="3872" max="3872" width="10.140625" style="998" bestFit="1" customWidth="1"/>
    <col min="3873" max="3873" width="1.7109375" style="998" customWidth="1"/>
    <col min="3874" max="3874" width="10.140625" style="998" bestFit="1" customWidth="1"/>
    <col min="3875" max="3875" width="1.7109375" style="998" customWidth="1"/>
    <col min="3876" max="3876" width="10.140625" style="998" bestFit="1" customWidth="1"/>
    <col min="3877" max="3877" width="9.140625" style="998"/>
    <col min="3878" max="3878" width="11" style="998" bestFit="1" customWidth="1"/>
    <col min="3879" max="3879" width="1.7109375" style="998" customWidth="1"/>
    <col min="3880" max="3880" width="13" style="998" bestFit="1" customWidth="1"/>
    <col min="3881" max="3881" width="1.7109375" style="998" customWidth="1"/>
    <col min="3882" max="3882" width="12.140625" style="998" bestFit="1" customWidth="1"/>
    <col min="3883" max="4103" width="9.140625" style="998"/>
    <col min="4104" max="4105" width="4.7109375" style="998" customWidth="1"/>
    <col min="4106" max="4107" width="12.7109375" style="998" customWidth="1"/>
    <col min="4108" max="4108" width="10.140625" style="998" customWidth="1"/>
    <col min="4109" max="4109" width="1.85546875" style="998" customWidth="1"/>
    <col min="4110" max="4110" width="15.5703125" style="998" customWidth="1"/>
    <col min="4111" max="4111" width="2.7109375" style="998" customWidth="1"/>
    <col min="4112" max="4112" width="14.85546875" style="998" customWidth="1"/>
    <col min="4113" max="4113" width="2.7109375" style="998" customWidth="1"/>
    <col min="4114" max="4114" width="13.7109375" style="998" bestFit="1" customWidth="1"/>
    <col min="4115" max="4115" width="2.7109375" style="998" customWidth="1"/>
    <col min="4116" max="4116" width="13.42578125" style="998" customWidth="1"/>
    <col min="4117" max="4117" width="2.7109375" style="998" customWidth="1"/>
    <col min="4118" max="4118" width="13.7109375" style="998" customWidth="1"/>
    <col min="4119" max="4119" width="9.140625" style="998"/>
    <col min="4120" max="4120" width="13" style="998" bestFit="1" customWidth="1"/>
    <col min="4121" max="4121" width="9.140625" style="998"/>
    <col min="4122" max="4122" width="13" style="998" bestFit="1" customWidth="1"/>
    <col min="4123" max="4123" width="9.140625" style="998"/>
    <col min="4124" max="4124" width="12.140625" style="998" bestFit="1" customWidth="1"/>
    <col min="4125" max="4125" width="9.140625" style="998"/>
    <col min="4126" max="4126" width="9" style="998" customWidth="1"/>
    <col min="4127" max="4127" width="0" style="998" hidden="1" customWidth="1"/>
    <col min="4128" max="4128" width="10.140625" style="998" bestFit="1" customWidth="1"/>
    <col min="4129" max="4129" width="1.7109375" style="998" customWidth="1"/>
    <col min="4130" max="4130" width="10.140625" style="998" bestFit="1" customWidth="1"/>
    <col min="4131" max="4131" width="1.7109375" style="998" customWidth="1"/>
    <col min="4132" max="4132" width="10.140625" style="998" bestFit="1" customWidth="1"/>
    <col min="4133" max="4133" width="9.140625" style="998"/>
    <col min="4134" max="4134" width="11" style="998" bestFit="1" customWidth="1"/>
    <col min="4135" max="4135" width="1.7109375" style="998" customWidth="1"/>
    <col min="4136" max="4136" width="13" style="998" bestFit="1" customWidth="1"/>
    <col min="4137" max="4137" width="1.7109375" style="998" customWidth="1"/>
    <col min="4138" max="4138" width="12.140625" style="998" bestFit="1" customWidth="1"/>
    <col min="4139" max="4359" width="9.140625" style="998"/>
    <col min="4360" max="4361" width="4.7109375" style="998" customWidth="1"/>
    <col min="4362" max="4363" width="12.7109375" style="998" customWidth="1"/>
    <col min="4364" max="4364" width="10.140625" style="998" customWidth="1"/>
    <col min="4365" max="4365" width="1.85546875" style="998" customWidth="1"/>
    <col min="4366" max="4366" width="15.5703125" style="998" customWidth="1"/>
    <col min="4367" max="4367" width="2.7109375" style="998" customWidth="1"/>
    <col min="4368" max="4368" width="14.85546875" style="998" customWidth="1"/>
    <col min="4369" max="4369" width="2.7109375" style="998" customWidth="1"/>
    <col min="4370" max="4370" width="13.7109375" style="998" bestFit="1" customWidth="1"/>
    <col min="4371" max="4371" width="2.7109375" style="998" customWidth="1"/>
    <col min="4372" max="4372" width="13.42578125" style="998" customWidth="1"/>
    <col min="4373" max="4373" width="2.7109375" style="998" customWidth="1"/>
    <col min="4374" max="4374" width="13.7109375" style="998" customWidth="1"/>
    <col min="4375" max="4375" width="9.140625" style="998"/>
    <col min="4376" max="4376" width="13" style="998" bestFit="1" customWidth="1"/>
    <col min="4377" max="4377" width="9.140625" style="998"/>
    <col min="4378" max="4378" width="13" style="998" bestFit="1" customWidth="1"/>
    <col min="4379" max="4379" width="9.140625" style="998"/>
    <col min="4380" max="4380" width="12.140625" style="998" bestFit="1" customWidth="1"/>
    <col min="4381" max="4381" width="9.140625" style="998"/>
    <col min="4382" max="4382" width="9" style="998" customWidth="1"/>
    <col min="4383" max="4383" width="0" style="998" hidden="1" customWidth="1"/>
    <col min="4384" max="4384" width="10.140625" style="998" bestFit="1" customWidth="1"/>
    <col min="4385" max="4385" width="1.7109375" style="998" customWidth="1"/>
    <col min="4386" max="4386" width="10.140625" style="998" bestFit="1" customWidth="1"/>
    <col min="4387" max="4387" width="1.7109375" style="998" customWidth="1"/>
    <col min="4388" max="4388" width="10.140625" style="998" bestFit="1" customWidth="1"/>
    <col min="4389" max="4389" width="9.140625" style="998"/>
    <col min="4390" max="4390" width="11" style="998" bestFit="1" customWidth="1"/>
    <col min="4391" max="4391" width="1.7109375" style="998" customWidth="1"/>
    <col min="4392" max="4392" width="13" style="998" bestFit="1" customWidth="1"/>
    <col min="4393" max="4393" width="1.7109375" style="998" customWidth="1"/>
    <col min="4394" max="4394" width="12.140625" style="998" bestFit="1" customWidth="1"/>
    <col min="4395" max="4615" width="9.140625" style="998"/>
    <col min="4616" max="4617" width="4.7109375" style="998" customWidth="1"/>
    <col min="4618" max="4619" width="12.7109375" style="998" customWidth="1"/>
    <col min="4620" max="4620" width="10.140625" style="998" customWidth="1"/>
    <col min="4621" max="4621" width="1.85546875" style="998" customWidth="1"/>
    <col min="4622" max="4622" width="15.5703125" style="998" customWidth="1"/>
    <col min="4623" max="4623" width="2.7109375" style="998" customWidth="1"/>
    <col min="4624" max="4624" width="14.85546875" style="998" customWidth="1"/>
    <col min="4625" max="4625" width="2.7109375" style="998" customWidth="1"/>
    <col min="4626" max="4626" width="13.7109375" style="998" bestFit="1" customWidth="1"/>
    <col min="4627" max="4627" width="2.7109375" style="998" customWidth="1"/>
    <col min="4628" max="4628" width="13.42578125" style="998" customWidth="1"/>
    <col min="4629" max="4629" width="2.7109375" style="998" customWidth="1"/>
    <col min="4630" max="4630" width="13.7109375" style="998" customWidth="1"/>
    <col min="4631" max="4631" width="9.140625" style="998"/>
    <col min="4632" max="4632" width="13" style="998" bestFit="1" customWidth="1"/>
    <col min="4633" max="4633" width="9.140625" style="998"/>
    <col min="4634" max="4634" width="13" style="998" bestFit="1" customWidth="1"/>
    <col min="4635" max="4635" width="9.140625" style="998"/>
    <col min="4636" max="4636" width="12.140625" style="998" bestFit="1" customWidth="1"/>
    <col min="4637" max="4637" width="9.140625" style="998"/>
    <col min="4638" max="4638" width="9" style="998" customWidth="1"/>
    <col min="4639" max="4639" width="0" style="998" hidden="1" customWidth="1"/>
    <col min="4640" max="4640" width="10.140625" style="998" bestFit="1" customWidth="1"/>
    <col min="4641" max="4641" width="1.7109375" style="998" customWidth="1"/>
    <col min="4642" max="4642" width="10.140625" style="998" bestFit="1" customWidth="1"/>
    <col min="4643" max="4643" width="1.7109375" style="998" customWidth="1"/>
    <col min="4644" max="4644" width="10.140625" style="998" bestFit="1" customWidth="1"/>
    <col min="4645" max="4645" width="9.140625" style="998"/>
    <col min="4646" max="4646" width="11" style="998" bestFit="1" customWidth="1"/>
    <col min="4647" max="4647" width="1.7109375" style="998" customWidth="1"/>
    <col min="4648" max="4648" width="13" style="998" bestFit="1" customWidth="1"/>
    <col min="4649" max="4649" width="1.7109375" style="998" customWidth="1"/>
    <col min="4650" max="4650" width="12.140625" style="998" bestFit="1" customWidth="1"/>
    <col min="4651" max="4871" width="9.140625" style="998"/>
    <col min="4872" max="4873" width="4.7109375" style="998" customWidth="1"/>
    <col min="4874" max="4875" width="12.7109375" style="998" customWidth="1"/>
    <col min="4876" max="4876" width="10.140625" style="998" customWidth="1"/>
    <col min="4877" max="4877" width="1.85546875" style="998" customWidth="1"/>
    <col min="4878" max="4878" width="15.5703125" style="998" customWidth="1"/>
    <col min="4879" max="4879" width="2.7109375" style="998" customWidth="1"/>
    <col min="4880" max="4880" width="14.85546875" style="998" customWidth="1"/>
    <col min="4881" max="4881" width="2.7109375" style="998" customWidth="1"/>
    <col min="4882" max="4882" width="13.7109375" style="998" bestFit="1" customWidth="1"/>
    <col min="4883" max="4883" width="2.7109375" style="998" customWidth="1"/>
    <col min="4884" max="4884" width="13.42578125" style="998" customWidth="1"/>
    <col min="4885" max="4885" width="2.7109375" style="998" customWidth="1"/>
    <col min="4886" max="4886" width="13.7109375" style="998" customWidth="1"/>
    <col min="4887" max="4887" width="9.140625" style="998"/>
    <col min="4888" max="4888" width="13" style="998" bestFit="1" customWidth="1"/>
    <col min="4889" max="4889" width="9.140625" style="998"/>
    <col min="4890" max="4890" width="13" style="998" bestFit="1" customWidth="1"/>
    <col min="4891" max="4891" width="9.140625" style="998"/>
    <col min="4892" max="4892" width="12.140625" style="998" bestFit="1" customWidth="1"/>
    <col min="4893" max="4893" width="9.140625" style="998"/>
    <col min="4894" max="4894" width="9" style="998" customWidth="1"/>
    <col min="4895" max="4895" width="0" style="998" hidden="1" customWidth="1"/>
    <col min="4896" max="4896" width="10.140625" style="998" bestFit="1" customWidth="1"/>
    <col min="4897" max="4897" width="1.7109375" style="998" customWidth="1"/>
    <col min="4898" max="4898" width="10.140625" style="998" bestFit="1" customWidth="1"/>
    <col min="4899" max="4899" width="1.7109375" style="998" customWidth="1"/>
    <col min="4900" max="4900" width="10.140625" style="998" bestFit="1" customWidth="1"/>
    <col min="4901" max="4901" width="9.140625" style="998"/>
    <col min="4902" max="4902" width="11" style="998" bestFit="1" customWidth="1"/>
    <col min="4903" max="4903" width="1.7109375" style="998" customWidth="1"/>
    <col min="4904" max="4904" width="13" style="998" bestFit="1" customWidth="1"/>
    <col min="4905" max="4905" width="1.7109375" style="998" customWidth="1"/>
    <col min="4906" max="4906" width="12.140625" style="998" bestFit="1" customWidth="1"/>
    <col min="4907" max="5127" width="9.140625" style="998"/>
    <col min="5128" max="5129" width="4.7109375" style="998" customWidth="1"/>
    <col min="5130" max="5131" width="12.7109375" style="998" customWidth="1"/>
    <col min="5132" max="5132" width="10.140625" style="998" customWidth="1"/>
    <col min="5133" max="5133" width="1.85546875" style="998" customWidth="1"/>
    <col min="5134" max="5134" width="15.5703125" style="998" customWidth="1"/>
    <col min="5135" max="5135" width="2.7109375" style="998" customWidth="1"/>
    <col min="5136" max="5136" width="14.85546875" style="998" customWidth="1"/>
    <col min="5137" max="5137" width="2.7109375" style="998" customWidth="1"/>
    <col min="5138" max="5138" width="13.7109375" style="998" bestFit="1" customWidth="1"/>
    <col min="5139" max="5139" width="2.7109375" style="998" customWidth="1"/>
    <col min="5140" max="5140" width="13.42578125" style="998" customWidth="1"/>
    <col min="5141" max="5141" width="2.7109375" style="998" customWidth="1"/>
    <col min="5142" max="5142" width="13.7109375" style="998" customWidth="1"/>
    <col min="5143" max="5143" width="9.140625" style="998"/>
    <col min="5144" max="5144" width="13" style="998" bestFit="1" customWidth="1"/>
    <col min="5145" max="5145" width="9.140625" style="998"/>
    <col min="5146" max="5146" width="13" style="998" bestFit="1" customWidth="1"/>
    <col min="5147" max="5147" width="9.140625" style="998"/>
    <col min="5148" max="5148" width="12.140625" style="998" bestFit="1" customWidth="1"/>
    <col min="5149" max="5149" width="9.140625" style="998"/>
    <col min="5150" max="5150" width="9" style="998" customWidth="1"/>
    <col min="5151" max="5151" width="0" style="998" hidden="1" customWidth="1"/>
    <col min="5152" max="5152" width="10.140625" style="998" bestFit="1" customWidth="1"/>
    <col min="5153" max="5153" width="1.7109375" style="998" customWidth="1"/>
    <col min="5154" max="5154" width="10.140625" style="998" bestFit="1" customWidth="1"/>
    <col min="5155" max="5155" width="1.7109375" style="998" customWidth="1"/>
    <col min="5156" max="5156" width="10.140625" style="998" bestFit="1" customWidth="1"/>
    <col min="5157" max="5157" width="9.140625" style="998"/>
    <col min="5158" max="5158" width="11" style="998" bestFit="1" customWidth="1"/>
    <col min="5159" max="5159" width="1.7109375" style="998" customWidth="1"/>
    <col min="5160" max="5160" width="13" style="998" bestFit="1" customWidth="1"/>
    <col min="5161" max="5161" width="1.7109375" style="998" customWidth="1"/>
    <col min="5162" max="5162" width="12.140625" style="998" bestFit="1" customWidth="1"/>
    <col min="5163" max="5383" width="9.140625" style="998"/>
    <col min="5384" max="5385" width="4.7109375" style="998" customWidth="1"/>
    <col min="5386" max="5387" width="12.7109375" style="998" customWidth="1"/>
    <col min="5388" max="5388" width="10.140625" style="998" customWidth="1"/>
    <col min="5389" max="5389" width="1.85546875" style="998" customWidth="1"/>
    <col min="5390" max="5390" width="15.5703125" style="998" customWidth="1"/>
    <col min="5391" max="5391" width="2.7109375" style="998" customWidth="1"/>
    <col min="5392" max="5392" width="14.85546875" style="998" customWidth="1"/>
    <col min="5393" max="5393" width="2.7109375" style="998" customWidth="1"/>
    <col min="5394" max="5394" width="13.7109375" style="998" bestFit="1" customWidth="1"/>
    <col min="5395" max="5395" width="2.7109375" style="998" customWidth="1"/>
    <col min="5396" max="5396" width="13.42578125" style="998" customWidth="1"/>
    <col min="5397" max="5397" width="2.7109375" style="998" customWidth="1"/>
    <col min="5398" max="5398" width="13.7109375" style="998" customWidth="1"/>
    <col min="5399" max="5399" width="9.140625" style="998"/>
    <col min="5400" max="5400" width="13" style="998" bestFit="1" customWidth="1"/>
    <col min="5401" max="5401" width="9.140625" style="998"/>
    <col min="5402" max="5402" width="13" style="998" bestFit="1" customWidth="1"/>
    <col min="5403" max="5403" width="9.140625" style="998"/>
    <col min="5404" max="5404" width="12.140625" style="998" bestFit="1" customWidth="1"/>
    <col min="5405" max="5405" width="9.140625" style="998"/>
    <col min="5406" max="5406" width="9" style="998" customWidth="1"/>
    <col min="5407" max="5407" width="0" style="998" hidden="1" customWidth="1"/>
    <col min="5408" max="5408" width="10.140625" style="998" bestFit="1" customWidth="1"/>
    <col min="5409" max="5409" width="1.7109375" style="998" customWidth="1"/>
    <col min="5410" max="5410" width="10.140625" style="998" bestFit="1" customWidth="1"/>
    <col min="5411" max="5411" width="1.7109375" style="998" customWidth="1"/>
    <col min="5412" max="5412" width="10.140625" style="998" bestFit="1" customWidth="1"/>
    <col min="5413" max="5413" width="9.140625" style="998"/>
    <col min="5414" max="5414" width="11" style="998" bestFit="1" customWidth="1"/>
    <col min="5415" max="5415" width="1.7109375" style="998" customWidth="1"/>
    <col min="5416" max="5416" width="13" style="998" bestFit="1" customWidth="1"/>
    <col min="5417" max="5417" width="1.7109375" style="998" customWidth="1"/>
    <col min="5418" max="5418" width="12.140625" style="998" bestFit="1" customWidth="1"/>
    <col min="5419" max="5639" width="9.140625" style="998"/>
    <col min="5640" max="5641" width="4.7109375" style="998" customWidth="1"/>
    <col min="5642" max="5643" width="12.7109375" style="998" customWidth="1"/>
    <col min="5644" max="5644" width="10.140625" style="998" customWidth="1"/>
    <col min="5645" max="5645" width="1.85546875" style="998" customWidth="1"/>
    <col min="5646" max="5646" width="15.5703125" style="998" customWidth="1"/>
    <col min="5647" max="5647" width="2.7109375" style="998" customWidth="1"/>
    <col min="5648" max="5648" width="14.85546875" style="998" customWidth="1"/>
    <col min="5649" max="5649" width="2.7109375" style="998" customWidth="1"/>
    <col min="5650" max="5650" width="13.7109375" style="998" bestFit="1" customWidth="1"/>
    <col min="5651" max="5651" width="2.7109375" style="998" customWidth="1"/>
    <col min="5652" max="5652" width="13.42578125" style="998" customWidth="1"/>
    <col min="5653" max="5653" width="2.7109375" style="998" customWidth="1"/>
    <col min="5654" max="5654" width="13.7109375" style="998" customWidth="1"/>
    <col min="5655" max="5655" width="9.140625" style="998"/>
    <col min="5656" max="5656" width="13" style="998" bestFit="1" customWidth="1"/>
    <col min="5657" max="5657" width="9.140625" style="998"/>
    <col min="5658" max="5658" width="13" style="998" bestFit="1" customWidth="1"/>
    <col min="5659" max="5659" width="9.140625" style="998"/>
    <col min="5660" max="5660" width="12.140625" style="998" bestFit="1" customWidth="1"/>
    <col min="5661" max="5661" width="9.140625" style="998"/>
    <col min="5662" max="5662" width="9" style="998" customWidth="1"/>
    <col min="5663" max="5663" width="0" style="998" hidden="1" customWidth="1"/>
    <col min="5664" max="5664" width="10.140625" style="998" bestFit="1" customWidth="1"/>
    <col min="5665" max="5665" width="1.7109375" style="998" customWidth="1"/>
    <col min="5666" max="5666" width="10.140625" style="998" bestFit="1" customWidth="1"/>
    <col min="5667" max="5667" width="1.7109375" style="998" customWidth="1"/>
    <col min="5668" max="5668" width="10.140625" style="998" bestFit="1" customWidth="1"/>
    <col min="5669" max="5669" width="9.140625" style="998"/>
    <col min="5670" max="5670" width="11" style="998" bestFit="1" customWidth="1"/>
    <col min="5671" max="5671" width="1.7109375" style="998" customWidth="1"/>
    <col min="5672" max="5672" width="13" style="998" bestFit="1" customWidth="1"/>
    <col min="5673" max="5673" width="1.7109375" style="998" customWidth="1"/>
    <col min="5674" max="5674" width="12.140625" style="998" bestFit="1" customWidth="1"/>
    <col min="5675" max="5895" width="9.140625" style="998"/>
    <col min="5896" max="5897" width="4.7109375" style="998" customWidth="1"/>
    <col min="5898" max="5899" width="12.7109375" style="998" customWidth="1"/>
    <col min="5900" max="5900" width="10.140625" style="998" customWidth="1"/>
    <col min="5901" max="5901" width="1.85546875" style="998" customWidth="1"/>
    <col min="5902" max="5902" width="15.5703125" style="998" customWidth="1"/>
    <col min="5903" max="5903" width="2.7109375" style="998" customWidth="1"/>
    <col min="5904" max="5904" width="14.85546875" style="998" customWidth="1"/>
    <col min="5905" max="5905" width="2.7109375" style="998" customWidth="1"/>
    <col min="5906" max="5906" width="13.7109375" style="998" bestFit="1" customWidth="1"/>
    <col min="5907" max="5907" width="2.7109375" style="998" customWidth="1"/>
    <col min="5908" max="5908" width="13.42578125" style="998" customWidth="1"/>
    <col min="5909" max="5909" width="2.7109375" style="998" customWidth="1"/>
    <col min="5910" max="5910" width="13.7109375" style="998" customWidth="1"/>
    <col min="5911" max="5911" width="9.140625" style="998"/>
    <col min="5912" max="5912" width="13" style="998" bestFit="1" customWidth="1"/>
    <col min="5913" max="5913" width="9.140625" style="998"/>
    <col min="5914" max="5914" width="13" style="998" bestFit="1" customWidth="1"/>
    <col min="5915" max="5915" width="9.140625" style="998"/>
    <col min="5916" max="5916" width="12.140625" style="998" bestFit="1" customWidth="1"/>
    <col min="5917" max="5917" width="9.140625" style="998"/>
    <col min="5918" max="5918" width="9" style="998" customWidth="1"/>
    <col min="5919" max="5919" width="0" style="998" hidden="1" customWidth="1"/>
    <col min="5920" max="5920" width="10.140625" style="998" bestFit="1" customWidth="1"/>
    <col min="5921" max="5921" width="1.7109375" style="998" customWidth="1"/>
    <col min="5922" max="5922" width="10.140625" style="998" bestFit="1" customWidth="1"/>
    <col min="5923" max="5923" width="1.7109375" style="998" customWidth="1"/>
    <col min="5924" max="5924" width="10.140625" style="998" bestFit="1" customWidth="1"/>
    <col min="5925" max="5925" width="9.140625" style="998"/>
    <col min="5926" max="5926" width="11" style="998" bestFit="1" customWidth="1"/>
    <col min="5927" max="5927" width="1.7109375" style="998" customWidth="1"/>
    <col min="5928" max="5928" width="13" style="998" bestFit="1" customWidth="1"/>
    <col min="5929" max="5929" width="1.7109375" style="998" customWidth="1"/>
    <col min="5930" max="5930" width="12.140625" style="998" bestFit="1" customWidth="1"/>
    <col min="5931" max="6151" width="9.140625" style="998"/>
    <col min="6152" max="6153" width="4.7109375" style="998" customWidth="1"/>
    <col min="6154" max="6155" width="12.7109375" style="998" customWidth="1"/>
    <col min="6156" max="6156" width="10.140625" style="998" customWidth="1"/>
    <col min="6157" max="6157" width="1.85546875" style="998" customWidth="1"/>
    <col min="6158" max="6158" width="15.5703125" style="998" customWidth="1"/>
    <col min="6159" max="6159" width="2.7109375" style="998" customWidth="1"/>
    <col min="6160" max="6160" width="14.85546875" style="998" customWidth="1"/>
    <col min="6161" max="6161" width="2.7109375" style="998" customWidth="1"/>
    <col min="6162" max="6162" width="13.7109375" style="998" bestFit="1" customWidth="1"/>
    <col min="6163" max="6163" width="2.7109375" style="998" customWidth="1"/>
    <col min="6164" max="6164" width="13.42578125" style="998" customWidth="1"/>
    <col min="6165" max="6165" width="2.7109375" style="998" customWidth="1"/>
    <col min="6166" max="6166" width="13.7109375" style="998" customWidth="1"/>
    <col min="6167" max="6167" width="9.140625" style="998"/>
    <col min="6168" max="6168" width="13" style="998" bestFit="1" customWidth="1"/>
    <col min="6169" max="6169" width="9.140625" style="998"/>
    <col min="6170" max="6170" width="13" style="998" bestFit="1" customWidth="1"/>
    <col min="6171" max="6171" width="9.140625" style="998"/>
    <col min="6172" max="6172" width="12.140625" style="998" bestFit="1" customWidth="1"/>
    <col min="6173" max="6173" width="9.140625" style="998"/>
    <col min="6174" max="6174" width="9" style="998" customWidth="1"/>
    <col min="6175" max="6175" width="0" style="998" hidden="1" customWidth="1"/>
    <col min="6176" max="6176" width="10.140625" style="998" bestFit="1" customWidth="1"/>
    <col min="6177" max="6177" width="1.7109375" style="998" customWidth="1"/>
    <col min="6178" max="6178" width="10.140625" style="998" bestFit="1" customWidth="1"/>
    <col min="6179" max="6179" width="1.7109375" style="998" customWidth="1"/>
    <col min="6180" max="6180" width="10.140625" style="998" bestFit="1" customWidth="1"/>
    <col min="6181" max="6181" width="9.140625" style="998"/>
    <col min="6182" max="6182" width="11" style="998" bestFit="1" customWidth="1"/>
    <col min="6183" max="6183" width="1.7109375" style="998" customWidth="1"/>
    <col min="6184" max="6184" width="13" style="998" bestFit="1" customWidth="1"/>
    <col min="6185" max="6185" width="1.7109375" style="998" customWidth="1"/>
    <col min="6186" max="6186" width="12.140625" style="998" bestFit="1" customWidth="1"/>
    <col min="6187" max="6407" width="9.140625" style="998"/>
    <col min="6408" max="6409" width="4.7109375" style="998" customWidth="1"/>
    <col min="6410" max="6411" width="12.7109375" style="998" customWidth="1"/>
    <col min="6412" max="6412" width="10.140625" style="998" customWidth="1"/>
    <col min="6413" max="6413" width="1.85546875" style="998" customWidth="1"/>
    <col min="6414" max="6414" width="15.5703125" style="998" customWidth="1"/>
    <col min="6415" max="6415" width="2.7109375" style="998" customWidth="1"/>
    <col min="6416" max="6416" width="14.85546875" style="998" customWidth="1"/>
    <col min="6417" max="6417" width="2.7109375" style="998" customWidth="1"/>
    <col min="6418" max="6418" width="13.7109375" style="998" bestFit="1" customWidth="1"/>
    <col min="6419" max="6419" width="2.7109375" style="998" customWidth="1"/>
    <col min="6420" max="6420" width="13.42578125" style="998" customWidth="1"/>
    <col min="6421" max="6421" width="2.7109375" style="998" customWidth="1"/>
    <col min="6422" max="6422" width="13.7109375" style="998" customWidth="1"/>
    <col min="6423" max="6423" width="9.140625" style="998"/>
    <col min="6424" max="6424" width="13" style="998" bestFit="1" customWidth="1"/>
    <col min="6425" max="6425" width="9.140625" style="998"/>
    <col min="6426" max="6426" width="13" style="998" bestFit="1" customWidth="1"/>
    <col min="6427" max="6427" width="9.140625" style="998"/>
    <col min="6428" max="6428" width="12.140625" style="998" bestFit="1" customWidth="1"/>
    <col min="6429" max="6429" width="9.140625" style="998"/>
    <col min="6430" max="6430" width="9" style="998" customWidth="1"/>
    <col min="6431" max="6431" width="0" style="998" hidden="1" customWidth="1"/>
    <col min="6432" max="6432" width="10.140625" style="998" bestFit="1" customWidth="1"/>
    <col min="6433" max="6433" width="1.7109375" style="998" customWidth="1"/>
    <col min="6434" max="6434" width="10.140625" style="998" bestFit="1" customWidth="1"/>
    <col min="6435" max="6435" width="1.7109375" style="998" customWidth="1"/>
    <col min="6436" max="6436" width="10.140625" style="998" bestFit="1" customWidth="1"/>
    <col min="6437" max="6437" width="9.140625" style="998"/>
    <col min="6438" max="6438" width="11" style="998" bestFit="1" customWidth="1"/>
    <col min="6439" max="6439" width="1.7109375" style="998" customWidth="1"/>
    <col min="6440" max="6440" width="13" style="998" bestFit="1" customWidth="1"/>
    <col min="6441" max="6441" width="1.7109375" style="998" customWidth="1"/>
    <col min="6442" max="6442" width="12.140625" style="998" bestFit="1" customWidth="1"/>
    <col min="6443" max="6663" width="9.140625" style="998"/>
    <col min="6664" max="6665" width="4.7109375" style="998" customWidth="1"/>
    <col min="6666" max="6667" width="12.7109375" style="998" customWidth="1"/>
    <col min="6668" max="6668" width="10.140625" style="998" customWidth="1"/>
    <col min="6669" max="6669" width="1.85546875" style="998" customWidth="1"/>
    <col min="6670" max="6670" width="15.5703125" style="998" customWidth="1"/>
    <col min="6671" max="6671" width="2.7109375" style="998" customWidth="1"/>
    <col min="6672" max="6672" width="14.85546875" style="998" customWidth="1"/>
    <col min="6673" max="6673" width="2.7109375" style="998" customWidth="1"/>
    <col min="6674" max="6674" width="13.7109375" style="998" bestFit="1" customWidth="1"/>
    <col min="6675" max="6675" width="2.7109375" style="998" customWidth="1"/>
    <col min="6676" max="6676" width="13.42578125" style="998" customWidth="1"/>
    <col min="6677" max="6677" width="2.7109375" style="998" customWidth="1"/>
    <col min="6678" max="6678" width="13.7109375" style="998" customWidth="1"/>
    <col min="6679" max="6679" width="9.140625" style="998"/>
    <col min="6680" max="6680" width="13" style="998" bestFit="1" customWidth="1"/>
    <col min="6681" max="6681" width="9.140625" style="998"/>
    <col min="6682" max="6682" width="13" style="998" bestFit="1" customWidth="1"/>
    <col min="6683" max="6683" width="9.140625" style="998"/>
    <col min="6684" max="6684" width="12.140625" style="998" bestFit="1" customWidth="1"/>
    <col min="6685" max="6685" width="9.140625" style="998"/>
    <col min="6686" max="6686" width="9" style="998" customWidth="1"/>
    <col min="6687" max="6687" width="0" style="998" hidden="1" customWidth="1"/>
    <col min="6688" max="6688" width="10.140625" style="998" bestFit="1" customWidth="1"/>
    <col min="6689" max="6689" width="1.7109375" style="998" customWidth="1"/>
    <col min="6690" max="6690" width="10.140625" style="998" bestFit="1" customWidth="1"/>
    <col min="6691" max="6691" width="1.7109375" style="998" customWidth="1"/>
    <col min="6692" max="6692" width="10.140625" style="998" bestFit="1" customWidth="1"/>
    <col min="6693" max="6693" width="9.140625" style="998"/>
    <col min="6694" max="6694" width="11" style="998" bestFit="1" customWidth="1"/>
    <col min="6695" max="6695" width="1.7109375" style="998" customWidth="1"/>
    <col min="6696" max="6696" width="13" style="998" bestFit="1" customWidth="1"/>
    <col min="6697" max="6697" width="1.7109375" style="998" customWidth="1"/>
    <col min="6698" max="6698" width="12.140625" style="998" bestFit="1" customWidth="1"/>
    <col min="6699" max="6919" width="9.140625" style="998"/>
    <col min="6920" max="6921" width="4.7109375" style="998" customWidth="1"/>
    <col min="6922" max="6923" width="12.7109375" style="998" customWidth="1"/>
    <col min="6924" max="6924" width="10.140625" style="998" customWidth="1"/>
    <col min="6925" max="6925" width="1.85546875" style="998" customWidth="1"/>
    <col min="6926" max="6926" width="15.5703125" style="998" customWidth="1"/>
    <col min="6927" max="6927" width="2.7109375" style="998" customWidth="1"/>
    <col min="6928" max="6928" width="14.85546875" style="998" customWidth="1"/>
    <col min="6929" max="6929" width="2.7109375" style="998" customWidth="1"/>
    <col min="6930" max="6930" width="13.7109375" style="998" bestFit="1" customWidth="1"/>
    <col min="6931" max="6931" width="2.7109375" style="998" customWidth="1"/>
    <col min="6932" max="6932" width="13.42578125" style="998" customWidth="1"/>
    <col min="6933" max="6933" width="2.7109375" style="998" customWidth="1"/>
    <col min="6934" max="6934" width="13.7109375" style="998" customWidth="1"/>
    <col min="6935" max="6935" width="9.140625" style="998"/>
    <col min="6936" max="6936" width="13" style="998" bestFit="1" customWidth="1"/>
    <col min="6937" max="6937" width="9.140625" style="998"/>
    <col min="6938" max="6938" width="13" style="998" bestFit="1" customWidth="1"/>
    <col min="6939" max="6939" width="9.140625" style="998"/>
    <col min="6940" max="6940" width="12.140625" style="998" bestFit="1" customWidth="1"/>
    <col min="6941" max="6941" width="9.140625" style="998"/>
    <col min="6942" max="6942" width="9" style="998" customWidth="1"/>
    <col min="6943" max="6943" width="0" style="998" hidden="1" customWidth="1"/>
    <col min="6944" max="6944" width="10.140625" style="998" bestFit="1" customWidth="1"/>
    <col min="6945" max="6945" width="1.7109375" style="998" customWidth="1"/>
    <col min="6946" max="6946" width="10.140625" style="998" bestFit="1" customWidth="1"/>
    <col min="6947" max="6947" width="1.7109375" style="998" customWidth="1"/>
    <col min="6948" max="6948" width="10.140625" style="998" bestFit="1" customWidth="1"/>
    <col min="6949" max="6949" width="9.140625" style="998"/>
    <col min="6950" max="6950" width="11" style="998" bestFit="1" customWidth="1"/>
    <col min="6951" max="6951" width="1.7109375" style="998" customWidth="1"/>
    <col min="6952" max="6952" width="13" style="998" bestFit="1" customWidth="1"/>
    <col min="6953" max="6953" width="1.7109375" style="998" customWidth="1"/>
    <col min="6954" max="6954" width="12.140625" style="998" bestFit="1" customWidth="1"/>
    <col min="6955" max="7175" width="9.140625" style="998"/>
    <col min="7176" max="7177" width="4.7109375" style="998" customWidth="1"/>
    <col min="7178" max="7179" width="12.7109375" style="998" customWidth="1"/>
    <col min="7180" max="7180" width="10.140625" style="998" customWidth="1"/>
    <col min="7181" max="7181" width="1.85546875" style="998" customWidth="1"/>
    <col min="7182" max="7182" width="15.5703125" style="998" customWidth="1"/>
    <col min="7183" max="7183" width="2.7109375" style="998" customWidth="1"/>
    <col min="7184" max="7184" width="14.85546875" style="998" customWidth="1"/>
    <col min="7185" max="7185" width="2.7109375" style="998" customWidth="1"/>
    <col min="7186" max="7186" width="13.7109375" style="998" bestFit="1" customWidth="1"/>
    <col min="7187" max="7187" width="2.7109375" style="998" customWidth="1"/>
    <col min="7188" max="7188" width="13.42578125" style="998" customWidth="1"/>
    <col min="7189" max="7189" width="2.7109375" style="998" customWidth="1"/>
    <col min="7190" max="7190" width="13.7109375" style="998" customWidth="1"/>
    <col min="7191" max="7191" width="9.140625" style="998"/>
    <col min="7192" max="7192" width="13" style="998" bestFit="1" customWidth="1"/>
    <col min="7193" max="7193" width="9.140625" style="998"/>
    <col min="7194" max="7194" width="13" style="998" bestFit="1" customWidth="1"/>
    <col min="7195" max="7195" width="9.140625" style="998"/>
    <col min="7196" max="7196" width="12.140625" style="998" bestFit="1" customWidth="1"/>
    <col min="7197" max="7197" width="9.140625" style="998"/>
    <col min="7198" max="7198" width="9" style="998" customWidth="1"/>
    <col min="7199" max="7199" width="0" style="998" hidden="1" customWidth="1"/>
    <col min="7200" max="7200" width="10.140625" style="998" bestFit="1" customWidth="1"/>
    <col min="7201" max="7201" width="1.7109375" style="998" customWidth="1"/>
    <col min="7202" max="7202" width="10.140625" style="998" bestFit="1" customWidth="1"/>
    <col min="7203" max="7203" width="1.7109375" style="998" customWidth="1"/>
    <col min="7204" max="7204" width="10.140625" style="998" bestFit="1" customWidth="1"/>
    <col min="7205" max="7205" width="9.140625" style="998"/>
    <col min="7206" max="7206" width="11" style="998" bestFit="1" customWidth="1"/>
    <col min="7207" max="7207" width="1.7109375" style="998" customWidth="1"/>
    <col min="7208" max="7208" width="13" style="998" bestFit="1" customWidth="1"/>
    <col min="7209" max="7209" width="1.7109375" style="998" customWidth="1"/>
    <col min="7210" max="7210" width="12.140625" style="998" bestFit="1" customWidth="1"/>
    <col min="7211" max="7431" width="9.140625" style="998"/>
    <col min="7432" max="7433" width="4.7109375" style="998" customWidth="1"/>
    <col min="7434" max="7435" width="12.7109375" style="998" customWidth="1"/>
    <col min="7436" max="7436" width="10.140625" style="998" customWidth="1"/>
    <col min="7437" max="7437" width="1.85546875" style="998" customWidth="1"/>
    <col min="7438" max="7438" width="15.5703125" style="998" customWidth="1"/>
    <col min="7439" max="7439" width="2.7109375" style="998" customWidth="1"/>
    <col min="7440" max="7440" width="14.85546875" style="998" customWidth="1"/>
    <col min="7441" max="7441" width="2.7109375" style="998" customWidth="1"/>
    <col min="7442" max="7442" width="13.7109375" style="998" bestFit="1" customWidth="1"/>
    <col min="7443" max="7443" width="2.7109375" style="998" customWidth="1"/>
    <col min="7444" max="7444" width="13.42578125" style="998" customWidth="1"/>
    <col min="7445" max="7445" width="2.7109375" style="998" customWidth="1"/>
    <col min="7446" max="7446" width="13.7109375" style="998" customWidth="1"/>
    <col min="7447" max="7447" width="9.140625" style="998"/>
    <col min="7448" max="7448" width="13" style="998" bestFit="1" customWidth="1"/>
    <col min="7449" max="7449" width="9.140625" style="998"/>
    <col min="7450" max="7450" width="13" style="998" bestFit="1" customWidth="1"/>
    <col min="7451" max="7451" width="9.140625" style="998"/>
    <col min="7452" max="7452" width="12.140625" style="998" bestFit="1" customWidth="1"/>
    <col min="7453" max="7453" width="9.140625" style="998"/>
    <col min="7454" max="7454" width="9" style="998" customWidth="1"/>
    <col min="7455" max="7455" width="0" style="998" hidden="1" customWidth="1"/>
    <col min="7456" max="7456" width="10.140625" style="998" bestFit="1" customWidth="1"/>
    <col min="7457" max="7457" width="1.7109375" style="998" customWidth="1"/>
    <col min="7458" max="7458" width="10.140625" style="998" bestFit="1" customWidth="1"/>
    <col min="7459" max="7459" width="1.7109375" style="998" customWidth="1"/>
    <col min="7460" max="7460" width="10.140625" style="998" bestFit="1" customWidth="1"/>
    <col min="7461" max="7461" width="9.140625" style="998"/>
    <col min="7462" max="7462" width="11" style="998" bestFit="1" customWidth="1"/>
    <col min="7463" max="7463" width="1.7109375" style="998" customWidth="1"/>
    <col min="7464" max="7464" width="13" style="998" bestFit="1" customWidth="1"/>
    <col min="7465" max="7465" width="1.7109375" style="998" customWidth="1"/>
    <col min="7466" max="7466" width="12.140625" style="998" bestFit="1" customWidth="1"/>
    <col min="7467" max="7687" width="9.140625" style="998"/>
    <col min="7688" max="7689" width="4.7109375" style="998" customWidth="1"/>
    <col min="7690" max="7691" width="12.7109375" style="998" customWidth="1"/>
    <col min="7692" max="7692" width="10.140625" style="998" customWidth="1"/>
    <col min="7693" max="7693" width="1.85546875" style="998" customWidth="1"/>
    <col min="7694" max="7694" width="15.5703125" style="998" customWidth="1"/>
    <col min="7695" max="7695" width="2.7109375" style="998" customWidth="1"/>
    <col min="7696" max="7696" width="14.85546875" style="998" customWidth="1"/>
    <col min="7697" max="7697" width="2.7109375" style="998" customWidth="1"/>
    <col min="7698" max="7698" width="13.7109375" style="998" bestFit="1" customWidth="1"/>
    <col min="7699" max="7699" width="2.7109375" style="998" customWidth="1"/>
    <col min="7700" max="7700" width="13.42578125" style="998" customWidth="1"/>
    <col min="7701" max="7701" width="2.7109375" style="998" customWidth="1"/>
    <col min="7702" max="7702" width="13.7109375" style="998" customWidth="1"/>
    <col min="7703" max="7703" width="9.140625" style="998"/>
    <col min="7704" max="7704" width="13" style="998" bestFit="1" customWidth="1"/>
    <col min="7705" max="7705" width="9.140625" style="998"/>
    <col min="7706" max="7706" width="13" style="998" bestFit="1" customWidth="1"/>
    <col min="7707" max="7707" width="9.140625" style="998"/>
    <col min="7708" max="7708" width="12.140625" style="998" bestFit="1" customWidth="1"/>
    <col min="7709" max="7709" width="9.140625" style="998"/>
    <col min="7710" max="7710" width="9" style="998" customWidth="1"/>
    <col min="7711" max="7711" width="0" style="998" hidden="1" customWidth="1"/>
    <col min="7712" max="7712" width="10.140625" style="998" bestFit="1" customWidth="1"/>
    <col min="7713" max="7713" width="1.7109375" style="998" customWidth="1"/>
    <col min="7714" max="7714" width="10.140625" style="998" bestFit="1" customWidth="1"/>
    <col min="7715" max="7715" width="1.7109375" style="998" customWidth="1"/>
    <col min="7716" max="7716" width="10.140625" style="998" bestFit="1" customWidth="1"/>
    <col min="7717" max="7717" width="9.140625" style="998"/>
    <col min="7718" max="7718" width="11" style="998" bestFit="1" customWidth="1"/>
    <col min="7719" max="7719" width="1.7109375" style="998" customWidth="1"/>
    <col min="7720" max="7720" width="13" style="998" bestFit="1" customWidth="1"/>
    <col min="7721" max="7721" width="1.7109375" style="998" customWidth="1"/>
    <col min="7722" max="7722" width="12.140625" style="998" bestFit="1" customWidth="1"/>
    <col min="7723" max="7943" width="9.140625" style="998"/>
    <col min="7944" max="7945" width="4.7109375" style="998" customWidth="1"/>
    <col min="7946" max="7947" width="12.7109375" style="998" customWidth="1"/>
    <col min="7948" max="7948" width="10.140625" style="998" customWidth="1"/>
    <col min="7949" max="7949" width="1.85546875" style="998" customWidth="1"/>
    <col min="7950" max="7950" width="15.5703125" style="998" customWidth="1"/>
    <col min="7951" max="7951" width="2.7109375" style="998" customWidth="1"/>
    <col min="7952" max="7952" width="14.85546875" style="998" customWidth="1"/>
    <col min="7953" max="7953" width="2.7109375" style="998" customWidth="1"/>
    <col min="7954" max="7954" width="13.7109375" style="998" bestFit="1" customWidth="1"/>
    <col min="7955" max="7955" width="2.7109375" style="998" customWidth="1"/>
    <col min="7956" max="7956" width="13.42578125" style="998" customWidth="1"/>
    <col min="7957" max="7957" width="2.7109375" style="998" customWidth="1"/>
    <col min="7958" max="7958" width="13.7109375" style="998" customWidth="1"/>
    <col min="7959" max="7959" width="9.140625" style="998"/>
    <col min="7960" max="7960" width="13" style="998" bestFit="1" customWidth="1"/>
    <col min="7961" max="7961" width="9.140625" style="998"/>
    <col min="7962" max="7962" width="13" style="998" bestFit="1" customWidth="1"/>
    <col min="7963" max="7963" width="9.140625" style="998"/>
    <col min="7964" max="7964" width="12.140625" style="998" bestFit="1" customWidth="1"/>
    <col min="7965" max="7965" width="9.140625" style="998"/>
    <col min="7966" max="7966" width="9" style="998" customWidth="1"/>
    <col min="7967" max="7967" width="0" style="998" hidden="1" customWidth="1"/>
    <col min="7968" max="7968" width="10.140625" style="998" bestFit="1" customWidth="1"/>
    <col min="7969" max="7969" width="1.7109375" style="998" customWidth="1"/>
    <col min="7970" max="7970" width="10.140625" style="998" bestFit="1" customWidth="1"/>
    <col min="7971" max="7971" width="1.7109375" style="998" customWidth="1"/>
    <col min="7972" max="7972" width="10.140625" style="998" bestFit="1" customWidth="1"/>
    <col min="7973" max="7973" width="9.140625" style="998"/>
    <col min="7974" max="7974" width="11" style="998" bestFit="1" customWidth="1"/>
    <col min="7975" max="7975" width="1.7109375" style="998" customWidth="1"/>
    <col min="7976" max="7976" width="13" style="998" bestFit="1" customWidth="1"/>
    <col min="7977" max="7977" width="1.7109375" style="998" customWidth="1"/>
    <col min="7978" max="7978" width="12.140625" style="998" bestFit="1" customWidth="1"/>
    <col min="7979" max="8199" width="9.140625" style="998"/>
    <col min="8200" max="8201" width="4.7109375" style="998" customWidth="1"/>
    <col min="8202" max="8203" width="12.7109375" style="998" customWidth="1"/>
    <col min="8204" max="8204" width="10.140625" style="998" customWidth="1"/>
    <col min="8205" max="8205" width="1.85546875" style="998" customWidth="1"/>
    <col min="8206" max="8206" width="15.5703125" style="998" customWidth="1"/>
    <col min="8207" max="8207" width="2.7109375" style="998" customWidth="1"/>
    <col min="8208" max="8208" width="14.85546875" style="998" customWidth="1"/>
    <col min="8209" max="8209" width="2.7109375" style="998" customWidth="1"/>
    <col min="8210" max="8210" width="13.7109375" style="998" bestFit="1" customWidth="1"/>
    <col min="8211" max="8211" width="2.7109375" style="998" customWidth="1"/>
    <col min="8212" max="8212" width="13.42578125" style="998" customWidth="1"/>
    <col min="8213" max="8213" width="2.7109375" style="998" customWidth="1"/>
    <col min="8214" max="8214" width="13.7109375" style="998" customWidth="1"/>
    <col min="8215" max="8215" width="9.140625" style="998"/>
    <col min="8216" max="8216" width="13" style="998" bestFit="1" customWidth="1"/>
    <col min="8217" max="8217" width="9.140625" style="998"/>
    <col min="8218" max="8218" width="13" style="998" bestFit="1" customWidth="1"/>
    <col min="8219" max="8219" width="9.140625" style="998"/>
    <col min="8220" max="8220" width="12.140625" style="998" bestFit="1" customWidth="1"/>
    <col min="8221" max="8221" width="9.140625" style="998"/>
    <col min="8222" max="8222" width="9" style="998" customWidth="1"/>
    <col min="8223" max="8223" width="0" style="998" hidden="1" customWidth="1"/>
    <col min="8224" max="8224" width="10.140625" style="998" bestFit="1" customWidth="1"/>
    <col min="8225" max="8225" width="1.7109375" style="998" customWidth="1"/>
    <col min="8226" max="8226" width="10.140625" style="998" bestFit="1" customWidth="1"/>
    <col min="8227" max="8227" width="1.7109375" style="998" customWidth="1"/>
    <col min="8228" max="8228" width="10.140625" style="998" bestFit="1" customWidth="1"/>
    <col min="8229" max="8229" width="9.140625" style="998"/>
    <col min="8230" max="8230" width="11" style="998" bestFit="1" customWidth="1"/>
    <col min="8231" max="8231" width="1.7109375" style="998" customWidth="1"/>
    <col min="8232" max="8232" width="13" style="998" bestFit="1" customWidth="1"/>
    <col min="8233" max="8233" width="1.7109375" style="998" customWidth="1"/>
    <col min="8234" max="8234" width="12.140625" style="998" bestFit="1" customWidth="1"/>
    <col min="8235" max="8455" width="9.140625" style="998"/>
    <col min="8456" max="8457" width="4.7109375" style="998" customWidth="1"/>
    <col min="8458" max="8459" width="12.7109375" style="998" customWidth="1"/>
    <col min="8460" max="8460" width="10.140625" style="998" customWidth="1"/>
    <col min="8461" max="8461" width="1.85546875" style="998" customWidth="1"/>
    <col min="8462" max="8462" width="15.5703125" style="998" customWidth="1"/>
    <col min="8463" max="8463" width="2.7109375" style="998" customWidth="1"/>
    <col min="8464" max="8464" width="14.85546875" style="998" customWidth="1"/>
    <col min="8465" max="8465" width="2.7109375" style="998" customWidth="1"/>
    <col min="8466" max="8466" width="13.7109375" style="998" bestFit="1" customWidth="1"/>
    <col min="8467" max="8467" width="2.7109375" style="998" customWidth="1"/>
    <col min="8468" max="8468" width="13.42578125" style="998" customWidth="1"/>
    <col min="8469" max="8469" width="2.7109375" style="998" customWidth="1"/>
    <col min="8470" max="8470" width="13.7109375" style="998" customWidth="1"/>
    <col min="8471" max="8471" width="9.140625" style="998"/>
    <col min="8472" max="8472" width="13" style="998" bestFit="1" customWidth="1"/>
    <col min="8473" max="8473" width="9.140625" style="998"/>
    <col min="8474" max="8474" width="13" style="998" bestFit="1" customWidth="1"/>
    <col min="8475" max="8475" width="9.140625" style="998"/>
    <col min="8476" max="8476" width="12.140625" style="998" bestFit="1" customWidth="1"/>
    <col min="8477" max="8477" width="9.140625" style="998"/>
    <col min="8478" max="8478" width="9" style="998" customWidth="1"/>
    <col min="8479" max="8479" width="0" style="998" hidden="1" customWidth="1"/>
    <col min="8480" max="8480" width="10.140625" style="998" bestFit="1" customWidth="1"/>
    <col min="8481" max="8481" width="1.7109375" style="998" customWidth="1"/>
    <col min="8482" max="8482" width="10.140625" style="998" bestFit="1" customWidth="1"/>
    <col min="8483" max="8483" width="1.7109375" style="998" customWidth="1"/>
    <col min="8484" max="8484" width="10.140625" style="998" bestFit="1" customWidth="1"/>
    <col min="8485" max="8485" width="9.140625" style="998"/>
    <col min="8486" max="8486" width="11" style="998" bestFit="1" customWidth="1"/>
    <col min="8487" max="8487" width="1.7109375" style="998" customWidth="1"/>
    <col min="8488" max="8488" width="13" style="998" bestFit="1" customWidth="1"/>
    <col min="8489" max="8489" width="1.7109375" style="998" customWidth="1"/>
    <col min="8490" max="8490" width="12.140625" style="998" bestFit="1" customWidth="1"/>
    <col min="8491" max="8711" width="9.140625" style="998"/>
    <col min="8712" max="8713" width="4.7109375" style="998" customWidth="1"/>
    <col min="8714" max="8715" width="12.7109375" style="998" customWidth="1"/>
    <col min="8716" max="8716" width="10.140625" style="998" customWidth="1"/>
    <col min="8717" max="8717" width="1.85546875" style="998" customWidth="1"/>
    <col min="8718" max="8718" width="15.5703125" style="998" customWidth="1"/>
    <col min="8719" max="8719" width="2.7109375" style="998" customWidth="1"/>
    <col min="8720" max="8720" width="14.85546875" style="998" customWidth="1"/>
    <col min="8721" max="8721" width="2.7109375" style="998" customWidth="1"/>
    <col min="8722" max="8722" width="13.7109375" style="998" bestFit="1" customWidth="1"/>
    <col min="8723" max="8723" width="2.7109375" style="998" customWidth="1"/>
    <col min="8724" max="8724" width="13.42578125" style="998" customWidth="1"/>
    <col min="8725" max="8725" width="2.7109375" style="998" customWidth="1"/>
    <col min="8726" max="8726" width="13.7109375" style="998" customWidth="1"/>
    <col min="8727" max="8727" width="9.140625" style="998"/>
    <col min="8728" max="8728" width="13" style="998" bestFit="1" customWidth="1"/>
    <col min="8729" max="8729" width="9.140625" style="998"/>
    <col min="8730" max="8730" width="13" style="998" bestFit="1" customWidth="1"/>
    <col min="8731" max="8731" width="9.140625" style="998"/>
    <col min="8732" max="8732" width="12.140625" style="998" bestFit="1" customWidth="1"/>
    <col min="8733" max="8733" width="9.140625" style="998"/>
    <col min="8734" max="8734" width="9" style="998" customWidth="1"/>
    <col min="8735" max="8735" width="0" style="998" hidden="1" customWidth="1"/>
    <col min="8736" max="8736" width="10.140625" style="998" bestFit="1" customWidth="1"/>
    <col min="8737" max="8737" width="1.7109375" style="998" customWidth="1"/>
    <col min="8738" max="8738" width="10.140625" style="998" bestFit="1" customWidth="1"/>
    <col min="8739" max="8739" width="1.7109375" style="998" customWidth="1"/>
    <col min="8740" max="8740" width="10.140625" style="998" bestFit="1" customWidth="1"/>
    <col min="8741" max="8741" width="9.140625" style="998"/>
    <col min="8742" max="8742" width="11" style="998" bestFit="1" customWidth="1"/>
    <col min="8743" max="8743" width="1.7109375" style="998" customWidth="1"/>
    <col min="8744" max="8744" width="13" style="998" bestFit="1" customWidth="1"/>
    <col min="8745" max="8745" width="1.7109375" style="998" customWidth="1"/>
    <col min="8746" max="8746" width="12.140625" style="998" bestFit="1" customWidth="1"/>
    <col min="8747" max="8967" width="9.140625" style="998"/>
    <col min="8968" max="8969" width="4.7109375" style="998" customWidth="1"/>
    <col min="8970" max="8971" width="12.7109375" style="998" customWidth="1"/>
    <col min="8972" max="8972" width="10.140625" style="998" customWidth="1"/>
    <col min="8973" max="8973" width="1.85546875" style="998" customWidth="1"/>
    <col min="8974" max="8974" width="15.5703125" style="998" customWidth="1"/>
    <col min="8975" max="8975" width="2.7109375" style="998" customWidth="1"/>
    <col min="8976" max="8976" width="14.85546875" style="998" customWidth="1"/>
    <col min="8977" max="8977" width="2.7109375" style="998" customWidth="1"/>
    <col min="8978" max="8978" width="13.7109375" style="998" bestFit="1" customWidth="1"/>
    <col min="8979" max="8979" width="2.7109375" style="998" customWidth="1"/>
    <col min="8980" max="8980" width="13.42578125" style="998" customWidth="1"/>
    <col min="8981" max="8981" width="2.7109375" style="998" customWidth="1"/>
    <col min="8982" max="8982" width="13.7109375" style="998" customWidth="1"/>
    <col min="8983" max="8983" width="9.140625" style="998"/>
    <col min="8984" max="8984" width="13" style="998" bestFit="1" customWidth="1"/>
    <col min="8985" max="8985" width="9.140625" style="998"/>
    <col min="8986" max="8986" width="13" style="998" bestFit="1" customWidth="1"/>
    <col min="8987" max="8987" width="9.140625" style="998"/>
    <col min="8988" max="8988" width="12.140625" style="998" bestFit="1" customWidth="1"/>
    <col min="8989" max="8989" width="9.140625" style="998"/>
    <col min="8990" max="8990" width="9" style="998" customWidth="1"/>
    <col min="8991" max="8991" width="0" style="998" hidden="1" customWidth="1"/>
    <col min="8992" max="8992" width="10.140625" style="998" bestFit="1" customWidth="1"/>
    <col min="8993" max="8993" width="1.7109375" style="998" customWidth="1"/>
    <col min="8994" max="8994" width="10.140625" style="998" bestFit="1" customWidth="1"/>
    <col min="8995" max="8995" width="1.7109375" style="998" customWidth="1"/>
    <col min="8996" max="8996" width="10.140625" style="998" bestFit="1" customWidth="1"/>
    <col min="8997" max="8997" width="9.140625" style="998"/>
    <col min="8998" max="8998" width="11" style="998" bestFit="1" customWidth="1"/>
    <col min="8999" max="8999" width="1.7109375" style="998" customWidth="1"/>
    <col min="9000" max="9000" width="13" style="998" bestFit="1" customWidth="1"/>
    <col min="9001" max="9001" width="1.7109375" style="998" customWidth="1"/>
    <col min="9002" max="9002" width="12.140625" style="998" bestFit="1" customWidth="1"/>
    <col min="9003" max="9223" width="9.140625" style="998"/>
    <col min="9224" max="9225" width="4.7109375" style="998" customWidth="1"/>
    <col min="9226" max="9227" width="12.7109375" style="998" customWidth="1"/>
    <col min="9228" max="9228" width="10.140625" style="998" customWidth="1"/>
    <col min="9229" max="9229" width="1.85546875" style="998" customWidth="1"/>
    <col min="9230" max="9230" width="15.5703125" style="998" customWidth="1"/>
    <col min="9231" max="9231" width="2.7109375" style="998" customWidth="1"/>
    <col min="9232" max="9232" width="14.85546875" style="998" customWidth="1"/>
    <col min="9233" max="9233" width="2.7109375" style="998" customWidth="1"/>
    <col min="9234" max="9234" width="13.7109375" style="998" bestFit="1" customWidth="1"/>
    <col min="9235" max="9235" width="2.7109375" style="998" customWidth="1"/>
    <col min="9236" max="9236" width="13.42578125" style="998" customWidth="1"/>
    <col min="9237" max="9237" width="2.7109375" style="998" customWidth="1"/>
    <col min="9238" max="9238" width="13.7109375" style="998" customWidth="1"/>
    <col min="9239" max="9239" width="9.140625" style="998"/>
    <col min="9240" max="9240" width="13" style="998" bestFit="1" customWidth="1"/>
    <col min="9241" max="9241" width="9.140625" style="998"/>
    <col min="9242" max="9242" width="13" style="998" bestFit="1" customWidth="1"/>
    <col min="9243" max="9243" width="9.140625" style="998"/>
    <col min="9244" max="9244" width="12.140625" style="998" bestFit="1" customWidth="1"/>
    <col min="9245" max="9245" width="9.140625" style="998"/>
    <col min="9246" max="9246" width="9" style="998" customWidth="1"/>
    <col min="9247" max="9247" width="0" style="998" hidden="1" customWidth="1"/>
    <col min="9248" max="9248" width="10.140625" style="998" bestFit="1" customWidth="1"/>
    <col min="9249" max="9249" width="1.7109375" style="998" customWidth="1"/>
    <col min="9250" max="9250" width="10.140625" style="998" bestFit="1" customWidth="1"/>
    <col min="9251" max="9251" width="1.7109375" style="998" customWidth="1"/>
    <col min="9252" max="9252" width="10.140625" style="998" bestFit="1" customWidth="1"/>
    <col min="9253" max="9253" width="9.140625" style="998"/>
    <col min="9254" max="9254" width="11" style="998" bestFit="1" customWidth="1"/>
    <col min="9255" max="9255" width="1.7109375" style="998" customWidth="1"/>
    <col min="9256" max="9256" width="13" style="998" bestFit="1" customWidth="1"/>
    <col min="9257" max="9257" width="1.7109375" style="998" customWidth="1"/>
    <col min="9258" max="9258" width="12.140625" style="998" bestFit="1" customWidth="1"/>
    <col min="9259" max="9479" width="9.140625" style="998"/>
    <col min="9480" max="9481" width="4.7109375" style="998" customWidth="1"/>
    <col min="9482" max="9483" width="12.7109375" style="998" customWidth="1"/>
    <col min="9484" max="9484" width="10.140625" style="998" customWidth="1"/>
    <col min="9485" max="9485" width="1.85546875" style="998" customWidth="1"/>
    <col min="9486" max="9486" width="15.5703125" style="998" customWidth="1"/>
    <col min="9487" max="9487" width="2.7109375" style="998" customWidth="1"/>
    <col min="9488" max="9488" width="14.85546875" style="998" customWidth="1"/>
    <col min="9489" max="9489" width="2.7109375" style="998" customWidth="1"/>
    <col min="9490" max="9490" width="13.7109375" style="998" bestFit="1" customWidth="1"/>
    <col min="9491" max="9491" width="2.7109375" style="998" customWidth="1"/>
    <col min="9492" max="9492" width="13.42578125" style="998" customWidth="1"/>
    <col min="9493" max="9493" width="2.7109375" style="998" customWidth="1"/>
    <col min="9494" max="9494" width="13.7109375" style="998" customWidth="1"/>
    <col min="9495" max="9495" width="9.140625" style="998"/>
    <col min="9496" max="9496" width="13" style="998" bestFit="1" customWidth="1"/>
    <col min="9497" max="9497" width="9.140625" style="998"/>
    <col min="9498" max="9498" width="13" style="998" bestFit="1" customWidth="1"/>
    <col min="9499" max="9499" width="9.140625" style="998"/>
    <col min="9500" max="9500" width="12.140625" style="998" bestFit="1" customWidth="1"/>
    <col min="9501" max="9501" width="9.140625" style="998"/>
    <col min="9502" max="9502" width="9" style="998" customWidth="1"/>
    <col min="9503" max="9503" width="0" style="998" hidden="1" customWidth="1"/>
    <col min="9504" max="9504" width="10.140625" style="998" bestFit="1" customWidth="1"/>
    <col min="9505" max="9505" width="1.7109375" style="998" customWidth="1"/>
    <col min="9506" max="9506" width="10.140625" style="998" bestFit="1" customWidth="1"/>
    <col min="9507" max="9507" width="1.7109375" style="998" customWidth="1"/>
    <col min="9508" max="9508" width="10.140625" style="998" bestFit="1" customWidth="1"/>
    <col min="9509" max="9509" width="9.140625" style="998"/>
    <col min="9510" max="9510" width="11" style="998" bestFit="1" customWidth="1"/>
    <col min="9511" max="9511" width="1.7109375" style="998" customWidth="1"/>
    <col min="9512" max="9512" width="13" style="998" bestFit="1" customWidth="1"/>
    <col min="9513" max="9513" width="1.7109375" style="998" customWidth="1"/>
    <col min="9514" max="9514" width="12.140625" style="998" bestFit="1" customWidth="1"/>
    <col min="9515" max="9735" width="9.140625" style="998"/>
    <col min="9736" max="9737" width="4.7109375" style="998" customWidth="1"/>
    <col min="9738" max="9739" width="12.7109375" style="998" customWidth="1"/>
    <col min="9740" max="9740" width="10.140625" style="998" customWidth="1"/>
    <col min="9741" max="9741" width="1.85546875" style="998" customWidth="1"/>
    <col min="9742" max="9742" width="15.5703125" style="998" customWidth="1"/>
    <col min="9743" max="9743" width="2.7109375" style="998" customWidth="1"/>
    <col min="9744" max="9744" width="14.85546875" style="998" customWidth="1"/>
    <col min="9745" max="9745" width="2.7109375" style="998" customWidth="1"/>
    <col min="9746" max="9746" width="13.7109375" style="998" bestFit="1" customWidth="1"/>
    <col min="9747" max="9747" width="2.7109375" style="998" customWidth="1"/>
    <col min="9748" max="9748" width="13.42578125" style="998" customWidth="1"/>
    <col min="9749" max="9749" width="2.7109375" style="998" customWidth="1"/>
    <col min="9750" max="9750" width="13.7109375" style="998" customWidth="1"/>
    <col min="9751" max="9751" width="9.140625" style="998"/>
    <col min="9752" max="9752" width="13" style="998" bestFit="1" customWidth="1"/>
    <col min="9753" max="9753" width="9.140625" style="998"/>
    <col min="9754" max="9754" width="13" style="998" bestFit="1" customWidth="1"/>
    <col min="9755" max="9755" width="9.140625" style="998"/>
    <col min="9756" max="9756" width="12.140625" style="998" bestFit="1" customWidth="1"/>
    <col min="9757" max="9757" width="9.140625" style="998"/>
    <col min="9758" max="9758" width="9" style="998" customWidth="1"/>
    <col min="9759" max="9759" width="0" style="998" hidden="1" customWidth="1"/>
    <col min="9760" max="9760" width="10.140625" style="998" bestFit="1" customWidth="1"/>
    <col min="9761" max="9761" width="1.7109375" style="998" customWidth="1"/>
    <col min="9762" max="9762" width="10.140625" style="998" bestFit="1" customWidth="1"/>
    <col min="9763" max="9763" width="1.7109375" style="998" customWidth="1"/>
    <col min="9764" max="9764" width="10.140625" style="998" bestFit="1" customWidth="1"/>
    <col min="9765" max="9765" width="9.140625" style="998"/>
    <col min="9766" max="9766" width="11" style="998" bestFit="1" customWidth="1"/>
    <col min="9767" max="9767" width="1.7109375" style="998" customWidth="1"/>
    <col min="9768" max="9768" width="13" style="998" bestFit="1" customWidth="1"/>
    <col min="9769" max="9769" width="1.7109375" style="998" customWidth="1"/>
    <col min="9770" max="9770" width="12.140625" style="998" bestFit="1" customWidth="1"/>
    <col min="9771" max="9991" width="9.140625" style="998"/>
    <col min="9992" max="9993" width="4.7109375" style="998" customWidth="1"/>
    <col min="9994" max="9995" width="12.7109375" style="998" customWidth="1"/>
    <col min="9996" max="9996" width="10.140625" style="998" customWidth="1"/>
    <col min="9997" max="9997" width="1.85546875" style="998" customWidth="1"/>
    <col min="9998" max="9998" width="15.5703125" style="998" customWidth="1"/>
    <col min="9999" max="9999" width="2.7109375" style="998" customWidth="1"/>
    <col min="10000" max="10000" width="14.85546875" style="998" customWidth="1"/>
    <col min="10001" max="10001" width="2.7109375" style="998" customWidth="1"/>
    <col min="10002" max="10002" width="13.7109375" style="998" bestFit="1" customWidth="1"/>
    <col min="10003" max="10003" width="2.7109375" style="998" customWidth="1"/>
    <col min="10004" max="10004" width="13.42578125" style="998" customWidth="1"/>
    <col min="10005" max="10005" width="2.7109375" style="998" customWidth="1"/>
    <col min="10006" max="10006" width="13.7109375" style="998" customWidth="1"/>
    <col min="10007" max="10007" width="9.140625" style="998"/>
    <col min="10008" max="10008" width="13" style="998" bestFit="1" customWidth="1"/>
    <col min="10009" max="10009" width="9.140625" style="998"/>
    <col min="10010" max="10010" width="13" style="998" bestFit="1" customWidth="1"/>
    <col min="10011" max="10011" width="9.140625" style="998"/>
    <col min="10012" max="10012" width="12.140625" style="998" bestFit="1" customWidth="1"/>
    <col min="10013" max="10013" width="9.140625" style="998"/>
    <col min="10014" max="10014" width="9" style="998" customWidth="1"/>
    <col min="10015" max="10015" width="0" style="998" hidden="1" customWidth="1"/>
    <col min="10016" max="10016" width="10.140625" style="998" bestFit="1" customWidth="1"/>
    <col min="10017" max="10017" width="1.7109375" style="998" customWidth="1"/>
    <col min="10018" max="10018" width="10.140625" style="998" bestFit="1" customWidth="1"/>
    <col min="10019" max="10019" width="1.7109375" style="998" customWidth="1"/>
    <col min="10020" max="10020" width="10.140625" style="998" bestFit="1" customWidth="1"/>
    <col min="10021" max="10021" width="9.140625" style="998"/>
    <col min="10022" max="10022" width="11" style="998" bestFit="1" customWidth="1"/>
    <col min="10023" max="10023" width="1.7109375" style="998" customWidth="1"/>
    <col min="10024" max="10024" width="13" style="998" bestFit="1" customWidth="1"/>
    <col min="10025" max="10025" width="1.7109375" style="998" customWidth="1"/>
    <col min="10026" max="10026" width="12.140625" style="998" bestFit="1" customWidth="1"/>
    <col min="10027" max="10247" width="9.140625" style="998"/>
    <col min="10248" max="10249" width="4.7109375" style="998" customWidth="1"/>
    <col min="10250" max="10251" width="12.7109375" style="998" customWidth="1"/>
    <col min="10252" max="10252" width="10.140625" style="998" customWidth="1"/>
    <col min="10253" max="10253" width="1.85546875" style="998" customWidth="1"/>
    <col min="10254" max="10254" width="15.5703125" style="998" customWidth="1"/>
    <col min="10255" max="10255" width="2.7109375" style="998" customWidth="1"/>
    <col min="10256" max="10256" width="14.85546875" style="998" customWidth="1"/>
    <col min="10257" max="10257" width="2.7109375" style="998" customWidth="1"/>
    <col min="10258" max="10258" width="13.7109375" style="998" bestFit="1" customWidth="1"/>
    <col min="10259" max="10259" width="2.7109375" style="998" customWidth="1"/>
    <col min="10260" max="10260" width="13.42578125" style="998" customWidth="1"/>
    <col min="10261" max="10261" width="2.7109375" style="998" customWidth="1"/>
    <col min="10262" max="10262" width="13.7109375" style="998" customWidth="1"/>
    <col min="10263" max="10263" width="9.140625" style="998"/>
    <col min="10264" max="10264" width="13" style="998" bestFit="1" customWidth="1"/>
    <col min="10265" max="10265" width="9.140625" style="998"/>
    <col min="10266" max="10266" width="13" style="998" bestFit="1" customWidth="1"/>
    <col min="10267" max="10267" width="9.140625" style="998"/>
    <col min="10268" max="10268" width="12.140625" style="998" bestFit="1" customWidth="1"/>
    <col min="10269" max="10269" width="9.140625" style="998"/>
    <col min="10270" max="10270" width="9" style="998" customWidth="1"/>
    <col min="10271" max="10271" width="0" style="998" hidden="1" customWidth="1"/>
    <col min="10272" max="10272" width="10.140625" style="998" bestFit="1" customWidth="1"/>
    <col min="10273" max="10273" width="1.7109375" style="998" customWidth="1"/>
    <col min="10274" max="10274" width="10.140625" style="998" bestFit="1" customWidth="1"/>
    <col min="10275" max="10275" width="1.7109375" style="998" customWidth="1"/>
    <col min="10276" max="10276" width="10.140625" style="998" bestFit="1" customWidth="1"/>
    <col min="10277" max="10277" width="9.140625" style="998"/>
    <col min="10278" max="10278" width="11" style="998" bestFit="1" customWidth="1"/>
    <col min="10279" max="10279" width="1.7109375" style="998" customWidth="1"/>
    <col min="10280" max="10280" width="13" style="998" bestFit="1" customWidth="1"/>
    <col min="10281" max="10281" width="1.7109375" style="998" customWidth="1"/>
    <col min="10282" max="10282" width="12.140625" style="998" bestFit="1" customWidth="1"/>
    <col min="10283" max="10503" width="9.140625" style="998"/>
    <col min="10504" max="10505" width="4.7109375" style="998" customWidth="1"/>
    <col min="10506" max="10507" width="12.7109375" style="998" customWidth="1"/>
    <col min="10508" max="10508" width="10.140625" style="998" customWidth="1"/>
    <col min="10509" max="10509" width="1.85546875" style="998" customWidth="1"/>
    <col min="10510" max="10510" width="15.5703125" style="998" customWidth="1"/>
    <col min="10511" max="10511" width="2.7109375" style="998" customWidth="1"/>
    <col min="10512" max="10512" width="14.85546875" style="998" customWidth="1"/>
    <col min="10513" max="10513" width="2.7109375" style="998" customWidth="1"/>
    <col min="10514" max="10514" width="13.7109375" style="998" bestFit="1" customWidth="1"/>
    <col min="10515" max="10515" width="2.7109375" style="998" customWidth="1"/>
    <col min="10516" max="10516" width="13.42578125" style="998" customWidth="1"/>
    <col min="10517" max="10517" width="2.7109375" style="998" customWidth="1"/>
    <col min="10518" max="10518" width="13.7109375" style="998" customWidth="1"/>
    <col min="10519" max="10519" width="9.140625" style="998"/>
    <col min="10520" max="10520" width="13" style="998" bestFit="1" customWidth="1"/>
    <col min="10521" max="10521" width="9.140625" style="998"/>
    <col min="10522" max="10522" width="13" style="998" bestFit="1" customWidth="1"/>
    <col min="10523" max="10523" width="9.140625" style="998"/>
    <col min="10524" max="10524" width="12.140625" style="998" bestFit="1" customWidth="1"/>
    <col min="10525" max="10525" width="9.140625" style="998"/>
    <col min="10526" max="10526" width="9" style="998" customWidth="1"/>
    <col min="10527" max="10527" width="0" style="998" hidden="1" customWidth="1"/>
    <col min="10528" max="10528" width="10.140625" style="998" bestFit="1" customWidth="1"/>
    <col min="10529" max="10529" width="1.7109375" style="998" customWidth="1"/>
    <col min="10530" max="10530" width="10.140625" style="998" bestFit="1" customWidth="1"/>
    <col min="10531" max="10531" width="1.7109375" style="998" customWidth="1"/>
    <col min="10532" max="10532" width="10.140625" style="998" bestFit="1" customWidth="1"/>
    <col min="10533" max="10533" width="9.140625" style="998"/>
    <col min="10534" max="10534" width="11" style="998" bestFit="1" customWidth="1"/>
    <col min="10535" max="10535" width="1.7109375" style="998" customWidth="1"/>
    <col min="10536" max="10536" width="13" style="998" bestFit="1" customWidth="1"/>
    <col min="10537" max="10537" width="1.7109375" style="998" customWidth="1"/>
    <col min="10538" max="10538" width="12.140625" style="998" bestFit="1" customWidth="1"/>
    <col min="10539" max="10759" width="9.140625" style="998"/>
    <col min="10760" max="10761" width="4.7109375" style="998" customWidth="1"/>
    <col min="10762" max="10763" width="12.7109375" style="998" customWidth="1"/>
    <col min="10764" max="10764" width="10.140625" style="998" customWidth="1"/>
    <col min="10765" max="10765" width="1.85546875" style="998" customWidth="1"/>
    <col min="10766" max="10766" width="15.5703125" style="998" customWidth="1"/>
    <col min="10767" max="10767" width="2.7109375" style="998" customWidth="1"/>
    <col min="10768" max="10768" width="14.85546875" style="998" customWidth="1"/>
    <col min="10769" max="10769" width="2.7109375" style="998" customWidth="1"/>
    <col min="10770" max="10770" width="13.7109375" style="998" bestFit="1" customWidth="1"/>
    <col min="10771" max="10771" width="2.7109375" style="998" customWidth="1"/>
    <col min="10772" max="10772" width="13.42578125" style="998" customWidth="1"/>
    <col min="10773" max="10773" width="2.7109375" style="998" customWidth="1"/>
    <col min="10774" max="10774" width="13.7109375" style="998" customWidth="1"/>
    <col min="10775" max="10775" width="9.140625" style="998"/>
    <col min="10776" max="10776" width="13" style="998" bestFit="1" customWidth="1"/>
    <col min="10777" max="10777" width="9.140625" style="998"/>
    <col min="10778" max="10778" width="13" style="998" bestFit="1" customWidth="1"/>
    <col min="10779" max="10779" width="9.140625" style="998"/>
    <col min="10780" max="10780" width="12.140625" style="998" bestFit="1" customWidth="1"/>
    <col min="10781" max="10781" width="9.140625" style="998"/>
    <col min="10782" max="10782" width="9" style="998" customWidth="1"/>
    <col min="10783" max="10783" width="0" style="998" hidden="1" customWidth="1"/>
    <col min="10784" max="10784" width="10.140625" style="998" bestFit="1" customWidth="1"/>
    <col min="10785" max="10785" width="1.7109375" style="998" customWidth="1"/>
    <col min="10786" max="10786" width="10.140625" style="998" bestFit="1" customWidth="1"/>
    <col min="10787" max="10787" width="1.7109375" style="998" customWidth="1"/>
    <col min="10788" max="10788" width="10.140625" style="998" bestFit="1" customWidth="1"/>
    <col min="10789" max="10789" width="9.140625" style="998"/>
    <col min="10790" max="10790" width="11" style="998" bestFit="1" customWidth="1"/>
    <col min="10791" max="10791" width="1.7109375" style="998" customWidth="1"/>
    <col min="10792" max="10792" width="13" style="998" bestFit="1" customWidth="1"/>
    <col min="10793" max="10793" width="1.7109375" style="998" customWidth="1"/>
    <col min="10794" max="10794" width="12.140625" style="998" bestFit="1" customWidth="1"/>
    <col min="10795" max="11015" width="9.140625" style="998"/>
    <col min="11016" max="11017" width="4.7109375" style="998" customWidth="1"/>
    <col min="11018" max="11019" width="12.7109375" style="998" customWidth="1"/>
    <col min="11020" max="11020" width="10.140625" style="998" customWidth="1"/>
    <col min="11021" max="11021" width="1.85546875" style="998" customWidth="1"/>
    <col min="11022" max="11022" width="15.5703125" style="998" customWidth="1"/>
    <col min="11023" max="11023" width="2.7109375" style="998" customWidth="1"/>
    <col min="11024" max="11024" width="14.85546875" style="998" customWidth="1"/>
    <col min="11025" max="11025" width="2.7109375" style="998" customWidth="1"/>
    <col min="11026" max="11026" width="13.7109375" style="998" bestFit="1" customWidth="1"/>
    <col min="11027" max="11027" width="2.7109375" style="998" customWidth="1"/>
    <col min="11028" max="11028" width="13.42578125" style="998" customWidth="1"/>
    <col min="11029" max="11029" width="2.7109375" style="998" customWidth="1"/>
    <col min="11030" max="11030" width="13.7109375" style="998" customWidth="1"/>
    <col min="11031" max="11031" width="9.140625" style="998"/>
    <col min="11032" max="11032" width="13" style="998" bestFit="1" customWidth="1"/>
    <col min="11033" max="11033" width="9.140625" style="998"/>
    <col min="11034" max="11034" width="13" style="998" bestFit="1" customWidth="1"/>
    <col min="11035" max="11035" width="9.140625" style="998"/>
    <col min="11036" max="11036" width="12.140625" style="998" bestFit="1" customWidth="1"/>
    <col min="11037" max="11037" width="9.140625" style="998"/>
    <col min="11038" max="11038" width="9" style="998" customWidth="1"/>
    <col min="11039" max="11039" width="0" style="998" hidden="1" customWidth="1"/>
    <col min="11040" max="11040" width="10.140625" style="998" bestFit="1" customWidth="1"/>
    <col min="11041" max="11041" width="1.7109375" style="998" customWidth="1"/>
    <col min="11042" max="11042" width="10.140625" style="998" bestFit="1" customWidth="1"/>
    <col min="11043" max="11043" width="1.7109375" style="998" customWidth="1"/>
    <col min="11044" max="11044" width="10.140625" style="998" bestFit="1" customWidth="1"/>
    <col min="11045" max="11045" width="9.140625" style="998"/>
    <col min="11046" max="11046" width="11" style="998" bestFit="1" customWidth="1"/>
    <col min="11047" max="11047" width="1.7109375" style="998" customWidth="1"/>
    <col min="11048" max="11048" width="13" style="998" bestFit="1" customWidth="1"/>
    <col min="11049" max="11049" width="1.7109375" style="998" customWidth="1"/>
    <col min="11050" max="11050" width="12.140625" style="998" bestFit="1" customWidth="1"/>
    <col min="11051" max="11271" width="9.140625" style="998"/>
    <col min="11272" max="11273" width="4.7109375" style="998" customWidth="1"/>
    <col min="11274" max="11275" width="12.7109375" style="998" customWidth="1"/>
    <col min="11276" max="11276" width="10.140625" style="998" customWidth="1"/>
    <col min="11277" max="11277" width="1.85546875" style="998" customWidth="1"/>
    <col min="11278" max="11278" width="15.5703125" style="998" customWidth="1"/>
    <col min="11279" max="11279" width="2.7109375" style="998" customWidth="1"/>
    <col min="11280" max="11280" width="14.85546875" style="998" customWidth="1"/>
    <col min="11281" max="11281" width="2.7109375" style="998" customWidth="1"/>
    <col min="11282" max="11282" width="13.7109375" style="998" bestFit="1" customWidth="1"/>
    <col min="11283" max="11283" width="2.7109375" style="998" customWidth="1"/>
    <col min="11284" max="11284" width="13.42578125" style="998" customWidth="1"/>
    <col min="11285" max="11285" width="2.7109375" style="998" customWidth="1"/>
    <col min="11286" max="11286" width="13.7109375" style="998" customWidth="1"/>
    <col min="11287" max="11287" width="9.140625" style="998"/>
    <col min="11288" max="11288" width="13" style="998" bestFit="1" customWidth="1"/>
    <col min="11289" max="11289" width="9.140625" style="998"/>
    <col min="11290" max="11290" width="13" style="998" bestFit="1" customWidth="1"/>
    <col min="11291" max="11291" width="9.140625" style="998"/>
    <col min="11292" max="11292" width="12.140625" style="998" bestFit="1" customWidth="1"/>
    <col min="11293" max="11293" width="9.140625" style="998"/>
    <col min="11294" max="11294" width="9" style="998" customWidth="1"/>
    <col min="11295" max="11295" width="0" style="998" hidden="1" customWidth="1"/>
    <col min="11296" max="11296" width="10.140625" style="998" bestFit="1" customWidth="1"/>
    <col min="11297" max="11297" width="1.7109375" style="998" customWidth="1"/>
    <col min="11298" max="11298" width="10.140625" style="998" bestFit="1" customWidth="1"/>
    <col min="11299" max="11299" width="1.7109375" style="998" customWidth="1"/>
    <col min="11300" max="11300" width="10.140625" style="998" bestFit="1" customWidth="1"/>
    <col min="11301" max="11301" width="9.140625" style="998"/>
    <col min="11302" max="11302" width="11" style="998" bestFit="1" customWidth="1"/>
    <col min="11303" max="11303" width="1.7109375" style="998" customWidth="1"/>
    <col min="11304" max="11304" width="13" style="998" bestFit="1" customWidth="1"/>
    <col min="11305" max="11305" width="1.7109375" style="998" customWidth="1"/>
    <col min="11306" max="11306" width="12.140625" style="998" bestFit="1" customWidth="1"/>
    <col min="11307" max="11527" width="9.140625" style="998"/>
    <col min="11528" max="11529" width="4.7109375" style="998" customWidth="1"/>
    <col min="11530" max="11531" width="12.7109375" style="998" customWidth="1"/>
    <col min="11532" max="11532" width="10.140625" style="998" customWidth="1"/>
    <col min="11533" max="11533" width="1.85546875" style="998" customWidth="1"/>
    <col min="11534" max="11534" width="15.5703125" style="998" customWidth="1"/>
    <col min="11535" max="11535" width="2.7109375" style="998" customWidth="1"/>
    <col min="11536" max="11536" width="14.85546875" style="998" customWidth="1"/>
    <col min="11537" max="11537" width="2.7109375" style="998" customWidth="1"/>
    <col min="11538" max="11538" width="13.7109375" style="998" bestFit="1" customWidth="1"/>
    <col min="11539" max="11539" width="2.7109375" style="998" customWidth="1"/>
    <col min="11540" max="11540" width="13.42578125" style="998" customWidth="1"/>
    <col min="11541" max="11541" width="2.7109375" style="998" customWidth="1"/>
    <col min="11542" max="11542" width="13.7109375" style="998" customWidth="1"/>
    <col min="11543" max="11543" width="9.140625" style="998"/>
    <col min="11544" max="11544" width="13" style="998" bestFit="1" customWidth="1"/>
    <col min="11545" max="11545" width="9.140625" style="998"/>
    <col min="11546" max="11546" width="13" style="998" bestFit="1" customWidth="1"/>
    <col min="11547" max="11547" width="9.140625" style="998"/>
    <col min="11548" max="11548" width="12.140625" style="998" bestFit="1" customWidth="1"/>
    <col min="11549" max="11549" width="9.140625" style="998"/>
    <col min="11550" max="11550" width="9" style="998" customWidth="1"/>
    <col min="11551" max="11551" width="0" style="998" hidden="1" customWidth="1"/>
    <col min="11552" max="11552" width="10.140625" style="998" bestFit="1" customWidth="1"/>
    <col min="11553" max="11553" width="1.7109375" style="998" customWidth="1"/>
    <col min="11554" max="11554" width="10.140625" style="998" bestFit="1" customWidth="1"/>
    <col min="11555" max="11555" width="1.7109375" style="998" customWidth="1"/>
    <col min="11556" max="11556" width="10.140625" style="998" bestFit="1" customWidth="1"/>
    <col min="11557" max="11557" width="9.140625" style="998"/>
    <col min="11558" max="11558" width="11" style="998" bestFit="1" customWidth="1"/>
    <col min="11559" max="11559" width="1.7109375" style="998" customWidth="1"/>
    <col min="11560" max="11560" width="13" style="998" bestFit="1" customWidth="1"/>
    <col min="11561" max="11561" width="1.7109375" style="998" customWidth="1"/>
    <col min="11562" max="11562" width="12.140625" style="998" bestFit="1" customWidth="1"/>
    <col min="11563" max="11783" width="9.140625" style="998"/>
    <col min="11784" max="11785" width="4.7109375" style="998" customWidth="1"/>
    <col min="11786" max="11787" width="12.7109375" style="998" customWidth="1"/>
    <col min="11788" max="11788" width="10.140625" style="998" customWidth="1"/>
    <col min="11789" max="11789" width="1.85546875" style="998" customWidth="1"/>
    <col min="11790" max="11790" width="15.5703125" style="998" customWidth="1"/>
    <col min="11791" max="11791" width="2.7109375" style="998" customWidth="1"/>
    <col min="11792" max="11792" width="14.85546875" style="998" customWidth="1"/>
    <col min="11793" max="11793" width="2.7109375" style="998" customWidth="1"/>
    <col min="11794" max="11794" width="13.7109375" style="998" bestFit="1" customWidth="1"/>
    <col min="11795" max="11795" width="2.7109375" style="998" customWidth="1"/>
    <col min="11796" max="11796" width="13.42578125" style="998" customWidth="1"/>
    <col min="11797" max="11797" width="2.7109375" style="998" customWidth="1"/>
    <col min="11798" max="11798" width="13.7109375" style="998" customWidth="1"/>
    <col min="11799" max="11799" width="9.140625" style="998"/>
    <col min="11800" max="11800" width="13" style="998" bestFit="1" customWidth="1"/>
    <col min="11801" max="11801" width="9.140625" style="998"/>
    <col min="11802" max="11802" width="13" style="998" bestFit="1" customWidth="1"/>
    <col min="11803" max="11803" width="9.140625" style="998"/>
    <col min="11804" max="11804" width="12.140625" style="998" bestFit="1" customWidth="1"/>
    <col min="11805" max="11805" width="9.140625" style="998"/>
    <col min="11806" max="11806" width="9" style="998" customWidth="1"/>
    <col min="11807" max="11807" width="0" style="998" hidden="1" customWidth="1"/>
    <col min="11808" max="11808" width="10.140625" style="998" bestFit="1" customWidth="1"/>
    <col min="11809" max="11809" width="1.7109375" style="998" customWidth="1"/>
    <col min="11810" max="11810" width="10.140625" style="998" bestFit="1" customWidth="1"/>
    <col min="11811" max="11811" width="1.7109375" style="998" customWidth="1"/>
    <col min="11812" max="11812" width="10.140625" style="998" bestFit="1" customWidth="1"/>
    <col min="11813" max="11813" width="9.140625" style="998"/>
    <col min="11814" max="11814" width="11" style="998" bestFit="1" customWidth="1"/>
    <col min="11815" max="11815" width="1.7109375" style="998" customWidth="1"/>
    <col min="11816" max="11816" width="13" style="998" bestFit="1" customWidth="1"/>
    <col min="11817" max="11817" width="1.7109375" style="998" customWidth="1"/>
    <col min="11818" max="11818" width="12.140625" style="998" bestFit="1" customWidth="1"/>
    <col min="11819" max="12039" width="9.140625" style="998"/>
    <col min="12040" max="12041" width="4.7109375" style="998" customWidth="1"/>
    <col min="12042" max="12043" width="12.7109375" style="998" customWidth="1"/>
    <col min="12044" max="12044" width="10.140625" style="998" customWidth="1"/>
    <col min="12045" max="12045" width="1.85546875" style="998" customWidth="1"/>
    <col min="12046" max="12046" width="15.5703125" style="998" customWidth="1"/>
    <col min="12047" max="12047" width="2.7109375" style="998" customWidth="1"/>
    <col min="12048" max="12048" width="14.85546875" style="998" customWidth="1"/>
    <col min="12049" max="12049" width="2.7109375" style="998" customWidth="1"/>
    <col min="12050" max="12050" width="13.7109375" style="998" bestFit="1" customWidth="1"/>
    <col min="12051" max="12051" width="2.7109375" style="998" customWidth="1"/>
    <col min="12052" max="12052" width="13.42578125" style="998" customWidth="1"/>
    <col min="12053" max="12053" width="2.7109375" style="998" customWidth="1"/>
    <col min="12054" max="12054" width="13.7109375" style="998" customWidth="1"/>
    <col min="12055" max="12055" width="9.140625" style="998"/>
    <col min="12056" max="12056" width="13" style="998" bestFit="1" customWidth="1"/>
    <col min="12057" max="12057" width="9.140625" style="998"/>
    <col min="12058" max="12058" width="13" style="998" bestFit="1" customWidth="1"/>
    <col min="12059" max="12059" width="9.140625" style="998"/>
    <col min="12060" max="12060" width="12.140625" style="998" bestFit="1" customWidth="1"/>
    <col min="12061" max="12061" width="9.140625" style="998"/>
    <col min="12062" max="12062" width="9" style="998" customWidth="1"/>
    <col min="12063" max="12063" width="0" style="998" hidden="1" customWidth="1"/>
    <col min="12064" max="12064" width="10.140625" style="998" bestFit="1" customWidth="1"/>
    <col min="12065" max="12065" width="1.7109375" style="998" customWidth="1"/>
    <col min="12066" max="12066" width="10.140625" style="998" bestFit="1" customWidth="1"/>
    <col min="12067" max="12067" width="1.7109375" style="998" customWidth="1"/>
    <col min="12068" max="12068" width="10.140625" style="998" bestFit="1" customWidth="1"/>
    <col min="12069" max="12069" width="9.140625" style="998"/>
    <col min="12070" max="12070" width="11" style="998" bestFit="1" customWidth="1"/>
    <col min="12071" max="12071" width="1.7109375" style="998" customWidth="1"/>
    <col min="12072" max="12072" width="13" style="998" bestFit="1" customWidth="1"/>
    <col min="12073" max="12073" width="1.7109375" style="998" customWidth="1"/>
    <col min="12074" max="12074" width="12.140625" style="998" bestFit="1" customWidth="1"/>
    <col min="12075" max="12295" width="9.140625" style="998"/>
    <col min="12296" max="12297" width="4.7109375" style="998" customWidth="1"/>
    <col min="12298" max="12299" width="12.7109375" style="998" customWidth="1"/>
    <col min="12300" max="12300" width="10.140625" style="998" customWidth="1"/>
    <col min="12301" max="12301" width="1.85546875" style="998" customWidth="1"/>
    <col min="12302" max="12302" width="15.5703125" style="998" customWidth="1"/>
    <col min="12303" max="12303" width="2.7109375" style="998" customWidth="1"/>
    <col min="12304" max="12304" width="14.85546875" style="998" customWidth="1"/>
    <col min="12305" max="12305" width="2.7109375" style="998" customWidth="1"/>
    <col min="12306" max="12306" width="13.7109375" style="998" bestFit="1" customWidth="1"/>
    <col min="12307" max="12307" width="2.7109375" style="998" customWidth="1"/>
    <col min="12308" max="12308" width="13.42578125" style="998" customWidth="1"/>
    <col min="12309" max="12309" width="2.7109375" style="998" customWidth="1"/>
    <col min="12310" max="12310" width="13.7109375" style="998" customWidth="1"/>
    <col min="12311" max="12311" width="9.140625" style="998"/>
    <col min="12312" max="12312" width="13" style="998" bestFit="1" customWidth="1"/>
    <col min="12313" max="12313" width="9.140625" style="998"/>
    <col min="12314" max="12314" width="13" style="998" bestFit="1" customWidth="1"/>
    <col min="12315" max="12315" width="9.140625" style="998"/>
    <col min="12316" max="12316" width="12.140625" style="998" bestFit="1" customWidth="1"/>
    <col min="12317" max="12317" width="9.140625" style="998"/>
    <col min="12318" max="12318" width="9" style="998" customWidth="1"/>
    <col min="12319" max="12319" width="0" style="998" hidden="1" customWidth="1"/>
    <col min="12320" max="12320" width="10.140625" style="998" bestFit="1" customWidth="1"/>
    <col min="12321" max="12321" width="1.7109375" style="998" customWidth="1"/>
    <col min="12322" max="12322" width="10.140625" style="998" bestFit="1" customWidth="1"/>
    <col min="12323" max="12323" width="1.7109375" style="998" customWidth="1"/>
    <col min="12324" max="12324" width="10.140625" style="998" bestFit="1" customWidth="1"/>
    <col min="12325" max="12325" width="9.140625" style="998"/>
    <col min="12326" max="12326" width="11" style="998" bestFit="1" customWidth="1"/>
    <col min="12327" max="12327" width="1.7109375" style="998" customWidth="1"/>
    <col min="12328" max="12328" width="13" style="998" bestFit="1" customWidth="1"/>
    <col min="12329" max="12329" width="1.7109375" style="998" customWidth="1"/>
    <col min="12330" max="12330" width="12.140625" style="998" bestFit="1" customWidth="1"/>
    <col min="12331" max="12551" width="9.140625" style="998"/>
    <col min="12552" max="12553" width="4.7109375" style="998" customWidth="1"/>
    <col min="12554" max="12555" width="12.7109375" style="998" customWidth="1"/>
    <col min="12556" max="12556" width="10.140625" style="998" customWidth="1"/>
    <col min="12557" max="12557" width="1.85546875" style="998" customWidth="1"/>
    <col min="12558" max="12558" width="15.5703125" style="998" customWidth="1"/>
    <col min="12559" max="12559" width="2.7109375" style="998" customWidth="1"/>
    <col min="12560" max="12560" width="14.85546875" style="998" customWidth="1"/>
    <col min="12561" max="12561" width="2.7109375" style="998" customWidth="1"/>
    <col min="12562" max="12562" width="13.7109375" style="998" bestFit="1" customWidth="1"/>
    <col min="12563" max="12563" width="2.7109375" style="998" customWidth="1"/>
    <col min="12564" max="12564" width="13.42578125" style="998" customWidth="1"/>
    <col min="12565" max="12565" width="2.7109375" style="998" customWidth="1"/>
    <col min="12566" max="12566" width="13.7109375" style="998" customWidth="1"/>
    <col min="12567" max="12567" width="9.140625" style="998"/>
    <col min="12568" max="12568" width="13" style="998" bestFit="1" customWidth="1"/>
    <col min="12569" max="12569" width="9.140625" style="998"/>
    <col min="12570" max="12570" width="13" style="998" bestFit="1" customWidth="1"/>
    <col min="12571" max="12571" width="9.140625" style="998"/>
    <col min="12572" max="12572" width="12.140625" style="998" bestFit="1" customWidth="1"/>
    <col min="12573" max="12573" width="9.140625" style="998"/>
    <col min="12574" max="12574" width="9" style="998" customWidth="1"/>
    <col min="12575" max="12575" width="0" style="998" hidden="1" customWidth="1"/>
    <col min="12576" max="12576" width="10.140625" style="998" bestFit="1" customWidth="1"/>
    <col min="12577" max="12577" width="1.7109375" style="998" customWidth="1"/>
    <col min="12578" max="12578" width="10.140625" style="998" bestFit="1" customWidth="1"/>
    <col min="12579" max="12579" width="1.7109375" style="998" customWidth="1"/>
    <col min="12580" max="12580" width="10.140625" style="998" bestFit="1" customWidth="1"/>
    <col min="12581" max="12581" width="9.140625" style="998"/>
    <col min="12582" max="12582" width="11" style="998" bestFit="1" customWidth="1"/>
    <col min="12583" max="12583" width="1.7109375" style="998" customWidth="1"/>
    <col min="12584" max="12584" width="13" style="998" bestFit="1" customWidth="1"/>
    <col min="12585" max="12585" width="1.7109375" style="998" customWidth="1"/>
    <col min="12586" max="12586" width="12.140625" style="998" bestFit="1" customWidth="1"/>
    <col min="12587" max="12807" width="9.140625" style="998"/>
    <col min="12808" max="12809" width="4.7109375" style="998" customWidth="1"/>
    <col min="12810" max="12811" width="12.7109375" style="998" customWidth="1"/>
    <col min="12812" max="12812" width="10.140625" style="998" customWidth="1"/>
    <col min="12813" max="12813" width="1.85546875" style="998" customWidth="1"/>
    <col min="12814" max="12814" width="15.5703125" style="998" customWidth="1"/>
    <col min="12815" max="12815" width="2.7109375" style="998" customWidth="1"/>
    <col min="12816" max="12816" width="14.85546875" style="998" customWidth="1"/>
    <col min="12817" max="12817" width="2.7109375" style="998" customWidth="1"/>
    <col min="12818" max="12818" width="13.7109375" style="998" bestFit="1" customWidth="1"/>
    <col min="12819" max="12819" width="2.7109375" style="998" customWidth="1"/>
    <col min="12820" max="12820" width="13.42578125" style="998" customWidth="1"/>
    <col min="12821" max="12821" width="2.7109375" style="998" customWidth="1"/>
    <col min="12822" max="12822" width="13.7109375" style="998" customWidth="1"/>
    <col min="12823" max="12823" width="9.140625" style="998"/>
    <col min="12824" max="12824" width="13" style="998" bestFit="1" customWidth="1"/>
    <col min="12825" max="12825" width="9.140625" style="998"/>
    <col min="12826" max="12826" width="13" style="998" bestFit="1" customWidth="1"/>
    <col min="12827" max="12827" width="9.140625" style="998"/>
    <col min="12828" max="12828" width="12.140625" style="998" bestFit="1" customWidth="1"/>
    <col min="12829" max="12829" width="9.140625" style="998"/>
    <col min="12830" max="12830" width="9" style="998" customWidth="1"/>
    <col min="12831" max="12831" width="0" style="998" hidden="1" customWidth="1"/>
    <col min="12832" max="12832" width="10.140625" style="998" bestFit="1" customWidth="1"/>
    <col min="12833" max="12833" width="1.7109375" style="998" customWidth="1"/>
    <col min="12834" max="12834" width="10.140625" style="998" bestFit="1" customWidth="1"/>
    <col min="12835" max="12835" width="1.7109375" style="998" customWidth="1"/>
    <col min="12836" max="12836" width="10.140625" style="998" bestFit="1" customWidth="1"/>
    <col min="12837" max="12837" width="9.140625" style="998"/>
    <col min="12838" max="12838" width="11" style="998" bestFit="1" customWidth="1"/>
    <col min="12839" max="12839" width="1.7109375" style="998" customWidth="1"/>
    <col min="12840" max="12840" width="13" style="998" bestFit="1" customWidth="1"/>
    <col min="12841" max="12841" width="1.7109375" style="998" customWidth="1"/>
    <col min="12842" max="12842" width="12.140625" style="998" bestFit="1" customWidth="1"/>
    <col min="12843" max="13063" width="9.140625" style="998"/>
    <col min="13064" max="13065" width="4.7109375" style="998" customWidth="1"/>
    <col min="13066" max="13067" width="12.7109375" style="998" customWidth="1"/>
    <col min="13068" max="13068" width="10.140625" style="998" customWidth="1"/>
    <col min="13069" max="13069" width="1.85546875" style="998" customWidth="1"/>
    <col min="13070" max="13070" width="15.5703125" style="998" customWidth="1"/>
    <col min="13071" max="13071" width="2.7109375" style="998" customWidth="1"/>
    <col min="13072" max="13072" width="14.85546875" style="998" customWidth="1"/>
    <col min="13073" max="13073" width="2.7109375" style="998" customWidth="1"/>
    <col min="13074" max="13074" width="13.7109375" style="998" bestFit="1" customWidth="1"/>
    <col min="13075" max="13075" width="2.7109375" style="998" customWidth="1"/>
    <col min="13076" max="13076" width="13.42578125" style="998" customWidth="1"/>
    <col min="13077" max="13077" width="2.7109375" style="998" customWidth="1"/>
    <col min="13078" max="13078" width="13.7109375" style="998" customWidth="1"/>
    <col min="13079" max="13079" width="9.140625" style="998"/>
    <col min="13080" max="13080" width="13" style="998" bestFit="1" customWidth="1"/>
    <col min="13081" max="13081" width="9.140625" style="998"/>
    <col min="13082" max="13082" width="13" style="998" bestFit="1" customWidth="1"/>
    <col min="13083" max="13083" width="9.140625" style="998"/>
    <col min="13084" max="13084" width="12.140625" style="998" bestFit="1" customWidth="1"/>
    <col min="13085" max="13085" width="9.140625" style="998"/>
    <col min="13086" max="13086" width="9" style="998" customWidth="1"/>
    <col min="13087" max="13087" width="0" style="998" hidden="1" customWidth="1"/>
    <col min="13088" max="13088" width="10.140625" style="998" bestFit="1" customWidth="1"/>
    <col min="13089" max="13089" width="1.7109375" style="998" customWidth="1"/>
    <col min="13090" max="13090" width="10.140625" style="998" bestFit="1" customWidth="1"/>
    <col min="13091" max="13091" width="1.7109375" style="998" customWidth="1"/>
    <col min="13092" max="13092" width="10.140625" style="998" bestFit="1" customWidth="1"/>
    <col min="13093" max="13093" width="9.140625" style="998"/>
    <col min="13094" max="13094" width="11" style="998" bestFit="1" customWidth="1"/>
    <col min="13095" max="13095" width="1.7109375" style="998" customWidth="1"/>
    <col min="13096" max="13096" width="13" style="998" bestFit="1" customWidth="1"/>
    <col min="13097" max="13097" width="1.7109375" style="998" customWidth="1"/>
    <col min="13098" max="13098" width="12.140625" style="998" bestFit="1" customWidth="1"/>
    <col min="13099" max="13319" width="9.140625" style="998"/>
    <col min="13320" max="13321" width="4.7109375" style="998" customWidth="1"/>
    <col min="13322" max="13323" width="12.7109375" style="998" customWidth="1"/>
    <col min="13324" max="13324" width="10.140625" style="998" customWidth="1"/>
    <col min="13325" max="13325" width="1.85546875" style="998" customWidth="1"/>
    <col min="13326" max="13326" width="15.5703125" style="998" customWidth="1"/>
    <col min="13327" max="13327" width="2.7109375" style="998" customWidth="1"/>
    <col min="13328" max="13328" width="14.85546875" style="998" customWidth="1"/>
    <col min="13329" max="13329" width="2.7109375" style="998" customWidth="1"/>
    <col min="13330" max="13330" width="13.7109375" style="998" bestFit="1" customWidth="1"/>
    <col min="13331" max="13331" width="2.7109375" style="998" customWidth="1"/>
    <col min="13332" max="13332" width="13.42578125" style="998" customWidth="1"/>
    <col min="13333" max="13333" width="2.7109375" style="998" customWidth="1"/>
    <col min="13334" max="13334" width="13.7109375" style="998" customWidth="1"/>
    <col min="13335" max="13335" width="9.140625" style="998"/>
    <col min="13336" max="13336" width="13" style="998" bestFit="1" customWidth="1"/>
    <col min="13337" max="13337" width="9.140625" style="998"/>
    <col min="13338" max="13338" width="13" style="998" bestFit="1" customWidth="1"/>
    <col min="13339" max="13339" width="9.140625" style="998"/>
    <col min="13340" max="13340" width="12.140625" style="998" bestFit="1" customWidth="1"/>
    <col min="13341" max="13341" width="9.140625" style="998"/>
    <col min="13342" max="13342" width="9" style="998" customWidth="1"/>
    <col min="13343" max="13343" width="0" style="998" hidden="1" customWidth="1"/>
    <col min="13344" max="13344" width="10.140625" style="998" bestFit="1" customWidth="1"/>
    <col min="13345" max="13345" width="1.7109375" style="998" customWidth="1"/>
    <col min="13346" max="13346" width="10.140625" style="998" bestFit="1" customWidth="1"/>
    <col min="13347" max="13347" width="1.7109375" style="998" customWidth="1"/>
    <col min="13348" max="13348" width="10.140625" style="998" bestFit="1" customWidth="1"/>
    <col min="13349" max="13349" width="9.140625" style="998"/>
    <col min="13350" max="13350" width="11" style="998" bestFit="1" customWidth="1"/>
    <col min="13351" max="13351" width="1.7109375" style="998" customWidth="1"/>
    <col min="13352" max="13352" width="13" style="998" bestFit="1" customWidth="1"/>
    <col min="13353" max="13353" width="1.7109375" style="998" customWidth="1"/>
    <col min="13354" max="13354" width="12.140625" style="998" bestFit="1" customWidth="1"/>
    <col min="13355" max="13575" width="9.140625" style="998"/>
    <col min="13576" max="13577" width="4.7109375" style="998" customWidth="1"/>
    <col min="13578" max="13579" width="12.7109375" style="998" customWidth="1"/>
    <col min="13580" max="13580" width="10.140625" style="998" customWidth="1"/>
    <col min="13581" max="13581" width="1.85546875" style="998" customWidth="1"/>
    <col min="13582" max="13582" width="15.5703125" style="998" customWidth="1"/>
    <col min="13583" max="13583" width="2.7109375" style="998" customWidth="1"/>
    <col min="13584" max="13584" width="14.85546875" style="998" customWidth="1"/>
    <col min="13585" max="13585" width="2.7109375" style="998" customWidth="1"/>
    <col min="13586" max="13586" width="13.7109375" style="998" bestFit="1" customWidth="1"/>
    <col min="13587" max="13587" width="2.7109375" style="998" customWidth="1"/>
    <col min="13588" max="13588" width="13.42578125" style="998" customWidth="1"/>
    <col min="13589" max="13589" width="2.7109375" style="998" customWidth="1"/>
    <col min="13590" max="13590" width="13.7109375" style="998" customWidth="1"/>
    <col min="13591" max="13591" width="9.140625" style="998"/>
    <col min="13592" max="13592" width="13" style="998" bestFit="1" customWidth="1"/>
    <col min="13593" max="13593" width="9.140625" style="998"/>
    <col min="13594" max="13594" width="13" style="998" bestFit="1" customWidth="1"/>
    <col min="13595" max="13595" width="9.140625" style="998"/>
    <col min="13596" max="13596" width="12.140625" style="998" bestFit="1" customWidth="1"/>
    <col min="13597" max="13597" width="9.140625" style="998"/>
    <col min="13598" max="13598" width="9" style="998" customWidth="1"/>
    <col min="13599" max="13599" width="0" style="998" hidden="1" customWidth="1"/>
    <col min="13600" max="13600" width="10.140625" style="998" bestFit="1" customWidth="1"/>
    <col min="13601" max="13601" width="1.7109375" style="998" customWidth="1"/>
    <col min="13602" max="13602" width="10.140625" style="998" bestFit="1" customWidth="1"/>
    <col min="13603" max="13603" width="1.7109375" style="998" customWidth="1"/>
    <col min="13604" max="13604" width="10.140625" style="998" bestFit="1" customWidth="1"/>
    <col min="13605" max="13605" width="9.140625" style="998"/>
    <col min="13606" max="13606" width="11" style="998" bestFit="1" customWidth="1"/>
    <col min="13607" max="13607" width="1.7109375" style="998" customWidth="1"/>
    <col min="13608" max="13608" width="13" style="998" bestFit="1" customWidth="1"/>
    <col min="13609" max="13609" width="1.7109375" style="998" customWidth="1"/>
    <col min="13610" max="13610" width="12.140625" style="998" bestFit="1" customWidth="1"/>
    <col min="13611" max="13831" width="9.140625" style="998"/>
    <col min="13832" max="13833" width="4.7109375" style="998" customWidth="1"/>
    <col min="13834" max="13835" width="12.7109375" style="998" customWidth="1"/>
    <col min="13836" max="13836" width="10.140625" style="998" customWidth="1"/>
    <col min="13837" max="13837" width="1.85546875" style="998" customWidth="1"/>
    <col min="13838" max="13838" width="15.5703125" style="998" customWidth="1"/>
    <col min="13839" max="13839" width="2.7109375" style="998" customWidth="1"/>
    <col min="13840" max="13840" width="14.85546875" style="998" customWidth="1"/>
    <col min="13841" max="13841" width="2.7109375" style="998" customWidth="1"/>
    <col min="13842" max="13842" width="13.7109375" style="998" bestFit="1" customWidth="1"/>
    <col min="13843" max="13843" width="2.7109375" style="998" customWidth="1"/>
    <col min="13844" max="13844" width="13.42578125" style="998" customWidth="1"/>
    <col min="13845" max="13845" width="2.7109375" style="998" customWidth="1"/>
    <col min="13846" max="13846" width="13.7109375" style="998" customWidth="1"/>
    <col min="13847" max="13847" width="9.140625" style="998"/>
    <col min="13848" max="13848" width="13" style="998" bestFit="1" customWidth="1"/>
    <col min="13849" max="13849" width="9.140625" style="998"/>
    <col min="13850" max="13850" width="13" style="998" bestFit="1" customWidth="1"/>
    <col min="13851" max="13851" width="9.140625" style="998"/>
    <col min="13852" max="13852" width="12.140625" style="998" bestFit="1" customWidth="1"/>
    <col min="13853" max="13853" width="9.140625" style="998"/>
    <col min="13854" max="13854" width="9" style="998" customWidth="1"/>
    <col min="13855" max="13855" width="0" style="998" hidden="1" customWidth="1"/>
    <col min="13856" max="13856" width="10.140625" style="998" bestFit="1" customWidth="1"/>
    <col min="13857" max="13857" width="1.7109375" style="998" customWidth="1"/>
    <col min="13858" max="13858" width="10.140625" style="998" bestFit="1" customWidth="1"/>
    <col min="13859" max="13859" width="1.7109375" style="998" customWidth="1"/>
    <col min="13860" max="13860" width="10.140625" style="998" bestFit="1" customWidth="1"/>
    <col min="13861" max="13861" width="9.140625" style="998"/>
    <col min="13862" max="13862" width="11" style="998" bestFit="1" customWidth="1"/>
    <col min="13863" max="13863" width="1.7109375" style="998" customWidth="1"/>
    <col min="13864" max="13864" width="13" style="998" bestFit="1" customWidth="1"/>
    <col min="13865" max="13865" width="1.7109375" style="998" customWidth="1"/>
    <col min="13866" max="13866" width="12.140625" style="998" bestFit="1" customWidth="1"/>
    <col min="13867" max="14087" width="9.140625" style="998"/>
    <col min="14088" max="14089" width="4.7109375" style="998" customWidth="1"/>
    <col min="14090" max="14091" width="12.7109375" style="998" customWidth="1"/>
    <col min="14092" max="14092" width="10.140625" style="998" customWidth="1"/>
    <col min="14093" max="14093" width="1.85546875" style="998" customWidth="1"/>
    <col min="14094" max="14094" width="15.5703125" style="998" customWidth="1"/>
    <col min="14095" max="14095" width="2.7109375" style="998" customWidth="1"/>
    <col min="14096" max="14096" width="14.85546875" style="998" customWidth="1"/>
    <col min="14097" max="14097" width="2.7109375" style="998" customWidth="1"/>
    <col min="14098" max="14098" width="13.7109375" style="998" bestFit="1" customWidth="1"/>
    <col min="14099" max="14099" width="2.7109375" style="998" customWidth="1"/>
    <col min="14100" max="14100" width="13.42578125" style="998" customWidth="1"/>
    <col min="14101" max="14101" width="2.7109375" style="998" customWidth="1"/>
    <col min="14102" max="14102" width="13.7109375" style="998" customWidth="1"/>
    <col min="14103" max="14103" width="9.140625" style="998"/>
    <col min="14104" max="14104" width="13" style="998" bestFit="1" customWidth="1"/>
    <col min="14105" max="14105" width="9.140625" style="998"/>
    <col min="14106" max="14106" width="13" style="998" bestFit="1" customWidth="1"/>
    <col min="14107" max="14107" width="9.140625" style="998"/>
    <col min="14108" max="14108" width="12.140625" style="998" bestFit="1" customWidth="1"/>
    <col min="14109" max="14109" width="9.140625" style="998"/>
    <col min="14110" max="14110" width="9" style="998" customWidth="1"/>
    <col min="14111" max="14111" width="0" style="998" hidden="1" customWidth="1"/>
    <col min="14112" max="14112" width="10.140625" style="998" bestFit="1" customWidth="1"/>
    <col min="14113" max="14113" width="1.7109375" style="998" customWidth="1"/>
    <col min="14114" max="14114" width="10.140625" style="998" bestFit="1" customWidth="1"/>
    <col min="14115" max="14115" width="1.7109375" style="998" customWidth="1"/>
    <col min="14116" max="14116" width="10.140625" style="998" bestFit="1" customWidth="1"/>
    <col min="14117" max="14117" width="9.140625" style="998"/>
    <col min="14118" max="14118" width="11" style="998" bestFit="1" customWidth="1"/>
    <col min="14119" max="14119" width="1.7109375" style="998" customWidth="1"/>
    <col min="14120" max="14120" width="13" style="998" bestFit="1" customWidth="1"/>
    <col min="14121" max="14121" width="1.7109375" style="998" customWidth="1"/>
    <col min="14122" max="14122" width="12.140625" style="998" bestFit="1" customWidth="1"/>
    <col min="14123" max="14343" width="9.140625" style="998"/>
    <col min="14344" max="14345" width="4.7109375" style="998" customWidth="1"/>
    <col min="14346" max="14347" width="12.7109375" style="998" customWidth="1"/>
    <col min="14348" max="14348" width="10.140625" style="998" customWidth="1"/>
    <col min="14349" max="14349" width="1.85546875" style="998" customWidth="1"/>
    <col min="14350" max="14350" width="15.5703125" style="998" customWidth="1"/>
    <col min="14351" max="14351" width="2.7109375" style="998" customWidth="1"/>
    <col min="14352" max="14352" width="14.85546875" style="998" customWidth="1"/>
    <col min="14353" max="14353" width="2.7109375" style="998" customWidth="1"/>
    <col min="14354" max="14354" width="13.7109375" style="998" bestFit="1" customWidth="1"/>
    <col min="14355" max="14355" width="2.7109375" style="998" customWidth="1"/>
    <col min="14356" max="14356" width="13.42578125" style="998" customWidth="1"/>
    <col min="14357" max="14357" width="2.7109375" style="998" customWidth="1"/>
    <col min="14358" max="14358" width="13.7109375" style="998" customWidth="1"/>
    <col min="14359" max="14359" width="9.140625" style="998"/>
    <col min="14360" max="14360" width="13" style="998" bestFit="1" customWidth="1"/>
    <col min="14361" max="14361" width="9.140625" style="998"/>
    <col min="14362" max="14362" width="13" style="998" bestFit="1" customWidth="1"/>
    <col min="14363" max="14363" width="9.140625" style="998"/>
    <col min="14364" max="14364" width="12.140625" style="998" bestFit="1" customWidth="1"/>
    <col min="14365" max="14365" width="9.140625" style="998"/>
    <col min="14366" max="14366" width="9" style="998" customWidth="1"/>
    <col min="14367" max="14367" width="0" style="998" hidden="1" customWidth="1"/>
    <col min="14368" max="14368" width="10.140625" style="998" bestFit="1" customWidth="1"/>
    <col min="14369" max="14369" width="1.7109375" style="998" customWidth="1"/>
    <col min="14370" max="14370" width="10.140625" style="998" bestFit="1" customWidth="1"/>
    <col min="14371" max="14371" width="1.7109375" style="998" customWidth="1"/>
    <col min="14372" max="14372" width="10.140625" style="998" bestFit="1" customWidth="1"/>
    <col min="14373" max="14373" width="9.140625" style="998"/>
    <col min="14374" max="14374" width="11" style="998" bestFit="1" customWidth="1"/>
    <col min="14375" max="14375" width="1.7109375" style="998" customWidth="1"/>
    <col min="14376" max="14376" width="13" style="998" bestFit="1" customWidth="1"/>
    <col min="14377" max="14377" width="1.7109375" style="998" customWidth="1"/>
    <col min="14378" max="14378" width="12.140625" style="998" bestFit="1" customWidth="1"/>
    <col min="14379" max="14599" width="9.140625" style="998"/>
    <col min="14600" max="14601" width="4.7109375" style="998" customWidth="1"/>
    <col min="14602" max="14603" width="12.7109375" style="998" customWidth="1"/>
    <col min="14604" max="14604" width="10.140625" style="998" customWidth="1"/>
    <col min="14605" max="14605" width="1.85546875" style="998" customWidth="1"/>
    <col min="14606" max="14606" width="15.5703125" style="998" customWidth="1"/>
    <col min="14607" max="14607" width="2.7109375" style="998" customWidth="1"/>
    <col min="14608" max="14608" width="14.85546875" style="998" customWidth="1"/>
    <col min="14609" max="14609" width="2.7109375" style="998" customWidth="1"/>
    <col min="14610" max="14610" width="13.7109375" style="998" bestFit="1" customWidth="1"/>
    <col min="14611" max="14611" width="2.7109375" style="998" customWidth="1"/>
    <col min="14612" max="14612" width="13.42578125" style="998" customWidth="1"/>
    <col min="14613" max="14613" width="2.7109375" style="998" customWidth="1"/>
    <col min="14614" max="14614" width="13.7109375" style="998" customWidth="1"/>
    <col min="14615" max="14615" width="9.140625" style="998"/>
    <col min="14616" max="14616" width="13" style="998" bestFit="1" customWidth="1"/>
    <col min="14617" max="14617" width="9.140625" style="998"/>
    <col min="14618" max="14618" width="13" style="998" bestFit="1" customWidth="1"/>
    <col min="14619" max="14619" width="9.140625" style="998"/>
    <col min="14620" max="14620" width="12.140625" style="998" bestFit="1" customWidth="1"/>
    <col min="14621" max="14621" width="9.140625" style="998"/>
    <col min="14622" max="14622" width="9" style="998" customWidth="1"/>
    <col min="14623" max="14623" width="0" style="998" hidden="1" customWidth="1"/>
    <col min="14624" max="14624" width="10.140625" style="998" bestFit="1" customWidth="1"/>
    <col min="14625" max="14625" width="1.7109375" style="998" customWidth="1"/>
    <col min="14626" max="14626" width="10.140625" style="998" bestFit="1" customWidth="1"/>
    <col min="14627" max="14627" width="1.7109375" style="998" customWidth="1"/>
    <col min="14628" max="14628" width="10.140625" style="998" bestFit="1" customWidth="1"/>
    <col min="14629" max="14629" width="9.140625" style="998"/>
    <col min="14630" max="14630" width="11" style="998" bestFit="1" customWidth="1"/>
    <col min="14631" max="14631" width="1.7109375" style="998" customWidth="1"/>
    <col min="14632" max="14632" width="13" style="998" bestFit="1" customWidth="1"/>
    <col min="14633" max="14633" width="1.7109375" style="998" customWidth="1"/>
    <col min="14634" max="14634" width="12.140625" style="998" bestFit="1" customWidth="1"/>
    <col min="14635" max="14855" width="9.140625" style="998"/>
    <col min="14856" max="14857" width="4.7109375" style="998" customWidth="1"/>
    <col min="14858" max="14859" width="12.7109375" style="998" customWidth="1"/>
    <col min="14860" max="14860" width="10.140625" style="998" customWidth="1"/>
    <col min="14861" max="14861" width="1.85546875" style="998" customWidth="1"/>
    <col min="14862" max="14862" width="15.5703125" style="998" customWidth="1"/>
    <col min="14863" max="14863" width="2.7109375" style="998" customWidth="1"/>
    <col min="14864" max="14864" width="14.85546875" style="998" customWidth="1"/>
    <col min="14865" max="14865" width="2.7109375" style="998" customWidth="1"/>
    <col min="14866" max="14866" width="13.7109375" style="998" bestFit="1" customWidth="1"/>
    <col min="14867" max="14867" width="2.7109375" style="998" customWidth="1"/>
    <col min="14868" max="14868" width="13.42578125" style="998" customWidth="1"/>
    <col min="14869" max="14869" width="2.7109375" style="998" customWidth="1"/>
    <col min="14870" max="14870" width="13.7109375" style="998" customWidth="1"/>
    <col min="14871" max="14871" width="9.140625" style="998"/>
    <col min="14872" max="14872" width="13" style="998" bestFit="1" customWidth="1"/>
    <col min="14873" max="14873" width="9.140625" style="998"/>
    <col min="14874" max="14874" width="13" style="998" bestFit="1" customWidth="1"/>
    <col min="14875" max="14875" width="9.140625" style="998"/>
    <col min="14876" max="14876" width="12.140625" style="998" bestFit="1" customWidth="1"/>
    <col min="14877" max="14877" width="9.140625" style="998"/>
    <col min="14878" max="14878" width="9" style="998" customWidth="1"/>
    <col min="14879" max="14879" width="0" style="998" hidden="1" customWidth="1"/>
    <col min="14880" max="14880" width="10.140625" style="998" bestFit="1" customWidth="1"/>
    <col min="14881" max="14881" width="1.7109375" style="998" customWidth="1"/>
    <col min="14882" max="14882" width="10.140625" style="998" bestFit="1" customWidth="1"/>
    <col min="14883" max="14883" width="1.7109375" style="998" customWidth="1"/>
    <col min="14884" max="14884" width="10.140625" style="998" bestFit="1" customWidth="1"/>
    <col min="14885" max="14885" width="9.140625" style="998"/>
    <col min="14886" max="14886" width="11" style="998" bestFit="1" customWidth="1"/>
    <col min="14887" max="14887" width="1.7109375" style="998" customWidth="1"/>
    <col min="14888" max="14888" width="13" style="998" bestFit="1" customWidth="1"/>
    <col min="14889" max="14889" width="1.7109375" style="998" customWidth="1"/>
    <col min="14890" max="14890" width="12.140625" style="998" bestFit="1" customWidth="1"/>
    <col min="14891" max="15111" width="9.140625" style="998"/>
    <col min="15112" max="15113" width="4.7109375" style="998" customWidth="1"/>
    <col min="15114" max="15115" width="12.7109375" style="998" customWidth="1"/>
    <col min="15116" max="15116" width="10.140625" style="998" customWidth="1"/>
    <col min="15117" max="15117" width="1.85546875" style="998" customWidth="1"/>
    <col min="15118" max="15118" width="15.5703125" style="998" customWidth="1"/>
    <col min="15119" max="15119" width="2.7109375" style="998" customWidth="1"/>
    <col min="15120" max="15120" width="14.85546875" style="998" customWidth="1"/>
    <col min="15121" max="15121" width="2.7109375" style="998" customWidth="1"/>
    <col min="15122" max="15122" width="13.7109375" style="998" bestFit="1" customWidth="1"/>
    <col min="15123" max="15123" width="2.7109375" style="998" customWidth="1"/>
    <col min="15124" max="15124" width="13.42578125" style="998" customWidth="1"/>
    <col min="15125" max="15125" width="2.7109375" style="998" customWidth="1"/>
    <col min="15126" max="15126" width="13.7109375" style="998" customWidth="1"/>
    <col min="15127" max="15127" width="9.140625" style="998"/>
    <col min="15128" max="15128" width="13" style="998" bestFit="1" customWidth="1"/>
    <col min="15129" max="15129" width="9.140625" style="998"/>
    <col min="15130" max="15130" width="13" style="998" bestFit="1" customWidth="1"/>
    <col min="15131" max="15131" width="9.140625" style="998"/>
    <col min="15132" max="15132" width="12.140625" style="998" bestFit="1" customWidth="1"/>
    <col min="15133" max="15133" width="9.140625" style="998"/>
    <col min="15134" max="15134" width="9" style="998" customWidth="1"/>
    <col min="15135" max="15135" width="0" style="998" hidden="1" customWidth="1"/>
    <col min="15136" max="15136" width="10.140625" style="998" bestFit="1" customWidth="1"/>
    <col min="15137" max="15137" width="1.7109375" style="998" customWidth="1"/>
    <col min="15138" max="15138" width="10.140625" style="998" bestFit="1" customWidth="1"/>
    <col min="15139" max="15139" width="1.7109375" style="998" customWidth="1"/>
    <col min="15140" max="15140" width="10.140625" style="998" bestFit="1" customWidth="1"/>
    <col min="15141" max="15141" width="9.140625" style="998"/>
    <col min="15142" max="15142" width="11" style="998" bestFit="1" customWidth="1"/>
    <col min="15143" max="15143" width="1.7109375" style="998" customWidth="1"/>
    <col min="15144" max="15144" width="13" style="998" bestFit="1" customWidth="1"/>
    <col min="15145" max="15145" width="1.7109375" style="998" customWidth="1"/>
    <col min="15146" max="15146" width="12.140625" style="998" bestFit="1" customWidth="1"/>
    <col min="15147" max="15367" width="9.140625" style="998"/>
    <col min="15368" max="15369" width="4.7109375" style="998" customWidth="1"/>
    <col min="15370" max="15371" width="12.7109375" style="998" customWidth="1"/>
    <col min="15372" max="15372" width="10.140625" style="998" customWidth="1"/>
    <col min="15373" max="15373" width="1.85546875" style="998" customWidth="1"/>
    <col min="15374" max="15374" width="15.5703125" style="998" customWidth="1"/>
    <col min="15375" max="15375" width="2.7109375" style="998" customWidth="1"/>
    <col min="15376" max="15376" width="14.85546875" style="998" customWidth="1"/>
    <col min="15377" max="15377" width="2.7109375" style="998" customWidth="1"/>
    <col min="15378" max="15378" width="13.7109375" style="998" bestFit="1" customWidth="1"/>
    <col min="15379" max="15379" width="2.7109375" style="998" customWidth="1"/>
    <col min="15380" max="15380" width="13.42578125" style="998" customWidth="1"/>
    <col min="15381" max="15381" width="2.7109375" style="998" customWidth="1"/>
    <col min="15382" max="15382" width="13.7109375" style="998" customWidth="1"/>
    <col min="15383" max="15383" width="9.140625" style="998"/>
    <col min="15384" max="15384" width="13" style="998" bestFit="1" customWidth="1"/>
    <col min="15385" max="15385" width="9.140625" style="998"/>
    <col min="15386" max="15386" width="13" style="998" bestFit="1" customWidth="1"/>
    <col min="15387" max="15387" width="9.140625" style="998"/>
    <col min="15388" max="15388" width="12.140625" style="998" bestFit="1" customWidth="1"/>
    <col min="15389" max="15389" width="9.140625" style="998"/>
    <col min="15390" max="15390" width="9" style="998" customWidth="1"/>
    <col min="15391" max="15391" width="0" style="998" hidden="1" customWidth="1"/>
    <col min="15392" max="15392" width="10.140625" style="998" bestFit="1" customWidth="1"/>
    <col min="15393" max="15393" width="1.7109375" style="998" customWidth="1"/>
    <col min="15394" max="15394" width="10.140625" style="998" bestFit="1" customWidth="1"/>
    <col min="15395" max="15395" width="1.7109375" style="998" customWidth="1"/>
    <col min="15396" max="15396" width="10.140625" style="998" bestFit="1" customWidth="1"/>
    <col min="15397" max="15397" width="9.140625" style="998"/>
    <col min="15398" max="15398" width="11" style="998" bestFit="1" customWidth="1"/>
    <col min="15399" max="15399" width="1.7109375" style="998" customWidth="1"/>
    <col min="15400" max="15400" width="13" style="998" bestFit="1" customWidth="1"/>
    <col min="15401" max="15401" width="1.7109375" style="998" customWidth="1"/>
    <col min="15402" max="15402" width="12.140625" style="998" bestFit="1" customWidth="1"/>
    <col min="15403" max="15623" width="9.140625" style="998"/>
    <col min="15624" max="15625" width="4.7109375" style="998" customWidth="1"/>
    <col min="15626" max="15627" width="12.7109375" style="998" customWidth="1"/>
    <col min="15628" max="15628" width="10.140625" style="998" customWidth="1"/>
    <col min="15629" max="15629" width="1.85546875" style="998" customWidth="1"/>
    <col min="15630" max="15630" width="15.5703125" style="998" customWidth="1"/>
    <col min="15631" max="15631" width="2.7109375" style="998" customWidth="1"/>
    <col min="15632" max="15632" width="14.85546875" style="998" customWidth="1"/>
    <col min="15633" max="15633" width="2.7109375" style="998" customWidth="1"/>
    <col min="15634" max="15634" width="13.7109375" style="998" bestFit="1" customWidth="1"/>
    <col min="15635" max="15635" width="2.7109375" style="998" customWidth="1"/>
    <col min="15636" max="15636" width="13.42578125" style="998" customWidth="1"/>
    <col min="15637" max="15637" width="2.7109375" style="998" customWidth="1"/>
    <col min="15638" max="15638" width="13.7109375" style="998" customWidth="1"/>
    <col min="15639" max="15639" width="9.140625" style="998"/>
    <col min="15640" max="15640" width="13" style="998" bestFit="1" customWidth="1"/>
    <col min="15641" max="15641" width="9.140625" style="998"/>
    <col min="15642" max="15642" width="13" style="998" bestFit="1" customWidth="1"/>
    <col min="15643" max="15643" width="9.140625" style="998"/>
    <col min="15644" max="15644" width="12.140625" style="998" bestFit="1" customWidth="1"/>
    <col min="15645" max="15645" width="9.140625" style="998"/>
    <col min="15646" max="15646" width="9" style="998" customWidth="1"/>
    <col min="15647" max="15647" width="0" style="998" hidden="1" customWidth="1"/>
    <col min="15648" max="15648" width="10.140625" style="998" bestFit="1" customWidth="1"/>
    <col min="15649" max="15649" width="1.7109375" style="998" customWidth="1"/>
    <col min="15650" max="15650" width="10.140625" style="998" bestFit="1" customWidth="1"/>
    <col min="15651" max="15651" width="1.7109375" style="998" customWidth="1"/>
    <col min="15652" max="15652" width="10.140625" style="998" bestFit="1" customWidth="1"/>
    <col min="15653" max="15653" width="9.140625" style="998"/>
    <col min="15654" max="15654" width="11" style="998" bestFit="1" customWidth="1"/>
    <col min="15655" max="15655" width="1.7109375" style="998" customWidth="1"/>
    <col min="15656" max="15656" width="13" style="998" bestFit="1" customWidth="1"/>
    <col min="15657" max="15657" width="1.7109375" style="998" customWidth="1"/>
    <col min="15658" max="15658" width="12.140625" style="998" bestFit="1" customWidth="1"/>
    <col min="15659" max="15879" width="9.140625" style="998"/>
    <col min="15880" max="15881" width="4.7109375" style="998" customWidth="1"/>
    <col min="15882" max="15883" width="12.7109375" style="998" customWidth="1"/>
    <col min="15884" max="15884" width="10.140625" style="998" customWidth="1"/>
    <col min="15885" max="15885" width="1.85546875" style="998" customWidth="1"/>
    <col min="15886" max="15886" width="15.5703125" style="998" customWidth="1"/>
    <col min="15887" max="15887" width="2.7109375" style="998" customWidth="1"/>
    <col min="15888" max="15888" width="14.85546875" style="998" customWidth="1"/>
    <col min="15889" max="15889" width="2.7109375" style="998" customWidth="1"/>
    <col min="15890" max="15890" width="13.7109375" style="998" bestFit="1" customWidth="1"/>
    <col min="15891" max="15891" width="2.7109375" style="998" customWidth="1"/>
    <col min="15892" max="15892" width="13.42578125" style="998" customWidth="1"/>
    <col min="15893" max="15893" width="2.7109375" style="998" customWidth="1"/>
    <col min="15894" max="15894" width="13.7109375" style="998" customWidth="1"/>
    <col min="15895" max="15895" width="9.140625" style="998"/>
    <col min="15896" max="15896" width="13" style="998" bestFit="1" customWidth="1"/>
    <col min="15897" max="15897" width="9.140625" style="998"/>
    <col min="15898" max="15898" width="13" style="998" bestFit="1" customWidth="1"/>
    <col min="15899" max="15899" width="9.140625" style="998"/>
    <col min="15900" max="15900" width="12.140625" style="998" bestFit="1" customWidth="1"/>
    <col min="15901" max="15901" width="9.140625" style="998"/>
    <col min="15902" max="15902" width="9" style="998" customWidth="1"/>
    <col min="15903" max="15903" width="0" style="998" hidden="1" customWidth="1"/>
    <col min="15904" max="15904" width="10.140625" style="998" bestFit="1" customWidth="1"/>
    <col min="15905" max="15905" width="1.7109375" style="998" customWidth="1"/>
    <col min="15906" max="15906" width="10.140625" style="998" bestFit="1" customWidth="1"/>
    <col min="15907" max="15907" width="1.7109375" style="998" customWidth="1"/>
    <col min="15908" max="15908" width="10.140625" style="998" bestFit="1" customWidth="1"/>
    <col min="15909" max="15909" width="9.140625" style="998"/>
    <col min="15910" max="15910" width="11" style="998" bestFit="1" customWidth="1"/>
    <col min="15911" max="15911" width="1.7109375" style="998" customWidth="1"/>
    <col min="15912" max="15912" width="13" style="998" bestFit="1" customWidth="1"/>
    <col min="15913" max="15913" width="1.7109375" style="998" customWidth="1"/>
    <col min="15914" max="15914" width="12.140625" style="998" bestFit="1" customWidth="1"/>
    <col min="15915" max="16135" width="9.140625" style="998"/>
    <col min="16136" max="16137" width="4.7109375" style="998" customWidth="1"/>
    <col min="16138" max="16139" width="12.7109375" style="998" customWidth="1"/>
    <col min="16140" max="16140" width="10.140625" style="998" customWidth="1"/>
    <col min="16141" max="16141" width="1.85546875" style="998" customWidth="1"/>
    <col min="16142" max="16142" width="15.5703125" style="998" customWidth="1"/>
    <col min="16143" max="16143" width="2.7109375" style="998" customWidth="1"/>
    <col min="16144" max="16144" width="14.85546875" style="998" customWidth="1"/>
    <col min="16145" max="16145" width="2.7109375" style="998" customWidth="1"/>
    <col min="16146" max="16146" width="13.7109375" style="998" bestFit="1" customWidth="1"/>
    <col min="16147" max="16147" width="2.7109375" style="998" customWidth="1"/>
    <col min="16148" max="16148" width="13.42578125" style="998" customWidth="1"/>
    <col min="16149" max="16149" width="2.7109375" style="998" customWidth="1"/>
    <col min="16150" max="16150" width="13.7109375" style="998" customWidth="1"/>
    <col min="16151" max="16151" width="9.140625" style="998"/>
    <col min="16152" max="16152" width="13" style="998" bestFit="1" customWidth="1"/>
    <col min="16153" max="16153" width="9.140625" style="998"/>
    <col min="16154" max="16154" width="13" style="998" bestFit="1" customWidth="1"/>
    <col min="16155" max="16155" width="9.140625" style="998"/>
    <col min="16156" max="16156" width="12.140625" style="998" bestFit="1" customWidth="1"/>
    <col min="16157" max="16157" width="9.140625" style="998"/>
    <col min="16158" max="16158" width="9" style="998" customWidth="1"/>
    <col min="16159" max="16159" width="0" style="998" hidden="1" customWidth="1"/>
    <col min="16160" max="16160" width="10.140625" style="998" bestFit="1" customWidth="1"/>
    <col min="16161" max="16161" width="1.7109375" style="998" customWidth="1"/>
    <col min="16162" max="16162" width="10.140625" style="998" bestFit="1" customWidth="1"/>
    <col min="16163" max="16163" width="1.7109375" style="998" customWidth="1"/>
    <col min="16164" max="16164" width="10.140625" style="998" bestFit="1" customWidth="1"/>
    <col min="16165" max="16165" width="9.140625" style="998"/>
    <col min="16166" max="16166" width="11" style="998" bestFit="1" customWidth="1"/>
    <col min="16167" max="16167" width="1.7109375" style="998" customWidth="1"/>
    <col min="16168" max="16168" width="13" style="998" bestFit="1" customWidth="1"/>
    <col min="16169" max="16169" width="1.7109375" style="998" customWidth="1"/>
    <col min="16170" max="16170" width="12.140625" style="998" bestFit="1" customWidth="1"/>
    <col min="16171" max="16383" width="9.140625" style="998"/>
    <col min="16384" max="16384" width="9.140625" style="998" customWidth="1"/>
  </cols>
  <sheetData>
    <row r="1" spans="1:33" x14ac:dyDescent="0.25">
      <c r="A1" s="1452" t="str">
        <f>'PF Rev Req II '!A1</f>
        <v>EVANSVILLE (INDIANA) WATERWORKS DISTRICT</v>
      </c>
      <c r="B1" s="1452"/>
      <c r="C1" s="1452"/>
      <c r="D1" s="1452"/>
      <c r="E1" s="1452"/>
      <c r="F1" s="1452"/>
      <c r="G1" s="1452"/>
      <c r="H1" s="1452"/>
      <c r="I1" s="1452"/>
      <c r="J1" s="1452"/>
      <c r="K1" s="1452"/>
      <c r="L1" s="1452"/>
      <c r="M1" s="1452"/>
      <c r="N1" s="1452"/>
      <c r="O1" s="1452"/>
      <c r="P1" s="1452"/>
      <c r="Q1" s="1452"/>
      <c r="R1" s="1452"/>
      <c r="S1" s="1452"/>
      <c r="T1" s="149"/>
      <c r="U1" s="768"/>
      <c r="V1" s="768"/>
    </row>
    <row r="2" spans="1:33" x14ac:dyDescent="0.25">
      <c r="A2" s="64"/>
      <c r="B2" s="64"/>
      <c r="C2" s="64"/>
      <c r="D2" s="64"/>
      <c r="E2" s="64"/>
      <c r="F2" s="64"/>
      <c r="G2" s="64"/>
      <c r="H2" s="64"/>
      <c r="I2" s="64"/>
      <c r="J2" s="504"/>
      <c r="K2" s="504"/>
      <c r="L2" s="504"/>
      <c r="N2" s="504"/>
      <c r="Q2" s="504"/>
      <c r="R2" s="504"/>
      <c r="S2" s="1235" t="s">
        <v>17</v>
      </c>
      <c r="T2" s="1264"/>
      <c r="U2" s="1264"/>
    </row>
    <row r="3" spans="1:33" x14ac:dyDescent="0.25">
      <c r="A3" s="1451" t="str">
        <f>'PF Rev Req II '!A3</f>
        <v xml:space="preserve">FORWARD LOOKING TEST YEAR ANNUAL REVENUE REQUIREMENTS </v>
      </c>
      <c r="B3" s="1451"/>
      <c r="C3" s="1451"/>
      <c r="D3" s="1451"/>
      <c r="E3" s="1451"/>
      <c r="F3" s="1451"/>
      <c r="G3" s="1451"/>
      <c r="H3" s="1451"/>
      <c r="I3" s="1451"/>
      <c r="J3" s="1451"/>
      <c r="K3" s="1451"/>
      <c r="L3" s="1451"/>
      <c r="M3" s="1451"/>
      <c r="N3" s="1451"/>
      <c r="O3" s="1451"/>
      <c r="P3" s="1451"/>
      <c r="Q3" s="1451"/>
      <c r="R3" s="1451"/>
      <c r="S3" s="1451"/>
      <c r="T3" s="1411"/>
      <c r="U3" s="768"/>
      <c r="V3" s="768"/>
    </row>
    <row r="4" spans="1:33" x14ac:dyDescent="0.25">
      <c r="A4" s="1451" t="str">
        <f>'PF Rev Req II '!A4</f>
        <v>AND ANNUAL REVENUES</v>
      </c>
      <c r="B4" s="1451"/>
      <c r="C4" s="1451"/>
      <c r="D4" s="1451"/>
      <c r="E4" s="1451"/>
      <c r="F4" s="1451"/>
      <c r="G4" s="1451"/>
      <c r="H4" s="1451"/>
      <c r="I4" s="1451"/>
      <c r="J4" s="1451"/>
      <c r="K4" s="1451"/>
      <c r="L4" s="1451"/>
      <c r="M4" s="1451"/>
      <c r="N4" s="1451"/>
      <c r="O4" s="1451"/>
      <c r="P4" s="1451"/>
      <c r="Q4" s="1451"/>
      <c r="R4" s="1451"/>
      <c r="S4" s="1451"/>
      <c r="T4" s="1411"/>
      <c r="U4" s="768"/>
      <c r="V4" s="768"/>
    </row>
    <row r="5" spans="1:33" x14ac:dyDescent="0.25">
      <c r="A5" s="1452" t="s">
        <v>213</v>
      </c>
      <c r="B5" s="1452"/>
      <c r="C5" s="1452"/>
      <c r="D5" s="1452"/>
      <c r="E5" s="1452"/>
      <c r="F5" s="1452"/>
      <c r="G5" s="1452"/>
      <c r="H5" s="1452"/>
      <c r="I5" s="1452"/>
      <c r="J5" s="1452"/>
      <c r="K5" s="1452"/>
      <c r="L5" s="1452"/>
      <c r="M5" s="1452"/>
      <c r="N5" s="1452"/>
      <c r="O5" s="1452"/>
      <c r="P5" s="1452"/>
      <c r="Q5" s="1452"/>
      <c r="R5" s="1452"/>
      <c r="S5" s="1452"/>
      <c r="T5" s="149"/>
      <c r="U5" s="768"/>
      <c r="V5" s="768"/>
    </row>
    <row r="6" spans="1:33" x14ac:dyDescent="0.25">
      <c r="A6" s="993"/>
      <c r="B6" s="993"/>
      <c r="C6" s="993"/>
      <c r="D6" s="993"/>
      <c r="E6" s="993"/>
      <c r="F6" s="993"/>
      <c r="G6" s="993"/>
      <c r="H6" s="993"/>
      <c r="I6" s="993"/>
      <c r="J6" s="993"/>
      <c r="K6" s="993"/>
      <c r="L6" s="993"/>
      <c r="M6" s="993"/>
      <c r="N6" s="993"/>
      <c r="O6" s="993"/>
      <c r="P6" s="993"/>
      <c r="Q6" s="993"/>
      <c r="R6" s="993"/>
      <c r="S6" s="993"/>
      <c r="T6" s="466"/>
      <c r="U6" s="466"/>
      <c r="V6" s="466"/>
    </row>
    <row r="7" spans="1:33" x14ac:dyDescent="0.25">
      <c r="A7" s="1450" t="s">
        <v>360</v>
      </c>
      <c r="B7" s="1450"/>
      <c r="C7" s="1450"/>
      <c r="D7" s="1450"/>
      <c r="E7" s="1450"/>
      <c r="F7" s="1450"/>
      <c r="G7" s="1450"/>
      <c r="H7" s="1450"/>
      <c r="I7" s="1450"/>
      <c r="J7" s="1450"/>
      <c r="K7" s="1450"/>
      <c r="L7" s="1450"/>
      <c r="M7" s="1450"/>
      <c r="N7" s="1450"/>
      <c r="O7" s="1450"/>
      <c r="P7" s="1450"/>
      <c r="Q7" s="1450"/>
      <c r="R7" s="1450"/>
      <c r="S7" s="1450"/>
      <c r="T7" s="486"/>
      <c r="U7" s="1412"/>
      <c r="V7" s="1412"/>
    </row>
    <row r="8" spans="1:33" x14ac:dyDescent="0.25">
      <c r="A8" s="993"/>
      <c r="B8" s="993"/>
      <c r="C8" s="993"/>
      <c r="D8" s="993"/>
      <c r="E8" s="993"/>
      <c r="F8" s="993"/>
      <c r="G8" s="993"/>
      <c r="H8" s="993"/>
      <c r="I8" s="993"/>
      <c r="J8" s="993"/>
      <c r="K8" s="993"/>
      <c r="L8" s="993"/>
      <c r="M8" s="993"/>
      <c r="N8" s="993"/>
      <c r="O8" s="993"/>
      <c r="P8" s="993"/>
      <c r="Q8" s="993"/>
      <c r="R8" s="993"/>
      <c r="S8" s="993"/>
      <c r="T8" s="466"/>
      <c r="U8" s="466"/>
      <c r="V8" s="466"/>
    </row>
    <row r="9" spans="1:33" x14ac:dyDescent="0.25">
      <c r="A9" s="993" t="s">
        <v>1167</v>
      </c>
      <c r="C9" s="993"/>
      <c r="D9" s="993"/>
      <c r="E9" s="993"/>
      <c r="F9" s="993"/>
      <c r="G9" s="993"/>
      <c r="H9" s="993"/>
      <c r="I9" s="993"/>
      <c r="J9" s="993"/>
      <c r="K9" s="993"/>
      <c r="L9" s="993"/>
      <c r="M9" s="993"/>
      <c r="N9" s="993"/>
      <c r="O9" s="993"/>
      <c r="P9" s="993"/>
      <c r="Q9" s="993"/>
      <c r="R9" s="993"/>
      <c r="S9" s="993"/>
      <c r="T9" s="466"/>
      <c r="U9" s="466"/>
      <c r="V9" s="466"/>
    </row>
    <row r="10" spans="1:33" x14ac:dyDescent="0.25">
      <c r="A10" s="1244"/>
      <c r="B10" s="993"/>
      <c r="C10" s="993"/>
      <c r="D10" s="993"/>
      <c r="E10" s="993"/>
      <c r="F10" s="993"/>
      <c r="G10" s="993"/>
      <c r="H10" s="993"/>
      <c r="I10" s="993"/>
      <c r="J10" s="993"/>
      <c r="K10" s="993"/>
      <c r="L10" s="993"/>
      <c r="M10" s="993"/>
      <c r="N10" s="993"/>
      <c r="O10" s="993"/>
      <c r="P10" s="993"/>
      <c r="Q10" s="993"/>
      <c r="R10" s="993"/>
      <c r="S10" s="993"/>
      <c r="T10" s="466"/>
      <c r="U10" s="466"/>
      <c r="V10" s="466"/>
    </row>
    <row r="11" spans="1:33" x14ac:dyDescent="0.25">
      <c r="A11" s="1450" t="s">
        <v>361</v>
      </c>
      <c r="B11" s="1450"/>
      <c r="C11" s="1450"/>
      <c r="D11" s="1450"/>
      <c r="E11" s="1450"/>
      <c r="F11" s="1450"/>
      <c r="G11" s="1450"/>
      <c r="H11" s="1450"/>
      <c r="I11" s="1450"/>
      <c r="J11" s="1450"/>
      <c r="K11" s="1450"/>
      <c r="L11" s="1450"/>
      <c r="M11" s="1450"/>
      <c r="N11" s="1450"/>
      <c r="O11" s="1450"/>
      <c r="P11" s="1450"/>
      <c r="Q11" s="1450"/>
      <c r="R11" s="1450"/>
      <c r="S11" s="1450"/>
      <c r="T11" s="486"/>
      <c r="U11" s="203"/>
      <c r="V11" s="203"/>
    </row>
    <row r="12" spans="1:33" x14ac:dyDescent="0.25">
      <c r="A12" s="1244"/>
    </row>
    <row r="13" spans="1:33" x14ac:dyDescent="0.25">
      <c r="A13" s="227" t="s">
        <v>363</v>
      </c>
      <c r="X13" s="466"/>
      <c r="Y13" s="466"/>
      <c r="Z13" s="466"/>
      <c r="AA13" s="466"/>
      <c r="AB13" s="466"/>
      <c r="AC13" s="466"/>
      <c r="AD13" s="466"/>
      <c r="AE13" s="466"/>
      <c r="AF13" s="466"/>
      <c r="AG13" s="466"/>
    </row>
    <row r="14" spans="1:33" x14ac:dyDescent="0.25">
      <c r="A14" s="505"/>
    </row>
    <row r="15" spans="1:33" x14ac:dyDescent="0.25">
      <c r="C15" s="993"/>
      <c r="D15" s="993"/>
      <c r="E15" s="993"/>
      <c r="F15" s="993"/>
      <c r="G15" s="993"/>
      <c r="H15" s="993"/>
      <c r="I15" s="993"/>
      <c r="J15" s="201"/>
      <c r="K15" s="1453" t="s">
        <v>1071</v>
      </c>
      <c r="L15" s="1453"/>
      <c r="M15" s="1453"/>
      <c r="N15" s="1453"/>
      <c r="O15" s="1453"/>
      <c r="P15" s="1453"/>
      <c r="Q15" s="1453"/>
      <c r="R15" s="1453"/>
      <c r="S15" s="1453"/>
      <c r="T15" s="1276"/>
      <c r="U15" s="223"/>
      <c r="V15" s="223"/>
    </row>
    <row r="16" spans="1:33" x14ac:dyDescent="0.25">
      <c r="C16" s="993"/>
      <c r="D16" s="993"/>
      <c r="E16" s="993"/>
      <c r="F16" s="993"/>
      <c r="G16" s="993"/>
      <c r="H16" s="993"/>
      <c r="I16" s="993"/>
      <c r="J16" s="993"/>
      <c r="K16" s="1247" t="s">
        <v>352</v>
      </c>
      <c r="L16" s="993"/>
      <c r="M16" s="1247" t="s">
        <v>353</v>
      </c>
      <c r="N16" s="208"/>
      <c r="O16" s="1247" t="s">
        <v>354</v>
      </c>
      <c r="P16" s="208"/>
      <c r="Q16" s="1247" t="s">
        <v>901</v>
      </c>
      <c r="R16" s="208"/>
      <c r="S16" s="1247" t="s">
        <v>902</v>
      </c>
      <c r="T16" s="208"/>
      <c r="U16" s="466"/>
      <c r="V16" s="208"/>
    </row>
    <row r="17" spans="1:49" x14ac:dyDescent="0.25">
      <c r="C17" s="993"/>
      <c r="D17" s="993"/>
      <c r="E17" s="993"/>
      <c r="F17" s="993"/>
      <c r="G17" s="993"/>
      <c r="H17" s="993"/>
      <c r="I17" s="993"/>
      <c r="J17" s="993"/>
      <c r="K17" s="208"/>
      <c r="L17" s="993"/>
      <c r="M17" s="208"/>
      <c r="N17" s="208"/>
      <c r="O17" s="208"/>
      <c r="P17" s="208"/>
      <c r="Q17" s="208"/>
      <c r="R17" s="208"/>
      <c r="S17" s="208"/>
      <c r="T17" s="208"/>
      <c r="U17" s="466"/>
      <c r="V17" s="208"/>
      <c r="W17" s="396"/>
    </row>
    <row r="18" spans="1:49" x14ac:dyDescent="0.25">
      <c r="B18" s="993" t="s">
        <v>364</v>
      </c>
      <c r="D18" s="993"/>
      <c r="E18" s="993"/>
      <c r="F18" s="993"/>
      <c r="G18" s="993"/>
      <c r="H18" s="993"/>
      <c r="I18" s="993"/>
      <c r="J18" s="997"/>
      <c r="K18" s="997">
        <v>46493</v>
      </c>
      <c r="L18" s="997"/>
      <c r="M18" s="997">
        <v>45532</v>
      </c>
      <c r="N18" s="997"/>
      <c r="O18" s="997">
        <v>44662</v>
      </c>
      <c r="P18" s="454"/>
      <c r="Q18" s="997">
        <v>44661</v>
      </c>
      <c r="R18" s="997"/>
      <c r="S18" s="997">
        <v>31860</v>
      </c>
      <c r="T18" s="454"/>
      <c r="U18" s="454"/>
      <c r="V18" s="454"/>
      <c r="W18" s="466"/>
      <c r="X18" s="1117"/>
      <c r="Y18" s="466"/>
      <c r="Z18" s="1117"/>
      <c r="AA18" s="466"/>
      <c r="AB18" s="1117"/>
      <c r="AD18" s="1117"/>
      <c r="AF18" s="1117"/>
      <c r="AH18" s="454"/>
      <c r="AJ18" s="454"/>
      <c r="AL18" s="454"/>
    </row>
    <row r="19" spans="1:49" x14ac:dyDescent="0.25">
      <c r="B19" s="993" t="s">
        <v>365</v>
      </c>
      <c r="D19" s="993"/>
      <c r="E19" s="993"/>
      <c r="F19" s="993"/>
      <c r="G19" s="993"/>
      <c r="H19" s="993"/>
      <c r="I19" s="993"/>
      <c r="J19" s="396"/>
      <c r="K19" s="994">
        <v>-9691</v>
      </c>
      <c r="L19" s="396"/>
      <c r="M19" s="994">
        <v>-9764</v>
      </c>
      <c r="N19" s="466"/>
      <c r="O19" s="994">
        <v>-9708</v>
      </c>
      <c r="P19" s="466"/>
      <c r="Q19" s="994">
        <v>-9835</v>
      </c>
      <c r="R19" s="466"/>
      <c r="S19" s="994">
        <v>-7250</v>
      </c>
      <c r="T19" s="466"/>
      <c r="U19" s="396"/>
      <c r="V19" s="466"/>
      <c r="W19" s="466"/>
      <c r="X19" s="454"/>
      <c r="Z19" s="454"/>
      <c r="AB19" s="454"/>
      <c r="AD19" s="454"/>
      <c r="AF19" s="454"/>
      <c r="AH19" s="454"/>
      <c r="AJ19" s="454"/>
      <c r="AL19" s="454"/>
    </row>
    <row r="20" spans="1:49" x14ac:dyDescent="0.25">
      <c r="C20" s="993"/>
      <c r="D20" s="993"/>
      <c r="E20" s="993"/>
      <c r="F20" s="993"/>
      <c r="G20" s="993"/>
      <c r="H20" s="993"/>
      <c r="I20" s="993"/>
      <c r="J20" s="993"/>
      <c r="K20" s="993"/>
      <c r="L20" s="993"/>
      <c r="M20" s="993"/>
      <c r="N20" s="993"/>
      <c r="O20" s="993"/>
      <c r="P20" s="466"/>
      <c r="Q20" s="993"/>
      <c r="R20" s="993"/>
      <c r="S20" s="993"/>
      <c r="T20" s="466"/>
      <c r="U20" s="466"/>
      <c r="V20" s="466"/>
      <c r="W20" s="466"/>
    </row>
    <row r="21" spans="1:49" ht="16.5" thickBot="1" x14ac:dyDescent="0.3">
      <c r="C21" s="993" t="s">
        <v>38</v>
      </c>
      <c r="E21" s="993"/>
      <c r="F21" s="993"/>
      <c r="G21" s="993"/>
      <c r="H21" s="993"/>
      <c r="I21" s="993"/>
      <c r="J21" s="993"/>
      <c r="K21" s="224">
        <f>SUM(K18:K19)</f>
        <v>36802</v>
      </c>
      <c r="L21" s="997"/>
      <c r="M21" s="224">
        <f>SUM(M18:M19)</f>
        <v>35768</v>
      </c>
      <c r="N21" s="454"/>
      <c r="O21" s="224">
        <f>SUM(O18:O19)</f>
        <v>34954</v>
      </c>
      <c r="P21" s="454"/>
      <c r="Q21" s="224">
        <f>SUM(Q18:Q19)</f>
        <v>34826</v>
      </c>
      <c r="R21" s="454"/>
      <c r="S21" s="224">
        <f>SUM(S18:S19)</f>
        <v>24610</v>
      </c>
      <c r="T21" s="454"/>
      <c r="U21" s="454"/>
      <c r="V21" s="454"/>
      <c r="W21" s="128"/>
      <c r="AB21" s="363"/>
    </row>
    <row r="22" spans="1:49" ht="16.5" thickTop="1" x14ac:dyDescent="0.25">
      <c r="P22" s="227"/>
      <c r="X22" s="454"/>
      <c r="AH22" s="454"/>
      <c r="AJ22" s="454"/>
      <c r="AL22" s="454"/>
    </row>
    <row r="23" spans="1:49" x14ac:dyDescent="0.25">
      <c r="A23" s="1450" t="s">
        <v>362</v>
      </c>
      <c r="B23" s="1450"/>
      <c r="C23" s="1450"/>
      <c r="D23" s="1450"/>
      <c r="E23" s="1450"/>
      <c r="F23" s="1450"/>
      <c r="G23" s="1450"/>
      <c r="H23" s="1450"/>
      <c r="I23" s="1450"/>
      <c r="J23" s="1450"/>
      <c r="K23" s="1450"/>
      <c r="L23" s="1450"/>
      <c r="M23" s="1450"/>
      <c r="N23" s="1450"/>
      <c r="O23" s="1450"/>
      <c r="P23" s="1450"/>
      <c r="Q23" s="1450"/>
      <c r="R23" s="1450"/>
      <c r="S23" s="1450"/>
      <c r="T23" s="203"/>
    </row>
    <row r="24" spans="1:49" x14ac:dyDescent="0.25">
      <c r="A24" s="506"/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03"/>
    </row>
    <row r="25" spans="1:49" x14ac:dyDescent="0.25">
      <c r="A25" s="993" t="s">
        <v>543</v>
      </c>
    </row>
    <row r="26" spans="1:49" x14ac:dyDescent="0.25">
      <c r="K26" s="1453" t="s">
        <v>1071</v>
      </c>
      <c r="L26" s="1453"/>
      <c r="M26" s="1453"/>
      <c r="N26" s="1453"/>
      <c r="O26" s="1453"/>
      <c r="P26" s="1453"/>
      <c r="Q26" s="1453"/>
      <c r="R26" s="1453"/>
      <c r="S26" s="1453"/>
      <c r="T26" s="1276"/>
      <c r="X26" s="454"/>
      <c r="Z26" s="454"/>
      <c r="AB26" s="454"/>
      <c r="AD26" s="454"/>
      <c r="AF26" s="454"/>
    </row>
    <row r="27" spans="1:49" x14ac:dyDescent="0.25">
      <c r="K27" s="1247" t="s">
        <v>352</v>
      </c>
      <c r="M27" s="1247" t="s">
        <v>353</v>
      </c>
      <c r="N27" s="208"/>
      <c r="O27" s="1247" t="s">
        <v>354</v>
      </c>
      <c r="P27" s="208"/>
      <c r="Q27" s="1247" t="s">
        <v>901</v>
      </c>
      <c r="R27" s="208"/>
      <c r="S27" s="1247" t="s">
        <v>902</v>
      </c>
      <c r="T27" s="208"/>
      <c r="AN27" s="63"/>
      <c r="AO27" s="203"/>
      <c r="AP27" s="203"/>
      <c r="AQ27" s="203"/>
      <c r="AR27" s="203"/>
      <c r="AS27" s="203"/>
      <c r="AT27" s="203"/>
      <c r="AU27" s="203"/>
    </row>
    <row r="28" spans="1:49" x14ac:dyDescent="0.25">
      <c r="X28" s="454"/>
      <c r="Z28" s="454"/>
      <c r="AB28" s="454"/>
      <c r="AD28" s="454"/>
      <c r="AF28" s="454"/>
      <c r="AN28" s="466"/>
      <c r="AO28" s="466"/>
      <c r="AP28" s="466"/>
      <c r="AQ28" s="466"/>
      <c r="AR28" s="466"/>
      <c r="AS28" s="466"/>
      <c r="AT28" s="466"/>
      <c r="AU28" s="466"/>
    </row>
    <row r="29" spans="1:49" x14ac:dyDescent="0.25">
      <c r="B29" s="425" t="s">
        <v>694</v>
      </c>
      <c r="C29" s="425"/>
      <c r="D29" s="425"/>
      <c r="E29" s="466"/>
      <c r="F29" s="466"/>
      <c r="K29" s="387">
        <f>'[42]Rev ReqII - TP'!AD241</f>
        <v>2237153</v>
      </c>
      <c r="L29" s="387"/>
      <c r="M29" s="387">
        <f>'[42]Rev ReqII - TP'!AF241</f>
        <v>2254230</v>
      </c>
      <c r="N29" s="387"/>
      <c r="O29" s="387">
        <f>'[42]Rev ReqII - TP'!AH241</f>
        <v>2241102</v>
      </c>
      <c r="P29" s="387"/>
      <c r="Q29" s="387">
        <f>'[42]Rev ReqII - TP'!AJ241</f>
        <v>2270450</v>
      </c>
      <c r="R29" s="387"/>
      <c r="S29" s="387">
        <f>'[42]Rev ReqII - TP'!AL241</f>
        <v>1673644</v>
      </c>
      <c r="T29" s="454"/>
      <c r="V29" s="466"/>
      <c r="W29" s="454"/>
      <c r="AN29" s="466"/>
      <c r="AO29" s="466"/>
      <c r="AP29" s="466"/>
      <c r="AQ29" s="466"/>
      <c r="AR29" s="466"/>
      <c r="AS29" s="466"/>
      <c r="AT29" s="466"/>
      <c r="AU29" s="466"/>
    </row>
    <row r="30" spans="1:49" x14ac:dyDescent="0.25">
      <c r="B30" s="425" t="s">
        <v>596</v>
      </c>
      <c r="C30" s="425"/>
      <c r="D30" s="425"/>
      <c r="E30" s="466"/>
      <c r="F30" s="466"/>
      <c r="K30" s="1250">
        <f>'PF II Adj'!I357</f>
        <v>3.0699999999999998E-3</v>
      </c>
      <c r="M30" s="1250">
        <f>K30</f>
        <v>3.0699999999999998E-3</v>
      </c>
      <c r="N30" s="478"/>
      <c r="O30" s="1250">
        <f>M30</f>
        <v>3.0699999999999998E-3</v>
      </c>
      <c r="P30" s="478"/>
      <c r="Q30" s="1250">
        <f>O30</f>
        <v>3.0699999999999998E-3</v>
      </c>
      <c r="R30" s="478"/>
      <c r="S30" s="1250">
        <f>Q30</f>
        <v>3.0699999999999998E-3</v>
      </c>
      <c r="T30" s="478"/>
      <c r="AK30" s="466"/>
      <c r="AN30" s="466"/>
      <c r="AO30" s="466"/>
      <c r="AP30" s="466"/>
      <c r="AQ30" s="466"/>
      <c r="AR30" s="466"/>
      <c r="AS30" s="466"/>
      <c r="AT30" s="466"/>
      <c r="AU30" s="466"/>
    </row>
    <row r="31" spans="1:49" ht="18" customHeight="1" x14ac:dyDescent="0.25">
      <c r="B31" s="425"/>
      <c r="C31" s="425"/>
      <c r="D31" s="425"/>
      <c r="E31" s="466"/>
      <c r="F31" s="466"/>
      <c r="K31" s="466"/>
      <c r="M31" s="466"/>
      <c r="N31" s="466"/>
      <c r="O31" s="466"/>
      <c r="P31" s="466"/>
      <c r="Q31" s="466"/>
      <c r="R31" s="466"/>
      <c r="S31" s="466"/>
      <c r="T31" s="466"/>
      <c r="AK31" s="466"/>
      <c r="AN31" s="466"/>
      <c r="AO31" s="466"/>
      <c r="AP31" s="466"/>
      <c r="AQ31" s="466"/>
      <c r="AR31" s="466"/>
      <c r="AS31" s="466"/>
      <c r="AT31" s="466"/>
      <c r="AU31" s="466"/>
      <c r="AW31" s="454"/>
    </row>
    <row r="32" spans="1:49" ht="18" hidden="1" customHeight="1" x14ac:dyDescent="0.25">
      <c r="B32" s="425"/>
      <c r="C32" s="425" t="s">
        <v>107</v>
      </c>
      <c r="D32" s="425"/>
      <c r="E32" s="466"/>
      <c r="F32" s="466"/>
      <c r="K32" s="466">
        <f>ROUND(K29*K30,0)</f>
        <v>6868</v>
      </c>
      <c r="M32" s="466">
        <f>ROUND(M29*M30,0)</f>
        <v>6920</v>
      </c>
      <c r="N32" s="466"/>
      <c r="O32" s="466">
        <f>ROUND(O29*O30,0)</f>
        <v>6880</v>
      </c>
      <c r="P32" s="466"/>
      <c r="Q32" s="466">
        <f>ROUND(Q29*Q30,0)</f>
        <v>6970</v>
      </c>
      <c r="R32" s="466"/>
      <c r="S32" s="466">
        <f>ROUND(S29*S30,0)</f>
        <v>5138</v>
      </c>
      <c r="T32" s="466"/>
      <c r="AK32" s="466"/>
      <c r="AN32" s="466"/>
      <c r="AO32" s="466"/>
      <c r="AP32" s="466"/>
      <c r="AQ32" s="466"/>
      <c r="AR32" s="466"/>
      <c r="AS32" s="466"/>
      <c r="AT32" s="466"/>
      <c r="AU32" s="466"/>
      <c r="AW32" s="454"/>
    </row>
    <row r="33" spans="1:49" ht="18" hidden="1" customHeight="1" thickTop="1" x14ac:dyDescent="0.25">
      <c r="B33" s="425" t="s">
        <v>691</v>
      </c>
      <c r="C33" s="425"/>
      <c r="D33" s="425"/>
      <c r="E33" s="466"/>
      <c r="F33" s="466"/>
      <c r="K33" s="994" t="e">
        <f>#REF!</f>
        <v>#REF!</v>
      </c>
      <c r="L33" s="227"/>
      <c r="M33" s="501">
        <v>0</v>
      </c>
      <c r="N33" s="502"/>
      <c r="O33" s="501">
        <v>0</v>
      </c>
      <c r="P33" s="502"/>
      <c r="Q33" s="501">
        <v>0</v>
      </c>
      <c r="R33" s="502"/>
      <c r="S33" s="501">
        <v>0</v>
      </c>
      <c r="T33" s="502"/>
      <c r="AK33" s="466"/>
      <c r="AN33" s="466"/>
      <c r="AO33" s="466"/>
      <c r="AP33" s="466"/>
      <c r="AQ33" s="466"/>
      <c r="AR33" s="466"/>
      <c r="AS33" s="466"/>
      <c r="AT33" s="466"/>
      <c r="AU33" s="466"/>
      <c r="AW33" s="454"/>
    </row>
    <row r="34" spans="1:49" ht="18" hidden="1" customHeight="1" thickBot="1" x14ac:dyDescent="0.3">
      <c r="B34" s="425" t="s">
        <v>687</v>
      </c>
      <c r="C34" s="425"/>
      <c r="D34" s="425"/>
      <c r="E34" s="466"/>
      <c r="F34" s="466"/>
      <c r="K34" s="501">
        <v>0</v>
      </c>
      <c r="M34" s="501">
        <v>0</v>
      </c>
      <c r="N34" s="502"/>
      <c r="O34" s="501">
        <v>0</v>
      </c>
      <c r="P34" s="502"/>
      <c r="Q34" s="501"/>
      <c r="R34" s="502"/>
      <c r="S34" s="501"/>
      <c r="T34" s="502"/>
      <c r="AK34" s="466"/>
      <c r="AN34" s="466"/>
      <c r="AO34" s="466"/>
      <c r="AP34" s="466"/>
      <c r="AQ34" s="466"/>
      <c r="AR34" s="466"/>
      <c r="AS34" s="466"/>
      <c r="AT34" s="466"/>
      <c r="AU34" s="466"/>
      <c r="AW34" s="454"/>
    </row>
    <row r="35" spans="1:49" hidden="1" x14ac:dyDescent="0.25">
      <c r="B35" s="493"/>
      <c r="C35" s="425"/>
      <c r="D35" s="493"/>
      <c r="E35" s="466"/>
      <c r="F35" s="466"/>
      <c r="K35" s="466"/>
      <c r="M35" s="466"/>
      <c r="N35" s="466"/>
      <c r="O35" s="466"/>
      <c r="P35" s="466"/>
      <c r="Q35" s="466"/>
      <c r="R35" s="466"/>
      <c r="S35" s="466"/>
      <c r="T35" s="466"/>
      <c r="X35" s="466"/>
      <c r="AK35" s="466"/>
      <c r="AO35" s="466"/>
      <c r="AP35" s="466"/>
      <c r="AQ35" s="466"/>
      <c r="AR35" s="466"/>
      <c r="AS35" s="466"/>
      <c r="AT35" s="466"/>
      <c r="AU35" s="466"/>
      <c r="AW35" s="466"/>
    </row>
    <row r="36" spans="1:49" ht="16.5" thickBot="1" x14ac:dyDescent="0.3">
      <c r="B36" s="466"/>
      <c r="C36" s="466" t="s">
        <v>38</v>
      </c>
      <c r="D36" s="466"/>
      <c r="E36" s="466"/>
      <c r="F36" s="466"/>
      <c r="K36" s="224">
        <f>ROUND(K29*K30,0)</f>
        <v>6868</v>
      </c>
      <c r="L36" s="997"/>
      <c r="M36" s="224">
        <f>ROUND(M29*M30,0)</f>
        <v>6920</v>
      </c>
      <c r="N36" s="454"/>
      <c r="O36" s="224">
        <f>ROUND(O29*O30,0)</f>
        <v>6880</v>
      </c>
      <c r="P36" s="454"/>
      <c r="Q36" s="224">
        <f>ROUND(Q29*Q30,0)</f>
        <v>6970</v>
      </c>
      <c r="R36" s="454"/>
      <c r="S36" s="224">
        <f>ROUND(S29*S30,0)</f>
        <v>5138</v>
      </c>
      <c r="T36" s="454"/>
      <c r="X36" s="466"/>
      <c r="AO36" s="466"/>
      <c r="AP36" s="466"/>
      <c r="AQ36" s="466"/>
      <c r="AR36" s="466"/>
      <c r="AS36" s="466"/>
      <c r="AT36" s="466"/>
      <c r="AU36" s="466"/>
      <c r="AW36" s="466"/>
    </row>
    <row r="37" spans="1:49" ht="16.5" thickTop="1" x14ac:dyDescent="0.25">
      <c r="AN37" s="466"/>
      <c r="AP37" s="466"/>
      <c r="AQ37" s="466"/>
      <c r="AR37" s="466"/>
      <c r="AS37" s="466"/>
      <c r="AT37" s="466"/>
      <c r="AU37" s="466"/>
      <c r="AW37" s="466"/>
    </row>
    <row r="38" spans="1:49" x14ac:dyDescent="0.25">
      <c r="A38" s="1450" t="s">
        <v>366</v>
      </c>
      <c r="B38" s="1450"/>
      <c r="C38" s="1450"/>
      <c r="D38" s="1450"/>
      <c r="E38" s="1450"/>
      <c r="F38" s="1450"/>
      <c r="G38" s="1450"/>
      <c r="H38" s="1450"/>
      <c r="I38" s="1450"/>
      <c r="J38" s="1450"/>
      <c r="K38" s="1450"/>
      <c r="L38" s="1450"/>
      <c r="M38" s="1450"/>
      <c r="N38" s="1450"/>
      <c r="O38" s="1450"/>
      <c r="P38" s="1450"/>
      <c r="Q38" s="1450"/>
      <c r="R38" s="1450"/>
      <c r="S38" s="1450"/>
      <c r="T38" s="486"/>
      <c r="U38" s="1412"/>
      <c r="V38" s="1412"/>
      <c r="AN38" s="466"/>
      <c r="AO38" s="466"/>
      <c r="AP38" s="466"/>
      <c r="AQ38" s="466"/>
      <c r="AR38" s="466"/>
      <c r="AS38" s="466"/>
      <c r="AT38" s="466"/>
      <c r="AU38" s="466"/>
      <c r="AW38" s="466"/>
    </row>
    <row r="39" spans="1:49" x14ac:dyDescent="0.25">
      <c r="A39" s="206"/>
      <c r="B39" s="466"/>
      <c r="C39" s="466"/>
      <c r="D39" s="466"/>
      <c r="E39" s="466"/>
      <c r="F39" s="466"/>
      <c r="G39" s="466"/>
      <c r="H39" s="466"/>
      <c r="I39" s="466"/>
      <c r="J39" s="466"/>
      <c r="K39" s="466"/>
      <c r="L39" s="466"/>
      <c r="M39" s="466"/>
      <c r="N39" s="466"/>
      <c r="O39" s="466"/>
      <c r="P39" s="466"/>
      <c r="Q39" s="466"/>
      <c r="R39" s="466"/>
      <c r="S39" s="466"/>
      <c r="T39" s="466"/>
      <c r="U39" s="466"/>
      <c r="V39" s="466"/>
      <c r="AH39" s="466"/>
      <c r="AN39" s="466"/>
      <c r="AO39" s="466"/>
      <c r="AP39" s="466"/>
      <c r="AQ39" s="466"/>
      <c r="AR39" s="466"/>
      <c r="AS39" s="466"/>
      <c r="AT39" s="466"/>
      <c r="AU39" s="466"/>
      <c r="AW39" s="466"/>
    </row>
    <row r="40" spans="1:49" x14ac:dyDescent="0.25">
      <c r="A40" s="993" t="s">
        <v>662</v>
      </c>
      <c r="C40" s="993"/>
      <c r="D40" s="993"/>
      <c r="E40" s="993"/>
      <c r="F40" s="993"/>
      <c r="G40" s="993"/>
      <c r="H40" s="993"/>
      <c r="I40" s="993"/>
      <c r="J40" s="993"/>
      <c r="K40" s="993"/>
      <c r="L40" s="993"/>
      <c r="M40" s="993"/>
      <c r="N40" s="993"/>
      <c r="O40" s="993"/>
      <c r="P40" s="993"/>
      <c r="Q40" s="993"/>
      <c r="R40" s="993"/>
      <c r="S40" s="993"/>
      <c r="T40" s="466"/>
      <c r="U40" s="466"/>
      <c r="V40" s="466"/>
      <c r="AN40" s="466"/>
      <c r="AO40" s="466"/>
      <c r="AP40" s="466"/>
      <c r="AQ40" s="466"/>
      <c r="AR40" s="466"/>
      <c r="AS40" s="466"/>
      <c r="AT40" s="466"/>
      <c r="AU40" s="466"/>
      <c r="AW40" s="466"/>
    </row>
    <row r="41" spans="1:49" x14ac:dyDescent="0.25">
      <c r="A41" s="993"/>
      <c r="C41" s="993"/>
      <c r="D41" s="993"/>
      <c r="E41" s="993"/>
      <c r="F41" s="993"/>
      <c r="G41" s="993"/>
      <c r="H41" s="993"/>
      <c r="I41" s="993"/>
      <c r="J41" s="993"/>
      <c r="K41" s="993"/>
      <c r="L41" s="993"/>
      <c r="M41" s="993"/>
      <c r="N41" s="993"/>
      <c r="O41" s="993"/>
      <c r="P41" s="993"/>
      <c r="Q41" s="993"/>
      <c r="R41" s="993"/>
      <c r="S41" s="993"/>
      <c r="T41" s="466"/>
      <c r="U41" s="466"/>
      <c r="V41" s="466"/>
      <c r="AH41" s="1205"/>
      <c r="AO41" s="466"/>
      <c r="AP41" s="466"/>
      <c r="AQ41" s="466"/>
      <c r="AR41" s="466"/>
      <c r="AS41" s="466"/>
      <c r="AT41" s="466"/>
      <c r="AU41" s="466"/>
      <c r="AW41" s="423"/>
    </row>
    <row r="42" spans="1:49" x14ac:dyDescent="0.25">
      <c r="A42" s="1249"/>
      <c r="B42" s="993"/>
      <c r="C42" s="993"/>
      <c r="D42" s="993"/>
      <c r="E42" s="993"/>
      <c r="F42" s="993"/>
      <c r="G42" s="993"/>
      <c r="H42" s="993"/>
      <c r="I42" s="993"/>
      <c r="J42" s="993"/>
      <c r="K42" s="1453" t="s">
        <v>1071</v>
      </c>
      <c r="L42" s="1453"/>
      <c r="M42" s="1453"/>
      <c r="N42" s="1453"/>
      <c r="O42" s="1453"/>
      <c r="P42" s="1453"/>
      <c r="Q42" s="1453"/>
      <c r="R42" s="1453"/>
      <c r="S42" s="1453"/>
      <c r="T42" s="1276"/>
      <c r="U42" s="223"/>
      <c r="V42" s="223"/>
      <c r="AO42" s="466"/>
      <c r="AP42" s="466"/>
      <c r="AQ42" s="466"/>
      <c r="AR42" s="466"/>
      <c r="AS42" s="466"/>
      <c r="AT42" s="466"/>
      <c r="AU42" s="466"/>
      <c r="AW42" s="396"/>
    </row>
    <row r="43" spans="1:49" x14ac:dyDescent="0.25">
      <c r="A43" s="1249"/>
      <c r="B43" s="993"/>
      <c r="C43" s="993"/>
      <c r="D43" s="993"/>
      <c r="E43" s="993"/>
      <c r="F43" s="993"/>
      <c r="G43" s="993"/>
      <c r="H43" s="993"/>
      <c r="I43" s="993"/>
      <c r="J43" s="993"/>
      <c r="K43" s="1247" t="s">
        <v>352</v>
      </c>
      <c r="L43" s="1244"/>
      <c r="M43" s="208" t="s">
        <v>353</v>
      </c>
      <c r="N43" s="208"/>
      <c r="O43" s="1247" t="s">
        <v>354</v>
      </c>
      <c r="P43" s="208"/>
      <c r="Q43" s="1247" t="s">
        <v>901</v>
      </c>
      <c r="R43" s="208"/>
      <c r="S43" s="1247" t="s">
        <v>902</v>
      </c>
      <c r="T43" s="208"/>
      <c r="U43" s="466"/>
      <c r="V43" s="208"/>
      <c r="AN43" s="466"/>
      <c r="AP43" s="466"/>
      <c r="AQ43" s="466"/>
      <c r="AR43" s="466"/>
      <c r="AS43" s="466"/>
      <c r="AT43" s="466"/>
      <c r="AU43" s="466"/>
      <c r="AW43" s="466"/>
    </row>
    <row r="44" spans="1:49" x14ac:dyDescent="0.25">
      <c r="A44" s="1249"/>
      <c r="B44" s="993"/>
      <c r="C44" s="993"/>
      <c r="D44" s="993"/>
      <c r="E44" s="993"/>
      <c r="F44" s="993"/>
      <c r="G44" s="993"/>
      <c r="H44" s="993"/>
      <c r="I44" s="993"/>
      <c r="J44" s="993"/>
      <c r="K44" s="466"/>
      <c r="L44" s="993"/>
      <c r="M44" s="451"/>
      <c r="N44" s="466"/>
      <c r="O44" s="466"/>
      <c r="P44" s="466"/>
      <c r="Q44" s="466"/>
      <c r="R44" s="466"/>
      <c r="S44" s="466"/>
      <c r="T44" s="466"/>
      <c r="U44" s="466"/>
      <c r="V44" s="466"/>
      <c r="AM44" s="203"/>
      <c r="AW44" s="466"/>
    </row>
    <row r="45" spans="1:49" x14ac:dyDescent="0.25">
      <c r="A45" s="993"/>
      <c r="B45" s="457" t="str">
        <f>'[42]Rev ReqII - TP'!C102</f>
        <v>Capital assets in service at 9/30/20 (Unaudited)</v>
      </c>
      <c r="D45" s="993"/>
      <c r="E45" s="993"/>
      <c r="F45" s="993"/>
      <c r="G45" s="993"/>
      <c r="H45" s="993"/>
      <c r="I45" s="993"/>
      <c r="J45" s="993"/>
      <c r="K45" s="387">
        <f>'[42]Rev ReqII - TP'!K102</f>
        <v>314424828</v>
      </c>
      <c r="L45" s="457"/>
      <c r="M45" s="387">
        <f>K45</f>
        <v>314424828</v>
      </c>
      <c r="N45" s="387"/>
      <c r="O45" s="387">
        <f>M45</f>
        <v>314424828</v>
      </c>
      <c r="P45" s="387"/>
      <c r="Q45" s="387">
        <f>O45</f>
        <v>314424828</v>
      </c>
      <c r="R45" s="387"/>
      <c r="S45" s="387">
        <f>Q45</f>
        <v>314424828</v>
      </c>
      <c r="T45" s="454"/>
      <c r="U45" s="466"/>
      <c r="V45" s="466"/>
      <c r="AK45" s="466"/>
    </row>
    <row r="46" spans="1:49" x14ac:dyDescent="0.25">
      <c r="A46" s="993"/>
      <c r="B46" s="457" t="str">
        <f>'[42]Rev ReqII - TP'!C105</f>
        <v>Plus CWIP at 9/30/20 (Unaudited)</v>
      </c>
      <c r="D46" s="993"/>
      <c r="E46" s="993"/>
      <c r="F46" s="993"/>
      <c r="G46" s="993"/>
      <c r="H46" s="993"/>
      <c r="I46" s="993"/>
      <c r="J46" s="993"/>
      <c r="K46" s="457">
        <f>'[42]Rev ReqII - TP'!K105</f>
        <v>46090260</v>
      </c>
      <c r="L46" s="457"/>
      <c r="M46" s="457">
        <f>K46</f>
        <v>46090260</v>
      </c>
      <c r="N46" s="457"/>
      <c r="O46" s="457">
        <f>M46</f>
        <v>46090260</v>
      </c>
      <c r="P46" s="457"/>
      <c r="Q46" s="457">
        <f>O46</f>
        <v>46090260</v>
      </c>
      <c r="R46" s="457"/>
      <c r="S46" s="457">
        <f>Q46</f>
        <v>46090260</v>
      </c>
      <c r="T46" s="466"/>
      <c r="U46" s="466"/>
      <c r="V46" s="466"/>
      <c r="AK46" s="466"/>
    </row>
    <row r="47" spans="1:49" x14ac:dyDescent="0.25">
      <c r="A47" s="993"/>
      <c r="B47" s="457" t="str">
        <f>'[42]Rev ReqII - TP'!C106</f>
        <v>Plus balance of the project proceeds at 9/30/20 (Unaudited)</v>
      </c>
      <c r="D47" s="993"/>
      <c r="E47" s="993"/>
      <c r="F47" s="993"/>
      <c r="G47" s="993"/>
      <c r="H47" s="993"/>
      <c r="I47" s="993"/>
      <c r="J47" s="993"/>
      <c r="K47" s="225">
        <f>'[42]Rev ReqII - TP'!K106</f>
        <v>83293652</v>
      </c>
      <c r="L47" s="457"/>
      <c r="M47" s="225">
        <f>K47</f>
        <v>83293652</v>
      </c>
      <c r="N47" s="225"/>
      <c r="O47" s="225">
        <f>M47</f>
        <v>83293652</v>
      </c>
      <c r="P47" s="225"/>
      <c r="Q47" s="225">
        <f>O47</f>
        <v>83293652</v>
      </c>
      <c r="R47" s="225"/>
      <c r="S47" s="225">
        <f>Q47</f>
        <v>83293652</v>
      </c>
      <c r="T47" s="464"/>
      <c r="U47" s="466"/>
      <c r="V47" s="466"/>
      <c r="AK47" s="466"/>
      <c r="AW47" s="454"/>
    </row>
    <row r="48" spans="1:49" x14ac:dyDescent="0.25">
      <c r="B48" s="993" t="s">
        <v>1009</v>
      </c>
      <c r="D48" s="993"/>
      <c r="E48" s="993"/>
      <c r="F48" s="993"/>
      <c r="G48" s="993"/>
      <c r="H48" s="993"/>
      <c r="I48" s="993"/>
      <c r="J48" s="993"/>
      <c r="K48" s="1410">
        <f>ROUND(SUM('[42]Rev ReqII - TP'!K107:K111),0)</f>
        <v>2552639</v>
      </c>
      <c r="L48" s="457"/>
      <c r="M48" s="1410">
        <f>ROUND(SUM('[42]Rev ReqII - TP'!M107:M111)+K48,0)</f>
        <v>25012420</v>
      </c>
      <c r="N48" s="225"/>
      <c r="O48" s="1410">
        <f>ROUND(SUM('[42]Rev ReqII - TP'!O107:O111)+M48,0)</f>
        <v>51181874</v>
      </c>
      <c r="P48" s="225"/>
      <c r="Q48" s="1410">
        <f>ROUND(SUM('[42]Rev ReqII - TP'!Q107:Q111)+O48,0)</f>
        <v>74545292</v>
      </c>
      <c r="R48" s="225"/>
      <c r="S48" s="1410">
        <f>ROUND(SUM('[42]Rev ReqII - TP'!S107:S111)+Q48,0)</f>
        <v>107601570</v>
      </c>
      <c r="T48" s="464"/>
      <c r="U48" s="466"/>
      <c r="V48" s="454"/>
      <c r="AK48" s="466"/>
      <c r="AW48" s="454"/>
    </row>
    <row r="49" spans="1:35" ht="16.5" customHeight="1" x14ac:dyDescent="0.25">
      <c r="B49" s="993" t="s">
        <v>907</v>
      </c>
      <c r="D49" s="993"/>
      <c r="E49" s="993"/>
      <c r="F49" s="993"/>
      <c r="G49" s="993"/>
      <c r="H49" s="993"/>
      <c r="I49" s="993"/>
      <c r="J49" s="993"/>
      <c r="K49" s="449">
        <f>'[42]Rev ReqII - TP'!K112</f>
        <v>-122724702</v>
      </c>
      <c r="L49" s="457"/>
      <c r="M49" s="457">
        <f>K49</f>
        <v>-122724702</v>
      </c>
      <c r="N49" s="457"/>
      <c r="O49" s="449">
        <f>M49</f>
        <v>-122724702</v>
      </c>
      <c r="P49" s="457"/>
      <c r="Q49" s="449">
        <f>O49</f>
        <v>-122724702</v>
      </c>
      <c r="R49" s="457"/>
      <c r="S49" s="449">
        <f>Q49</f>
        <v>-122724702</v>
      </c>
      <c r="T49" s="466"/>
      <c r="U49" s="466"/>
      <c r="V49" s="454"/>
      <c r="AI49" s="115"/>
    </row>
    <row r="50" spans="1:35" ht="16.5" customHeight="1" x14ac:dyDescent="0.25">
      <c r="A50" s="1244"/>
      <c r="B50" s="993"/>
      <c r="C50" s="993"/>
      <c r="D50" s="993"/>
      <c r="E50" s="993"/>
      <c r="F50" s="993"/>
      <c r="G50" s="993"/>
      <c r="H50" s="993"/>
      <c r="I50" s="993"/>
      <c r="J50" s="993"/>
      <c r="K50" s="466"/>
      <c r="L50" s="993"/>
      <c r="M50" s="451"/>
      <c r="N50" s="466"/>
      <c r="O50" s="466"/>
      <c r="P50" s="466"/>
      <c r="Q50" s="466"/>
      <c r="R50" s="466"/>
      <c r="S50" s="466"/>
      <c r="T50" s="466"/>
      <c r="U50" s="466"/>
      <c r="V50" s="466"/>
      <c r="AI50" s="115"/>
    </row>
    <row r="51" spans="1:35" ht="16.5" customHeight="1" x14ac:dyDescent="0.25">
      <c r="A51" s="1244"/>
      <c r="B51" s="993"/>
      <c r="C51" s="993"/>
      <c r="E51" s="993" t="s">
        <v>350</v>
      </c>
      <c r="F51" s="993"/>
      <c r="G51" s="993"/>
      <c r="H51" s="993"/>
      <c r="I51" s="993"/>
      <c r="J51" s="993"/>
      <c r="K51" s="993">
        <f>SUM(K45:K50)</f>
        <v>323636677</v>
      </c>
      <c r="L51" s="993"/>
      <c r="M51" s="993">
        <f>SUM(M45:M50)</f>
        <v>346096458</v>
      </c>
      <c r="N51" s="993"/>
      <c r="O51" s="993">
        <f>SUM(O45:O50)</f>
        <v>372265912</v>
      </c>
      <c r="P51" s="993"/>
      <c r="Q51" s="993">
        <f>SUM(Q45:Q50)</f>
        <v>395629330</v>
      </c>
      <c r="R51" s="993"/>
      <c r="S51" s="993">
        <f>SUM(S45:S50)</f>
        <v>428685608</v>
      </c>
      <c r="T51" s="466"/>
      <c r="U51" s="466"/>
      <c r="V51" s="466"/>
      <c r="AI51" s="115"/>
    </row>
    <row r="52" spans="1:35" ht="16.5" customHeight="1" x14ac:dyDescent="0.25">
      <c r="A52" s="1244"/>
      <c r="B52" s="993" t="s">
        <v>300</v>
      </c>
      <c r="C52" s="993"/>
      <c r="E52" s="993"/>
      <c r="F52" s="993"/>
      <c r="G52" s="993"/>
      <c r="H52" s="993"/>
      <c r="I52" s="993"/>
      <c r="J52" s="993"/>
      <c r="K52" s="994">
        <f>-ROUND(K51*0.25,0)</f>
        <v>-80909169</v>
      </c>
      <c r="L52" s="993"/>
      <c r="M52" s="993">
        <f>-ROUND(M51*0.25,0)</f>
        <v>-86524115</v>
      </c>
      <c r="N52" s="993"/>
      <c r="O52" s="993">
        <f>-ROUND(O51*0.25,0)</f>
        <v>-93066478</v>
      </c>
      <c r="P52" s="993"/>
      <c r="Q52" s="993">
        <f>-ROUND(Q51*0.25,0)</f>
        <v>-98907333</v>
      </c>
      <c r="R52" s="993"/>
      <c r="S52" s="993">
        <f>-ROUND(S51*0.25,0)</f>
        <v>-107171402</v>
      </c>
      <c r="T52" s="466"/>
      <c r="U52" s="466"/>
      <c r="V52" s="466"/>
      <c r="AI52" s="115"/>
    </row>
    <row r="53" spans="1:35" ht="16.5" customHeight="1" x14ac:dyDescent="0.25">
      <c r="A53" s="1244"/>
      <c r="B53" s="993"/>
      <c r="C53" s="993"/>
      <c r="E53" s="993"/>
      <c r="F53" s="993"/>
      <c r="G53" s="993"/>
      <c r="H53" s="993"/>
      <c r="I53" s="993"/>
      <c r="J53" s="993"/>
      <c r="K53" s="466"/>
      <c r="L53" s="993"/>
      <c r="M53" s="451"/>
      <c r="N53" s="466"/>
      <c r="O53" s="451"/>
      <c r="P53" s="466"/>
      <c r="Q53" s="451"/>
      <c r="R53" s="466"/>
      <c r="S53" s="451"/>
      <c r="T53" s="466"/>
      <c r="U53" s="466"/>
      <c r="V53" s="466"/>
      <c r="AI53" s="115"/>
    </row>
    <row r="54" spans="1:35" ht="16.5" customHeight="1" x14ac:dyDescent="0.25">
      <c r="A54" s="1244"/>
      <c r="B54" s="993"/>
      <c r="C54" s="993" t="s">
        <v>107</v>
      </c>
      <c r="E54" s="993"/>
      <c r="F54" s="993"/>
      <c r="G54" s="993"/>
      <c r="H54" s="993"/>
      <c r="I54" s="993"/>
      <c r="J54" s="993"/>
      <c r="K54" s="993">
        <f>SUM(K50:K53)</f>
        <v>242727508</v>
      </c>
      <c r="L54" s="993"/>
      <c r="M54" s="993">
        <f>SUM(M50:M53)</f>
        <v>259572343</v>
      </c>
      <c r="N54" s="993"/>
      <c r="O54" s="993">
        <f>SUM(O50:O53)</f>
        <v>279199434</v>
      </c>
      <c r="P54" s="993"/>
      <c r="Q54" s="993">
        <f>SUM(Q50:Q53)</f>
        <v>296721997</v>
      </c>
      <c r="R54" s="993"/>
      <c r="S54" s="993">
        <f>SUM(S50:S53)</f>
        <v>321514206</v>
      </c>
      <c r="T54" s="466"/>
      <c r="U54" s="466"/>
      <c r="V54" s="466"/>
      <c r="AI54" s="115"/>
    </row>
    <row r="55" spans="1:35" ht="16.5" customHeight="1" x14ac:dyDescent="0.25">
      <c r="A55" s="1244"/>
      <c r="B55" s="993" t="s">
        <v>1010</v>
      </c>
      <c r="C55" s="993"/>
      <c r="E55" s="993"/>
      <c r="F55" s="993"/>
      <c r="G55" s="993"/>
      <c r="H55" s="993"/>
      <c r="I55" s="993"/>
      <c r="J55" s="993"/>
      <c r="K55" s="719">
        <v>1.7004999999999999</v>
      </c>
      <c r="M55" s="719">
        <f>K55</f>
        <v>1.7004999999999999</v>
      </c>
      <c r="N55" s="423"/>
      <c r="O55" s="719">
        <f>M55</f>
        <v>1.7004999999999999</v>
      </c>
      <c r="P55" s="423"/>
      <c r="Q55" s="719">
        <f>O55</f>
        <v>1.7004999999999999</v>
      </c>
      <c r="R55" s="423"/>
      <c r="S55" s="719">
        <f>Q55</f>
        <v>1.7004999999999999</v>
      </c>
      <c r="T55" s="423"/>
      <c r="U55" s="466"/>
      <c r="V55" s="423"/>
      <c r="AI55" s="115"/>
    </row>
    <row r="56" spans="1:35" ht="16.5" customHeight="1" x14ac:dyDescent="0.25">
      <c r="A56" s="1244"/>
      <c r="C56" s="993"/>
      <c r="E56" s="993"/>
      <c r="F56" s="993"/>
      <c r="G56" s="993"/>
      <c r="H56" s="993"/>
      <c r="I56" s="993"/>
      <c r="J56" s="993"/>
      <c r="K56" s="466"/>
      <c r="L56" s="993"/>
      <c r="M56" s="993"/>
      <c r="N56" s="993"/>
      <c r="O56" s="993"/>
      <c r="P56" s="993"/>
      <c r="Q56" s="993"/>
      <c r="R56" s="993"/>
      <c r="S56" s="993"/>
      <c r="T56" s="466"/>
      <c r="U56" s="466"/>
      <c r="V56" s="466"/>
    </row>
    <row r="57" spans="1:35" ht="16.5" customHeight="1" x14ac:dyDescent="0.25">
      <c r="A57" s="1244"/>
      <c r="B57" s="993"/>
      <c r="E57" s="998" t="s">
        <v>681</v>
      </c>
      <c r="F57" s="993"/>
      <c r="G57" s="993"/>
      <c r="H57" s="993"/>
      <c r="I57" s="993"/>
      <c r="J57" s="993"/>
      <c r="K57" s="993">
        <f>ROUND(K54*K55/100,0)</f>
        <v>4127581</v>
      </c>
      <c r="L57" s="993"/>
      <c r="M57" s="993">
        <f>ROUND(M54*M55/100,0)</f>
        <v>4414028</v>
      </c>
      <c r="N57" s="993"/>
      <c r="O57" s="993">
        <f>ROUND(O54*O55/100,0)</f>
        <v>4747786</v>
      </c>
      <c r="P57" s="993"/>
      <c r="Q57" s="993">
        <f>ROUND(Q54*Q55/100,0)</f>
        <v>5045758</v>
      </c>
      <c r="R57" s="993"/>
      <c r="S57" s="993">
        <f>ROUND(S54*S55/100,0)+1</f>
        <v>5467350</v>
      </c>
      <c r="T57" s="466"/>
      <c r="U57" s="466"/>
      <c r="V57" s="454"/>
      <c r="W57" s="454"/>
    </row>
    <row r="58" spans="1:35" ht="16.5" customHeight="1" x14ac:dyDescent="0.25">
      <c r="A58" s="1244"/>
      <c r="B58" s="993"/>
      <c r="E58" s="998" t="s">
        <v>684</v>
      </c>
      <c r="F58" s="993"/>
      <c r="G58" s="993"/>
      <c r="H58" s="993"/>
      <c r="I58" s="993"/>
      <c r="J58" s="993"/>
      <c r="K58" s="994">
        <v>-537581</v>
      </c>
      <c r="L58" s="994"/>
      <c r="M58" s="994">
        <v>-309028</v>
      </c>
      <c r="N58" s="993"/>
      <c r="O58" s="994">
        <v>-302786</v>
      </c>
      <c r="P58" s="466"/>
      <c r="Q58" s="994">
        <v>-260758</v>
      </c>
      <c r="R58" s="466"/>
      <c r="S58" s="994">
        <v>-137350</v>
      </c>
      <c r="T58" s="466"/>
      <c r="U58" s="466"/>
      <c r="V58" s="454"/>
      <c r="W58" s="454"/>
    </row>
    <row r="59" spans="1:35" ht="16.5" customHeight="1" x14ac:dyDescent="0.25">
      <c r="A59" s="1244"/>
      <c r="B59" s="993"/>
      <c r="E59" s="993"/>
      <c r="F59" s="993"/>
      <c r="G59" s="993"/>
      <c r="H59" s="993"/>
      <c r="I59" s="993"/>
      <c r="J59" s="993"/>
      <c r="K59" s="993"/>
      <c r="L59" s="993"/>
      <c r="M59" s="993"/>
      <c r="N59" s="993"/>
      <c r="O59" s="993"/>
      <c r="P59" s="993"/>
      <c r="Q59" s="993"/>
      <c r="R59" s="993"/>
      <c r="S59" s="993"/>
      <c r="T59" s="466"/>
      <c r="U59" s="466"/>
      <c r="V59" s="454"/>
      <c r="W59" s="454"/>
    </row>
    <row r="60" spans="1:35" ht="16.5" customHeight="1" x14ac:dyDescent="0.25">
      <c r="A60" s="1244"/>
      <c r="B60" s="993" t="s">
        <v>685</v>
      </c>
      <c r="E60" s="993"/>
      <c r="F60" s="993"/>
      <c r="G60" s="993"/>
      <c r="H60" s="993"/>
      <c r="I60" s="993"/>
      <c r="J60" s="993"/>
      <c r="K60" s="993">
        <f>K57+K58</f>
        <v>3590000</v>
      </c>
      <c r="L60" s="993"/>
      <c r="M60" s="993">
        <f>M57+M58</f>
        <v>4105000</v>
      </c>
      <c r="N60" s="993"/>
      <c r="O60" s="993">
        <f>O57+O58</f>
        <v>4445000</v>
      </c>
      <c r="P60" s="993"/>
      <c r="Q60" s="993">
        <f>Q57+Q58</f>
        <v>4785000</v>
      </c>
      <c r="R60" s="993"/>
      <c r="S60" s="993">
        <f>S57+S58</f>
        <v>5330000</v>
      </c>
      <c r="T60" s="466"/>
      <c r="U60" s="466"/>
      <c r="V60" s="454"/>
      <c r="W60" s="454"/>
    </row>
    <row r="61" spans="1:35" ht="16.5" customHeight="1" x14ac:dyDescent="0.25">
      <c r="A61" s="1244"/>
      <c r="B61" s="993" t="s">
        <v>1072</v>
      </c>
      <c r="E61" s="993"/>
      <c r="F61" s="993"/>
      <c r="G61" s="993"/>
      <c r="H61" s="993"/>
      <c r="I61" s="993"/>
      <c r="J61" s="993"/>
      <c r="K61" s="994">
        <f>CNP!M54</f>
        <v>-2353750</v>
      </c>
      <c r="L61" s="993"/>
      <c r="M61" s="1236">
        <f>-K60</f>
        <v>-3590000</v>
      </c>
      <c r="N61" s="777"/>
      <c r="O61" s="1236">
        <f>-M60</f>
        <v>-4105000</v>
      </c>
      <c r="P61" s="777"/>
      <c r="Q61" s="1236">
        <f>-O60</f>
        <v>-4445000</v>
      </c>
      <c r="R61" s="777"/>
      <c r="S61" s="1236">
        <f>-Q60</f>
        <v>-4785000</v>
      </c>
      <c r="T61" s="777"/>
      <c r="U61" s="466"/>
      <c r="V61" s="454"/>
      <c r="W61" s="454"/>
    </row>
    <row r="62" spans="1:35" ht="16.5" customHeight="1" x14ac:dyDescent="0.25"/>
    <row r="63" spans="1:35" ht="16.5" customHeight="1" thickBot="1" x14ac:dyDescent="0.3">
      <c r="A63" s="996"/>
      <c r="C63" s="998" t="s">
        <v>38</v>
      </c>
      <c r="K63" s="470">
        <f>K60+K61</f>
        <v>1236250</v>
      </c>
      <c r="M63" s="470">
        <f>M60+M61</f>
        <v>515000</v>
      </c>
      <c r="N63" s="454"/>
      <c r="O63" s="470">
        <f>O60+O61</f>
        <v>340000</v>
      </c>
      <c r="P63" s="454"/>
      <c r="Q63" s="470">
        <f>Q60+Q61</f>
        <v>340000</v>
      </c>
      <c r="R63" s="454"/>
      <c r="S63" s="470">
        <f>S60+S61</f>
        <v>545000</v>
      </c>
      <c r="T63" s="454"/>
      <c r="V63" s="454"/>
    </row>
    <row r="64" spans="1:35" ht="16.5" customHeight="1" thickTop="1" x14ac:dyDescent="0.25">
      <c r="A64" s="996"/>
      <c r="V64" s="454"/>
    </row>
    <row r="65" spans="1:22" ht="16.5" customHeight="1" x14ac:dyDescent="0.25">
      <c r="A65" s="996" t="s">
        <v>908</v>
      </c>
    </row>
    <row r="66" spans="1:22" ht="16.5" customHeight="1" x14ac:dyDescent="0.25">
      <c r="A66" s="996"/>
    </row>
    <row r="67" spans="1:22" x14ac:dyDescent="0.25">
      <c r="U67" s="223"/>
      <c r="V67" s="357"/>
    </row>
    <row r="68" spans="1:22" x14ac:dyDescent="0.25">
      <c r="U68" s="223"/>
      <c r="V68" s="357"/>
    </row>
    <row r="69" spans="1:22" x14ac:dyDescent="0.25">
      <c r="U69" s="223"/>
      <c r="V69" s="357"/>
    </row>
    <row r="70" spans="1:22" x14ac:dyDescent="0.25">
      <c r="U70" s="223"/>
      <c r="V70" s="357"/>
    </row>
    <row r="71" spans="1:22" x14ac:dyDescent="0.25">
      <c r="U71" s="223"/>
      <c r="V71" s="357"/>
    </row>
    <row r="72" spans="1:22" x14ac:dyDescent="0.25">
      <c r="U72" s="223"/>
      <c r="V72" s="357"/>
    </row>
    <row r="73" spans="1:22" x14ac:dyDescent="0.25">
      <c r="U73" s="223"/>
      <c r="V73" s="357"/>
    </row>
    <row r="74" spans="1:22" x14ac:dyDescent="0.25">
      <c r="U74" s="223"/>
      <c r="V74" s="357"/>
    </row>
    <row r="75" spans="1:22" x14ac:dyDescent="0.25">
      <c r="U75" s="223"/>
      <c r="V75" s="357"/>
    </row>
    <row r="76" spans="1:22" x14ac:dyDescent="0.25">
      <c r="U76" s="223"/>
      <c r="V76" s="357"/>
    </row>
    <row r="77" spans="1:22" x14ac:dyDescent="0.25">
      <c r="U77" s="223"/>
      <c r="V77" s="357"/>
    </row>
    <row r="78" spans="1:22" x14ac:dyDescent="0.25">
      <c r="U78" s="223"/>
      <c r="V78" s="357"/>
    </row>
    <row r="79" spans="1:22" x14ac:dyDescent="0.25">
      <c r="U79" s="223"/>
      <c r="V79" s="357"/>
    </row>
    <row r="80" spans="1:22" x14ac:dyDescent="0.25">
      <c r="U80" s="223"/>
      <c r="V80" s="357"/>
    </row>
    <row r="81" spans="1:22" x14ac:dyDescent="0.25">
      <c r="U81" s="223"/>
      <c r="V81" s="357"/>
    </row>
    <row r="82" spans="1:22" x14ac:dyDescent="0.25">
      <c r="U82" s="223"/>
      <c r="V82" s="357"/>
    </row>
    <row r="83" spans="1:22" x14ac:dyDescent="0.25">
      <c r="U83" s="223"/>
      <c r="V83" s="357"/>
    </row>
    <row r="84" spans="1:22" x14ac:dyDescent="0.25">
      <c r="U84" s="223"/>
      <c r="V84" s="357"/>
    </row>
    <row r="85" spans="1:22" x14ac:dyDescent="0.25">
      <c r="U85" s="223"/>
      <c r="V85" s="357"/>
    </row>
    <row r="86" spans="1:22" x14ac:dyDescent="0.25">
      <c r="U86" s="223"/>
      <c r="V86" s="357"/>
    </row>
    <row r="87" spans="1:22" x14ac:dyDescent="0.25">
      <c r="U87" s="223"/>
      <c r="V87" s="357"/>
    </row>
    <row r="88" spans="1:22" x14ac:dyDescent="0.25">
      <c r="A88" s="1435" t="str">
        <f>'PF Rev Req II '!A66</f>
        <v>(Continued on next page)</v>
      </c>
      <c r="B88" s="1435"/>
      <c r="C88" s="1435"/>
      <c r="D88" s="1435"/>
      <c r="E88" s="1435"/>
      <c r="F88" s="1435"/>
      <c r="G88" s="1435"/>
      <c r="H88" s="1435"/>
      <c r="I88" s="1435"/>
      <c r="J88" s="1435"/>
      <c r="K88" s="1435"/>
      <c r="L88" s="1435"/>
      <c r="M88" s="1435"/>
      <c r="N88" s="1435"/>
      <c r="O88" s="1435"/>
      <c r="P88" s="1435"/>
      <c r="Q88" s="1435"/>
      <c r="R88" s="1435"/>
      <c r="S88" s="1435"/>
      <c r="T88" s="1276"/>
      <c r="U88" s="223"/>
      <c r="V88" s="357"/>
    </row>
    <row r="89" spans="1:22" x14ac:dyDescent="0.25">
      <c r="U89" s="223"/>
      <c r="V89" s="357"/>
    </row>
    <row r="90" spans="1:22" x14ac:dyDescent="0.25">
      <c r="A90" s="1435" t="s">
        <v>611</v>
      </c>
      <c r="B90" s="1435"/>
      <c r="C90" s="1435"/>
      <c r="D90" s="1435"/>
      <c r="E90" s="1435"/>
      <c r="F90" s="1435"/>
      <c r="G90" s="1435"/>
      <c r="H90" s="1435"/>
      <c r="I90" s="1435"/>
      <c r="J90" s="1435"/>
      <c r="K90" s="1435"/>
      <c r="L90" s="1435"/>
      <c r="M90" s="1435"/>
      <c r="N90" s="1435"/>
      <c r="O90" s="1435"/>
      <c r="P90" s="1435"/>
      <c r="Q90" s="1435"/>
      <c r="R90" s="1435"/>
      <c r="S90" s="1435"/>
      <c r="T90" s="1276"/>
      <c r="U90" s="223"/>
      <c r="V90" s="357"/>
    </row>
    <row r="91" spans="1:22" x14ac:dyDescent="0.25">
      <c r="A91" s="313"/>
      <c r="B91" s="278"/>
      <c r="C91" s="313"/>
      <c r="D91" s="313"/>
      <c r="E91" s="313"/>
      <c r="F91" s="313"/>
      <c r="G91" s="313"/>
      <c r="H91" s="313"/>
      <c r="I91" s="313"/>
      <c r="J91" s="313"/>
      <c r="K91" s="313"/>
      <c r="L91" s="313"/>
      <c r="M91" s="313"/>
      <c r="N91" s="313"/>
      <c r="O91" s="313"/>
      <c r="P91" s="313"/>
      <c r="Q91" s="313"/>
      <c r="R91" s="313"/>
      <c r="S91" s="313"/>
      <c r="T91" s="223"/>
      <c r="U91" s="223"/>
      <c r="V91" s="223"/>
    </row>
    <row r="92" spans="1:22" x14ac:dyDescent="0.25">
      <c r="A92" s="1435">
        <f>'PF Rev Req II '!A70+1</f>
        <v>27</v>
      </c>
      <c r="B92" s="1435"/>
      <c r="C92" s="1435"/>
      <c r="D92" s="1435"/>
      <c r="E92" s="1435"/>
      <c r="F92" s="1435"/>
      <c r="G92" s="1435"/>
      <c r="H92" s="1435"/>
      <c r="I92" s="1435"/>
      <c r="J92" s="1435"/>
      <c r="K92" s="1435"/>
      <c r="L92" s="1435"/>
      <c r="M92" s="1435"/>
      <c r="N92" s="1435"/>
      <c r="O92" s="1435"/>
      <c r="P92" s="1435"/>
      <c r="Q92" s="1435"/>
      <c r="R92" s="1435"/>
      <c r="S92" s="1435"/>
      <c r="T92" s="1276"/>
      <c r="U92" s="223"/>
      <c r="V92" s="223"/>
    </row>
    <row r="93" spans="1:22" x14ac:dyDescent="0.25">
      <c r="A93" s="1444" t="str">
        <f>A1</f>
        <v>EVANSVILLE (INDIANA) WATERWORKS DISTRICT</v>
      </c>
      <c r="B93" s="1444"/>
      <c r="C93" s="1444"/>
      <c r="D93" s="1444"/>
      <c r="E93" s="1444"/>
      <c r="F93" s="1444"/>
      <c r="G93" s="1444"/>
      <c r="H93" s="1444"/>
      <c r="I93" s="1444"/>
      <c r="J93" s="1444"/>
      <c r="K93" s="1444"/>
      <c r="L93" s="1444"/>
      <c r="M93" s="1444"/>
      <c r="N93" s="1444"/>
      <c r="O93" s="1444"/>
      <c r="P93" s="1444"/>
      <c r="Q93" s="1444"/>
      <c r="R93" s="1444"/>
      <c r="S93" s="1444"/>
      <c r="T93" s="80"/>
      <c r="U93" s="223"/>
      <c r="V93" s="223"/>
    </row>
    <row r="94" spans="1:22" x14ac:dyDescent="0.25">
      <c r="A94" s="65"/>
      <c r="B94" s="278"/>
      <c r="C94" s="313"/>
      <c r="D94" s="313"/>
      <c r="E94" s="313"/>
      <c r="F94" s="313"/>
      <c r="G94" s="313"/>
      <c r="H94" s="313"/>
      <c r="I94" s="313"/>
      <c r="J94" s="313"/>
      <c r="K94" s="313"/>
      <c r="L94" s="313"/>
      <c r="N94" s="504"/>
      <c r="P94" s="504"/>
      <c r="Q94" s="504"/>
      <c r="R94" s="504"/>
      <c r="S94" s="1235" t="s">
        <v>17</v>
      </c>
      <c r="T94" s="1264"/>
      <c r="U94" s="223"/>
    </row>
    <row r="95" spans="1:22" x14ac:dyDescent="0.25">
      <c r="A95" s="1443" t="str">
        <f>'PF Exp Rev Req II '!A3</f>
        <v xml:space="preserve">FORWARD LOOKING TEST YEAR ANNUAL REVENUE REQUIREMENTS </v>
      </c>
      <c r="B95" s="1443"/>
      <c r="C95" s="1443"/>
      <c r="D95" s="1443"/>
      <c r="E95" s="1443"/>
      <c r="F95" s="1443"/>
      <c r="G95" s="1443"/>
      <c r="H95" s="1443"/>
      <c r="I95" s="1443"/>
      <c r="J95" s="1443"/>
      <c r="K95" s="1443"/>
      <c r="L95" s="1443"/>
      <c r="M95" s="1443"/>
      <c r="N95" s="1443"/>
      <c r="O95" s="1443"/>
      <c r="P95" s="1443"/>
      <c r="Q95" s="1443"/>
      <c r="R95" s="1443"/>
      <c r="S95" s="1443"/>
      <c r="T95" s="1413"/>
      <c r="U95" s="223"/>
      <c r="V95" s="223"/>
    </row>
    <row r="96" spans="1:22" x14ac:dyDescent="0.25">
      <c r="A96" s="1443" t="str">
        <f>A4</f>
        <v>AND ANNUAL REVENUES</v>
      </c>
      <c r="B96" s="1443"/>
      <c r="C96" s="1443"/>
      <c r="D96" s="1443"/>
      <c r="E96" s="1443"/>
      <c r="F96" s="1443"/>
      <c r="G96" s="1443"/>
      <c r="H96" s="1443"/>
      <c r="I96" s="1443"/>
      <c r="J96" s="1443"/>
      <c r="K96" s="1443"/>
      <c r="L96" s="1443"/>
      <c r="M96" s="1443"/>
      <c r="N96" s="1443"/>
      <c r="O96" s="1443"/>
      <c r="P96" s="1443"/>
      <c r="Q96" s="1443"/>
      <c r="R96" s="1443"/>
      <c r="S96" s="1443"/>
      <c r="T96" s="1413"/>
      <c r="U96" s="223"/>
      <c r="V96" s="223"/>
    </row>
    <row r="97" spans="1:46" x14ac:dyDescent="0.25">
      <c r="A97" s="1444" t="str">
        <f>A5</f>
        <v>(Explanation of References)</v>
      </c>
      <c r="B97" s="1444"/>
      <c r="C97" s="1444"/>
      <c r="D97" s="1444"/>
      <c r="E97" s="1444"/>
      <c r="F97" s="1444"/>
      <c r="G97" s="1444"/>
      <c r="H97" s="1444"/>
      <c r="I97" s="1444"/>
      <c r="J97" s="1444"/>
      <c r="K97" s="1444"/>
      <c r="L97" s="1444"/>
      <c r="M97" s="1444"/>
      <c r="N97" s="1444"/>
      <c r="O97" s="1444"/>
      <c r="P97" s="1444"/>
      <c r="Q97" s="1444"/>
      <c r="R97" s="1444"/>
      <c r="S97" s="1444"/>
      <c r="T97" s="80"/>
      <c r="U97" s="223"/>
      <c r="V97" s="223"/>
    </row>
    <row r="98" spans="1:46" ht="16.5" customHeight="1" x14ac:dyDescent="0.25">
      <c r="A98" s="1244"/>
      <c r="B98" s="401"/>
      <c r="C98" s="993"/>
      <c r="D98" s="993"/>
      <c r="E98" s="993"/>
      <c r="F98" s="993"/>
      <c r="G98" s="993"/>
      <c r="H98" s="993"/>
      <c r="I98" s="993"/>
      <c r="J98" s="993"/>
      <c r="K98" s="993"/>
      <c r="L98" s="993"/>
      <c r="M98" s="993"/>
      <c r="N98" s="993"/>
      <c r="O98" s="993"/>
      <c r="P98" s="993"/>
      <c r="Q98" s="993"/>
      <c r="R98" s="993"/>
      <c r="S98" s="993"/>
      <c r="T98" s="466"/>
      <c r="U98" s="466"/>
      <c r="V98" s="466"/>
    </row>
    <row r="99" spans="1:46" ht="16.5" customHeight="1" x14ac:dyDescent="0.25">
      <c r="A99" s="1450" t="s">
        <v>367</v>
      </c>
      <c r="B99" s="1450"/>
      <c r="C99" s="1450"/>
      <c r="D99" s="1450"/>
      <c r="E99" s="1450"/>
      <c r="F99" s="1450"/>
      <c r="G99" s="1450"/>
      <c r="H99" s="1450"/>
      <c r="I99" s="1450"/>
      <c r="J99" s="1450"/>
      <c r="K99" s="1450"/>
      <c r="L99" s="1450"/>
      <c r="M99" s="1450"/>
      <c r="N99" s="1450"/>
      <c r="O99" s="1450"/>
      <c r="P99" s="1450"/>
      <c r="Q99" s="1450"/>
      <c r="R99" s="1450"/>
      <c r="S99" s="1450"/>
      <c r="T99" s="486"/>
      <c r="U99" s="203"/>
      <c r="V99" s="203"/>
    </row>
    <row r="100" spans="1:46" ht="16.5" customHeight="1" x14ac:dyDescent="0.25">
      <c r="A100" s="1244"/>
    </row>
    <row r="101" spans="1:46" ht="16.5" customHeight="1" x14ac:dyDescent="0.25">
      <c r="A101" s="998" t="s">
        <v>1073</v>
      </c>
    </row>
    <row r="102" spans="1:46" ht="16.5" customHeight="1" x14ac:dyDescent="0.25">
      <c r="A102" s="998" t="s">
        <v>1088</v>
      </c>
    </row>
    <row r="103" spans="1:46" ht="16.5" customHeight="1" x14ac:dyDescent="0.25">
      <c r="A103" s="998" t="s">
        <v>1074</v>
      </c>
    </row>
    <row r="104" spans="1:46" ht="16.5" customHeight="1" x14ac:dyDescent="0.25">
      <c r="A104" s="998" t="s">
        <v>1075</v>
      </c>
    </row>
    <row r="105" spans="1:46" ht="16.5" customHeight="1" x14ac:dyDescent="0.25">
      <c r="A105" s="998" t="s">
        <v>1076</v>
      </c>
    </row>
    <row r="106" spans="1:46" ht="16.5" customHeight="1" x14ac:dyDescent="0.25"/>
    <row r="107" spans="1:46" ht="16.5" customHeight="1" x14ac:dyDescent="0.25">
      <c r="J107" s="201"/>
      <c r="K107" s="1453" t="s">
        <v>1071</v>
      </c>
      <c r="L107" s="1453"/>
      <c r="M107" s="1453"/>
      <c r="N107" s="1453"/>
      <c r="O107" s="1453"/>
      <c r="P107" s="1453"/>
      <c r="Q107" s="1453"/>
      <c r="R107" s="1453"/>
      <c r="S107" s="1453"/>
      <c r="T107" s="1276"/>
      <c r="Y107" s="466"/>
      <c r="Z107" s="466"/>
      <c r="AA107" s="466"/>
      <c r="AB107" s="466"/>
    </row>
    <row r="108" spans="1:46" ht="16.5" customHeight="1" x14ac:dyDescent="0.25">
      <c r="K108" s="1247" t="s">
        <v>352</v>
      </c>
      <c r="M108" s="1247" t="s">
        <v>353</v>
      </c>
      <c r="N108" s="993"/>
      <c r="O108" s="1247" t="s">
        <v>354</v>
      </c>
      <c r="P108" s="208"/>
      <c r="Q108" s="1247" t="s">
        <v>901</v>
      </c>
      <c r="R108" s="208"/>
      <c r="S108" s="1247" t="s">
        <v>1019</v>
      </c>
      <c r="T108" s="208"/>
    </row>
    <row r="109" spans="1:46" ht="16.5" customHeight="1" x14ac:dyDescent="0.25">
      <c r="K109" s="208"/>
      <c r="M109" s="208"/>
      <c r="N109" s="993"/>
      <c r="O109" s="208"/>
      <c r="P109" s="208"/>
      <c r="Q109" s="208"/>
      <c r="R109" s="208"/>
      <c r="S109" s="208"/>
      <c r="T109" s="208"/>
    </row>
    <row r="110" spans="1:46" ht="16.5" customHeight="1" x14ac:dyDescent="0.25">
      <c r="B110" s="998" t="s">
        <v>633</v>
      </c>
      <c r="K110" s="997">
        <v>2950200</v>
      </c>
      <c r="L110" s="993"/>
      <c r="M110" s="997">
        <v>2955400</v>
      </c>
      <c r="N110" s="993"/>
      <c r="O110" s="997">
        <v>2902800</v>
      </c>
      <c r="P110" s="997"/>
      <c r="Q110" s="997">
        <v>2724600</v>
      </c>
      <c r="R110" s="997"/>
      <c r="S110" s="997">
        <v>2725800</v>
      </c>
      <c r="T110" s="454"/>
      <c r="X110" s="447"/>
      <c r="AB110" s="208"/>
      <c r="AC110" s="208"/>
    </row>
    <row r="111" spans="1:46" ht="16.5" customHeight="1" x14ac:dyDescent="0.25">
      <c r="B111" s="998" t="s">
        <v>634</v>
      </c>
      <c r="K111" s="993">
        <v>2114293.7599999998</v>
      </c>
      <c r="L111" s="993"/>
      <c r="M111" s="993">
        <v>2097093.76</v>
      </c>
      <c r="N111" s="993"/>
      <c r="O111" s="993">
        <v>2094293.76</v>
      </c>
      <c r="P111" s="993"/>
      <c r="Q111" s="993">
        <v>4845443.76</v>
      </c>
      <c r="R111" s="993"/>
      <c r="S111" s="993">
        <v>4842893.76</v>
      </c>
      <c r="T111" s="466"/>
      <c r="X111" s="454"/>
      <c r="Y111" s="363"/>
      <c r="AB111" s="61"/>
      <c r="AC111" s="61"/>
    </row>
    <row r="112" spans="1:46" ht="16.5" customHeight="1" x14ac:dyDescent="0.25">
      <c r="B112" s="998" t="s">
        <v>749</v>
      </c>
      <c r="K112" s="500">
        <v>0</v>
      </c>
      <c r="L112" s="993"/>
      <c r="M112" s="500">
        <v>0</v>
      </c>
      <c r="N112" s="993"/>
      <c r="O112" s="500">
        <v>0</v>
      </c>
      <c r="P112" s="993"/>
      <c r="Q112" s="500">
        <v>0</v>
      </c>
      <c r="R112" s="993"/>
      <c r="S112" s="500">
        <v>0</v>
      </c>
      <c r="T112" s="466"/>
      <c r="X112" s="359"/>
      <c r="Y112" s="363"/>
      <c r="AD112" s="1455"/>
      <c r="AE112" s="1455"/>
      <c r="AF112" s="1455"/>
      <c r="AG112" s="1455"/>
      <c r="AH112" s="1455"/>
      <c r="AI112" s="1455"/>
      <c r="AJ112" s="1455"/>
      <c r="AK112" s="1455"/>
      <c r="AL112" s="1455"/>
      <c r="AM112" s="1455"/>
      <c r="AN112" s="1455"/>
      <c r="AO112" s="1455"/>
      <c r="AP112" s="1455"/>
      <c r="AQ112" s="1455"/>
      <c r="AR112" s="1455"/>
      <c r="AS112" s="1455"/>
      <c r="AT112" s="1455"/>
    </row>
    <row r="113" spans="1:46" ht="16.5" customHeight="1" x14ac:dyDescent="0.25">
      <c r="B113" s="998" t="s">
        <v>750</v>
      </c>
      <c r="K113" s="993">
        <v>5307952.62</v>
      </c>
      <c r="L113" s="993"/>
      <c r="M113" s="993">
        <v>5307952.32</v>
      </c>
      <c r="N113" s="993"/>
      <c r="O113" s="993">
        <v>5307953.0600000005</v>
      </c>
      <c r="P113" s="993"/>
      <c r="Q113" s="993">
        <v>5307952.4399999995</v>
      </c>
      <c r="R113" s="993"/>
      <c r="S113" s="993">
        <v>5307952.74</v>
      </c>
      <c r="T113" s="466"/>
      <c r="X113" s="359"/>
      <c r="Y113" s="363"/>
      <c r="AD113" s="208"/>
      <c r="AE113" s="208"/>
      <c r="AF113" s="208"/>
      <c r="AG113" s="208"/>
      <c r="AH113" s="61"/>
      <c r="AI113" s="61"/>
      <c r="AJ113" s="61"/>
      <c r="AL113" s="185"/>
      <c r="AN113" s="185"/>
      <c r="AP113" s="185"/>
      <c r="AR113" s="185"/>
      <c r="AT113" s="185"/>
    </row>
    <row r="114" spans="1:46" ht="16.5" customHeight="1" x14ac:dyDescent="0.25">
      <c r="B114" s="998" t="s">
        <v>635</v>
      </c>
      <c r="K114" s="993">
        <v>2641093.7599999998</v>
      </c>
      <c r="L114" s="993"/>
      <c r="M114" s="993">
        <v>2655093.7599999998</v>
      </c>
      <c r="N114" s="993"/>
      <c r="O114" s="993">
        <v>2673193.7599999998</v>
      </c>
      <c r="P114" s="993"/>
      <c r="Q114" s="993">
        <v>2668843.7599999998</v>
      </c>
      <c r="R114" s="993"/>
      <c r="S114" s="993">
        <v>2673143.7599999998</v>
      </c>
      <c r="T114" s="466"/>
      <c r="X114" s="359"/>
      <c r="Y114" s="363"/>
      <c r="AD114" s="61"/>
      <c r="AE114" s="61"/>
      <c r="AF114" s="61"/>
      <c r="AG114" s="61"/>
      <c r="AH114" s="61"/>
      <c r="AJ114" s="61"/>
      <c r="AL114" s="61"/>
      <c r="AN114" s="61"/>
      <c r="AP114" s="61"/>
      <c r="AR114" s="61"/>
      <c r="AT114" s="61"/>
    </row>
    <row r="115" spans="1:46" ht="16.5" customHeight="1" x14ac:dyDescent="0.25">
      <c r="B115" s="998" t="s">
        <v>751</v>
      </c>
      <c r="K115" s="466">
        <v>996406.6</v>
      </c>
      <c r="L115" s="466"/>
      <c r="M115" s="466">
        <v>997266.1</v>
      </c>
      <c r="N115" s="466"/>
      <c r="O115" s="466">
        <v>997756.1</v>
      </c>
      <c r="P115" s="466"/>
      <c r="Q115" s="466">
        <v>993028.4</v>
      </c>
      <c r="R115" s="466"/>
      <c r="S115" s="466">
        <v>997925.86</v>
      </c>
      <c r="T115" s="466"/>
      <c r="V115" s="466"/>
      <c r="AB115" s="359"/>
      <c r="AC115" s="359"/>
      <c r="AD115" s="363"/>
      <c r="AE115" s="359"/>
      <c r="AF115" s="363"/>
      <c r="AG115" s="359"/>
      <c r="AH115" s="363"/>
      <c r="AJ115" s="363"/>
      <c r="AL115" s="363"/>
      <c r="AN115" s="363"/>
      <c r="AP115" s="363"/>
      <c r="AR115" s="447"/>
      <c r="AT115" s="447"/>
    </row>
    <row r="116" spans="1:46" ht="16.5" customHeight="1" x14ac:dyDescent="0.25">
      <c r="B116" s="998" t="s">
        <v>752</v>
      </c>
      <c r="K116" s="466">
        <v>3517998.5</v>
      </c>
      <c r="L116" s="993"/>
      <c r="M116" s="466">
        <v>3516501</v>
      </c>
      <c r="N116" s="993"/>
      <c r="O116" s="466">
        <v>3551673.5</v>
      </c>
      <c r="P116" s="466"/>
      <c r="Q116" s="466">
        <v>988927.5</v>
      </c>
      <c r="R116" s="466"/>
      <c r="S116" s="466">
        <v>980877.5</v>
      </c>
      <c r="T116" s="466"/>
      <c r="V116" s="466"/>
      <c r="AB116" s="359"/>
      <c r="AC116" s="359"/>
      <c r="AD116" s="359"/>
      <c r="AE116" s="359"/>
      <c r="AF116" s="359"/>
      <c r="AG116" s="359"/>
      <c r="AH116" s="359"/>
      <c r="AJ116" s="359"/>
      <c r="AL116" s="359"/>
      <c r="AN116" s="359"/>
      <c r="AP116" s="359"/>
      <c r="AR116" s="359"/>
      <c r="AT116" s="359"/>
    </row>
    <row r="117" spans="1:46" ht="16.5" customHeight="1" x14ac:dyDescent="0.25">
      <c r="B117" s="998" t="s">
        <v>1011</v>
      </c>
      <c r="K117" s="502">
        <v>0</v>
      </c>
      <c r="L117" s="500"/>
      <c r="M117" s="502">
        <v>0</v>
      </c>
      <c r="N117" s="993"/>
      <c r="O117" s="502">
        <v>0</v>
      </c>
      <c r="P117" s="466"/>
      <c r="Q117" s="1179">
        <v>938007.5</v>
      </c>
      <c r="R117" s="466"/>
      <c r="S117" s="1179">
        <v>1876015</v>
      </c>
      <c r="T117" s="466"/>
      <c r="V117" s="466"/>
    </row>
    <row r="118" spans="1:46" ht="16.5" customHeight="1" x14ac:dyDescent="0.25">
      <c r="B118" s="998" t="s">
        <v>1012</v>
      </c>
      <c r="K118" s="502">
        <v>0</v>
      </c>
      <c r="L118" s="502"/>
      <c r="M118" s="502">
        <v>0</v>
      </c>
      <c r="N118" s="466"/>
      <c r="O118" s="1179">
        <v>2493465</v>
      </c>
      <c r="P118" s="466"/>
      <c r="Q118" s="1179">
        <v>4987930</v>
      </c>
      <c r="R118" s="466"/>
      <c r="S118" s="1179">
        <v>4991049.1000000015</v>
      </c>
      <c r="T118" s="466"/>
      <c r="V118" s="466"/>
      <c r="AB118" s="359"/>
      <c r="AC118" s="359"/>
      <c r="AD118" s="363"/>
      <c r="AE118" s="359"/>
      <c r="AF118" s="363"/>
      <c r="AG118" s="359"/>
      <c r="AH118" s="363"/>
      <c r="AJ118" s="363"/>
      <c r="AL118" s="363"/>
      <c r="AN118" s="363"/>
      <c r="AP118" s="363"/>
      <c r="AR118" s="363"/>
      <c r="AT118" s="363"/>
    </row>
    <row r="119" spans="1:46" ht="16.5" customHeight="1" x14ac:dyDescent="0.25">
      <c r="B119" s="998" t="s">
        <v>1081</v>
      </c>
      <c r="K119" s="994">
        <v>-14125666</v>
      </c>
      <c r="L119" s="500"/>
      <c r="M119" s="1251">
        <v>-17527945.239999998</v>
      </c>
      <c r="N119" s="993"/>
      <c r="O119" s="1251">
        <v>-17529306.939999998</v>
      </c>
      <c r="P119" s="466"/>
      <c r="Q119" s="1251">
        <v>-20021135.18</v>
      </c>
      <c r="R119" s="466"/>
      <c r="S119" s="1251">
        <v>-23454733.359999999</v>
      </c>
      <c r="T119" s="466"/>
      <c r="V119" s="466"/>
      <c r="AB119" s="359"/>
      <c r="AC119" s="359"/>
      <c r="AD119" s="363"/>
      <c r="AE119" s="359"/>
      <c r="AF119" s="363"/>
      <c r="AG119" s="359"/>
      <c r="AH119" s="363"/>
      <c r="AJ119" s="363"/>
      <c r="AL119" s="363"/>
      <c r="AN119" s="363"/>
      <c r="AP119" s="363"/>
      <c r="AR119" s="363"/>
      <c r="AT119" s="363"/>
    </row>
    <row r="120" spans="1:46" ht="16.5" customHeight="1" x14ac:dyDescent="0.25">
      <c r="K120" s="993"/>
      <c r="L120" s="993"/>
      <c r="M120" s="993"/>
      <c r="N120" s="993"/>
      <c r="O120" s="993"/>
      <c r="P120" s="993"/>
      <c r="Q120" s="993"/>
      <c r="R120" s="993"/>
      <c r="S120" s="993"/>
      <c r="T120" s="466"/>
      <c r="V120" s="466"/>
    </row>
    <row r="121" spans="1:46" ht="16.5" customHeight="1" thickBot="1" x14ac:dyDescent="0.3">
      <c r="C121" s="998" t="s">
        <v>38</v>
      </c>
      <c r="K121" s="224">
        <f>SUM(K110:K119)</f>
        <v>3402279.2399999984</v>
      </c>
      <c r="L121" s="993"/>
      <c r="M121" s="224">
        <f>SUM(M110:M119)</f>
        <v>1361.6999999992549</v>
      </c>
      <c r="N121" s="454"/>
      <c r="O121" s="224">
        <f>SUM(O110:O119)</f>
        <v>2491828.2400000021</v>
      </c>
      <c r="P121" s="454"/>
      <c r="Q121" s="224">
        <f>SUM(Q110:Q119)</f>
        <v>3433598.1799999997</v>
      </c>
      <c r="R121" s="454"/>
      <c r="S121" s="224">
        <f>SUM(S110:S119)</f>
        <v>940924.3599999994</v>
      </c>
      <c r="T121" s="454"/>
      <c r="V121" s="466"/>
      <c r="W121" s="454"/>
      <c r="AD121" s="1455"/>
      <c r="AE121" s="1455"/>
      <c r="AF121" s="1455"/>
      <c r="AG121" s="1455"/>
      <c r="AH121" s="1455"/>
      <c r="AI121" s="1455"/>
      <c r="AJ121" s="1455"/>
      <c r="AK121" s="1455"/>
      <c r="AL121" s="1455"/>
      <c r="AM121" s="1455"/>
      <c r="AN121" s="1455"/>
      <c r="AO121" s="1455"/>
      <c r="AP121" s="1455"/>
      <c r="AQ121" s="1455"/>
      <c r="AR121" s="1455"/>
      <c r="AS121" s="1455"/>
      <c r="AT121" s="1455"/>
    </row>
    <row r="122" spans="1:46" ht="16.5" customHeight="1" thickTop="1" x14ac:dyDescent="0.25">
      <c r="AD122" s="208"/>
      <c r="AE122" s="208"/>
      <c r="AF122" s="208"/>
      <c r="AG122" s="208"/>
      <c r="AH122" s="61"/>
      <c r="AI122" s="61"/>
      <c r="AJ122" s="61"/>
      <c r="AL122" s="185"/>
      <c r="AN122" s="185"/>
      <c r="AP122" s="185"/>
      <c r="AR122" s="185"/>
      <c r="AT122" s="185"/>
    </row>
    <row r="123" spans="1:46" ht="16.5" customHeight="1" x14ac:dyDescent="0.25">
      <c r="A123" s="998" t="s">
        <v>1021</v>
      </c>
      <c r="AD123" s="208"/>
      <c r="AE123" s="208"/>
      <c r="AF123" s="208"/>
      <c r="AG123" s="208"/>
      <c r="AH123" s="61"/>
      <c r="AI123" s="61"/>
      <c r="AJ123" s="61"/>
      <c r="AL123" s="185"/>
      <c r="AN123" s="185"/>
      <c r="AP123" s="185"/>
      <c r="AR123" s="185"/>
      <c r="AT123" s="185"/>
    </row>
    <row r="124" spans="1:46" ht="16.5" customHeight="1" x14ac:dyDescent="0.25">
      <c r="A124" s="1450" t="s">
        <v>368</v>
      </c>
      <c r="B124" s="1450"/>
      <c r="C124" s="1450"/>
      <c r="D124" s="1450"/>
      <c r="E124" s="1450"/>
      <c r="F124" s="1450"/>
      <c r="G124" s="1450"/>
      <c r="H124" s="1450"/>
      <c r="I124" s="1450"/>
      <c r="J124" s="1450"/>
      <c r="K124" s="1450"/>
      <c r="L124" s="1450"/>
      <c r="M124" s="1450"/>
      <c r="N124" s="1450"/>
      <c r="O124" s="1450"/>
      <c r="P124" s="1450"/>
      <c r="Q124" s="1450"/>
      <c r="R124" s="1450"/>
      <c r="S124" s="1450"/>
      <c r="T124" s="486"/>
      <c r="U124" s="203"/>
      <c r="V124" s="203"/>
      <c r="AD124" s="61"/>
      <c r="AE124" s="61"/>
      <c r="AF124" s="61"/>
      <c r="AG124" s="61"/>
      <c r="AH124" s="61"/>
      <c r="AJ124" s="61"/>
      <c r="AL124" s="61"/>
      <c r="AN124" s="61"/>
      <c r="AP124" s="61"/>
      <c r="AR124" s="61"/>
      <c r="AT124" s="61"/>
    </row>
    <row r="125" spans="1:46" ht="16.5" customHeight="1" x14ac:dyDescent="0.25">
      <c r="U125" s="203"/>
      <c r="V125" s="203"/>
      <c r="AB125" s="359"/>
      <c r="AC125" s="359"/>
      <c r="AD125" s="363"/>
      <c r="AE125" s="359"/>
      <c r="AF125" s="363"/>
      <c r="AG125" s="359"/>
      <c r="AH125" s="363"/>
      <c r="AJ125" s="363"/>
      <c r="AL125" s="363"/>
      <c r="AN125" s="363"/>
      <c r="AP125" s="363"/>
      <c r="AR125" s="447"/>
      <c r="AT125" s="363"/>
    </row>
    <row r="126" spans="1:46" ht="16.5" customHeight="1" x14ac:dyDescent="0.25">
      <c r="A126" s="993" t="s">
        <v>1013</v>
      </c>
      <c r="AB126" s="359"/>
      <c r="AC126" s="359"/>
      <c r="AD126" s="359"/>
      <c r="AE126" s="359"/>
      <c r="AF126" s="359"/>
      <c r="AG126" s="359"/>
      <c r="AH126" s="359"/>
      <c r="AJ126" s="359"/>
      <c r="AL126" s="359"/>
      <c r="AN126" s="359"/>
      <c r="AP126" s="359"/>
      <c r="AR126" s="359"/>
      <c r="AT126" s="359"/>
    </row>
    <row r="127" spans="1:46" ht="16.5" customHeight="1" x14ac:dyDescent="0.25">
      <c r="A127" s="993"/>
      <c r="V127" s="454"/>
      <c r="AB127" s="359"/>
      <c r="AC127" s="359"/>
      <c r="AD127" s="359"/>
      <c r="AE127" s="359"/>
      <c r="AF127" s="359"/>
      <c r="AG127" s="359"/>
      <c r="AH127" s="359"/>
      <c r="AJ127" s="359"/>
      <c r="AL127" s="359"/>
      <c r="AN127" s="359"/>
      <c r="AP127" s="359"/>
      <c r="AR127" s="359"/>
      <c r="AT127" s="359"/>
    </row>
    <row r="128" spans="1:46" ht="16.5" customHeight="1" x14ac:dyDescent="0.25">
      <c r="A128" s="993"/>
      <c r="K128" s="1453" t="s">
        <v>1071</v>
      </c>
      <c r="L128" s="1453"/>
      <c r="M128" s="1453"/>
      <c r="N128" s="1453"/>
      <c r="O128" s="1453"/>
      <c r="P128" s="1453"/>
      <c r="Q128" s="1453"/>
      <c r="R128" s="1453"/>
      <c r="S128" s="1453"/>
      <c r="V128" s="363"/>
      <c r="AB128" s="359"/>
      <c r="AC128" s="359"/>
      <c r="AD128" s="363"/>
      <c r="AE128" s="359"/>
      <c r="AF128" s="363"/>
      <c r="AG128" s="359"/>
      <c r="AH128" s="363"/>
      <c r="AJ128" s="363"/>
      <c r="AL128" s="363"/>
      <c r="AN128" s="363"/>
      <c r="AP128" s="363"/>
      <c r="AR128" s="363"/>
      <c r="AT128" s="363"/>
    </row>
    <row r="129" spans="1:46" ht="16.5" customHeight="1" x14ac:dyDescent="0.25">
      <c r="A129" s="993"/>
      <c r="K129" s="1247" t="s">
        <v>1014</v>
      </c>
      <c r="M129" s="1247" t="s">
        <v>353</v>
      </c>
      <c r="N129" s="993"/>
      <c r="O129" s="1247" t="s">
        <v>354</v>
      </c>
      <c r="P129" s="208"/>
      <c r="Q129" s="1247" t="s">
        <v>901</v>
      </c>
      <c r="R129" s="208"/>
      <c r="S129" s="1247" t="s">
        <v>902</v>
      </c>
      <c r="AB129" s="359"/>
      <c r="AC129" s="359"/>
      <c r="AD129" s="359"/>
      <c r="AE129" s="359"/>
      <c r="AF129" s="359"/>
      <c r="AG129" s="359"/>
      <c r="AH129" s="359"/>
      <c r="AJ129" s="359"/>
      <c r="AL129" s="359"/>
      <c r="AN129" s="359"/>
      <c r="AP129" s="359"/>
      <c r="AR129" s="359"/>
      <c r="AT129" s="359"/>
    </row>
    <row r="130" spans="1:46" ht="16.5" customHeight="1" x14ac:dyDescent="0.25">
      <c r="AD130" s="1455"/>
      <c r="AE130" s="1455"/>
      <c r="AF130" s="1455"/>
      <c r="AG130" s="1455"/>
      <c r="AH130" s="1455"/>
      <c r="AI130" s="1455"/>
      <c r="AJ130" s="1455"/>
      <c r="AK130" s="1455"/>
      <c r="AL130" s="1455"/>
      <c r="AM130" s="1455"/>
      <c r="AN130" s="1455"/>
      <c r="AO130" s="1455"/>
      <c r="AP130" s="1455"/>
      <c r="AQ130" s="1455"/>
      <c r="AR130" s="1455"/>
      <c r="AS130" s="1455"/>
      <c r="AT130" s="1455"/>
    </row>
    <row r="131" spans="1:46" ht="16.5" customHeight="1" x14ac:dyDescent="0.25">
      <c r="B131" s="998" t="s">
        <v>1015</v>
      </c>
      <c r="K131" s="784">
        <v>187602</v>
      </c>
      <c r="M131" s="784">
        <v>375203</v>
      </c>
      <c r="N131" s="508"/>
      <c r="O131" s="784">
        <v>375203</v>
      </c>
      <c r="P131" s="784"/>
      <c r="Q131" s="784">
        <v>375203</v>
      </c>
      <c r="R131" s="784"/>
      <c r="S131" s="784">
        <v>375203</v>
      </c>
      <c r="T131" s="1414"/>
      <c r="AD131" s="208"/>
      <c r="AE131" s="208"/>
      <c r="AF131" s="208"/>
      <c r="AG131" s="208"/>
      <c r="AH131" s="61"/>
      <c r="AI131" s="61"/>
      <c r="AJ131" s="61"/>
      <c r="AL131" s="185"/>
      <c r="AN131" s="185"/>
      <c r="AP131" s="185"/>
      <c r="AR131" s="185"/>
      <c r="AT131" s="185"/>
    </row>
    <row r="132" spans="1:46" ht="16.5" customHeight="1" x14ac:dyDescent="0.25">
      <c r="B132" s="998" t="s">
        <v>1016</v>
      </c>
      <c r="K132" s="1252">
        <v>249384</v>
      </c>
      <c r="L132" s="466"/>
      <c r="M132" s="1252">
        <v>997535</v>
      </c>
      <c r="N132" s="509"/>
      <c r="O132" s="1252">
        <v>997535</v>
      </c>
      <c r="P132" s="1252"/>
      <c r="Q132" s="1252">
        <v>997535</v>
      </c>
      <c r="R132" s="1252"/>
      <c r="S132" s="1252">
        <v>997535</v>
      </c>
      <c r="T132" s="1006"/>
      <c r="AD132" s="61"/>
      <c r="AE132" s="61"/>
      <c r="AF132" s="61"/>
      <c r="AG132" s="61"/>
      <c r="AH132" s="61"/>
      <c r="AJ132" s="61"/>
      <c r="AL132" s="61"/>
      <c r="AN132" s="61"/>
      <c r="AP132" s="61"/>
      <c r="AR132" s="61"/>
      <c r="AT132" s="61"/>
    </row>
    <row r="133" spans="1:46" ht="16.5" customHeight="1" x14ac:dyDescent="0.25">
      <c r="B133" s="998" t="s">
        <v>1018</v>
      </c>
      <c r="K133" s="1253">
        <v>0</v>
      </c>
      <c r="L133" s="993"/>
      <c r="M133" s="1254">
        <v>-436986</v>
      </c>
      <c r="N133" s="509"/>
      <c r="O133" s="1254">
        <v>-1372738</v>
      </c>
      <c r="P133" s="1252"/>
      <c r="Q133" s="1254">
        <v>-1372738</v>
      </c>
      <c r="R133" s="1252"/>
      <c r="S133" s="1254">
        <v>-1372738</v>
      </c>
      <c r="T133" s="1006"/>
      <c r="AD133" s="61"/>
      <c r="AE133" s="61"/>
      <c r="AF133" s="61"/>
      <c r="AG133" s="61"/>
      <c r="AH133" s="61"/>
      <c r="AJ133" s="61"/>
      <c r="AL133" s="61"/>
      <c r="AN133" s="61"/>
      <c r="AP133" s="61"/>
      <c r="AR133" s="61"/>
      <c r="AT133" s="61"/>
    </row>
    <row r="134" spans="1:46" ht="16.5" customHeight="1" x14ac:dyDescent="0.25">
      <c r="U134" s="223"/>
      <c r="V134" s="223"/>
      <c r="AB134" s="359"/>
      <c r="AC134" s="359"/>
      <c r="AD134" s="363"/>
      <c r="AE134" s="359"/>
      <c r="AF134" s="363"/>
      <c r="AG134" s="359"/>
      <c r="AH134" s="363"/>
      <c r="AJ134" s="363"/>
      <c r="AL134" s="363"/>
      <c r="AN134" s="363"/>
      <c r="AP134" s="363"/>
      <c r="AR134" s="363"/>
      <c r="AT134" s="363"/>
    </row>
    <row r="135" spans="1:46" ht="17.25" customHeight="1" thickBot="1" x14ac:dyDescent="0.3">
      <c r="C135" s="998" t="s">
        <v>171</v>
      </c>
      <c r="K135" s="1255">
        <f>K131+K132</f>
        <v>436986</v>
      </c>
      <c r="M135" s="1255">
        <f>SUM(M131:M133)</f>
        <v>935752</v>
      </c>
      <c r="N135" s="454"/>
      <c r="O135" s="1256">
        <f>SUM(O131:O133)</f>
        <v>0</v>
      </c>
      <c r="P135" s="743"/>
      <c r="Q135" s="1256">
        <f>SUM(Q131:Q133)</f>
        <v>0</v>
      </c>
      <c r="R135" s="743"/>
      <c r="S135" s="1256">
        <f>SUM(S131:S133)</f>
        <v>0</v>
      </c>
      <c r="T135" s="743"/>
      <c r="U135" s="466"/>
      <c r="V135" s="208"/>
      <c r="AB135" s="359"/>
      <c r="AC135" s="359"/>
      <c r="AD135" s="359"/>
      <c r="AE135" s="359"/>
      <c r="AF135" s="359"/>
      <c r="AG135" s="359"/>
      <c r="AH135" s="359"/>
      <c r="AJ135" s="359"/>
      <c r="AL135" s="359"/>
      <c r="AN135" s="359"/>
      <c r="AP135" s="359"/>
      <c r="AR135" s="359"/>
      <c r="AT135" s="359"/>
    </row>
    <row r="136" spans="1:46" ht="17.25" customHeight="1" thickTop="1" x14ac:dyDescent="0.25">
      <c r="U136" s="466"/>
      <c r="V136" s="208"/>
    </row>
    <row r="137" spans="1:46" ht="17.25" customHeight="1" x14ac:dyDescent="0.25">
      <c r="A137" s="998" t="s">
        <v>1026</v>
      </c>
      <c r="U137" s="466"/>
      <c r="V137" s="208"/>
      <c r="AB137" s="359"/>
      <c r="AC137" s="359"/>
      <c r="AD137" s="363"/>
      <c r="AE137" s="359"/>
      <c r="AF137" s="363"/>
      <c r="AG137" s="359"/>
      <c r="AH137" s="363"/>
      <c r="AJ137" s="363"/>
      <c r="AL137" s="363"/>
      <c r="AN137" s="363"/>
      <c r="AP137" s="363"/>
      <c r="AR137" s="363"/>
      <c r="AT137" s="363"/>
    </row>
    <row r="138" spans="1:46" ht="17.25" customHeight="1" x14ac:dyDescent="0.25">
      <c r="U138" s="466"/>
      <c r="V138" s="208"/>
    </row>
    <row r="139" spans="1:46" ht="17.25" customHeight="1" x14ac:dyDescent="0.25">
      <c r="A139" s="506" t="s">
        <v>371</v>
      </c>
      <c r="B139" s="278"/>
      <c r="C139" s="278"/>
      <c r="D139" s="278"/>
      <c r="E139" s="278"/>
      <c r="F139" s="278"/>
      <c r="G139" s="278"/>
      <c r="H139" s="278"/>
      <c r="I139" s="278"/>
      <c r="J139" s="278"/>
      <c r="K139" s="278"/>
      <c r="L139" s="278"/>
      <c r="M139" s="278"/>
      <c r="N139" s="278"/>
      <c r="O139" s="278"/>
      <c r="P139" s="278"/>
      <c r="Q139" s="278"/>
      <c r="R139" s="278"/>
      <c r="S139" s="278"/>
      <c r="T139" s="203"/>
      <c r="U139" s="466"/>
      <c r="V139" s="454"/>
      <c r="W139" s="466"/>
      <c r="AD139" s="1455"/>
      <c r="AE139" s="1455"/>
      <c r="AF139" s="1455"/>
      <c r="AG139" s="1455"/>
      <c r="AH139" s="1455"/>
      <c r="AI139" s="1455"/>
      <c r="AJ139" s="1455"/>
      <c r="AK139" s="1455"/>
      <c r="AL139" s="1455"/>
      <c r="AM139" s="1455"/>
      <c r="AN139" s="1455"/>
      <c r="AO139" s="1455"/>
      <c r="AP139" s="1455"/>
      <c r="AQ139" s="1455"/>
      <c r="AR139" s="1455"/>
      <c r="AS139" s="1455"/>
      <c r="AT139" s="1455"/>
    </row>
    <row r="140" spans="1:46" ht="17.25" customHeight="1" x14ac:dyDescent="0.25">
      <c r="A140" s="506"/>
      <c r="B140" s="278"/>
      <c r="C140" s="278"/>
      <c r="D140" s="278"/>
      <c r="E140" s="278"/>
      <c r="F140" s="278"/>
      <c r="G140" s="278"/>
      <c r="H140" s="278"/>
      <c r="I140" s="278"/>
      <c r="J140" s="278"/>
      <c r="K140" s="278"/>
      <c r="L140" s="278"/>
      <c r="M140" s="278"/>
      <c r="N140" s="278"/>
      <c r="O140" s="278"/>
      <c r="P140" s="278"/>
      <c r="Q140" s="278"/>
      <c r="R140" s="278"/>
      <c r="S140" s="278"/>
      <c r="T140" s="203"/>
      <c r="U140" s="466"/>
      <c r="V140" s="466"/>
      <c r="AD140" s="208"/>
      <c r="AE140" s="208"/>
      <c r="AF140" s="208"/>
      <c r="AG140" s="208"/>
      <c r="AH140" s="61"/>
      <c r="AI140" s="61"/>
      <c r="AJ140" s="61"/>
      <c r="AL140" s="185"/>
      <c r="AN140" s="185"/>
      <c r="AP140" s="185"/>
      <c r="AR140" s="185"/>
      <c r="AT140" s="185"/>
    </row>
    <row r="141" spans="1:46" ht="17.25" customHeight="1" x14ac:dyDescent="0.25">
      <c r="A141" s="998" t="s">
        <v>610</v>
      </c>
      <c r="U141" s="466"/>
      <c r="V141" s="466"/>
      <c r="AD141" s="61"/>
      <c r="AE141" s="61"/>
      <c r="AF141" s="61"/>
      <c r="AG141" s="61"/>
      <c r="AH141" s="61"/>
      <c r="AJ141" s="61"/>
      <c r="AL141" s="61"/>
      <c r="AN141" s="61"/>
      <c r="AP141" s="61"/>
      <c r="AR141" s="61"/>
      <c r="AT141" s="61"/>
    </row>
    <row r="142" spans="1:46" ht="15" customHeight="1" x14ac:dyDescent="0.25">
      <c r="A142" s="998" t="s">
        <v>692</v>
      </c>
      <c r="U142" s="466"/>
      <c r="V142" s="466"/>
      <c r="AB142" s="359"/>
      <c r="AC142" s="359"/>
      <c r="AD142" s="363"/>
      <c r="AE142" s="359"/>
      <c r="AF142" s="363"/>
      <c r="AG142" s="359"/>
      <c r="AH142" s="363"/>
      <c r="AJ142" s="363"/>
      <c r="AL142" s="363"/>
      <c r="AN142" s="363"/>
      <c r="AP142" s="363"/>
      <c r="AR142" s="363"/>
      <c r="AT142" s="363"/>
    </row>
    <row r="143" spans="1:46" ht="15" customHeight="1" x14ac:dyDescent="0.25">
      <c r="U143" s="466"/>
      <c r="V143" s="466"/>
      <c r="AB143" s="359"/>
      <c r="AC143" s="359"/>
      <c r="AD143" s="359"/>
      <c r="AE143" s="359"/>
      <c r="AF143" s="359"/>
      <c r="AG143" s="359"/>
      <c r="AH143" s="359"/>
      <c r="AJ143" s="359"/>
      <c r="AL143" s="359"/>
      <c r="AN143" s="359"/>
      <c r="AP143" s="359"/>
      <c r="AR143" s="359"/>
      <c r="AT143" s="359"/>
    </row>
    <row r="144" spans="1:46" ht="15" customHeight="1" x14ac:dyDescent="0.25">
      <c r="K144" s="1453" t="s">
        <v>1071</v>
      </c>
      <c r="L144" s="1453"/>
      <c r="M144" s="1453"/>
      <c r="N144" s="1453"/>
      <c r="O144" s="1453"/>
      <c r="P144" s="1453"/>
      <c r="Q144" s="1453"/>
      <c r="R144" s="1453"/>
      <c r="S144" s="1453"/>
      <c r="T144" s="1276"/>
      <c r="U144" s="466"/>
      <c r="V144" s="466"/>
    </row>
    <row r="145" spans="1:46" ht="17.25" customHeight="1" x14ac:dyDescent="0.25">
      <c r="B145" s="401"/>
      <c r="C145" s="993"/>
      <c r="D145" s="993"/>
      <c r="E145" s="993"/>
      <c r="F145" s="993"/>
      <c r="G145" s="993"/>
      <c r="H145" s="993"/>
      <c r="I145" s="993"/>
      <c r="J145" s="201"/>
      <c r="K145" s="1247" t="s">
        <v>352</v>
      </c>
      <c r="M145" s="1247" t="s">
        <v>353</v>
      </c>
      <c r="N145" s="208"/>
      <c r="O145" s="1247" t="s">
        <v>354</v>
      </c>
      <c r="P145" s="208"/>
      <c r="Q145" s="1247" t="s">
        <v>901</v>
      </c>
      <c r="R145" s="208"/>
      <c r="S145" s="1247" t="s">
        <v>902</v>
      </c>
      <c r="T145" s="208"/>
      <c r="U145" s="466"/>
      <c r="V145" s="466"/>
      <c r="AB145" s="359"/>
      <c r="AC145" s="359"/>
      <c r="AD145" s="363"/>
      <c r="AE145" s="359"/>
      <c r="AF145" s="363"/>
      <c r="AG145" s="359"/>
      <c r="AH145" s="363"/>
      <c r="AJ145" s="363"/>
      <c r="AL145" s="363"/>
      <c r="AN145" s="363"/>
      <c r="AP145" s="363"/>
      <c r="AR145" s="363"/>
      <c r="AT145" s="363"/>
    </row>
    <row r="146" spans="1:46" ht="17.25" customHeight="1" x14ac:dyDescent="0.25">
      <c r="B146" s="998" t="s">
        <v>609</v>
      </c>
      <c r="G146" s="996"/>
      <c r="H146" s="996"/>
      <c r="I146" s="996"/>
      <c r="J146" s="466"/>
      <c r="L146" s="466"/>
      <c r="U146" s="466"/>
      <c r="V146" s="454"/>
      <c r="W146" s="454"/>
      <c r="X146" s="454"/>
    </row>
    <row r="147" spans="1:46" ht="17.25" customHeight="1" x14ac:dyDescent="0.25">
      <c r="C147" s="130" t="s">
        <v>352</v>
      </c>
      <c r="D147" s="1204"/>
      <c r="E147" s="1204"/>
      <c r="G147" s="996"/>
      <c r="H147" s="996"/>
      <c r="I147" s="996"/>
      <c r="J147" s="466"/>
      <c r="K147" s="997">
        <v>9300000</v>
      </c>
      <c r="L147" s="466"/>
      <c r="M147" s="431"/>
      <c r="N147" s="431"/>
      <c r="O147" s="431"/>
      <c r="P147" s="431"/>
      <c r="Q147" s="431"/>
      <c r="R147" s="431"/>
      <c r="S147" s="431"/>
      <c r="T147" s="431"/>
      <c r="U147" s="466"/>
      <c r="V147" s="454"/>
      <c r="W147" s="454"/>
      <c r="X147" s="454"/>
      <c r="AD147" s="1455"/>
      <c r="AE147" s="1455"/>
      <c r="AF147" s="1455"/>
      <c r="AG147" s="1455"/>
      <c r="AH147" s="1455"/>
      <c r="AI147" s="1455"/>
      <c r="AJ147" s="1455"/>
      <c r="AK147" s="1455"/>
      <c r="AL147" s="1455"/>
      <c r="AM147" s="1455"/>
      <c r="AN147" s="1455"/>
      <c r="AO147" s="1455"/>
      <c r="AP147" s="1455"/>
      <c r="AQ147" s="1455"/>
      <c r="AR147" s="1455"/>
      <c r="AS147" s="1455"/>
      <c r="AT147" s="1455"/>
    </row>
    <row r="148" spans="1:46" ht="17.25" customHeight="1" x14ac:dyDescent="0.25">
      <c r="B148" s="996"/>
      <c r="C148" s="783" t="s">
        <v>353</v>
      </c>
      <c r="D148" s="401"/>
      <c r="E148" s="401"/>
      <c r="F148" s="996"/>
      <c r="G148" s="996"/>
      <c r="H148" s="996"/>
      <c r="I148" s="996"/>
      <c r="J148" s="466"/>
      <c r="K148" s="227"/>
      <c r="L148" s="466"/>
      <c r="M148" s="997">
        <v>9650000</v>
      </c>
      <c r="N148" s="997"/>
      <c r="O148" s="997"/>
      <c r="P148" s="997"/>
      <c r="Q148" s="997"/>
      <c r="R148" s="997"/>
      <c r="S148" s="997"/>
      <c r="T148" s="454"/>
      <c r="AD148" s="208"/>
      <c r="AE148" s="208"/>
      <c r="AF148" s="208"/>
      <c r="AG148" s="208"/>
      <c r="AH148" s="61"/>
      <c r="AI148" s="61"/>
      <c r="AJ148" s="61"/>
      <c r="AL148" s="185"/>
      <c r="AN148" s="185"/>
      <c r="AP148" s="185"/>
      <c r="AR148" s="185"/>
      <c r="AT148" s="185"/>
    </row>
    <row r="149" spans="1:46" ht="17.25" customHeight="1" x14ac:dyDescent="0.25">
      <c r="B149" s="996"/>
      <c r="C149" s="130" t="s">
        <v>354</v>
      </c>
      <c r="D149" s="1204"/>
      <c r="E149" s="1204"/>
      <c r="F149" s="996"/>
      <c r="G149" s="996"/>
      <c r="H149" s="996"/>
      <c r="I149" s="996"/>
      <c r="J149" s="466"/>
      <c r="K149" s="227"/>
      <c r="L149" s="466"/>
      <c r="M149" s="997"/>
      <c r="N149" s="997"/>
      <c r="O149" s="997">
        <v>10050000</v>
      </c>
      <c r="P149" s="997"/>
      <c r="Q149" s="997"/>
      <c r="R149" s="997"/>
      <c r="S149" s="997"/>
      <c r="T149" s="454"/>
      <c r="AD149" s="61"/>
      <c r="AE149" s="61"/>
      <c r="AF149" s="61"/>
      <c r="AG149" s="61"/>
      <c r="AH149" s="61"/>
      <c r="AJ149" s="61"/>
      <c r="AL149" s="61"/>
      <c r="AN149" s="61"/>
      <c r="AP149" s="61"/>
      <c r="AR149" s="61"/>
      <c r="AT149" s="61"/>
    </row>
    <row r="150" spans="1:46" ht="17.25" customHeight="1" x14ac:dyDescent="0.25">
      <c r="B150" s="996"/>
      <c r="C150" s="130" t="s">
        <v>901</v>
      </c>
      <c r="D150" s="1204"/>
      <c r="E150" s="1204"/>
      <c r="F150" s="996"/>
      <c r="G150" s="996"/>
      <c r="H150" s="996"/>
      <c r="I150" s="996"/>
      <c r="J150" s="466"/>
      <c r="K150" s="227"/>
      <c r="L150" s="466"/>
      <c r="M150" s="997"/>
      <c r="N150" s="997"/>
      <c r="O150" s="997"/>
      <c r="P150" s="997"/>
      <c r="Q150" s="997">
        <v>9550000</v>
      </c>
      <c r="R150" s="997"/>
      <c r="S150" s="997"/>
      <c r="T150" s="454"/>
      <c r="AD150" s="61"/>
      <c r="AE150" s="61"/>
      <c r="AF150" s="61"/>
      <c r="AG150" s="61"/>
      <c r="AH150" s="61"/>
      <c r="AJ150" s="61"/>
      <c r="AL150" s="61"/>
      <c r="AN150" s="61"/>
      <c r="AP150" s="61"/>
      <c r="AR150" s="61"/>
      <c r="AT150" s="61"/>
    </row>
    <row r="151" spans="1:46" ht="17.25" customHeight="1" x14ac:dyDescent="0.25">
      <c r="B151" s="996"/>
      <c r="C151" s="130" t="s">
        <v>902</v>
      </c>
      <c r="D151" s="1204"/>
      <c r="E151" s="1204"/>
      <c r="F151" s="996"/>
      <c r="G151" s="996"/>
      <c r="H151" s="996"/>
      <c r="I151" s="996"/>
      <c r="J151" s="466"/>
      <c r="K151" s="227"/>
      <c r="L151" s="466"/>
      <c r="M151" s="997"/>
      <c r="N151" s="997"/>
      <c r="O151" s="997"/>
      <c r="P151" s="997"/>
      <c r="Q151" s="997"/>
      <c r="R151" s="997"/>
      <c r="S151" s="997">
        <v>10477900</v>
      </c>
      <c r="T151" s="454"/>
      <c r="AD151" s="61"/>
      <c r="AE151" s="61"/>
      <c r="AF151" s="61"/>
      <c r="AG151" s="61"/>
      <c r="AH151" s="61"/>
      <c r="AJ151" s="61"/>
      <c r="AL151" s="61"/>
      <c r="AN151" s="61"/>
      <c r="AP151" s="61"/>
      <c r="AR151" s="61"/>
      <c r="AT151" s="61"/>
    </row>
    <row r="152" spans="1:46" ht="17.25" customHeight="1" x14ac:dyDescent="0.25">
      <c r="A152" s="1244"/>
      <c r="B152" s="996"/>
      <c r="C152" s="996" t="s">
        <v>1017</v>
      </c>
      <c r="D152" s="996"/>
      <c r="E152" s="996"/>
      <c r="F152" s="996"/>
      <c r="G152" s="993"/>
      <c r="H152" s="993"/>
      <c r="I152" s="993"/>
      <c r="J152" s="993"/>
      <c r="K152" s="994">
        <v>-5086328</v>
      </c>
      <c r="L152" s="466"/>
      <c r="M152" s="994">
        <v>-9300000</v>
      </c>
      <c r="N152" s="466"/>
      <c r="O152" s="994">
        <v>-9650000</v>
      </c>
      <c r="P152" s="466"/>
      <c r="Q152" s="994">
        <v>-10050000</v>
      </c>
      <c r="R152" s="466"/>
      <c r="S152" s="994">
        <v>-9550000</v>
      </c>
      <c r="T152" s="466"/>
      <c r="AB152" s="359"/>
      <c r="AC152" s="359"/>
      <c r="AD152" s="363"/>
      <c r="AE152" s="359"/>
      <c r="AF152" s="363"/>
      <c r="AG152" s="359"/>
      <c r="AH152" s="363"/>
      <c r="AJ152" s="363"/>
      <c r="AL152" s="363"/>
      <c r="AN152" s="363"/>
      <c r="AP152" s="363"/>
      <c r="AR152" s="363"/>
      <c r="AT152" s="363"/>
    </row>
    <row r="153" spans="1:46" x14ac:dyDescent="0.25">
      <c r="B153" s="993"/>
      <c r="C153" s="993"/>
      <c r="D153" s="993"/>
      <c r="E153" s="993"/>
      <c r="F153" s="993"/>
      <c r="G153" s="993"/>
      <c r="H153" s="993"/>
      <c r="I153" s="993"/>
      <c r="J153" s="993"/>
      <c r="L153" s="466"/>
      <c r="M153" s="993"/>
      <c r="N153" s="993"/>
      <c r="O153" s="993"/>
      <c r="P153" s="993"/>
      <c r="Q153" s="993"/>
      <c r="R153" s="993"/>
      <c r="S153" s="993"/>
      <c r="T153" s="466"/>
      <c r="AB153" s="359"/>
      <c r="AC153" s="359"/>
      <c r="AD153" s="359"/>
      <c r="AE153" s="359"/>
      <c r="AF153" s="359"/>
      <c r="AG153" s="359"/>
      <c r="AH153" s="359"/>
      <c r="AJ153" s="359"/>
      <c r="AL153" s="359"/>
      <c r="AN153" s="359"/>
      <c r="AP153" s="359"/>
      <c r="AR153" s="359"/>
      <c r="AT153" s="359"/>
    </row>
    <row r="154" spans="1:46" ht="16.5" thickBot="1" x14ac:dyDescent="0.3">
      <c r="B154" s="993"/>
      <c r="C154" s="998" t="s">
        <v>38</v>
      </c>
      <c r="D154" s="993"/>
      <c r="E154" s="993"/>
      <c r="F154" s="993"/>
      <c r="G154" s="993"/>
      <c r="H154" s="993"/>
      <c r="I154" s="993"/>
      <c r="J154" s="993"/>
      <c r="K154" s="224">
        <f>SUM(K147:K152)</f>
        <v>4213672</v>
      </c>
      <c r="L154" s="466"/>
      <c r="M154" s="224">
        <f>SUM(M147:M152)</f>
        <v>350000</v>
      </c>
      <c r="N154" s="454"/>
      <c r="O154" s="224">
        <f>SUM(O147:O152)</f>
        <v>400000</v>
      </c>
      <c r="P154" s="454"/>
      <c r="Q154" s="224">
        <f>SUM(Q147:Q152)</f>
        <v>-500000</v>
      </c>
      <c r="R154" s="454"/>
      <c r="S154" s="224">
        <f>SUM(S147:S152)</f>
        <v>927900</v>
      </c>
      <c r="T154" s="454"/>
    </row>
    <row r="155" spans="1:46" ht="16.5" thickTop="1" x14ac:dyDescent="0.25">
      <c r="B155" s="993"/>
      <c r="D155" s="993"/>
      <c r="E155" s="993"/>
      <c r="F155" s="993"/>
      <c r="G155" s="993"/>
      <c r="H155" s="993"/>
      <c r="I155" s="993"/>
      <c r="J155" s="993"/>
      <c r="K155" s="227"/>
      <c r="L155" s="466"/>
      <c r="M155" s="466"/>
      <c r="N155" s="466"/>
      <c r="O155" s="466"/>
      <c r="P155" s="466"/>
      <c r="Q155" s="466"/>
      <c r="R155" s="466"/>
      <c r="S155" s="466"/>
      <c r="T155" s="466"/>
      <c r="AB155" s="359"/>
      <c r="AC155" s="359"/>
      <c r="AD155" s="363"/>
      <c r="AE155" s="359"/>
      <c r="AF155" s="363"/>
      <c r="AG155" s="359"/>
      <c r="AH155" s="363"/>
      <c r="AJ155" s="363"/>
      <c r="AL155" s="363"/>
      <c r="AN155" s="363"/>
      <c r="AP155" s="363"/>
      <c r="AR155" s="363"/>
      <c r="AT155" s="363"/>
    </row>
    <row r="156" spans="1:46" x14ac:dyDescent="0.25">
      <c r="A156" s="1450" t="s">
        <v>372</v>
      </c>
      <c r="B156" s="1450"/>
      <c r="C156" s="1450"/>
      <c r="D156" s="1450"/>
      <c r="E156" s="1450"/>
      <c r="F156" s="1450"/>
      <c r="G156" s="1450"/>
      <c r="H156" s="1450"/>
      <c r="I156" s="1450"/>
      <c r="J156" s="1450"/>
      <c r="K156" s="1450"/>
      <c r="L156" s="1450"/>
      <c r="M156" s="1450"/>
      <c r="N156" s="1450"/>
      <c r="O156" s="1450"/>
      <c r="P156" s="1450"/>
      <c r="Q156" s="1450"/>
      <c r="R156" s="1450"/>
      <c r="S156" s="1450"/>
      <c r="T156" s="1412"/>
    </row>
    <row r="157" spans="1:46" x14ac:dyDescent="0.25">
      <c r="A157" s="993"/>
      <c r="B157" s="993"/>
      <c r="C157" s="993"/>
      <c r="D157" s="993"/>
      <c r="E157" s="993"/>
      <c r="F157" s="993"/>
      <c r="G157" s="993"/>
      <c r="H157" s="993"/>
      <c r="I157" s="993"/>
      <c r="J157" s="993"/>
      <c r="K157" s="993"/>
      <c r="L157" s="993"/>
      <c r="M157" s="993"/>
      <c r="N157" s="993"/>
      <c r="O157" s="993"/>
      <c r="P157" s="993"/>
      <c r="Q157" s="993"/>
      <c r="R157" s="993"/>
      <c r="S157" s="993"/>
      <c r="T157" s="466"/>
    </row>
    <row r="158" spans="1:46" x14ac:dyDescent="0.25">
      <c r="A158" s="993" t="s">
        <v>408</v>
      </c>
      <c r="E158" s="993"/>
      <c r="F158" s="993"/>
      <c r="G158" s="993"/>
      <c r="H158" s="993"/>
      <c r="I158" s="993"/>
      <c r="J158" s="993"/>
      <c r="K158" s="993"/>
      <c r="L158" s="993"/>
      <c r="M158" s="993"/>
      <c r="N158" s="993"/>
      <c r="O158" s="993"/>
      <c r="P158" s="993"/>
      <c r="Q158" s="993"/>
      <c r="R158" s="993"/>
      <c r="S158" s="993"/>
      <c r="T158" s="466"/>
    </row>
    <row r="159" spans="1:46" x14ac:dyDescent="0.25">
      <c r="A159" s="998" t="s">
        <v>409</v>
      </c>
      <c r="E159" s="993"/>
      <c r="F159" s="993"/>
      <c r="G159" s="993"/>
      <c r="H159" s="993"/>
      <c r="I159" s="993"/>
      <c r="J159" s="454"/>
      <c r="K159" s="454"/>
      <c r="L159" s="454"/>
      <c r="M159" s="454"/>
      <c r="N159" s="454"/>
      <c r="O159" s="454"/>
      <c r="P159" s="454"/>
      <c r="Q159" s="454"/>
      <c r="R159" s="454"/>
      <c r="S159" s="454"/>
      <c r="T159" s="454"/>
    </row>
    <row r="160" spans="1:46" x14ac:dyDescent="0.25">
      <c r="A160" s="998" t="s">
        <v>228</v>
      </c>
      <c r="J160" s="993"/>
      <c r="K160" s="993"/>
      <c r="L160" s="993"/>
      <c r="M160" s="993"/>
      <c r="N160" s="993"/>
      <c r="O160" s="993"/>
      <c r="P160" s="993"/>
      <c r="Q160" s="993"/>
      <c r="R160" s="993"/>
      <c r="S160" s="993"/>
      <c r="T160" s="466"/>
    </row>
    <row r="161" spans="1:22" x14ac:dyDescent="0.25">
      <c r="J161" s="993"/>
      <c r="K161" s="993"/>
      <c r="L161" s="993"/>
      <c r="M161" s="993"/>
      <c r="N161" s="993"/>
      <c r="O161" s="993"/>
      <c r="P161" s="993"/>
      <c r="Q161" s="993"/>
      <c r="R161" s="993"/>
      <c r="S161" s="993"/>
      <c r="T161" s="466"/>
    </row>
    <row r="162" spans="1:22" x14ac:dyDescent="0.25">
      <c r="B162" s="998" t="s">
        <v>369</v>
      </c>
      <c r="J162" s="993"/>
      <c r="K162" s="993"/>
      <c r="L162" s="993"/>
      <c r="M162" s="993"/>
      <c r="N162" s="993"/>
      <c r="O162" s="993"/>
      <c r="P162" s="993"/>
      <c r="Q162" s="993"/>
      <c r="R162" s="993"/>
      <c r="S162" s="993"/>
      <c r="T162" s="466"/>
    </row>
    <row r="163" spans="1:22" x14ac:dyDescent="0.25">
      <c r="B163" s="374" t="str">
        <f>'[42]Rev ReqII - TP'!C154</f>
        <v xml:space="preserve">   Consumer meter deposit fund (@ 9/30/20)</v>
      </c>
      <c r="G163" s="993"/>
      <c r="H163" s="993"/>
      <c r="I163" s="993"/>
      <c r="J163" s="993"/>
      <c r="K163" s="466"/>
      <c r="L163" s="466"/>
      <c r="N163" s="454"/>
      <c r="P163" s="454"/>
      <c r="Q163" s="454"/>
      <c r="R163" s="454"/>
      <c r="S163" s="454">
        <v>1690446</v>
      </c>
      <c r="T163" s="454"/>
    </row>
    <row r="164" spans="1:22" x14ac:dyDescent="0.25">
      <c r="B164" s="374" t="str">
        <f>'[42]Rev ReqII - TP'!C155</f>
        <v xml:space="preserve">   Debt service reserve (@ 9/30/20)</v>
      </c>
      <c r="G164" s="993"/>
      <c r="H164" s="993"/>
      <c r="I164" s="993"/>
      <c r="J164" s="993"/>
      <c r="K164" s="993"/>
      <c r="L164" s="993"/>
      <c r="N164" s="993"/>
      <c r="P164" s="993"/>
      <c r="Q164" s="993"/>
      <c r="R164" s="993"/>
      <c r="S164" s="993">
        <v>16804025</v>
      </c>
      <c r="T164" s="466"/>
    </row>
    <row r="165" spans="1:22" x14ac:dyDescent="0.25">
      <c r="B165" s="374" t="str">
        <f>'[42]Rev ReqII - TP'!C156</f>
        <v xml:space="preserve">   Proposed debt service reserve</v>
      </c>
      <c r="G165" s="993"/>
      <c r="H165" s="993"/>
      <c r="I165" s="993"/>
      <c r="J165" s="993"/>
      <c r="K165" s="466"/>
      <c r="L165" s="466"/>
      <c r="N165" s="993"/>
      <c r="P165" s="993"/>
      <c r="Q165" s="993"/>
      <c r="R165" s="993"/>
      <c r="S165" s="993">
        <v>4585632.7199999988</v>
      </c>
      <c r="T165" s="466"/>
    </row>
    <row r="166" spans="1:22" x14ac:dyDescent="0.25">
      <c r="G166" s="993"/>
      <c r="H166" s="993"/>
      <c r="I166" s="993"/>
      <c r="J166" s="993"/>
      <c r="K166" s="466"/>
      <c r="L166" s="466"/>
      <c r="N166" s="466"/>
      <c r="P166" s="466"/>
      <c r="Q166" s="466"/>
      <c r="R166" s="466"/>
      <c r="S166" s="451"/>
      <c r="T166" s="466"/>
    </row>
    <row r="167" spans="1:22" x14ac:dyDescent="0.25">
      <c r="B167" s="993"/>
      <c r="C167" s="998" t="s">
        <v>107</v>
      </c>
      <c r="G167" s="993"/>
      <c r="H167" s="993"/>
      <c r="I167" s="993"/>
      <c r="J167" s="993"/>
      <c r="K167" s="466"/>
      <c r="L167" s="466"/>
      <c r="N167" s="466"/>
      <c r="P167" s="466"/>
      <c r="Q167" s="466"/>
      <c r="R167" s="466"/>
      <c r="S167" s="466">
        <f>SUM(S163:S166)</f>
        <v>23080103.719999999</v>
      </c>
      <c r="T167" s="466"/>
    </row>
    <row r="168" spans="1:22" x14ac:dyDescent="0.25">
      <c r="B168" s="998" t="s">
        <v>370</v>
      </c>
      <c r="G168" s="993"/>
      <c r="H168" s="993"/>
      <c r="I168" s="993"/>
      <c r="J168" s="993"/>
      <c r="K168" s="116"/>
      <c r="L168" s="116"/>
      <c r="N168" s="422"/>
      <c r="P168" s="422"/>
      <c r="Q168" s="422"/>
      <c r="R168" s="422"/>
      <c r="S168" s="422">
        <v>1E-3</v>
      </c>
      <c r="T168" s="422"/>
    </row>
    <row r="169" spans="1:22" x14ac:dyDescent="0.25">
      <c r="G169" s="993"/>
      <c r="H169" s="993"/>
      <c r="I169" s="993"/>
      <c r="J169" s="993"/>
      <c r="K169" s="466"/>
      <c r="L169" s="466"/>
      <c r="N169" s="466"/>
      <c r="P169" s="466"/>
      <c r="Q169" s="466"/>
      <c r="R169" s="466"/>
      <c r="S169" s="451"/>
      <c r="T169" s="466"/>
    </row>
    <row r="170" spans="1:22" ht="16.5" thickBot="1" x14ac:dyDescent="0.3">
      <c r="B170" s="993"/>
      <c r="C170" s="998" t="s">
        <v>295</v>
      </c>
      <c r="G170" s="993"/>
      <c r="H170" s="993"/>
      <c r="I170" s="993"/>
      <c r="J170" s="993"/>
      <c r="K170" s="454"/>
      <c r="L170" s="454"/>
      <c r="N170" s="454"/>
      <c r="P170" s="454"/>
      <c r="Q170" s="454"/>
      <c r="R170" s="454"/>
      <c r="S170" s="224">
        <f>ROUND(S167*S168,0)</f>
        <v>23080</v>
      </c>
      <c r="T170" s="454"/>
    </row>
    <row r="171" spans="1:22" ht="16.5" thickTop="1" x14ac:dyDescent="0.25">
      <c r="B171" s="993"/>
      <c r="G171" s="993"/>
      <c r="H171" s="993"/>
      <c r="I171" s="993"/>
      <c r="J171" s="993"/>
      <c r="K171" s="454"/>
      <c r="L171" s="454"/>
      <c r="N171" s="454"/>
      <c r="O171" s="454"/>
      <c r="P171" s="454"/>
      <c r="Q171" s="454"/>
      <c r="R171" s="454"/>
      <c r="S171" s="454"/>
      <c r="T171" s="454"/>
    </row>
    <row r="172" spans="1:22" ht="16.5" customHeight="1" x14ac:dyDescent="0.25">
      <c r="A172" s="1435" t="str">
        <f>A88</f>
        <v>(Continued on next page)</v>
      </c>
      <c r="B172" s="1435"/>
      <c r="C172" s="1435"/>
      <c r="D172" s="1435"/>
      <c r="E172" s="1435"/>
      <c r="F172" s="1435"/>
      <c r="G172" s="1435"/>
      <c r="H172" s="1435"/>
      <c r="I172" s="1435"/>
      <c r="J172" s="1435"/>
      <c r="K172" s="1435"/>
      <c r="L172" s="1435"/>
      <c r="M172" s="1435"/>
      <c r="N172" s="1435"/>
      <c r="O172" s="1435"/>
      <c r="P172" s="1435"/>
      <c r="Q172" s="1435"/>
      <c r="R172" s="1435"/>
      <c r="S172" s="1435"/>
      <c r="T172" s="1276"/>
      <c r="V172" s="357"/>
    </row>
    <row r="173" spans="1:22" ht="16.5" customHeight="1" x14ac:dyDescent="0.25">
      <c r="U173" s="357"/>
      <c r="V173" s="357"/>
    </row>
    <row r="174" spans="1:22" ht="16.5" customHeight="1" x14ac:dyDescent="0.25">
      <c r="A174" s="1435" t="str">
        <f>A90</f>
        <v>(See Accountants' Report)</v>
      </c>
      <c r="B174" s="1435"/>
      <c r="C174" s="1435"/>
      <c r="D174" s="1435"/>
      <c r="E174" s="1435"/>
      <c r="F174" s="1435"/>
      <c r="G174" s="1435"/>
      <c r="H174" s="1435"/>
      <c r="I174" s="1435"/>
      <c r="J174" s="1435"/>
      <c r="K174" s="1435"/>
      <c r="L174" s="1435"/>
      <c r="M174" s="1435"/>
      <c r="N174" s="1435"/>
      <c r="O174" s="1435"/>
      <c r="P174" s="1435"/>
      <c r="Q174" s="1435"/>
      <c r="R174" s="1435"/>
      <c r="S174" s="1435"/>
      <c r="T174" s="1276"/>
      <c r="U174" s="357"/>
      <c r="V174" s="357"/>
    </row>
    <row r="175" spans="1:22" x14ac:dyDescent="0.25">
      <c r="A175" s="313"/>
      <c r="B175" s="278"/>
      <c r="C175" s="278"/>
      <c r="D175" s="278"/>
      <c r="E175" s="278"/>
      <c r="F175" s="278"/>
      <c r="G175" s="278"/>
      <c r="H175" s="278"/>
      <c r="I175" s="278"/>
      <c r="J175" s="357"/>
      <c r="K175" s="357"/>
      <c r="L175" s="357"/>
      <c r="M175" s="357"/>
      <c r="N175" s="357"/>
      <c r="O175" s="357"/>
      <c r="P175" s="357"/>
      <c r="Q175" s="357"/>
      <c r="R175" s="357"/>
      <c r="S175" s="357"/>
      <c r="T175" s="357"/>
      <c r="U175" s="357"/>
      <c r="V175" s="357"/>
    </row>
    <row r="176" spans="1:22" x14ac:dyDescent="0.25">
      <c r="A176" s="1435">
        <f>A92+1</f>
        <v>28</v>
      </c>
      <c r="B176" s="1435"/>
      <c r="C176" s="1435"/>
      <c r="D176" s="1435"/>
      <c r="E176" s="1435"/>
      <c r="F176" s="1435"/>
      <c r="G176" s="1435"/>
      <c r="H176" s="1435"/>
      <c r="I176" s="1435"/>
      <c r="J176" s="1435"/>
      <c r="K176" s="1435"/>
      <c r="L176" s="1435"/>
      <c r="M176" s="1435"/>
      <c r="N176" s="1435"/>
      <c r="O176" s="1435"/>
      <c r="P176" s="1435"/>
      <c r="Q176" s="1435"/>
      <c r="R176" s="1435"/>
      <c r="S176" s="1435"/>
      <c r="T176" s="1276"/>
      <c r="U176" s="357"/>
      <c r="V176" s="357"/>
    </row>
    <row r="177" spans="1:139" x14ac:dyDescent="0.25">
      <c r="A177" s="1444" t="str">
        <f>A93</f>
        <v>EVANSVILLE (INDIANA) WATERWORKS DISTRICT</v>
      </c>
      <c r="B177" s="1444"/>
      <c r="C177" s="1444"/>
      <c r="D177" s="1444"/>
      <c r="E177" s="1444"/>
      <c r="F177" s="1444"/>
      <c r="G177" s="1444"/>
      <c r="H177" s="1444"/>
      <c r="I177" s="1444"/>
      <c r="J177" s="1444"/>
      <c r="K177" s="1444"/>
      <c r="L177" s="1444"/>
      <c r="M177" s="1444"/>
      <c r="N177" s="1444"/>
      <c r="O177" s="1444"/>
      <c r="P177" s="1444"/>
      <c r="Q177" s="1444"/>
      <c r="R177" s="1444"/>
      <c r="S177" s="1444"/>
      <c r="T177" s="80"/>
      <c r="U177" s="357"/>
      <c r="V177" s="357"/>
    </row>
    <row r="178" spans="1:139" x14ac:dyDescent="0.25">
      <c r="A178" s="278"/>
      <c r="B178" s="278"/>
      <c r="C178" s="278"/>
      <c r="D178" s="278"/>
      <c r="E178" s="278"/>
      <c r="F178" s="278"/>
      <c r="G178" s="278"/>
      <c r="H178" s="278"/>
      <c r="I178" s="278"/>
      <c r="J178" s="357"/>
      <c r="K178" s="357"/>
      <c r="L178" s="357"/>
      <c r="N178" s="504"/>
      <c r="P178" s="504"/>
      <c r="Q178" s="504"/>
      <c r="R178" s="504"/>
      <c r="S178" s="1235" t="s">
        <v>17</v>
      </c>
      <c r="T178" s="1264"/>
      <c r="U178" s="357"/>
    </row>
    <row r="179" spans="1:139" s="67" customFormat="1" x14ac:dyDescent="0.25">
      <c r="A179" s="1451" t="str">
        <f>A3</f>
        <v xml:space="preserve">FORWARD LOOKING TEST YEAR ANNUAL REVENUE REQUIREMENTS </v>
      </c>
      <c r="B179" s="1451"/>
      <c r="C179" s="1451"/>
      <c r="D179" s="1451"/>
      <c r="E179" s="1451"/>
      <c r="F179" s="1451"/>
      <c r="G179" s="1451"/>
      <c r="H179" s="1451"/>
      <c r="I179" s="1451"/>
      <c r="J179" s="1451"/>
      <c r="K179" s="1451"/>
      <c r="L179" s="1451"/>
      <c r="M179" s="1451"/>
      <c r="N179" s="1451"/>
      <c r="O179" s="1451"/>
      <c r="P179" s="1451"/>
      <c r="Q179" s="1451"/>
      <c r="R179" s="1451"/>
      <c r="S179" s="1451"/>
      <c r="T179" s="1411"/>
      <c r="U179" s="1257"/>
      <c r="V179" s="1257"/>
      <c r="W179" s="128"/>
      <c r="X179" s="128"/>
      <c r="Y179" s="128"/>
      <c r="Z179" s="128"/>
      <c r="AA179" s="128"/>
      <c r="AB179" s="128"/>
      <c r="AC179" s="128"/>
      <c r="AD179" s="128"/>
      <c r="AE179" s="128"/>
      <c r="AF179" s="128"/>
      <c r="AG179" s="128"/>
      <c r="AH179" s="128"/>
      <c r="AI179" s="128"/>
      <c r="AJ179" s="128"/>
      <c r="AK179" s="128"/>
      <c r="AL179" s="128"/>
      <c r="AM179" s="128"/>
      <c r="AN179" s="128"/>
      <c r="AO179" s="128"/>
      <c r="AP179" s="128"/>
      <c r="AQ179" s="128"/>
      <c r="AR179" s="128"/>
      <c r="AS179" s="128"/>
      <c r="AT179" s="128"/>
      <c r="AU179" s="128"/>
      <c r="AV179" s="128"/>
      <c r="AW179" s="128"/>
      <c r="AX179" s="128"/>
      <c r="AY179" s="128"/>
      <c r="AZ179" s="128"/>
      <c r="BA179" s="128"/>
      <c r="BB179" s="128"/>
      <c r="BC179" s="128"/>
      <c r="BD179" s="128"/>
      <c r="BE179" s="128"/>
      <c r="BF179" s="128"/>
      <c r="BG179" s="128"/>
      <c r="BH179" s="128"/>
      <c r="BI179" s="128"/>
      <c r="BJ179" s="128"/>
      <c r="BK179" s="128"/>
      <c r="BL179" s="128"/>
      <c r="BM179" s="128"/>
      <c r="BN179" s="128"/>
      <c r="BO179" s="128"/>
      <c r="BP179" s="128"/>
      <c r="BQ179" s="128"/>
      <c r="BR179" s="128"/>
      <c r="BS179" s="128"/>
      <c r="BT179" s="128"/>
      <c r="BU179" s="128"/>
      <c r="BV179" s="128"/>
      <c r="BW179" s="128"/>
      <c r="BX179" s="128"/>
      <c r="BY179" s="128"/>
      <c r="BZ179" s="128"/>
      <c r="CA179" s="128"/>
      <c r="CB179" s="128"/>
      <c r="CC179" s="128"/>
      <c r="CD179" s="128"/>
      <c r="CE179" s="128"/>
      <c r="CF179" s="128"/>
      <c r="CG179" s="128"/>
      <c r="CH179" s="128"/>
      <c r="CI179" s="128"/>
      <c r="CJ179" s="128"/>
      <c r="CK179" s="128"/>
      <c r="CL179" s="128"/>
      <c r="CM179" s="128"/>
      <c r="CN179" s="128"/>
      <c r="CO179" s="128"/>
      <c r="CP179" s="128"/>
      <c r="CQ179" s="128"/>
      <c r="CR179" s="128"/>
      <c r="CS179" s="128"/>
      <c r="CT179" s="128"/>
      <c r="CU179" s="128"/>
      <c r="CV179" s="128"/>
      <c r="CW179" s="128"/>
      <c r="CX179" s="128"/>
      <c r="CY179" s="128"/>
      <c r="CZ179" s="128"/>
      <c r="DA179" s="128"/>
      <c r="DB179" s="128"/>
      <c r="DC179" s="128"/>
      <c r="DD179" s="128"/>
      <c r="DE179" s="128"/>
      <c r="DF179" s="128"/>
      <c r="DG179" s="128"/>
      <c r="DH179" s="128"/>
      <c r="DI179" s="128"/>
      <c r="DJ179" s="128"/>
      <c r="DK179" s="128"/>
      <c r="DL179" s="128"/>
      <c r="DM179" s="128"/>
      <c r="DN179" s="128"/>
      <c r="DO179" s="128"/>
      <c r="DP179" s="128"/>
      <c r="DQ179" s="128"/>
      <c r="DR179" s="128"/>
      <c r="DS179" s="128"/>
      <c r="DT179" s="128"/>
      <c r="DU179" s="128"/>
      <c r="DV179" s="128"/>
      <c r="DW179" s="128"/>
      <c r="DX179" s="128"/>
      <c r="DY179" s="128"/>
      <c r="DZ179" s="128"/>
      <c r="EA179" s="128"/>
      <c r="EB179" s="128"/>
      <c r="EC179" s="128"/>
      <c r="ED179" s="128"/>
      <c r="EE179" s="128"/>
      <c r="EF179" s="128"/>
      <c r="EG179" s="128"/>
      <c r="EH179" s="128"/>
      <c r="EI179" s="128"/>
    </row>
    <row r="180" spans="1:139" s="67" customFormat="1" x14ac:dyDescent="0.25">
      <c r="A180" s="1451" t="str">
        <f>A4</f>
        <v>AND ANNUAL REVENUES</v>
      </c>
      <c r="B180" s="1451"/>
      <c r="C180" s="1451"/>
      <c r="D180" s="1451"/>
      <c r="E180" s="1451"/>
      <c r="F180" s="1451"/>
      <c r="G180" s="1451"/>
      <c r="H180" s="1451"/>
      <c r="I180" s="1451"/>
      <c r="J180" s="1451"/>
      <c r="K180" s="1451"/>
      <c r="L180" s="1451"/>
      <c r="M180" s="1451"/>
      <c r="N180" s="1451"/>
      <c r="O180" s="1451"/>
      <c r="P180" s="1451"/>
      <c r="Q180" s="1451"/>
      <c r="R180" s="1451"/>
      <c r="S180" s="1451"/>
      <c r="T180" s="1411"/>
      <c r="U180" s="1257"/>
      <c r="V180" s="1257"/>
      <c r="W180" s="128"/>
      <c r="X180" s="128"/>
      <c r="Y180" s="128"/>
      <c r="Z180" s="128"/>
      <c r="AA180" s="128"/>
      <c r="AB180" s="128"/>
      <c r="AC180" s="128"/>
      <c r="AD180" s="128"/>
      <c r="AE180" s="128"/>
      <c r="AF180" s="128"/>
      <c r="AG180" s="128"/>
      <c r="AH180" s="128"/>
      <c r="AI180" s="128"/>
      <c r="AJ180" s="128"/>
      <c r="AK180" s="128"/>
      <c r="AL180" s="128"/>
      <c r="AM180" s="128"/>
      <c r="AN180" s="128"/>
      <c r="AO180" s="128"/>
      <c r="AP180" s="128"/>
      <c r="AQ180" s="128"/>
      <c r="AR180" s="128"/>
      <c r="AS180" s="128"/>
      <c r="AT180" s="128"/>
      <c r="AU180" s="128"/>
      <c r="AV180" s="128"/>
      <c r="AW180" s="128"/>
      <c r="AX180" s="128"/>
      <c r="AY180" s="128"/>
      <c r="AZ180" s="128"/>
      <c r="BA180" s="128"/>
      <c r="BB180" s="128"/>
      <c r="BC180" s="128"/>
      <c r="BD180" s="128"/>
      <c r="BE180" s="128"/>
      <c r="BF180" s="128"/>
      <c r="BG180" s="128"/>
      <c r="BH180" s="128"/>
      <c r="BI180" s="128"/>
      <c r="BJ180" s="128"/>
      <c r="BK180" s="128"/>
      <c r="BL180" s="128"/>
      <c r="BM180" s="128"/>
      <c r="BN180" s="128"/>
      <c r="BO180" s="128"/>
      <c r="BP180" s="128"/>
      <c r="BQ180" s="128"/>
      <c r="BR180" s="128"/>
      <c r="BS180" s="128"/>
      <c r="BT180" s="128"/>
      <c r="BU180" s="128"/>
      <c r="BV180" s="128"/>
      <c r="BW180" s="128"/>
      <c r="BX180" s="128"/>
      <c r="BY180" s="128"/>
      <c r="BZ180" s="128"/>
      <c r="CA180" s="128"/>
      <c r="CB180" s="128"/>
      <c r="CC180" s="128"/>
      <c r="CD180" s="128"/>
      <c r="CE180" s="128"/>
      <c r="CF180" s="128"/>
      <c r="CG180" s="128"/>
      <c r="CH180" s="128"/>
      <c r="CI180" s="128"/>
      <c r="CJ180" s="128"/>
      <c r="CK180" s="128"/>
      <c r="CL180" s="128"/>
      <c r="CM180" s="128"/>
      <c r="CN180" s="128"/>
      <c r="CO180" s="128"/>
      <c r="CP180" s="128"/>
      <c r="CQ180" s="128"/>
      <c r="CR180" s="128"/>
      <c r="CS180" s="128"/>
      <c r="CT180" s="128"/>
      <c r="CU180" s="128"/>
      <c r="CV180" s="128"/>
      <c r="CW180" s="128"/>
      <c r="CX180" s="128"/>
      <c r="CY180" s="128"/>
      <c r="CZ180" s="128"/>
      <c r="DA180" s="128"/>
      <c r="DB180" s="128"/>
      <c r="DC180" s="128"/>
      <c r="DD180" s="128"/>
      <c r="DE180" s="128"/>
      <c r="DF180" s="128"/>
      <c r="DG180" s="128"/>
      <c r="DH180" s="128"/>
      <c r="DI180" s="128"/>
      <c r="DJ180" s="128"/>
      <c r="DK180" s="128"/>
      <c r="DL180" s="128"/>
      <c r="DM180" s="128"/>
      <c r="DN180" s="128"/>
      <c r="DO180" s="128"/>
      <c r="DP180" s="128"/>
      <c r="DQ180" s="128"/>
      <c r="DR180" s="128"/>
      <c r="DS180" s="128"/>
      <c r="DT180" s="128"/>
      <c r="DU180" s="128"/>
      <c r="DV180" s="128"/>
      <c r="DW180" s="128"/>
      <c r="DX180" s="128"/>
      <c r="DY180" s="128"/>
      <c r="DZ180" s="128"/>
      <c r="EA180" s="128"/>
      <c r="EB180" s="128"/>
      <c r="EC180" s="128"/>
      <c r="ED180" s="128"/>
      <c r="EE180" s="128"/>
      <c r="EF180" s="128"/>
      <c r="EG180" s="128"/>
      <c r="EH180" s="128"/>
      <c r="EI180" s="128"/>
    </row>
    <row r="181" spans="1:139" s="67" customFormat="1" x14ac:dyDescent="0.25">
      <c r="A181" s="1452" t="str">
        <f>A5</f>
        <v>(Explanation of References)</v>
      </c>
      <c r="B181" s="1452"/>
      <c r="C181" s="1452"/>
      <c r="D181" s="1452"/>
      <c r="E181" s="1452"/>
      <c r="F181" s="1452"/>
      <c r="G181" s="1452"/>
      <c r="H181" s="1452"/>
      <c r="I181" s="1452"/>
      <c r="J181" s="1452"/>
      <c r="K181" s="1452"/>
      <c r="L181" s="1452"/>
      <c r="M181" s="1452"/>
      <c r="N181" s="1452"/>
      <c r="O181" s="1452"/>
      <c r="P181" s="1452"/>
      <c r="Q181" s="1452"/>
      <c r="R181" s="1452"/>
      <c r="S181" s="1452"/>
      <c r="T181" s="149"/>
      <c r="U181" s="1257"/>
      <c r="V181" s="1257"/>
      <c r="W181" s="128"/>
      <c r="X181" s="128"/>
      <c r="Y181" s="128"/>
      <c r="Z181" s="128"/>
      <c r="AA181" s="128"/>
      <c r="AB181" s="128"/>
      <c r="AC181" s="128"/>
      <c r="AD181" s="128"/>
      <c r="AE181" s="128"/>
      <c r="AF181" s="128"/>
      <c r="AG181" s="128"/>
      <c r="AH181" s="128"/>
      <c r="AI181" s="128"/>
      <c r="AJ181" s="128"/>
      <c r="AK181" s="128"/>
      <c r="AL181" s="128"/>
      <c r="AM181" s="128"/>
      <c r="AN181" s="128"/>
      <c r="AO181" s="128"/>
      <c r="AP181" s="128"/>
      <c r="AQ181" s="128"/>
      <c r="AR181" s="128"/>
      <c r="AS181" s="128"/>
      <c r="AT181" s="128"/>
      <c r="AU181" s="128"/>
      <c r="AV181" s="128"/>
      <c r="AW181" s="128"/>
      <c r="AX181" s="128"/>
      <c r="AY181" s="128"/>
      <c r="AZ181" s="128"/>
      <c r="BA181" s="128"/>
      <c r="BB181" s="128"/>
      <c r="BC181" s="128"/>
      <c r="BD181" s="128"/>
      <c r="BE181" s="128"/>
      <c r="BF181" s="128"/>
      <c r="BG181" s="128"/>
      <c r="BH181" s="128"/>
      <c r="BI181" s="128"/>
      <c r="BJ181" s="128"/>
      <c r="BK181" s="128"/>
      <c r="BL181" s="128"/>
      <c r="BM181" s="128"/>
      <c r="BN181" s="128"/>
      <c r="BO181" s="128"/>
      <c r="BP181" s="128"/>
      <c r="BQ181" s="128"/>
      <c r="BR181" s="128"/>
      <c r="BS181" s="128"/>
      <c r="BT181" s="128"/>
      <c r="BU181" s="128"/>
      <c r="BV181" s="128"/>
      <c r="BW181" s="128"/>
      <c r="BX181" s="128"/>
      <c r="BY181" s="128"/>
      <c r="BZ181" s="128"/>
      <c r="CA181" s="128"/>
      <c r="CB181" s="128"/>
      <c r="CC181" s="128"/>
      <c r="CD181" s="128"/>
      <c r="CE181" s="128"/>
      <c r="CF181" s="128"/>
      <c r="CG181" s="128"/>
      <c r="CH181" s="128"/>
      <c r="CI181" s="128"/>
      <c r="CJ181" s="128"/>
      <c r="CK181" s="128"/>
      <c r="CL181" s="128"/>
      <c r="CM181" s="128"/>
      <c r="CN181" s="128"/>
      <c r="CO181" s="128"/>
      <c r="CP181" s="128"/>
      <c r="CQ181" s="128"/>
      <c r="CR181" s="128"/>
      <c r="CS181" s="128"/>
      <c r="CT181" s="128"/>
      <c r="CU181" s="128"/>
      <c r="CV181" s="128"/>
      <c r="CW181" s="128"/>
      <c r="CX181" s="128"/>
      <c r="CY181" s="128"/>
      <c r="CZ181" s="128"/>
      <c r="DA181" s="128"/>
      <c r="DB181" s="128"/>
      <c r="DC181" s="128"/>
      <c r="DD181" s="128"/>
      <c r="DE181" s="128"/>
      <c r="DF181" s="128"/>
      <c r="DG181" s="128"/>
      <c r="DH181" s="128"/>
      <c r="DI181" s="128"/>
      <c r="DJ181" s="128"/>
      <c r="DK181" s="128"/>
      <c r="DL181" s="128"/>
      <c r="DM181" s="128"/>
      <c r="DN181" s="128"/>
      <c r="DO181" s="128"/>
      <c r="DP181" s="128"/>
      <c r="DQ181" s="128"/>
      <c r="DR181" s="128"/>
      <c r="DS181" s="128"/>
      <c r="DT181" s="128"/>
      <c r="DU181" s="128"/>
      <c r="DV181" s="128"/>
      <c r="DW181" s="128"/>
      <c r="DX181" s="128"/>
      <c r="DY181" s="128"/>
      <c r="DZ181" s="128"/>
      <c r="EA181" s="128"/>
      <c r="EB181" s="128"/>
      <c r="EC181" s="128"/>
      <c r="ED181" s="128"/>
      <c r="EE181" s="128"/>
      <c r="EF181" s="128"/>
      <c r="EG181" s="128"/>
      <c r="EH181" s="128"/>
      <c r="EI181" s="128"/>
    </row>
    <row r="182" spans="1:139" x14ac:dyDescent="0.25">
      <c r="A182" s="278"/>
      <c r="B182" s="278"/>
      <c r="C182" s="278"/>
      <c r="D182" s="278"/>
      <c r="E182" s="278"/>
      <c r="F182" s="278"/>
      <c r="G182" s="278"/>
      <c r="H182" s="278"/>
      <c r="I182" s="278"/>
      <c r="J182" s="357"/>
      <c r="K182" s="357"/>
      <c r="L182" s="357"/>
      <c r="M182" s="357"/>
      <c r="N182" s="357"/>
      <c r="O182" s="357"/>
      <c r="P182" s="357"/>
      <c r="Q182" s="357"/>
      <c r="R182" s="357"/>
      <c r="S182" s="357"/>
      <c r="T182" s="357"/>
      <c r="U182" s="357"/>
      <c r="V182" s="357"/>
    </row>
    <row r="183" spans="1:139" x14ac:dyDescent="0.25">
      <c r="A183" s="1450" t="s">
        <v>373</v>
      </c>
      <c r="B183" s="1454"/>
      <c r="C183" s="1454"/>
      <c r="D183" s="1454"/>
      <c r="E183" s="1454"/>
      <c r="F183" s="1454"/>
      <c r="G183" s="1454"/>
      <c r="H183" s="1454"/>
      <c r="I183" s="1454"/>
      <c r="J183" s="1450"/>
      <c r="K183" s="1450"/>
      <c r="L183" s="1450"/>
      <c r="M183" s="1450"/>
      <c r="N183" s="1450"/>
      <c r="O183" s="1450"/>
      <c r="P183" s="1450"/>
      <c r="Q183" s="1450"/>
      <c r="R183" s="1450"/>
      <c r="S183" s="1450"/>
      <c r="T183" s="357"/>
      <c r="U183" s="357"/>
      <c r="V183" s="357"/>
    </row>
    <row r="184" spans="1:139" x14ac:dyDescent="0.25">
      <c r="A184" s="278"/>
      <c r="B184" s="278"/>
      <c r="C184" s="278"/>
      <c r="D184" s="278"/>
      <c r="E184" s="278"/>
      <c r="F184" s="278"/>
      <c r="G184" s="278"/>
      <c r="H184" s="278"/>
      <c r="I184" s="278"/>
      <c r="J184" s="357"/>
      <c r="K184" s="357"/>
      <c r="L184" s="357"/>
      <c r="M184" s="357"/>
      <c r="N184" s="357"/>
      <c r="O184" s="357"/>
      <c r="P184" s="357"/>
      <c r="Q184" s="357"/>
      <c r="R184" s="357"/>
      <c r="S184" s="357"/>
      <c r="T184" s="357"/>
      <c r="U184" s="357"/>
      <c r="V184" s="357"/>
    </row>
    <row r="185" spans="1:139" x14ac:dyDescent="0.25">
      <c r="A185" s="1204" t="s">
        <v>1092</v>
      </c>
      <c r="B185" s="278"/>
      <c r="C185" s="278"/>
      <c r="D185" s="278"/>
      <c r="E185" s="278"/>
      <c r="F185" s="278"/>
      <c r="G185" s="278"/>
      <c r="H185" s="278"/>
      <c r="I185" s="278"/>
      <c r="J185" s="357"/>
      <c r="K185" s="357"/>
      <c r="L185" s="357"/>
      <c r="M185" s="357"/>
      <c r="N185" s="357"/>
      <c r="O185" s="357"/>
      <c r="P185" s="357"/>
      <c r="Q185" s="357"/>
      <c r="R185" s="357"/>
      <c r="S185" s="357"/>
      <c r="T185" s="357"/>
      <c r="U185" s="357"/>
      <c r="V185" s="357"/>
    </row>
    <row r="186" spans="1:139" x14ac:dyDescent="0.25">
      <c r="A186" s="1204" t="s">
        <v>1093</v>
      </c>
      <c r="B186" s="278"/>
      <c r="C186" s="278"/>
      <c r="D186" s="278"/>
      <c r="E186" s="278"/>
      <c r="F186" s="278"/>
      <c r="G186" s="278"/>
      <c r="H186" s="278"/>
      <c r="I186" s="278"/>
      <c r="J186" s="357"/>
      <c r="K186" s="357"/>
      <c r="L186" s="357"/>
      <c r="M186" s="357"/>
      <c r="N186" s="357"/>
      <c r="O186" s="357"/>
      <c r="P186" s="357"/>
      <c r="Q186" s="357"/>
      <c r="R186" s="357"/>
      <c r="S186" s="357"/>
      <c r="T186" s="357"/>
      <c r="U186" s="357"/>
      <c r="V186" s="357"/>
    </row>
    <row r="187" spans="1:139" x14ac:dyDescent="0.25">
      <c r="A187" s="1204"/>
      <c r="B187" s="278"/>
      <c r="C187" s="278"/>
      <c r="D187" s="278"/>
      <c r="E187" s="278"/>
      <c r="F187" s="278"/>
      <c r="G187" s="278"/>
      <c r="H187" s="278"/>
      <c r="I187" s="278"/>
      <c r="J187" s="357"/>
      <c r="K187" s="357"/>
      <c r="L187" s="357"/>
      <c r="M187" s="357"/>
      <c r="N187" s="357"/>
      <c r="O187" s="357"/>
      <c r="P187" s="357"/>
      <c r="Q187" s="357"/>
      <c r="R187" s="357"/>
      <c r="S187" s="357"/>
      <c r="T187" s="357"/>
      <c r="U187" s="357"/>
      <c r="V187" s="357"/>
    </row>
    <row r="188" spans="1:139" ht="16.5" customHeight="1" x14ac:dyDescent="0.25">
      <c r="A188" s="1450" t="s">
        <v>597</v>
      </c>
      <c r="B188" s="1450"/>
      <c r="C188" s="1450"/>
      <c r="D188" s="1450"/>
      <c r="E188" s="1450"/>
      <c r="F188" s="1450"/>
      <c r="G188" s="1450"/>
      <c r="H188" s="1450"/>
      <c r="I188" s="1450"/>
      <c r="J188" s="1450"/>
      <c r="K188" s="1450"/>
      <c r="L188" s="1450"/>
      <c r="M188" s="1450"/>
      <c r="N188" s="1450"/>
      <c r="O188" s="1450"/>
      <c r="P188" s="1450"/>
      <c r="Q188" s="1450"/>
      <c r="R188" s="1450"/>
      <c r="S188" s="1450"/>
      <c r="T188" s="486"/>
      <c r="U188" s="466"/>
      <c r="V188" s="466"/>
    </row>
    <row r="189" spans="1:139" ht="16.5" customHeight="1" x14ac:dyDescent="0.25">
      <c r="J189" s="227"/>
      <c r="K189" s="227"/>
      <c r="L189" s="227"/>
      <c r="M189" s="227"/>
      <c r="N189" s="227"/>
      <c r="O189" s="227"/>
      <c r="P189" s="227"/>
      <c r="Q189" s="227"/>
      <c r="R189" s="227"/>
      <c r="S189" s="227"/>
      <c r="U189" s="466"/>
      <c r="V189" s="466"/>
    </row>
    <row r="190" spans="1:139" ht="16.5" customHeight="1" x14ac:dyDescent="0.25">
      <c r="A190" s="998" t="str">
        <f>"See ''Calculation of Normalized Annual Operating Revenues'' pages "&amp;TEXT(Norm!$A$55,0)&amp;" to "&amp;TEXT('Norm Adj'!$A$427,0)&amp;"."</f>
        <v>See ''Calculation of Normalized Annual Operating Revenues'' pages 18 to 25.</v>
      </c>
      <c r="J190" s="227"/>
      <c r="K190" s="227"/>
      <c r="L190" s="227"/>
      <c r="M190" s="227"/>
      <c r="N190" s="227"/>
      <c r="O190" s="227"/>
      <c r="P190" s="227"/>
      <c r="Q190" s="227"/>
      <c r="R190" s="227"/>
      <c r="S190" s="227"/>
      <c r="U190" s="454"/>
      <c r="V190" s="454"/>
    </row>
    <row r="191" spans="1:139" ht="16.5" customHeight="1" x14ac:dyDescent="0.25">
      <c r="U191" s="466"/>
    </row>
    <row r="192" spans="1:139" ht="16.5" customHeight="1" x14ac:dyDescent="0.25">
      <c r="A192" s="1450" t="s">
        <v>598</v>
      </c>
      <c r="B192" s="1450"/>
      <c r="C192" s="1450"/>
      <c r="D192" s="1450"/>
      <c r="E192" s="1450"/>
      <c r="F192" s="1450"/>
      <c r="G192" s="1450"/>
      <c r="H192" s="1450"/>
      <c r="I192" s="1450"/>
      <c r="J192" s="1450"/>
      <c r="K192" s="1450"/>
      <c r="L192" s="1450"/>
      <c r="M192" s="1450"/>
      <c r="N192" s="1450"/>
      <c r="O192" s="1450"/>
      <c r="P192" s="1450"/>
      <c r="Q192" s="1450"/>
      <c r="R192" s="1450"/>
      <c r="S192" s="1450"/>
      <c r="T192" s="486"/>
      <c r="U192" s="466"/>
    </row>
    <row r="193" spans="1:23" x14ac:dyDescent="0.25">
      <c r="V193" s="454"/>
    </row>
    <row r="194" spans="1:23" ht="16.5" customHeight="1" x14ac:dyDescent="0.25">
      <c r="A194" s="998" t="s">
        <v>1077</v>
      </c>
      <c r="Q194" s="1247" t="s">
        <v>352</v>
      </c>
      <c r="S194" s="1247" t="s">
        <v>1028</v>
      </c>
      <c r="V194" s="466"/>
    </row>
    <row r="195" spans="1:23" x14ac:dyDescent="0.25">
      <c r="V195" s="466"/>
    </row>
    <row r="196" spans="1:23" x14ac:dyDescent="0.25">
      <c r="B196" s="998" t="s">
        <v>1078</v>
      </c>
      <c r="P196" s="454"/>
      <c r="Q196" s="508">
        <v>1182318</v>
      </c>
      <c r="R196" s="454"/>
      <c r="T196" s="454"/>
      <c r="V196" s="422"/>
    </row>
    <row r="197" spans="1:23" x14ac:dyDescent="0.25">
      <c r="B197" s="998" t="s">
        <v>1089</v>
      </c>
      <c r="P197" s="454"/>
      <c r="Q197" s="508"/>
      <c r="R197" s="454"/>
      <c r="S197" s="997">
        <v>482627</v>
      </c>
      <c r="T197" s="454"/>
      <c r="V197" s="422"/>
    </row>
    <row r="198" spans="1:23" x14ac:dyDescent="0.25">
      <c r="B198" s="998" t="s">
        <v>1020</v>
      </c>
      <c r="P198" s="466"/>
      <c r="Q198" s="466">
        <v>-707999</v>
      </c>
      <c r="R198" s="466"/>
      <c r="S198" s="500">
        <v>0</v>
      </c>
      <c r="T198" s="466"/>
      <c r="V198" s="466"/>
    </row>
    <row r="199" spans="1:23" x14ac:dyDescent="0.25">
      <c r="B199" s="998" t="s">
        <v>1027</v>
      </c>
      <c r="P199" s="466"/>
      <c r="Q199" s="994">
        <v>8308</v>
      </c>
      <c r="R199" s="466"/>
      <c r="S199" s="994">
        <v>8517</v>
      </c>
      <c r="T199" s="466"/>
      <c r="V199" s="466"/>
    </row>
    <row r="200" spans="1:23" x14ac:dyDescent="0.25">
      <c r="V200" s="454"/>
    </row>
    <row r="201" spans="1:23" ht="16.5" thickBot="1" x14ac:dyDescent="0.3">
      <c r="C201" s="998" t="s">
        <v>1079</v>
      </c>
      <c r="P201" s="454"/>
      <c r="Q201" s="470">
        <f>SUM(Q196:Q200)</f>
        <v>482627</v>
      </c>
      <c r="R201" s="454"/>
      <c r="S201" s="470">
        <f>SUM(S196:S200)</f>
        <v>491144</v>
      </c>
      <c r="T201" s="454"/>
      <c r="V201" s="454"/>
    </row>
    <row r="202" spans="1:23" ht="16.5" thickTop="1" x14ac:dyDescent="0.25">
      <c r="V202" s="466"/>
    </row>
    <row r="203" spans="1:23" x14ac:dyDescent="0.25">
      <c r="V203" s="466"/>
    </row>
    <row r="204" spans="1:23" x14ac:dyDescent="0.25">
      <c r="A204" s="1450" t="s">
        <v>1091</v>
      </c>
      <c r="B204" s="1450"/>
      <c r="C204" s="1450"/>
      <c r="D204" s="1450"/>
      <c r="E204" s="1450"/>
      <c r="F204" s="1450"/>
      <c r="G204" s="1450"/>
      <c r="H204" s="1450"/>
      <c r="I204" s="1450"/>
      <c r="J204" s="1450"/>
      <c r="K204" s="1450"/>
      <c r="L204" s="1450"/>
      <c r="M204" s="1450"/>
      <c r="N204" s="1450"/>
      <c r="O204" s="1450"/>
      <c r="P204" s="1450"/>
      <c r="Q204" s="1450"/>
      <c r="R204" s="1450"/>
      <c r="S204" s="1450"/>
      <c r="T204" s="486"/>
      <c r="V204" s="466"/>
    </row>
    <row r="205" spans="1:23" x14ac:dyDescent="0.25">
      <c r="A205" s="105"/>
      <c r="V205" s="466"/>
      <c r="W205" s="454"/>
    </row>
    <row r="206" spans="1:23" x14ac:dyDescent="0.25">
      <c r="A206" s="998" t="s">
        <v>1080</v>
      </c>
      <c r="C206" s="993"/>
      <c r="L206" s="69"/>
      <c r="M206" s="69"/>
      <c r="V206" s="466"/>
    </row>
    <row r="207" spans="1:23" x14ac:dyDescent="0.25">
      <c r="J207" s="454"/>
      <c r="K207" s="454"/>
      <c r="L207" s="454"/>
      <c r="M207" s="454"/>
      <c r="S207" s="1246" t="s">
        <v>352</v>
      </c>
      <c r="V207" s="466"/>
    </row>
    <row r="208" spans="1:23" x14ac:dyDescent="0.25">
      <c r="B208" s="993"/>
      <c r="C208" s="993"/>
      <c r="D208" s="993"/>
      <c r="K208" s="1244" t="s">
        <v>229</v>
      </c>
      <c r="L208" s="993"/>
      <c r="M208" s="993"/>
      <c r="N208" s="993"/>
      <c r="O208" s="993"/>
      <c r="P208" s="466"/>
      <c r="Q208" s="1249"/>
      <c r="R208" s="466"/>
      <c r="S208" s="1272" t="s">
        <v>441</v>
      </c>
      <c r="V208" s="466"/>
    </row>
    <row r="209" spans="2:28" x14ac:dyDescent="0.25">
      <c r="B209" s="993"/>
      <c r="C209" s="993"/>
      <c r="D209" s="993"/>
      <c r="K209" s="1244" t="s">
        <v>80</v>
      </c>
      <c r="L209" s="993"/>
      <c r="M209" s="993"/>
      <c r="N209" s="993"/>
      <c r="O209" s="1244"/>
      <c r="P209" s="466"/>
      <c r="Q209" s="476">
        <v>7.4999999999999997E-2</v>
      </c>
      <c r="R209" s="1249"/>
      <c r="S209" s="1269" t="s">
        <v>1128</v>
      </c>
      <c r="T209" s="208"/>
      <c r="V209" s="466"/>
    </row>
    <row r="210" spans="2:28" x14ac:dyDescent="0.25">
      <c r="B210" s="158" t="s">
        <v>150</v>
      </c>
      <c r="C210" s="993"/>
      <c r="D210" s="993"/>
      <c r="K210" s="186">
        <v>44104</v>
      </c>
      <c r="L210" s="993"/>
      <c r="M210" s="186" t="s">
        <v>374</v>
      </c>
      <c r="N210" s="993"/>
      <c r="O210" s="186" t="s">
        <v>19</v>
      </c>
      <c r="P210" s="466"/>
      <c r="Q210" s="1247" t="s">
        <v>351</v>
      </c>
      <c r="R210" s="1249"/>
      <c r="S210" s="1268" t="s">
        <v>281</v>
      </c>
      <c r="T210" s="1276"/>
      <c r="V210" s="466"/>
    </row>
    <row r="211" spans="2:28" x14ac:dyDescent="0.25">
      <c r="B211" s="993"/>
      <c r="C211" s="993"/>
      <c r="D211" s="993"/>
      <c r="K211" s="507"/>
      <c r="L211" s="993"/>
      <c r="M211" s="507"/>
      <c r="N211" s="993"/>
      <c r="O211" s="507"/>
      <c r="P211" s="466"/>
      <c r="Q211" s="507"/>
      <c r="R211" s="1249"/>
      <c r="S211" s="1246"/>
      <c r="T211" s="208"/>
      <c r="V211" s="466"/>
    </row>
    <row r="212" spans="2:28" x14ac:dyDescent="0.25">
      <c r="B212" s="401" t="s">
        <v>73</v>
      </c>
      <c r="C212" s="401"/>
      <c r="D212" s="993"/>
      <c r="K212" s="997">
        <f>Norm!E13</f>
        <v>19390251</v>
      </c>
      <c r="L212" s="997"/>
      <c r="M212" s="997">
        <f>O212-K212</f>
        <v>1772550</v>
      </c>
      <c r="N212" s="993"/>
      <c r="O212" s="997">
        <f>Norm!R13</f>
        <v>21162801</v>
      </c>
      <c r="P212" s="466"/>
      <c r="Q212" s="997">
        <f t="shared" ref="Q212:Q217" si="0">ROUND(O212*$Q$209,0)</f>
        <v>1587210</v>
      </c>
      <c r="R212" s="1249"/>
      <c r="S212" s="508">
        <f t="shared" ref="S212:S216" si="1">+Q212+O212</f>
        <v>22750011</v>
      </c>
      <c r="T212" s="1010"/>
      <c r="V212" s="466"/>
      <c r="X212" s="363"/>
    </row>
    <row r="213" spans="2:28" x14ac:dyDescent="0.25">
      <c r="B213" s="401" t="s">
        <v>499</v>
      </c>
      <c r="C213" s="401"/>
      <c r="D213" s="993"/>
      <c r="K213" s="993">
        <f>Norm!E14</f>
        <v>5779922</v>
      </c>
      <c r="L213" s="993"/>
      <c r="M213" s="993">
        <f>O213-K213</f>
        <v>489020</v>
      </c>
      <c r="N213" s="993"/>
      <c r="O213" s="466">
        <f>Norm!R14</f>
        <v>6268942</v>
      </c>
      <c r="P213" s="454"/>
      <c r="Q213" s="993">
        <f t="shared" si="0"/>
        <v>470171</v>
      </c>
      <c r="R213" s="124"/>
      <c r="S213" s="150">
        <f t="shared" si="1"/>
        <v>6739113</v>
      </c>
      <c r="T213" s="509"/>
      <c r="V213" s="466"/>
    </row>
    <row r="214" spans="2:28" x14ac:dyDescent="0.25">
      <c r="B214" s="401" t="s">
        <v>270</v>
      </c>
      <c r="C214" s="401"/>
      <c r="D214" s="993"/>
      <c r="K214" s="993">
        <f>Norm!E15</f>
        <v>8257024</v>
      </c>
      <c r="L214" s="993"/>
      <c r="M214" s="993">
        <f t="shared" ref="M214:M217" si="2">O214-K214</f>
        <v>1097349</v>
      </c>
      <c r="N214" s="466"/>
      <c r="O214" s="466">
        <f>Norm!R15</f>
        <v>9354373</v>
      </c>
      <c r="P214" s="466"/>
      <c r="Q214" s="993">
        <f t="shared" si="0"/>
        <v>701578</v>
      </c>
      <c r="R214" s="124"/>
      <c r="S214" s="150">
        <f t="shared" si="1"/>
        <v>10055951</v>
      </c>
      <c r="T214" s="509"/>
      <c r="V214" s="466"/>
    </row>
    <row r="215" spans="2:28" x14ac:dyDescent="0.25">
      <c r="B215" s="993" t="s">
        <v>514</v>
      </c>
      <c r="C215" s="401"/>
      <c r="D215" s="993"/>
      <c r="K215" s="993">
        <f>Norm!E16</f>
        <v>1194300</v>
      </c>
      <c r="L215" s="993"/>
      <c r="M215" s="993">
        <f t="shared" si="2"/>
        <v>164367</v>
      </c>
      <c r="N215" s="466"/>
      <c r="O215" s="466">
        <f>Norm!R16</f>
        <v>1358667</v>
      </c>
      <c r="P215" s="454"/>
      <c r="Q215" s="993">
        <f t="shared" si="0"/>
        <v>101900</v>
      </c>
      <c r="R215" s="124"/>
      <c r="S215" s="150">
        <f t="shared" si="1"/>
        <v>1460567</v>
      </c>
      <c r="T215" s="509"/>
      <c r="V215" s="466"/>
    </row>
    <row r="216" spans="2:28" x14ac:dyDescent="0.25">
      <c r="B216" s="993" t="s">
        <v>289</v>
      </c>
      <c r="C216" s="401"/>
      <c r="D216" s="993"/>
      <c r="K216" s="993">
        <f>SUM(Norm!E18:E21)</f>
        <v>6033847</v>
      </c>
      <c r="L216" s="993"/>
      <c r="M216" s="993">
        <f t="shared" si="2"/>
        <v>593934</v>
      </c>
      <c r="N216" s="466"/>
      <c r="O216" s="466">
        <f>SUM(Norm!R18:R21)</f>
        <v>6627781</v>
      </c>
      <c r="P216" s="454"/>
      <c r="Q216" s="993">
        <f t="shared" si="0"/>
        <v>497084</v>
      </c>
      <c r="R216" s="124"/>
      <c r="S216" s="150">
        <f t="shared" si="1"/>
        <v>7124865</v>
      </c>
      <c r="T216" s="509"/>
      <c r="V216" s="466"/>
    </row>
    <row r="217" spans="2:28" x14ac:dyDescent="0.25">
      <c r="B217" s="993" t="s">
        <v>442</v>
      </c>
      <c r="K217" s="466">
        <f>Norm!E22</f>
        <v>92791</v>
      </c>
      <c r="L217" s="227"/>
      <c r="M217" s="466">
        <f t="shared" si="2"/>
        <v>118150</v>
      </c>
      <c r="N217" s="227"/>
      <c r="O217" s="466">
        <f>Norm!R22</f>
        <v>210941</v>
      </c>
      <c r="P217" s="227"/>
      <c r="Q217" s="466">
        <f t="shared" si="0"/>
        <v>15821</v>
      </c>
      <c r="R217" s="466"/>
      <c r="S217" s="509">
        <f>+Q217+O217-602</f>
        <v>226160</v>
      </c>
      <c r="T217" s="509"/>
      <c r="V217" s="466"/>
      <c r="X217" s="466"/>
      <c r="Z217" s="466"/>
    </row>
    <row r="218" spans="2:28" x14ac:dyDescent="0.25">
      <c r="B218" s="993" t="s">
        <v>1032</v>
      </c>
      <c r="K218" s="501">
        <v>0</v>
      </c>
      <c r="L218" s="227"/>
      <c r="M218" s="994">
        <f>Norm!T26</f>
        <v>-715554</v>
      </c>
      <c r="N218" s="502"/>
      <c r="O218" s="466">
        <f>M218</f>
        <v>-715554</v>
      </c>
      <c r="P218" s="502"/>
      <c r="Q218" s="1236">
        <f>ROUND(O218*$Q$209,0)-1395</f>
        <v>-55062</v>
      </c>
      <c r="R218" s="502"/>
      <c r="S218" s="1258">
        <f>+Q218+O218</f>
        <v>-770616</v>
      </c>
      <c r="T218" s="509"/>
      <c r="V218" s="466"/>
      <c r="X218" s="466"/>
      <c r="Z218" s="466"/>
    </row>
    <row r="219" spans="2:28" x14ac:dyDescent="0.25">
      <c r="B219" s="993"/>
      <c r="C219" s="993"/>
      <c r="D219" s="993"/>
      <c r="I219" s="227"/>
      <c r="K219" s="993"/>
      <c r="L219" s="993"/>
      <c r="M219" s="993"/>
      <c r="N219" s="993"/>
      <c r="O219" s="451"/>
      <c r="P219" s="993"/>
      <c r="Q219" s="993"/>
      <c r="R219" s="993"/>
      <c r="S219" s="993"/>
      <c r="T219" s="466"/>
      <c r="V219" s="466"/>
      <c r="X219" s="422"/>
      <c r="Z219" s="422"/>
    </row>
    <row r="220" spans="2:28" ht="16.5" thickBot="1" x14ac:dyDescent="0.3">
      <c r="B220" s="993"/>
      <c r="C220" s="993" t="s">
        <v>27</v>
      </c>
      <c r="D220" s="993"/>
      <c r="I220" s="227"/>
      <c r="K220" s="224">
        <f>+SUM(K212:K218)</f>
        <v>40748135</v>
      </c>
      <c r="L220" s="997"/>
      <c r="M220" s="224">
        <f>+SUM(M212:M218)</f>
        <v>3519816</v>
      </c>
      <c r="N220" s="997"/>
      <c r="O220" s="224">
        <f>+SUM(O212:O218)</f>
        <v>44267951</v>
      </c>
      <c r="P220" s="997"/>
      <c r="Q220" s="224">
        <f>+SUM(Q212:Q218)</f>
        <v>3318702</v>
      </c>
      <c r="R220" s="997"/>
      <c r="S220" s="224">
        <f>+SUM(S212:S218)</f>
        <v>47586051</v>
      </c>
      <c r="T220" s="454"/>
      <c r="V220" s="466"/>
      <c r="X220" s="466"/>
      <c r="Z220" s="466"/>
    </row>
    <row r="221" spans="2:28" ht="16.5" thickTop="1" x14ac:dyDescent="0.25">
      <c r="I221" s="227"/>
      <c r="L221" s="227"/>
      <c r="M221" s="454"/>
      <c r="N221" s="454"/>
      <c r="O221" s="454"/>
      <c r="P221" s="454"/>
      <c r="Q221" s="454"/>
      <c r="R221" s="781"/>
      <c r="S221" s="781"/>
      <c r="T221" s="781"/>
      <c r="V221" s="466"/>
    </row>
    <row r="222" spans="2:28" x14ac:dyDescent="0.25">
      <c r="I222" s="208"/>
      <c r="M222" s="476">
        <v>7.0300000000000001E-2</v>
      </c>
      <c r="P222" s="227"/>
      <c r="Q222" s="156">
        <v>6.5299999999999997E-2</v>
      </c>
      <c r="R222" s="454"/>
      <c r="T222" s="208"/>
      <c r="V222" s="466"/>
    </row>
    <row r="223" spans="2:28" x14ac:dyDescent="0.25">
      <c r="B223" s="158" t="s">
        <v>150</v>
      </c>
      <c r="C223" s="993"/>
      <c r="D223" s="993"/>
      <c r="I223" s="208"/>
      <c r="K223" s="1247" t="s">
        <v>352</v>
      </c>
      <c r="M223" s="1247" t="s">
        <v>351</v>
      </c>
      <c r="O223" s="1247" t="s">
        <v>353</v>
      </c>
      <c r="P223" s="227"/>
      <c r="Q223" s="186" t="s">
        <v>351</v>
      </c>
      <c r="R223" s="454"/>
      <c r="S223" s="1247" t="s">
        <v>354</v>
      </c>
      <c r="T223" s="1276"/>
      <c r="V223" s="466"/>
      <c r="W223" s="454"/>
      <c r="X223" s="454"/>
      <c r="Z223" s="454"/>
    </row>
    <row r="224" spans="2:28" x14ac:dyDescent="0.25">
      <c r="B224" s="993"/>
      <c r="C224" s="993"/>
      <c r="D224" s="993"/>
      <c r="I224" s="227"/>
      <c r="K224" s="1246"/>
      <c r="O224" s="1246"/>
      <c r="P224" s="227"/>
      <c r="Q224" s="454"/>
      <c r="R224" s="454"/>
      <c r="S224" s="1246"/>
      <c r="T224" s="208"/>
      <c r="V224" s="466"/>
      <c r="W224" s="454"/>
      <c r="X224" s="454"/>
      <c r="Z224" s="454"/>
      <c r="AB224" s="502"/>
    </row>
    <row r="225" spans="1:40" x14ac:dyDescent="0.25">
      <c r="B225" s="401" t="s">
        <v>73</v>
      </c>
      <c r="C225" s="401"/>
      <c r="D225" s="993"/>
      <c r="I225" s="454"/>
      <c r="K225" s="997">
        <f>S212</f>
        <v>22750011</v>
      </c>
      <c r="M225" s="997">
        <f t="shared" ref="M225:M230" si="3">ROUND(K225*$M$222,0)</f>
        <v>1599326</v>
      </c>
      <c r="O225" s="508">
        <f>SUM(K225:M225)</f>
        <v>24349337</v>
      </c>
      <c r="P225" s="227"/>
      <c r="Q225" s="508">
        <f>ROUND(O225*Q222,0)</f>
        <v>1590012</v>
      </c>
      <c r="R225" s="454"/>
      <c r="S225" s="454">
        <f>O225+Q225</f>
        <v>25939349</v>
      </c>
      <c r="T225" s="454"/>
      <c r="V225" s="466"/>
      <c r="W225" s="454"/>
      <c r="X225" s="454"/>
      <c r="Z225" s="454"/>
      <c r="AB225" s="502"/>
    </row>
    <row r="226" spans="1:40" x14ac:dyDescent="0.25">
      <c r="B226" s="401" t="s">
        <v>499</v>
      </c>
      <c r="C226" s="401"/>
      <c r="D226" s="993"/>
      <c r="I226" s="227"/>
      <c r="K226" s="993">
        <f>S213</f>
        <v>6739113</v>
      </c>
      <c r="M226" s="993">
        <f t="shared" si="3"/>
        <v>473760</v>
      </c>
      <c r="O226" s="509">
        <f>SUM(K226:M226)</f>
        <v>7212873</v>
      </c>
      <c r="P226" s="227"/>
      <c r="Q226" s="509">
        <f t="shared" ref="Q226:Q230" si="4">ROUND(O226*$Q$222,0)</f>
        <v>471001</v>
      </c>
      <c r="R226" s="454"/>
      <c r="S226" s="466">
        <f>O226+Q226</f>
        <v>7683874</v>
      </c>
      <c r="T226" s="466"/>
      <c r="V226" s="466"/>
      <c r="W226" s="454"/>
      <c r="X226" s="454"/>
      <c r="Z226" s="454"/>
    </row>
    <row r="227" spans="1:40" x14ac:dyDescent="0.25">
      <c r="B227" s="401" t="s">
        <v>270</v>
      </c>
      <c r="C227" s="401"/>
      <c r="D227" s="993"/>
      <c r="I227" s="509"/>
      <c r="K227" s="993">
        <f>S214+I227</f>
        <v>10055951</v>
      </c>
      <c r="M227" s="993">
        <f t="shared" si="3"/>
        <v>706933</v>
      </c>
      <c r="O227" s="509">
        <f t="shared" ref="O227:O231" si="5">SUM(K227:M227)</f>
        <v>10762884</v>
      </c>
      <c r="P227" s="227"/>
      <c r="Q227" s="509">
        <f t="shared" si="4"/>
        <v>702816</v>
      </c>
      <c r="R227" s="454"/>
      <c r="S227" s="466">
        <f t="shared" ref="S227:S230" si="6">O227+Q227</f>
        <v>11465700</v>
      </c>
      <c r="T227" s="466"/>
      <c r="V227" s="466"/>
      <c r="W227" s="454"/>
      <c r="X227" s="454"/>
      <c r="Z227" s="454"/>
    </row>
    <row r="228" spans="1:40" x14ac:dyDescent="0.25">
      <c r="B228" s="993" t="s">
        <v>514</v>
      </c>
      <c r="C228" s="401"/>
      <c r="D228" s="993"/>
      <c r="I228" s="509"/>
      <c r="K228" s="993">
        <f>S215+I228</f>
        <v>1460567</v>
      </c>
      <c r="M228" s="993">
        <f t="shared" si="3"/>
        <v>102678</v>
      </c>
      <c r="O228" s="509">
        <f t="shared" si="5"/>
        <v>1563245</v>
      </c>
      <c r="P228" s="227"/>
      <c r="Q228" s="509">
        <f t="shared" si="4"/>
        <v>102080</v>
      </c>
      <c r="R228" s="454"/>
      <c r="S228" s="466">
        <f t="shared" si="6"/>
        <v>1665325</v>
      </c>
      <c r="T228" s="466"/>
      <c r="V228" s="466"/>
    </row>
    <row r="229" spans="1:40" x14ac:dyDescent="0.25">
      <c r="B229" s="993" t="s">
        <v>289</v>
      </c>
      <c r="C229" s="401"/>
      <c r="D229" s="993"/>
      <c r="I229" s="227"/>
      <c r="K229" s="993">
        <f>S216+I229</f>
        <v>7124865</v>
      </c>
      <c r="M229" s="993">
        <f t="shared" si="3"/>
        <v>500878</v>
      </c>
      <c r="O229" s="509">
        <f t="shared" si="5"/>
        <v>7625743</v>
      </c>
      <c r="P229" s="227"/>
      <c r="Q229" s="509">
        <f t="shared" si="4"/>
        <v>497961</v>
      </c>
      <c r="R229" s="454"/>
      <c r="S229" s="466">
        <f t="shared" si="6"/>
        <v>8123704</v>
      </c>
      <c r="T229" s="466"/>
      <c r="V229" s="466"/>
    </row>
    <row r="230" spans="1:40" x14ac:dyDescent="0.25">
      <c r="B230" s="993" t="s">
        <v>442</v>
      </c>
      <c r="C230" s="401"/>
      <c r="D230" s="993"/>
      <c r="I230" s="227"/>
      <c r="K230" s="466">
        <f>S217+I230</f>
        <v>226160</v>
      </c>
      <c r="L230" s="227"/>
      <c r="M230" s="466">
        <f t="shared" si="3"/>
        <v>15899</v>
      </c>
      <c r="N230" s="227"/>
      <c r="O230" s="509">
        <f t="shared" si="5"/>
        <v>242059</v>
      </c>
      <c r="P230" s="227"/>
      <c r="Q230" s="509">
        <f t="shared" si="4"/>
        <v>15806</v>
      </c>
      <c r="R230" s="454"/>
      <c r="S230" s="466">
        <f t="shared" si="6"/>
        <v>257865</v>
      </c>
      <c r="T230" s="466"/>
      <c r="V230" s="466"/>
    </row>
    <row r="231" spans="1:40" x14ac:dyDescent="0.25">
      <c r="B231" s="993" t="s">
        <v>1033</v>
      </c>
      <c r="C231" s="401"/>
      <c r="D231" s="993"/>
      <c r="I231" s="227"/>
      <c r="K231" s="994">
        <v>-1524274</v>
      </c>
      <c r="M231" s="994">
        <f>ROUND(K231*$M$222,0)+763</f>
        <v>-106393</v>
      </c>
      <c r="O231" s="510">
        <f t="shared" si="5"/>
        <v>-1630667</v>
      </c>
      <c r="P231" s="227"/>
      <c r="Q231" s="510">
        <f>ROUND(O231*$Q$222,0)+469</f>
        <v>-106014</v>
      </c>
      <c r="R231" s="454"/>
      <c r="S231" s="994">
        <f>O231+Q231</f>
        <v>-1736681</v>
      </c>
      <c r="T231" s="466"/>
      <c r="V231" s="466"/>
    </row>
    <row r="232" spans="1:40" x14ac:dyDescent="0.25">
      <c r="B232" s="993"/>
      <c r="C232" s="993"/>
      <c r="D232" s="993"/>
      <c r="I232" s="227"/>
      <c r="K232" s="509"/>
      <c r="O232" s="993"/>
      <c r="P232" s="227"/>
      <c r="Q232" s="454"/>
      <c r="R232" s="454"/>
      <c r="S232" s="454"/>
      <c r="T232" s="454"/>
      <c r="V232" s="466"/>
    </row>
    <row r="233" spans="1:40" ht="16.5" thickBot="1" x14ac:dyDescent="0.3">
      <c r="B233" s="993"/>
      <c r="C233" s="993" t="s">
        <v>27</v>
      </c>
      <c r="D233" s="993"/>
      <c r="I233" s="454"/>
      <c r="K233" s="224">
        <f>SUM(K225:K231)</f>
        <v>46832393</v>
      </c>
      <c r="M233" s="224">
        <f>+SUM(M225:M231)</f>
        <v>3293081</v>
      </c>
      <c r="O233" s="224">
        <f>+SUM(O225:O231)</f>
        <v>50125474</v>
      </c>
      <c r="P233" s="227"/>
      <c r="Q233" s="224">
        <f>+SUM(Q225:Q231)</f>
        <v>3273662</v>
      </c>
      <c r="R233" s="454"/>
      <c r="S233" s="224">
        <f>+SUM(S225:S231)</f>
        <v>53399136</v>
      </c>
      <c r="T233" s="454"/>
      <c r="V233" s="466"/>
    </row>
    <row r="234" spans="1:40" ht="16.5" thickTop="1" x14ac:dyDescent="0.25">
      <c r="A234" s="466"/>
      <c r="B234" s="782"/>
      <c r="C234" s="466"/>
      <c r="D234" s="466"/>
      <c r="E234" s="466"/>
      <c r="F234" s="227"/>
      <c r="G234" s="227"/>
      <c r="H234" s="227"/>
      <c r="I234" s="227"/>
      <c r="J234" s="466"/>
      <c r="K234" s="466"/>
      <c r="L234" s="466"/>
      <c r="M234" s="780"/>
      <c r="N234" s="780"/>
      <c r="O234" s="780"/>
      <c r="P234" s="780"/>
      <c r="Q234" s="780"/>
      <c r="R234" s="780"/>
      <c r="S234" s="780"/>
      <c r="T234" s="780"/>
      <c r="V234" s="466"/>
      <c r="Z234" s="466"/>
      <c r="AA234" s="782"/>
      <c r="AH234" s="454"/>
      <c r="AI234" s="454"/>
      <c r="AJ234" s="466"/>
      <c r="AK234" s="466"/>
      <c r="AL234" s="466"/>
      <c r="AM234" s="466"/>
      <c r="AN234" s="781"/>
    </row>
    <row r="235" spans="1:40" x14ac:dyDescent="0.25">
      <c r="A235" s="466"/>
      <c r="B235" s="782"/>
      <c r="C235" s="466"/>
      <c r="D235" s="466"/>
      <c r="E235" s="466"/>
      <c r="F235" s="227"/>
      <c r="G235" s="227"/>
      <c r="H235" s="227"/>
      <c r="I235" s="227"/>
      <c r="J235" s="466"/>
      <c r="L235" s="466"/>
      <c r="M235" s="156">
        <v>6.2100000000000002E-2</v>
      </c>
      <c r="N235" s="780"/>
      <c r="P235" s="780"/>
      <c r="Q235" s="156">
        <v>4.3099999999999999E-2</v>
      </c>
      <c r="R235" s="780"/>
      <c r="T235" s="780"/>
      <c r="V235" s="466"/>
      <c r="Z235" s="466"/>
      <c r="AA235" s="782"/>
      <c r="AH235" s="454"/>
      <c r="AI235" s="454"/>
      <c r="AJ235" s="466"/>
      <c r="AK235" s="466"/>
      <c r="AL235" s="466"/>
      <c r="AM235" s="466"/>
      <c r="AN235" s="781"/>
    </row>
    <row r="236" spans="1:40" x14ac:dyDescent="0.25">
      <c r="A236" s="466"/>
      <c r="B236" s="158" t="s">
        <v>150</v>
      </c>
      <c r="C236" s="466"/>
      <c r="D236" s="466"/>
      <c r="E236" s="466"/>
      <c r="F236" s="227"/>
      <c r="G236" s="227"/>
      <c r="H236" s="227"/>
      <c r="I236" s="227"/>
      <c r="J236" s="466"/>
      <c r="K236" s="1247" t="s">
        <v>354</v>
      </c>
      <c r="L236" s="466"/>
      <c r="M236" s="186" t="s">
        <v>351</v>
      </c>
      <c r="N236" s="780"/>
      <c r="O236" s="1247" t="s">
        <v>901</v>
      </c>
      <c r="P236" s="780"/>
      <c r="Q236" s="186" t="s">
        <v>351</v>
      </c>
      <c r="R236" s="780"/>
      <c r="S236" s="1247" t="s">
        <v>902</v>
      </c>
      <c r="T236" s="780"/>
      <c r="V236" s="466"/>
      <c r="Z236" s="466"/>
      <c r="AA236" s="782"/>
      <c r="AH236" s="454"/>
      <c r="AI236" s="454"/>
      <c r="AJ236" s="466"/>
      <c r="AK236" s="466"/>
      <c r="AL236" s="466"/>
      <c r="AM236" s="466"/>
      <c r="AN236" s="781"/>
    </row>
    <row r="237" spans="1:40" x14ac:dyDescent="0.25">
      <c r="A237" s="466"/>
      <c r="B237" s="782"/>
      <c r="C237" s="466"/>
      <c r="D237" s="466"/>
      <c r="E237" s="466"/>
      <c r="F237" s="227"/>
      <c r="G237" s="227"/>
      <c r="H237" s="227"/>
      <c r="I237" s="227"/>
      <c r="J237" s="466"/>
      <c r="L237" s="466"/>
      <c r="M237" s="780"/>
      <c r="N237" s="780"/>
      <c r="O237" s="780"/>
      <c r="P237" s="780"/>
      <c r="Q237" s="780"/>
      <c r="R237" s="780"/>
      <c r="S237" s="780"/>
      <c r="T237" s="780"/>
      <c r="V237" s="466"/>
      <c r="Z237" s="466"/>
      <c r="AA237" s="782"/>
      <c r="AH237" s="454"/>
      <c r="AI237" s="454"/>
      <c r="AJ237" s="466"/>
      <c r="AK237" s="466"/>
      <c r="AL237" s="466"/>
      <c r="AM237" s="466"/>
      <c r="AN237" s="781"/>
    </row>
    <row r="238" spans="1:40" x14ac:dyDescent="0.25">
      <c r="A238" s="466"/>
      <c r="B238" s="401" t="s">
        <v>73</v>
      </c>
      <c r="C238" s="401"/>
      <c r="D238" s="993"/>
      <c r="E238" s="466"/>
      <c r="F238" s="227"/>
      <c r="G238" s="227"/>
      <c r="H238" s="227"/>
      <c r="I238" s="227"/>
      <c r="J238" s="466"/>
      <c r="K238" s="454">
        <f>S225</f>
        <v>25939349</v>
      </c>
      <c r="L238" s="466"/>
      <c r="M238" s="508">
        <f>ROUND(K238*M235,0)</f>
        <v>1610834</v>
      </c>
      <c r="N238" s="780"/>
      <c r="O238" s="508">
        <f>SUM(K238:M238)</f>
        <v>27550183</v>
      </c>
      <c r="P238" s="780"/>
      <c r="Q238" s="508">
        <f>ROUND(O238*Q235,0)</f>
        <v>1187413</v>
      </c>
      <c r="R238" s="780"/>
      <c r="S238" s="454">
        <f>O238+Q238</f>
        <v>28737596</v>
      </c>
      <c r="T238" s="780"/>
      <c r="V238" s="466"/>
      <c r="Z238" s="466"/>
      <c r="AA238" s="782"/>
      <c r="AH238" s="454"/>
      <c r="AI238" s="454"/>
      <c r="AJ238" s="466"/>
      <c r="AK238" s="466"/>
      <c r="AL238" s="466"/>
      <c r="AM238" s="466"/>
      <c r="AN238" s="781"/>
    </row>
    <row r="239" spans="1:40" x14ac:dyDescent="0.25">
      <c r="A239" s="466"/>
      <c r="B239" s="401" t="s">
        <v>499</v>
      </c>
      <c r="C239" s="401"/>
      <c r="D239" s="993"/>
      <c r="E239" s="466"/>
      <c r="F239" s="227"/>
      <c r="G239" s="227"/>
      <c r="H239" s="227"/>
      <c r="I239" s="227"/>
      <c r="J239" s="466"/>
      <c r="K239" s="466">
        <f t="shared" ref="K239:K243" si="7">S226</f>
        <v>7683874</v>
      </c>
      <c r="L239" s="466"/>
      <c r="M239" s="509">
        <f>ROUND(K239*$M$235,0)</f>
        <v>477169</v>
      </c>
      <c r="N239" s="780"/>
      <c r="O239" s="509">
        <f>SUM(K239:M239)</f>
        <v>8161043</v>
      </c>
      <c r="P239" s="780"/>
      <c r="Q239" s="509">
        <f>ROUND(O239*$Q$235,0)</f>
        <v>351741</v>
      </c>
      <c r="R239" s="780"/>
      <c r="S239" s="466">
        <f>O239+Q239</f>
        <v>8512784</v>
      </c>
      <c r="T239" s="780"/>
      <c r="V239" s="466"/>
      <c r="Z239" s="466"/>
      <c r="AA239" s="782"/>
      <c r="AH239" s="454"/>
      <c r="AI239" s="454"/>
      <c r="AJ239" s="466"/>
      <c r="AK239" s="466"/>
      <c r="AL239" s="466"/>
      <c r="AM239" s="466"/>
      <c r="AN239" s="781"/>
    </row>
    <row r="240" spans="1:40" x14ac:dyDescent="0.25">
      <c r="A240" s="466"/>
      <c r="B240" s="401" t="s">
        <v>270</v>
      </c>
      <c r="C240" s="401"/>
      <c r="D240" s="993"/>
      <c r="E240" s="466"/>
      <c r="F240" s="227"/>
      <c r="G240" s="227"/>
      <c r="H240" s="227"/>
      <c r="I240" s="227"/>
      <c r="J240" s="466"/>
      <c r="K240" s="466">
        <f t="shared" si="7"/>
        <v>11465700</v>
      </c>
      <c r="L240" s="466"/>
      <c r="M240" s="509">
        <f t="shared" ref="M240:M243" si="8">ROUND(K240*$M$235,0)</f>
        <v>712020</v>
      </c>
      <c r="N240" s="780"/>
      <c r="O240" s="509">
        <f t="shared" ref="O240:O244" si="9">SUM(K240:M240)</f>
        <v>12177720</v>
      </c>
      <c r="P240" s="780"/>
      <c r="Q240" s="509">
        <f t="shared" ref="Q240:Q243" si="10">ROUND(O240*$Q$235,0)</f>
        <v>524860</v>
      </c>
      <c r="R240" s="780"/>
      <c r="S240" s="466">
        <f t="shared" ref="S240:S244" si="11">O240+Q240</f>
        <v>12702580</v>
      </c>
      <c r="T240" s="780"/>
      <c r="V240" s="466"/>
      <c r="Z240" s="466"/>
      <c r="AA240" s="782"/>
      <c r="AH240" s="454"/>
      <c r="AI240" s="454"/>
      <c r="AJ240" s="466"/>
      <c r="AK240" s="466"/>
      <c r="AL240" s="466"/>
      <c r="AM240" s="466"/>
      <c r="AN240" s="781"/>
    </row>
    <row r="241" spans="1:40" x14ac:dyDescent="0.25">
      <c r="A241" s="466"/>
      <c r="B241" s="993" t="s">
        <v>514</v>
      </c>
      <c r="C241" s="401"/>
      <c r="D241" s="993"/>
      <c r="E241" s="466"/>
      <c r="F241" s="227"/>
      <c r="G241" s="227"/>
      <c r="H241" s="227"/>
      <c r="I241" s="227"/>
      <c r="J241" s="466"/>
      <c r="K241" s="466">
        <f t="shared" si="7"/>
        <v>1665325</v>
      </c>
      <c r="L241" s="466"/>
      <c r="M241" s="509">
        <f t="shared" si="8"/>
        <v>103417</v>
      </c>
      <c r="N241" s="780"/>
      <c r="O241" s="509">
        <f t="shared" si="9"/>
        <v>1768742</v>
      </c>
      <c r="P241" s="780"/>
      <c r="Q241" s="509">
        <f t="shared" si="10"/>
        <v>76233</v>
      </c>
      <c r="R241" s="780"/>
      <c r="S241" s="466">
        <f t="shared" si="11"/>
        <v>1844975</v>
      </c>
      <c r="T241" s="780"/>
      <c r="V241" s="466"/>
      <c r="Z241" s="466"/>
      <c r="AA241" s="782"/>
      <c r="AH241" s="454"/>
      <c r="AI241" s="454"/>
      <c r="AJ241" s="466"/>
      <c r="AK241" s="466"/>
      <c r="AL241" s="466"/>
      <c r="AM241" s="466"/>
      <c r="AN241" s="781"/>
    </row>
    <row r="242" spans="1:40" x14ac:dyDescent="0.25">
      <c r="B242" s="993" t="s">
        <v>289</v>
      </c>
      <c r="C242" s="401"/>
      <c r="D242" s="993"/>
      <c r="K242" s="466">
        <f t="shared" si="7"/>
        <v>8123704</v>
      </c>
      <c r="M242" s="509">
        <f t="shared" si="8"/>
        <v>504482</v>
      </c>
      <c r="O242" s="509">
        <f t="shared" si="9"/>
        <v>8628186</v>
      </c>
      <c r="Q242" s="509">
        <f t="shared" si="10"/>
        <v>371875</v>
      </c>
      <c r="S242" s="466">
        <f t="shared" si="11"/>
        <v>9000061</v>
      </c>
      <c r="V242" s="466"/>
      <c r="Z242" s="466"/>
      <c r="AA242" s="782"/>
      <c r="AH242" s="454"/>
      <c r="AI242" s="454"/>
      <c r="AJ242" s="466"/>
      <c r="AK242" s="466"/>
      <c r="AL242" s="466"/>
      <c r="AM242" s="466"/>
      <c r="AN242" s="781"/>
    </row>
    <row r="243" spans="1:40" x14ac:dyDescent="0.25">
      <c r="B243" s="993" t="s">
        <v>442</v>
      </c>
      <c r="C243" s="401"/>
      <c r="D243" s="993"/>
      <c r="K243" s="509">
        <f t="shared" si="7"/>
        <v>257865</v>
      </c>
      <c r="L243" s="227"/>
      <c r="M243" s="466">
        <f t="shared" si="8"/>
        <v>16013</v>
      </c>
      <c r="N243" s="227"/>
      <c r="O243" s="509">
        <f t="shared" si="9"/>
        <v>273878</v>
      </c>
      <c r="P243" s="227"/>
      <c r="Q243" s="509">
        <f t="shared" si="10"/>
        <v>11804</v>
      </c>
      <c r="R243" s="454"/>
      <c r="S243" s="466">
        <f t="shared" si="11"/>
        <v>285682</v>
      </c>
      <c r="V243" s="466"/>
      <c r="Z243" s="466"/>
      <c r="AA243" s="782"/>
      <c r="AH243" s="454"/>
      <c r="AI243" s="454"/>
      <c r="AJ243" s="466"/>
      <c r="AK243" s="466"/>
      <c r="AL243" s="466"/>
      <c r="AM243" s="466"/>
      <c r="AN243" s="781"/>
    </row>
    <row r="244" spans="1:40" x14ac:dyDescent="0.25">
      <c r="B244" s="993" t="s">
        <v>1033</v>
      </c>
      <c r="C244" s="401"/>
      <c r="D244" s="993"/>
      <c r="K244" s="510">
        <f>S231</f>
        <v>-1736681</v>
      </c>
      <c r="M244" s="994">
        <f>ROUND(K244*$M$235,0)-693</f>
        <v>-108541</v>
      </c>
      <c r="O244" s="510">
        <f t="shared" si="9"/>
        <v>-1845222</v>
      </c>
      <c r="P244" s="227"/>
      <c r="Q244" s="510">
        <f>ROUND(O244*$Q$235,0)-824</f>
        <v>-80353</v>
      </c>
      <c r="R244" s="454"/>
      <c r="S244" s="994">
        <f t="shared" si="11"/>
        <v>-1925575</v>
      </c>
      <c r="T244" s="717"/>
      <c r="V244" s="466"/>
      <c r="Z244" s="466"/>
      <c r="AA244" s="782"/>
      <c r="AH244" s="454"/>
      <c r="AI244" s="454"/>
      <c r="AJ244" s="466"/>
      <c r="AK244" s="466"/>
      <c r="AL244" s="466"/>
      <c r="AM244" s="466"/>
      <c r="AN244" s="781"/>
    </row>
    <row r="245" spans="1:40" x14ac:dyDescent="0.25">
      <c r="B245" s="993"/>
      <c r="C245" s="993"/>
      <c r="D245" s="993"/>
      <c r="V245" s="466"/>
      <c r="Z245" s="466"/>
      <c r="AA245" s="782"/>
      <c r="AH245" s="454"/>
      <c r="AI245" s="454"/>
      <c r="AJ245" s="466"/>
      <c r="AK245" s="466"/>
      <c r="AL245" s="466"/>
      <c r="AM245" s="466"/>
      <c r="AN245" s="781"/>
    </row>
    <row r="246" spans="1:40" ht="16.5" thickBot="1" x14ac:dyDescent="0.3">
      <c r="B246" s="993"/>
      <c r="C246" s="993" t="s">
        <v>27</v>
      </c>
      <c r="D246" s="993"/>
      <c r="K246" s="224">
        <f>+SUM(K238:K244)</f>
        <v>53399136</v>
      </c>
      <c r="M246" s="224">
        <f>+SUM(M238:M244)</f>
        <v>3315394</v>
      </c>
      <c r="O246" s="224">
        <f>+SUM(O238:O244)</f>
        <v>56714530</v>
      </c>
      <c r="Q246" s="224">
        <f>+SUM(Q238:Q244)</f>
        <v>2443573</v>
      </c>
      <c r="S246" s="224">
        <f>+SUM(S238:S244)</f>
        <v>59158103</v>
      </c>
      <c r="V246" s="466"/>
      <c r="Z246" s="466"/>
      <c r="AA246" s="782"/>
      <c r="AH246" s="454"/>
      <c r="AI246" s="454"/>
      <c r="AJ246" s="466"/>
      <c r="AK246" s="466"/>
      <c r="AL246" s="466"/>
      <c r="AM246" s="466"/>
      <c r="AN246" s="781"/>
    </row>
    <row r="247" spans="1:40" ht="16.5" thickTop="1" x14ac:dyDescent="0.25">
      <c r="A247" s="200"/>
      <c r="B247" s="200"/>
      <c r="C247" s="200"/>
      <c r="D247" s="200"/>
      <c r="E247" s="200"/>
      <c r="F247" s="200"/>
      <c r="G247" s="200"/>
      <c r="H247" s="200"/>
      <c r="I247" s="200"/>
      <c r="J247" s="200"/>
      <c r="K247" s="200"/>
      <c r="L247" s="200"/>
      <c r="M247" s="200"/>
      <c r="N247" s="200"/>
      <c r="O247" s="200"/>
      <c r="P247" s="200"/>
      <c r="Q247" s="200"/>
      <c r="R247" s="200"/>
      <c r="S247" s="200"/>
      <c r="T247" s="201"/>
      <c r="V247" s="466"/>
      <c r="Z247" s="466"/>
      <c r="AA247" s="782"/>
      <c r="AH247" s="454"/>
      <c r="AI247" s="454"/>
      <c r="AJ247" s="466"/>
      <c r="AK247" s="466"/>
      <c r="AL247" s="466"/>
      <c r="AM247" s="466"/>
      <c r="AN247" s="781"/>
    </row>
    <row r="248" spans="1:40" x14ac:dyDescent="0.25">
      <c r="A248" s="200"/>
      <c r="B248" s="998" t="str">
        <f>"*  Computed as normalized operating revenues as computed on page "&amp;TEXT(Norm!$A$55,0)&amp;"."</f>
        <v>*  Computed as normalized operating revenues as computed on page 18.</v>
      </c>
      <c r="C248" s="200"/>
      <c r="D248" s="200"/>
      <c r="E248" s="200"/>
      <c r="F248" s="200"/>
      <c r="G248" s="200"/>
      <c r="H248" s="200"/>
      <c r="I248" s="200"/>
      <c r="J248" s="200"/>
      <c r="K248" s="200"/>
      <c r="L248" s="200"/>
      <c r="M248" s="200"/>
      <c r="N248" s="200"/>
      <c r="O248" s="200"/>
      <c r="P248" s="200"/>
      <c r="Q248" s="200"/>
      <c r="R248" s="200"/>
      <c r="S248" s="200"/>
      <c r="T248" s="201"/>
      <c r="V248" s="466"/>
      <c r="Z248" s="466"/>
      <c r="AA248" s="782"/>
      <c r="AH248" s="454"/>
      <c r="AI248" s="454"/>
      <c r="AJ248" s="466"/>
      <c r="AK248" s="466"/>
      <c r="AL248" s="466"/>
      <c r="AM248" s="466"/>
      <c r="AN248" s="781"/>
    </row>
    <row r="249" spans="1:40" x14ac:dyDescent="0.25">
      <c r="B249" s="998" t="s">
        <v>106</v>
      </c>
      <c r="C249" s="998" t="s">
        <v>1084</v>
      </c>
      <c r="V249" s="466"/>
      <c r="Z249" s="466"/>
      <c r="AA249" s="782"/>
      <c r="AH249" s="454"/>
      <c r="AI249" s="454"/>
      <c r="AJ249" s="466"/>
      <c r="AK249" s="466"/>
      <c r="AL249" s="466"/>
      <c r="AM249" s="466"/>
      <c r="AN249" s="781"/>
    </row>
    <row r="250" spans="1:40" x14ac:dyDescent="0.25">
      <c r="C250" s="998" t="s">
        <v>1034</v>
      </c>
      <c r="V250" s="466"/>
      <c r="Z250" s="466"/>
      <c r="AA250" s="782"/>
      <c r="AH250" s="454"/>
      <c r="AI250" s="454"/>
      <c r="AJ250" s="466"/>
      <c r="AK250" s="466"/>
      <c r="AL250" s="466"/>
      <c r="AM250" s="466"/>
      <c r="AN250" s="781"/>
    </row>
    <row r="251" spans="1:40" x14ac:dyDescent="0.25">
      <c r="V251" s="466"/>
      <c r="Z251" s="466"/>
      <c r="AA251" s="782"/>
      <c r="AH251" s="454"/>
      <c r="AI251" s="454"/>
      <c r="AJ251" s="466"/>
      <c r="AK251" s="466"/>
      <c r="AL251" s="466"/>
      <c r="AM251" s="466"/>
      <c r="AN251" s="781"/>
    </row>
    <row r="252" spans="1:40" x14ac:dyDescent="0.25">
      <c r="V252" s="466"/>
      <c r="Z252" s="466"/>
      <c r="AA252" s="782"/>
      <c r="AH252" s="454"/>
      <c r="AI252" s="454"/>
      <c r="AJ252" s="466"/>
      <c r="AK252" s="466"/>
      <c r="AL252" s="466"/>
      <c r="AM252" s="466"/>
      <c r="AN252" s="781"/>
    </row>
    <row r="253" spans="1:40" x14ac:dyDescent="0.25">
      <c r="V253" s="466"/>
      <c r="Z253" s="466"/>
      <c r="AA253" s="782"/>
      <c r="AH253" s="454"/>
      <c r="AI253" s="454"/>
      <c r="AJ253" s="466"/>
      <c r="AK253" s="466"/>
      <c r="AL253" s="466"/>
      <c r="AM253" s="466"/>
      <c r="AN253" s="781"/>
    </row>
    <row r="254" spans="1:40" x14ac:dyDescent="0.25">
      <c r="V254" s="466"/>
      <c r="Z254" s="466"/>
      <c r="AA254" s="782"/>
      <c r="AH254" s="454"/>
      <c r="AI254" s="454"/>
      <c r="AJ254" s="466"/>
      <c r="AK254" s="466"/>
      <c r="AL254" s="466"/>
      <c r="AM254" s="466"/>
      <c r="AN254" s="781"/>
    </row>
    <row r="255" spans="1:40" x14ac:dyDescent="0.25">
      <c r="V255" s="466"/>
      <c r="Z255" s="466"/>
      <c r="AA255" s="782"/>
      <c r="AH255" s="454"/>
      <c r="AI255" s="454"/>
      <c r="AJ255" s="466"/>
      <c r="AK255" s="466"/>
      <c r="AL255" s="466"/>
      <c r="AM255" s="466"/>
      <c r="AN255" s="781"/>
    </row>
    <row r="256" spans="1:40" x14ac:dyDescent="0.25">
      <c r="V256" s="466"/>
      <c r="Z256" s="466"/>
      <c r="AA256" s="782"/>
      <c r="AH256" s="454"/>
      <c r="AI256" s="454"/>
      <c r="AJ256" s="466"/>
      <c r="AK256" s="466"/>
      <c r="AL256" s="466"/>
      <c r="AM256" s="466"/>
      <c r="AN256" s="781"/>
    </row>
    <row r="257" spans="1:40" x14ac:dyDescent="0.25">
      <c r="V257" s="466"/>
      <c r="Z257" s="466"/>
      <c r="AA257" s="782"/>
      <c r="AH257" s="454"/>
      <c r="AI257" s="454"/>
      <c r="AJ257" s="466"/>
      <c r="AK257" s="466"/>
      <c r="AL257" s="466"/>
      <c r="AM257" s="466"/>
      <c r="AN257" s="781"/>
    </row>
    <row r="258" spans="1:40" x14ac:dyDescent="0.25">
      <c r="V258" s="466"/>
      <c r="Z258" s="466"/>
      <c r="AA258" s="782"/>
      <c r="AH258" s="454"/>
      <c r="AI258" s="454"/>
      <c r="AJ258" s="466"/>
      <c r="AK258" s="466"/>
      <c r="AL258" s="466"/>
      <c r="AM258" s="466"/>
      <c r="AN258" s="781"/>
    </row>
    <row r="259" spans="1:40" x14ac:dyDescent="0.25">
      <c r="V259" s="466"/>
      <c r="Z259" s="466"/>
      <c r="AA259" s="782"/>
      <c r="AH259" s="454"/>
      <c r="AI259" s="454"/>
      <c r="AJ259" s="466"/>
      <c r="AK259" s="466"/>
      <c r="AL259" s="466"/>
      <c r="AM259" s="466"/>
      <c r="AN259" s="781"/>
    </row>
    <row r="260" spans="1:40" x14ac:dyDescent="0.25">
      <c r="V260" s="466"/>
      <c r="Z260" s="466"/>
      <c r="AA260" s="782"/>
      <c r="AH260" s="454"/>
      <c r="AI260" s="454"/>
      <c r="AJ260" s="466"/>
      <c r="AK260" s="466"/>
      <c r="AL260" s="466"/>
      <c r="AM260" s="466"/>
      <c r="AN260" s="781"/>
    </row>
    <row r="261" spans="1:40" x14ac:dyDescent="0.25">
      <c r="V261" s="466"/>
      <c r="Z261" s="466"/>
      <c r="AA261" s="782"/>
      <c r="AH261" s="454"/>
      <c r="AI261" s="454"/>
      <c r="AJ261" s="466"/>
      <c r="AK261" s="466"/>
      <c r="AL261" s="466"/>
      <c r="AM261" s="466"/>
      <c r="AN261" s="781"/>
    </row>
    <row r="262" spans="1:40" x14ac:dyDescent="0.25">
      <c r="V262" s="466"/>
      <c r="Z262" s="466"/>
      <c r="AA262" s="782"/>
      <c r="AH262" s="454"/>
      <c r="AI262" s="454"/>
      <c r="AJ262" s="466"/>
      <c r="AK262" s="466"/>
      <c r="AL262" s="466"/>
      <c r="AM262" s="466"/>
      <c r="AN262" s="781"/>
    </row>
    <row r="263" spans="1:40" x14ac:dyDescent="0.25">
      <c r="A263" s="1435" t="str">
        <f>A174</f>
        <v>(See Accountants' Report)</v>
      </c>
      <c r="B263" s="1435"/>
      <c r="C263" s="1435"/>
      <c r="D263" s="1435"/>
      <c r="E263" s="1435"/>
      <c r="F263" s="1435"/>
      <c r="G263" s="1435"/>
      <c r="H263" s="1435"/>
      <c r="I263" s="1435"/>
      <c r="J263" s="1435"/>
      <c r="K263" s="1435"/>
      <c r="L263" s="1435"/>
      <c r="M263" s="1435"/>
      <c r="N263" s="1435"/>
      <c r="O263" s="1435"/>
      <c r="P263" s="1435"/>
      <c r="Q263" s="1435"/>
      <c r="R263" s="1435"/>
      <c r="S263" s="1435"/>
      <c r="T263" s="1276"/>
      <c r="V263" s="466"/>
      <c r="Z263" s="466"/>
      <c r="AA263" s="782"/>
      <c r="AH263" s="454"/>
      <c r="AI263" s="454"/>
      <c r="AJ263" s="466"/>
      <c r="AK263" s="466"/>
      <c r="AL263" s="466"/>
      <c r="AM263" s="466"/>
      <c r="AN263" s="781"/>
    </row>
    <row r="264" spans="1:40" x14ac:dyDescent="0.25">
      <c r="A264" s="993"/>
      <c r="B264" s="993"/>
      <c r="C264" s="993"/>
      <c r="D264" s="993"/>
      <c r="E264" s="993"/>
      <c r="F264" s="993"/>
      <c r="G264" s="993"/>
      <c r="H264" s="993"/>
      <c r="I264" s="993"/>
      <c r="J264" s="993"/>
      <c r="K264" s="993"/>
      <c r="L264" s="993"/>
      <c r="M264" s="993"/>
      <c r="N264" s="993"/>
      <c r="O264" s="993"/>
      <c r="P264" s="993"/>
      <c r="Q264" s="993"/>
      <c r="R264" s="993"/>
      <c r="S264" s="993"/>
      <c r="T264" s="466"/>
      <c r="V264" s="466"/>
      <c r="Z264" s="466"/>
      <c r="AA264" s="782"/>
      <c r="AH264" s="454"/>
      <c r="AI264" s="454"/>
      <c r="AJ264" s="466"/>
      <c r="AK264" s="466"/>
      <c r="AL264" s="466"/>
      <c r="AM264" s="466"/>
      <c r="AN264" s="781"/>
    </row>
    <row r="265" spans="1:40" x14ac:dyDescent="0.25">
      <c r="A265" s="1435">
        <f>A176+1</f>
        <v>29</v>
      </c>
      <c r="B265" s="1435"/>
      <c r="C265" s="1435"/>
      <c r="D265" s="1435"/>
      <c r="E265" s="1435"/>
      <c r="F265" s="1435"/>
      <c r="G265" s="1435"/>
      <c r="H265" s="1435"/>
      <c r="I265" s="1435"/>
      <c r="J265" s="1435"/>
      <c r="K265" s="1435"/>
      <c r="L265" s="1435"/>
      <c r="M265" s="1435"/>
      <c r="N265" s="1435"/>
      <c r="O265" s="1435"/>
      <c r="P265" s="1435"/>
      <c r="Q265" s="1435"/>
      <c r="R265" s="1435"/>
      <c r="S265" s="1435"/>
      <c r="T265" s="1276"/>
      <c r="U265" s="466"/>
      <c r="V265" s="466"/>
      <c r="Z265" s="466"/>
      <c r="AA265" s="782"/>
      <c r="AH265" s="454"/>
      <c r="AI265" s="454"/>
      <c r="AJ265" s="466"/>
      <c r="AK265" s="466"/>
      <c r="AL265" s="466"/>
      <c r="AM265" s="466"/>
      <c r="AN265" s="781"/>
    </row>
    <row r="266" spans="1:40" x14ac:dyDescent="0.25">
      <c r="A266" s="65"/>
      <c r="B266" s="65"/>
      <c r="C266" s="65"/>
      <c r="D266" s="65"/>
      <c r="E266" s="65"/>
      <c r="F266" s="65"/>
      <c r="G266" s="65"/>
      <c r="H266" s="65"/>
      <c r="I266" s="65"/>
      <c r="J266" s="65"/>
      <c r="K266" s="65"/>
      <c r="L266" s="65"/>
      <c r="M266" s="65"/>
      <c r="N266" s="65"/>
      <c r="O266" s="65"/>
      <c r="P266" s="65"/>
      <c r="Q266" s="65"/>
      <c r="R266" s="65"/>
      <c r="S266" s="65"/>
      <c r="T266" s="190"/>
      <c r="Z266" s="466"/>
      <c r="AA266" s="782"/>
      <c r="AE266" s="466"/>
      <c r="AF266" s="466"/>
      <c r="AG266" s="466"/>
      <c r="AH266" s="466"/>
      <c r="AI266" s="466"/>
      <c r="AJ266" s="466"/>
      <c r="AK266" s="466"/>
      <c r="AL266" s="466"/>
      <c r="AM266" s="466"/>
    </row>
    <row r="267" spans="1:40" x14ac:dyDescent="0.25">
      <c r="J267" s="997"/>
      <c r="K267" s="997"/>
      <c r="L267" s="997"/>
      <c r="M267" s="67"/>
      <c r="N267" s="67"/>
      <c r="O267" s="67"/>
      <c r="P267" s="67"/>
      <c r="Q267" s="67"/>
      <c r="R267" s="67"/>
      <c r="S267" s="67"/>
      <c r="T267" s="128"/>
      <c r="U267" s="131"/>
      <c r="V267" s="131"/>
      <c r="Z267" s="466"/>
      <c r="AA267" s="782"/>
      <c r="AE267" s="466"/>
      <c r="AF267" s="466"/>
      <c r="AG267" s="466"/>
      <c r="AH267" s="466"/>
      <c r="AI267" s="466"/>
      <c r="AJ267" s="466"/>
      <c r="AK267" s="466"/>
      <c r="AL267" s="466"/>
      <c r="AM267" s="466"/>
    </row>
    <row r="268" spans="1:40" x14ac:dyDescent="0.25">
      <c r="A268" s="66"/>
      <c r="B268" s="278"/>
      <c r="C268" s="278"/>
      <c r="D268" s="278"/>
      <c r="E268" s="278"/>
      <c r="F268" s="278"/>
      <c r="G268" s="278"/>
      <c r="H268" s="278"/>
      <c r="I268" s="278"/>
      <c r="J268" s="278"/>
      <c r="K268" s="278"/>
      <c r="L268" s="278"/>
      <c r="M268" s="278"/>
      <c r="N268" s="278"/>
      <c r="O268" s="278"/>
      <c r="P268" s="278"/>
      <c r="Q268" s="278"/>
      <c r="R268" s="278"/>
      <c r="S268" s="278"/>
      <c r="T268" s="203"/>
      <c r="U268" s="454"/>
      <c r="V268" s="454"/>
      <c r="Z268" s="466"/>
      <c r="AA268" s="466"/>
      <c r="AE268" s="466"/>
      <c r="AF268" s="466"/>
      <c r="AG268" s="466"/>
      <c r="AH268" s="466"/>
      <c r="AI268" s="466"/>
      <c r="AJ268" s="466"/>
      <c r="AK268" s="466"/>
      <c r="AL268" s="466"/>
      <c r="AM268" s="466"/>
    </row>
    <row r="269" spans="1:40" x14ac:dyDescent="0.25">
      <c r="A269" s="66"/>
      <c r="B269" s="278"/>
      <c r="C269" s="278"/>
      <c r="D269" s="278"/>
      <c r="E269" s="278"/>
      <c r="F269" s="278"/>
      <c r="G269" s="278"/>
      <c r="H269" s="278"/>
      <c r="I269" s="278"/>
      <c r="J269" s="278"/>
      <c r="K269" s="278"/>
      <c r="L269" s="278"/>
      <c r="M269" s="278"/>
      <c r="N269" s="278"/>
      <c r="O269" s="278"/>
      <c r="P269" s="278"/>
      <c r="Q269" s="278"/>
      <c r="R269" s="278"/>
      <c r="S269" s="278"/>
      <c r="T269" s="203"/>
      <c r="Z269" s="466"/>
      <c r="AA269" s="466"/>
      <c r="AE269" s="466"/>
      <c r="AF269" s="466"/>
      <c r="AG269" s="466"/>
      <c r="AH269" s="466"/>
      <c r="AI269" s="466"/>
      <c r="AJ269" s="466"/>
      <c r="AK269" s="466"/>
      <c r="AL269" s="466"/>
      <c r="AM269" s="466"/>
    </row>
    <row r="270" spans="1:40" x14ac:dyDescent="0.25">
      <c r="A270" s="64"/>
      <c r="B270" s="278"/>
      <c r="C270" s="278"/>
      <c r="D270" s="278"/>
      <c r="E270" s="278"/>
      <c r="F270" s="278"/>
      <c r="G270" s="278"/>
      <c r="H270" s="278"/>
      <c r="I270" s="278"/>
      <c r="J270" s="278"/>
      <c r="K270" s="278"/>
      <c r="L270" s="278"/>
      <c r="M270" s="278"/>
      <c r="N270" s="278"/>
      <c r="O270" s="278"/>
      <c r="P270" s="278"/>
      <c r="Q270" s="278"/>
      <c r="R270" s="278"/>
      <c r="S270" s="278"/>
      <c r="T270" s="203"/>
      <c r="X270" s="422"/>
      <c r="Z270" s="466"/>
      <c r="AA270" s="466"/>
      <c r="AE270" s="466"/>
      <c r="AF270" s="466"/>
      <c r="AG270" s="466"/>
      <c r="AH270" s="466"/>
      <c r="AI270" s="466"/>
      <c r="AJ270" s="466"/>
      <c r="AK270" s="466"/>
      <c r="AL270" s="466"/>
      <c r="AM270" s="466"/>
    </row>
    <row r="271" spans="1:40" x14ac:dyDescent="0.25">
      <c r="X271" s="422"/>
    </row>
    <row r="272" spans="1:40" x14ac:dyDescent="0.25">
      <c r="N272" s="1248"/>
      <c r="O272" s="1248"/>
      <c r="P272" s="1248"/>
      <c r="Q272" s="1248"/>
      <c r="R272" s="1248"/>
      <c r="S272" s="1248"/>
      <c r="T272" s="486"/>
    </row>
    <row r="274" spans="14:28" x14ac:dyDescent="0.25">
      <c r="N274" s="69"/>
      <c r="O274" s="69"/>
      <c r="P274" s="69"/>
      <c r="Q274" s="69"/>
      <c r="R274" s="69"/>
      <c r="S274" s="69"/>
      <c r="T274" s="131"/>
      <c r="V274" s="454"/>
      <c r="Y274" s="466"/>
      <c r="Z274" s="341"/>
      <c r="AB274" s="209"/>
    </row>
    <row r="275" spans="14:28" x14ac:dyDescent="0.25">
      <c r="N275" s="454"/>
      <c r="O275" s="454"/>
      <c r="P275" s="454"/>
      <c r="Q275" s="454"/>
      <c r="R275" s="454"/>
      <c r="S275" s="454"/>
      <c r="T275" s="454"/>
      <c r="V275" s="466"/>
      <c r="Y275" s="466"/>
      <c r="Z275" s="256"/>
      <c r="AB275" s="201"/>
    </row>
    <row r="276" spans="14:28" x14ac:dyDescent="0.25">
      <c r="V276" s="466"/>
      <c r="Y276" s="466"/>
      <c r="Z276" s="256"/>
      <c r="AB276" s="201"/>
    </row>
    <row r="277" spans="14:28" x14ac:dyDescent="0.25">
      <c r="N277" s="1246"/>
      <c r="O277" s="1246"/>
      <c r="P277" s="1246"/>
      <c r="Q277" s="1246"/>
      <c r="R277" s="1246"/>
      <c r="S277" s="1246"/>
      <c r="T277" s="208"/>
      <c r="V277" s="466"/>
      <c r="Y277" s="466"/>
      <c r="Z277" s="256"/>
      <c r="AB277" s="201"/>
    </row>
    <row r="278" spans="14:28" x14ac:dyDescent="0.25">
      <c r="N278" s="1249"/>
      <c r="O278" s="1249"/>
      <c r="P278" s="1249"/>
      <c r="Q278" s="1249"/>
      <c r="R278" s="1249"/>
      <c r="S278" s="1249"/>
      <c r="T278" s="1276"/>
      <c r="V278" s="466"/>
      <c r="Y278" s="466"/>
      <c r="Z278" s="341"/>
      <c r="AB278" s="201"/>
    </row>
    <row r="279" spans="14:28" x14ac:dyDescent="0.25">
      <c r="N279" s="1246"/>
      <c r="O279" s="1246"/>
      <c r="P279" s="1246"/>
      <c r="Q279" s="1246"/>
      <c r="R279" s="1246"/>
      <c r="S279" s="1246"/>
      <c r="T279" s="208"/>
      <c r="V279" s="466"/>
      <c r="Y279" s="466"/>
      <c r="Z279" s="341"/>
      <c r="AB279" s="201"/>
    </row>
    <row r="280" spans="14:28" x14ac:dyDescent="0.25">
      <c r="N280" s="507"/>
      <c r="O280" s="507"/>
      <c r="P280" s="507"/>
      <c r="Q280" s="507"/>
      <c r="R280" s="507"/>
      <c r="S280" s="507"/>
      <c r="T280" s="507"/>
      <c r="V280" s="466"/>
      <c r="Z280" s="316"/>
      <c r="AB280" s="201"/>
    </row>
    <row r="281" spans="14:28" x14ac:dyDescent="0.25">
      <c r="N281" s="508"/>
      <c r="O281" s="508"/>
      <c r="P281" s="508"/>
      <c r="Q281" s="508"/>
      <c r="R281" s="508"/>
      <c r="S281" s="508"/>
      <c r="T281" s="1010"/>
      <c r="Z281" s="316"/>
      <c r="AB281" s="201"/>
    </row>
    <row r="282" spans="14:28" x14ac:dyDescent="0.25">
      <c r="N282" s="150"/>
      <c r="O282" s="150"/>
      <c r="P282" s="150"/>
      <c r="Q282" s="150"/>
      <c r="R282" s="150"/>
      <c r="S282" s="150"/>
      <c r="T282" s="509"/>
      <c r="U282" s="454"/>
      <c r="V282" s="454"/>
      <c r="Z282" s="316"/>
      <c r="AB282" s="201"/>
    </row>
    <row r="283" spans="14:28" x14ac:dyDescent="0.25">
      <c r="N283" s="150"/>
      <c r="O283" s="150"/>
      <c r="P283" s="150"/>
      <c r="Q283" s="150"/>
      <c r="R283" s="150"/>
      <c r="S283" s="150"/>
      <c r="T283" s="509"/>
      <c r="U283" s="454"/>
      <c r="V283" s="454"/>
      <c r="Z283" s="172"/>
      <c r="AB283" s="201"/>
    </row>
    <row r="284" spans="14:28" x14ac:dyDescent="0.25">
      <c r="N284" s="150"/>
      <c r="O284" s="150"/>
      <c r="P284" s="150"/>
      <c r="Q284" s="150"/>
      <c r="R284" s="150"/>
      <c r="S284" s="150"/>
      <c r="T284" s="509"/>
      <c r="U284" s="454"/>
      <c r="V284" s="454"/>
    </row>
    <row r="285" spans="14:28" x14ac:dyDescent="0.25">
      <c r="N285" s="150"/>
      <c r="O285" s="150"/>
      <c r="P285" s="150"/>
      <c r="Q285" s="150"/>
      <c r="R285" s="150"/>
      <c r="S285" s="150"/>
      <c r="T285" s="509"/>
      <c r="U285" s="454"/>
      <c r="V285" s="454"/>
    </row>
    <row r="286" spans="14:28" x14ac:dyDescent="0.25">
      <c r="N286" s="150"/>
      <c r="O286" s="150"/>
      <c r="P286" s="150"/>
      <c r="Q286" s="150"/>
      <c r="R286" s="150"/>
      <c r="S286" s="150"/>
      <c r="T286" s="509"/>
      <c r="U286" s="454"/>
      <c r="V286" s="208"/>
      <c r="X286" s="422"/>
    </row>
    <row r="287" spans="14:28" x14ac:dyDescent="0.25">
      <c r="N287" s="509"/>
      <c r="O287" s="509"/>
      <c r="P287" s="509"/>
      <c r="Q287" s="509"/>
      <c r="R287" s="509"/>
      <c r="S287" s="509"/>
      <c r="T287" s="509"/>
      <c r="U287" s="454"/>
      <c r="V287" s="1276"/>
      <c r="Z287" s="466"/>
    </row>
    <row r="288" spans="14:28" x14ac:dyDescent="0.25">
      <c r="N288" s="993"/>
      <c r="O288" s="993"/>
      <c r="P288" s="993"/>
      <c r="Q288" s="993"/>
      <c r="R288" s="993"/>
      <c r="S288" s="993"/>
      <c r="T288" s="466"/>
      <c r="U288" s="454"/>
      <c r="V288" s="208"/>
      <c r="Z288" s="454"/>
    </row>
    <row r="289" spans="14:30" x14ac:dyDescent="0.25">
      <c r="N289" s="454"/>
      <c r="O289" s="454"/>
      <c r="P289" s="454"/>
      <c r="Q289" s="454"/>
      <c r="R289" s="454"/>
      <c r="S289" s="454"/>
      <c r="T289" s="454"/>
      <c r="U289" s="454"/>
      <c r="V289" s="454"/>
      <c r="X289" s="422"/>
    </row>
    <row r="290" spans="14:30" x14ac:dyDescent="0.25">
      <c r="N290" s="454"/>
      <c r="O290" s="454"/>
      <c r="P290" s="454"/>
      <c r="Q290" s="454"/>
      <c r="R290" s="454"/>
      <c r="S290" s="454"/>
      <c r="T290" s="454"/>
      <c r="U290" s="454"/>
      <c r="V290" s="454"/>
    </row>
    <row r="291" spans="14:30" x14ac:dyDescent="0.25">
      <c r="N291" s="454"/>
      <c r="O291" s="454"/>
      <c r="P291" s="454"/>
      <c r="Q291" s="454"/>
      <c r="R291" s="454"/>
      <c r="S291" s="454"/>
      <c r="T291" s="454"/>
      <c r="U291" s="454"/>
      <c r="V291" s="466"/>
      <c r="Z291" s="316"/>
      <c r="AB291" s="454"/>
      <c r="AD291" s="454"/>
    </row>
    <row r="292" spans="14:30" x14ac:dyDescent="0.25">
      <c r="N292" s="454"/>
      <c r="O292" s="454"/>
      <c r="P292" s="454"/>
      <c r="Q292" s="454"/>
      <c r="R292" s="454"/>
      <c r="S292" s="454"/>
      <c r="T292" s="454"/>
      <c r="U292" s="454"/>
      <c r="V292" s="466"/>
      <c r="Z292" s="316"/>
      <c r="AB292" s="454"/>
      <c r="AD292" s="454"/>
    </row>
    <row r="293" spans="14:30" x14ac:dyDescent="0.25">
      <c r="N293" s="1246"/>
      <c r="O293" s="1246"/>
      <c r="P293" s="1246"/>
      <c r="Q293" s="1246"/>
      <c r="R293" s="1246"/>
      <c r="S293" s="1246"/>
      <c r="T293" s="208"/>
      <c r="U293" s="454"/>
      <c r="V293" s="466"/>
      <c r="Z293" s="316"/>
      <c r="AB293" s="454"/>
      <c r="AD293" s="454"/>
    </row>
    <row r="294" spans="14:30" x14ac:dyDescent="0.25">
      <c r="N294" s="1249"/>
      <c r="O294" s="1249"/>
      <c r="P294" s="1249"/>
      <c r="Q294" s="1249"/>
      <c r="R294" s="1249"/>
      <c r="S294" s="1249"/>
      <c r="T294" s="1276"/>
      <c r="U294" s="454"/>
      <c r="V294" s="466"/>
      <c r="Z294" s="466"/>
      <c r="AB294" s="454"/>
      <c r="AD294" s="454"/>
    </row>
    <row r="295" spans="14:30" x14ac:dyDescent="0.25">
      <c r="N295" s="1246"/>
      <c r="O295" s="1246"/>
      <c r="P295" s="1246"/>
      <c r="Q295" s="1246"/>
      <c r="R295" s="1246"/>
      <c r="S295" s="1246"/>
      <c r="T295" s="208"/>
      <c r="U295" s="454"/>
      <c r="V295" s="454"/>
      <c r="Z295" s="466"/>
      <c r="AB295" s="454"/>
    </row>
    <row r="296" spans="14:30" x14ac:dyDescent="0.25">
      <c r="N296" s="454"/>
      <c r="O296" s="454"/>
      <c r="P296" s="454"/>
      <c r="Q296" s="454"/>
      <c r="R296" s="454"/>
      <c r="S296" s="454"/>
      <c r="T296" s="454"/>
      <c r="U296" s="454"/>
      <c r="V296" s="454"/>
      <c r="Z296" s="466"/>
      <c r="AB296" s="454"/>
    </row>
    <row r="297" spans="14:30" x14ac:dyDescent="0.25">
      <c r="N297" s="454"/>
      <c r="O297" s="454"/>
      <c r="P297" s="454"/>
      <c r="Q297" s="454"/>
      <c r="R297" s="454"/>
      <c r="S297" s="454"/>
      <c r="T297" s="454"/>
      <c r="U297" s="454"/>
      <c r="V297" s="454"/>
      <c r="Z297" s="466"/>
      <c r="AB297" s="454"/>
    </row>
    <row r="298" spans="14:30" x14ac:dyDescent="0.25">
      <c r="N298" s="466"/>
      <c r="O298" s="466"/>
      <c r="P298" s="466"/>
      <c r="Q298" s="466"/>
      <c r="R298" s="466"/>
      <c r="S298" s="466"/>
      <c r="T298" s="466"/>
      <c r="U298" s="454"/>
      <c r="V298" s="454"/>
    </row>
    <row r="299" spans="14:30" x14ac:dyDescent="0.25">
      <c r="N299" s="466"/>
      <c r="O299" s="466"/>
      <c r="P299" s="466"/>
      <c r="Q299" s="466"/>
      <c r="R299" s="466"/>
      <c r="S299" s="466"/>
      <c r="T299" s="466"/>
      <c r="U299" s="454"/>
      <c r="V299" s="454"/>
    </row>
    <row r="300" spans="14:30" x14ac:dyDescent="0.25">
      <c r="N300" s="466"/>
      <c r="O300" s="466"/>
      <c r="P300" s="466"/>
      <c r="Q300" s="466"/>
      <c r="R300" s="466"/>
      <c r="S300" s="466"/>
      <c r="T300" s="466"/>
      <c r="U300" s="454"/>
      <c r="V300" s="454"/>
    </row>
    <row r="301" spans="14:30" x14ac:dyDescent="0.25">
      <c r="N301" s="466"/>
      <c r="O301" s="466"/>
      <c r="P301" s="466"/>
      <c r="Q301" s="466"/>
      <c r="R301" s="466"/>
      <c r="S301" s="466"/>
      <c r="T301" s="466"/>
      <c r="U301" s="454"/>
      <c r="V301" s="454"/>
    </row>
    <row r="302" spans="14:30" x14ac:dyDescent="0.25">
      <c r="N302" s="466"/>
      <c r="O302" s="466"/>
      <c r="P302" s="466"/>
      <c r="Q302" s="466"/>
      <c r="R302" s="466"/>
      <c r="S302" s="466"/>
      <c r="T302" s="466"/>
      <c r="U302" s="454"/>
      <c r="V302" s="454"/>
    </row>
    <row r="303" spans="14:30" x14ac:dyDescent="0.25">
      <c r="N303" s="466"/>
      <c r="O303" s="466"/>
      <c r="P303" s="466"/>
      <c r="Q303" s="466"/>
      <c r="R303" s="466"/>
      <c r="S303" s="466"/>
      <c r="T303" s="466"/>
      <c r="U303" s="223"/>
      <c r="V303" s="223"/>
    </row>
    <row r="304" spans="14:30" x14ac:dyDescent="0.25">
      <c r="N304" s="454"/>
      <c r="O304" s="454"/>
      <c r="P304" s="454"/>
      <c r="Q304" s="454"/>
      <c r="R304" s="454"/>
      <c r="S304" s="454"/>
      <c r="T304" s="454"/>
      <c r="U304" s="466"/>
      <c r="V304" s="466"/>
    </row>
    <row r="305" spans="3:22" x14ac:dyDescent="0.25">
      <c r="N305" s="454"/>
      <c r="O305" s="454"/>
      <c r="P305" s="454"/>
      <c r="Q305" s="454"/>
      <c r="R305" s="454"/>
      <c r="S305" s="454"/>
      <c r="T305" s="454"/>
      <c r="U305" s="223"/>
      <c r="V305" s="223"/>
    </row>
    <row r="306" spans="3:22" x14ac:dyDescent="0.25">
      <c r="J306" s="454"/>
      <c r="K306" s="454"/>
      <c r="L306" s="454"/>
      <c r="M306" s="454"/>
      <c r="N306" s="454"/>
      <c r="O306" s="454"/>
      <c r="P306" s="454"/>
      <c r="Q306" s="454"/>
      <c r="R306" s="454"/>
      <c r="S306" s="454"/>
      <c r="T306" s="454"/>
    </row>
    <row r="307" spans="3:22" x14ac:dyDescent="0.25">
      <c r="C307" s="358"/>
      <c r="F307" s="454"/>
      <c r="J307" s="454"/>
      <c r="K307" s="454"/>
      <c r="L307" s="454"/>
      <c r="M307" s="454"/>
      <c r="N307" s="454"/>
      <c r="O307" s="454"/>
      <c r="P307" s="454"/>
      <c r="Q307" s="454"/>
      <c r="R307" s="454"/>
      <c r="S307" s="454"/>
      <c r="T307" s="454"/>
    </row>
    <row r="308" spans="3:22" x14ac:dyDescent="0.25">
      <c r="F308" s="454"/>
      <c r="J308" s="454"/>
      <c r="K308" s="454"/>
      <c r="L308" s="454"/>
      <c r="M308" s="454"/>
      <c r="N308" s="454"/>
      <c r="O308" s="454"/>
      <c r="P308" s="454"/>
      <c r="Q308" s="454"/>
      <c r="R308" s="454"/>
      <c r="S308" s="454"/>
      <c r="T308" s="454"/>
    </row>
    <row r="309" spans="3:22" x14ac:dyDescent="0.25">
      <c r="F309" s="454"/>
      <c r="J309" s="454"/>
      <c r="K309" s="454"/>
      <c r="L309" s="454"/>
      <c r="M309" s="454"/>
      <c r="N309" s="454"/>
      <c r="O309" s="454"/>
      <c r="P309" s="454"/>
      <c r="Q309" s="454"/>
      <c r="R309" s="454"/>
      <c r="S309" s="454"/>
      <c r="T309" s="454"/>
    </row>
    <row r="310" spans="3:22" x14ac:dyDescent="0.25">
      <c r="F310" s="454"/>
      <c r="J310" s="454"/>
      <c r="K310" s="454"/>
      <c r="L310" s="454"/>
      <c r="M310" s="454"/>
      <c r="N310" s="454"/>
      <c r="O310" s="454"/>
      <c r="P310" s="454"/>
      <c r="Q310" s="454"/>
      <c r="R310" s="454"/>
      <c r="S310" s="454"/>
      <c r="T310" s="454"/>
    </row>
    <row r="311" spans="3:22" x14ac:dyDescent="0.25">
      <c r="F311" s="454"/>
      <c r="J311" s="454"/>
      <c r="K311" s="454"/>
      <c r="L311" s="454"/>
      <c r="M311" s="454"/>
      <c r="N311" s="454"/>
      <c r="O311" s="454"/>
      <c r="P311" s="454"/>
      <c r="Q311" s="454"/>
      <c r="R311" s="454"/>
      <c r="S311" s="454"/>
      <c r="T311" s="454"/>
    </row>
    <row r="312" spans="3:22" x14ac:dyDescent="0.25">
      <c r="F312" s="454"/>
      <c r="J312" s="454"/>
      <c r="K312" s="454"/>
      <c r="L312" s="454"/>
      <c r="M312" s="454"/>
      <c r="N312" s="454"/>
      <c r="O312" s="454"/>
      <c r="P312" s="454"/>
      <c r="Q312" s="454"/>
      <c r="R312" s="454"/>
      <c r="S312" s="454"/>
      <c r="T312" s="454"/>
    </row>
    <row r="313" spans="3:22" x14ac:dyDescent="0.25">
      <c r="F313" s="454"/>
      <c r="J313" s="454"/>
      <c r="K313" s="454"/>
      <c r="L313" s="454"/>
      <c r="M313" s="454"/>
      <c r="N313" s="454"/>
      <c r="O313" s="454"/>
      <c r="P313" s="454"/>
      <c r="Q313" s="454"/>
      <c r="R313" s="454"/>
      <c r="S313" s="454"/>
      <c r="T313" s="454"/>
    </row>
    <row r="314" spans="3:22" x14ac:dyDescent="0.25">
      <c r="F314" s="454"/>
      <c r="J314" s="454"/>
      <c r="K314" s="454"/>
      <c r="L314" s="454"/>
      <c r="M314" s="454"/>
      <c r="N314" s="454"/>
      <c r="O314" s="454"/>
      <c r="P314" s="454"/>
      <c r="Q314" s="454"/>
      <c r="R314" s="454"/>
      <c r="S314" s="454"/>
      <c r="T314" s="454"/>
    </row>
    <row r="315" spans="3:22" x14ac:dyDescent="0.25">
      <c r="F315" s="454"/>
      <c r="J315" s="454"/>
      <c r="K315" s="454"/>
      <c r="L315" s="454"/>
      <c r="M315" s="454"/>
      <c r="N315" s="454"/>
      <c r="O315" s="454"/>
      <c r="P315" s="454"/>
      <c r="Q315" s="454"/>
      <c r="R315" s="454"/>
      <c r="S315" s="454"/>
      <c r="T315" s="454"/>
    </row>
    <row r="316" spans="3:22" x14ac:dyDescent="0.25">
      <c r="F316" s="454"/>
      <c r="J316" s="454"/>
      <c r="K316" s="454"/>
      <c r="L316" s="454"/>
      <c r="M316" s="454"/>
      <c r="N316" s="454"/>
      <c r="O316" s="454"/>
      <c r="P316" s="454"/>
      <c r="Q316" s="454"/>
      <c r="R316" s="454"/>
      <c r="S316" s="454"/>
      <c r="T316" s="454"/>
    </row>
    <row r="317" spans="3:22" x14ac:dyDescent="0.25">
      <c r="F317" s="454"/>
      <c r="J317" s="454"/>
      <c r="K317" s="454"/>
      <c r="L317" s="454"/>
      <c r="M317" s="454"/>
      <c r="N317" s="454"/>
      <c r="O317" s="454"/>
      <c r="P317" s="454"/>
      <c r="Q317" s="454"/>
      <c r="R317" s="454"/>
      <c r="S317" s="454"/>
      <c r="T317" s="454"/>
    </row>
    <row r="327" spans="1:20" ht="113.25" customHeight="1" x14ac:dyDescent="0.25"/>
    <row r="328" spans="1:20" x14ac:dyDescent="0.25">
      <c r="A328" s="1435" t="str">
        <f>A263</f>
        <v>(See Accountants' Report)</v>
      </c>
      <c r="B328" s="1435"/>
      <c r="C328" s="1435"/>
      <c r="D328" s="1435"/>
      <c r="E328" s="1435"/>
      <c r="F328" s="1435"/>
      <c r="G328" s="1435"/>
      <c r="H328" s="1435"/>
      <c r="I328" s="1435"/>
      <c r="J328" s="1435"/>
      <c r="K328" s="1435"/>
      <c r="L328" s="1435"/>
      <c r="M328" s="1435"/>
      <c r="N328" s="1244"/>
      <c r="O328" s="1244"/>
      <c r="P328" s="1244"/>
      <c r="Q328" s="1244"/>
      <c r="R328" s="1244"/>
      <c r="S328" s="1244"/>
      <c r="T328" s="1276"/>
    </row>
    <row r="329" spans="1:20" x14ac:dyDescent="0.25">
      <c r="A329" s="1435" t="e">
        <f>#REF!</f>
        <v>#REF!</v>
      </c>
      <c r="B329" s="1435"/>
      <c r="C329" s="1435"/>
      <c r="D329" s="1435"/>
      <c r="E329" s="1435"/>
      <c r="F329" s="1435"/>
      <c r="G329" s="1435"/>
      <c r="H329" s="1435"/>
      <c r="I329" s="1435"/>
      <c r="J329" s="1435"/>
      <c r="K329" s="1435"/>
      <c r="L329" s="1435"/>
      <c r="M329" s="1435"/>
      <c r="N329" s="1244"/>
      <c r="O329" s="1244"/>
      <c r="P329" s="1244"/>
      <c r="Q329" s="1244"/>
      <c r="R329" s="1244"/>
      <c r="S329" s="1244"/>
      <c r="T329" s="1276"/>
    </row>
    <row r="330" spans="1:20" x14ac:dyDescent="0.25">
      <c r="A330" s="993"/>
      <c r="B330" s="993"/>
      <c r="C330" s="993"/>
      <c r="D330" s="993"/>
      <c r="E330" s="993"/>
      <c r="F330" s="993"/>
      <c r="G330" s="993"/>
      <c r="H330" s="993"/>
      <c r="I330" s="993"/>
      <c r="J330" s="993"/>
      <c r="K330" s="993"/>
      <c r="L330" s="993"/>
      <c r="M330" s="993"/>
      <c r="N330" s="993"/>
      <c r="O330" s="993"/>
      <c r="P330" s="993"/>
      <c r="Q330" s="993"/>
      <c r="R330" s="993"/>
      <c r="S330" s="993"/>
      <c r="T330" s="466"/>
    </row>
    <row r="331" spans="1:20" x14ac:dyDescent="0.25">
      <c r="A331" s="1435">
        <f>A265+1</f>
        <v>30</v>
      </c>
      <c r="B331" s="1435"/>
      <c r="C331" s="1435"/>
      <c r="D331" s="1435"/>
      <c r="E331" s="1435"/>
      <c r="F331" s="1435"/>
      <c r="G331" s="1435"/>
      <c r="H331" s="1435"/>
      <c r="I331" s="1435"/>
      <c r="J331" s="1435"/>
      <c r="K331" s="1435"/>
      <c r="L331" s="1435"/>
      <c r="M331" s="1435"/>
      <c r="N331" s="1244"/>
      <c r="O331" s="1244"/>
      <c r="P331" s="1244"/>
      <c r="Q331" s="1244"/>
      <c r="R331" s="1244"/>
      <c r="S331" s="1244"/>
      <c r="T331" s="1276"/>
    </row>
  </sheetData>
  <mergeCells count="45">
    <mergeCell ref="A183:S183"/>
    <mergeCell ref="AD147:AT147"/>
    <mergeCell ref="A124:S124"/>
    <mergeCell ref="A99:S99"/>
    <mergeCell ref="A38:S38"/>
    <mergeCell ref="K107:S107"/>
    <mergeCell ref="K144:S144"/>
    <mergeCell ref="K128:S128"/>
    <mergeCell ref="AD121:AT121"/>
    <mergeCell ref="AD112:AT112"/>
    <mergeCell ref="AD130:AT130"/>
    <mergeCell ref="AD139:AT139"/>
    <mergeCell ref="A11:S11"/>
    <mergeCell ref="A93:S93"/>
    <mergeCell ref="A95:S95"/>
    <mergeCell ref="A96:S96"/>
    <mergeCell ref="A97:S97"/>
    <mergeCell ref="K42:S42"/>
    <mergeCell ref="K15:S15"/>
    <mergeCell ref="K26:S26"/>
    <mergeCell ref="A88:S88"/>
    <mergeCell ref="A90:S90"/>
    <mergeCell ref="A92:S92"/>
    <mergeCell ref="A23:S23"/>
    <mergeCell ref="A1:S1"/>
    <mergeCell ref="A3:S3"/>
    <mergeCell ref="A4:S4"/>
    <mergeCell ref="A5:S5"/>
    <mergeCell ref="A7:S7"/>
    <mergeCell ref="A328:M328"/>
    <mergeCell ref="A329:M329"/>
    <mergeCell ref="A331:M331"/>
    <mergeCell ref="A156:S156"/>
    <mergeCell ref="A177:S177"/>
    <mergeCell ref="A179:S179"/>
    <mergeCell ref="A180:S180"/>
    <mergeCell ref="A181:S181"/>
    <mergeCell ref="A172:S172"/>
    <mergeCell ref="A174:S174"/>
    <mergeCell ref="A176:S176"/>
    <mergeCell ref="A263:S263"/>
    <mergeCell ref="A265:S265"/>
    <mergeCell ref="A204:S204"/>
    <mergeCell ref="A188:S188"/>
    <mergeCell ref="A192:S192"/>
  </mergeCells>
  <printOptions horizontalCentered="1"/>
  <pageMargins left="0.75" right="0.75" top="0.75" bottom="0.5" header="0.5" footer="0.5"/>
  <pageSetup scale="54" orientation="portrait" horizontalDpi="4294967295" verticalDpi="4294967295" r:id="rId1"/>
  <headerFooter alignWithMargins="0"/>
  <rowBreaks count="3" manualBreakCount="3">
    <brk id="92" max="18" man="1"/>
    <brk id="176" max="18" man="1"/>
    <brk id="265" min="1" max="15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/>
  <dimension ref="A1:AQ92"/>
  <sheetViews>
    <sheetView view="pageBreakPreview" zoomScale="60" zoomScaleNormal="100" workbookViewId="0">
      <selection activeCell="AN39" sqref="AN39"/>
    </sheetView>
  </sheetViews>
  <sheetFormatPr defaultColWidth="9.140625" defaultRowHeight="15.75" x14ac:dyDescent="0.25"/>
  <cols>
    <col min="1" max="1" width="4" style="996" bestFit="1" customWidth="1"/>
    <col min="2" max="2" width="9.140625" style="996" customWidth="1"/>
    <col min="3" max="3" width="11.5703125" style="996" bestFit="1" customWidth="1"/>
    <col min="4" max="4" width="1.7109375" style="996" customWidth="1"/>
    <col min="5" max="5" width="11" style="996" customWidth="1"/>
    <col min="6" max="6" width="8.140625" style="996" customWidth="1"/>
    <col min="7" max="7" width="2" style="996" customWidth="1"/>
    <col min="8" max="8" width="11.42578125" style="996" hidden="1" customWidth="1"/>
    <col min="9" max="9" width="1.7109375" style="996" hidden="1" customWidth="1"/>
    <col min="10" max="10" width="8.7109375" style="996" hidden="1" customWidth="1"/>
    <col min="11" max="11" width="1.7109375" style="996" hidden="1" customWidth="1"/>
    <col min="12" max="12" width="10" style="996" hidden="1" customWidth="1"/>
    <col min="13" max="13" width="1.7109375" style="996" hidden="1" customWidth="1"/>
    <col min="14" max="14" width="12.140625" style="996" customWidth="1"/>
    <col min="15" max="15" width="1.7109375" style="425" customWidth="1"/>
    <col min="16" max="16" width="12.140625" style="996" customWidth="1"/>
    <col min="17" max="17" width="2.5703125" style="425" customWidth="1"/>
    <col min="18" max="18" width="12.140625" style="996" customWidth="1"/>
    <col min="19" max="19" width="2.5703125" style="996" customWidth="1"/>
    <col min="20" max="20" width="12.140625" style="996" customWidth="1"/>
    <col min="21" max="21" width="2.5703125" style="996" customWidth="1"/>
    <col min="22" max="22" width="12.140625" style="996" customWidth="1"/>
    <col min="23" max="23" width="2.5703125" style="996" customWidth="1"/>
    <col min="24" max="24" width="12.140625" style="996" customWidth="1"/>
    <col min="25" max="25" width="16.5703125" style="996" bestFit="1" customWidth="1"/>
    <col min="26" max="26" width="11.140625" style="996" customWidth="1"/>
    <col min="27" max="27" width="4" style="996" customWidth="1"/>
    <col min="28" max="28" width="11.140625" style="996" customWidth="1"/>
    <col min="29" max="29" width="4" style="996" customWidth="1"/>
    <col min="30" max="30" width="11.140625" style="996" customWidth="1"/>
    <col min="31" max="31" width="4" style="996" customWidth="1"/>
    <col min="32" max="32" width="11.140625" style="996" customWidth="1"/>
    <col min="33" max="33" width="4" style="996" customWidth="1"/>
    <col min="34" max="34" width="11.140625" style="996" customWidth="1"/>
    <col min="35" max="16384" width="9.140625" style="996"/>
  </cols>
  <sheetData>
    <row r="1" spans="1:34" x14ac:dyDescent="0.25">
      <c r="A1" s="41" t="str">
        <f>INFO!B1</f>
        <v>EVANSVILLE (INDIANA) WATERWORKS DISTRICT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7"/>
      <c r="P1" s="174"/>
      <c r="Q1" s="177"/>
      <c r="R1" s="174"/>
      <c r="S1" s="174"/>
      <c r="T1" s="174"/>
      <c r="U1" s="174"/>
      <c r="V1" s="174"/>
      <c r="W1" s="174"/>
      <c r="X1" s="174"/>
    </row>
    <row r="2" spans="1:34" x14ac:dyDescent="0.25">
      <c r="A2" s="174"/>
      <c r="B2" s="174"/>
      <c r="C2" s="174"/>
      <c r="D2" s="174"/>
      <c r="E2" s="174"/>
      <c r="F2" s="174"/>
      <c r="G2" s="174"/>
      <c r="H2" s="174"/>
      <c r="I2" s="174"/>
      <c r="J2" s="41"/>
      <c r="K2" s="41"/>
      <c r="L2" s="41"/>
      <c r="M2" s="41"/>
      <c r="N2" s="1181"/>
      <c r="O2" s="189"/>
      <c r="P2" s="1181"/>
      <c r="Q2" s="189"/>
      <c r="R2" s="1181"/>
      <c r="S2" s="1181"/>
      <c r="T2" s="174"/>
      <c r="U2" s="174"/>
      <c r="V2" s="174"/>
      <c r="W2" s="174"/>
      <c r="X2" s="174"/>
    </row>
    <row r="3" spans="1:34" x14ac:dyDescent="0.25">
      <c r="A3" s="136" t="s">
        <v>560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7"/>
      <c r="P3" s="174"/>
      <c r="Q3" s="177"/>
      <c r="R3" s="174"/>
      <c r="S3" s="174"/>
      <c r="T3" s="174"/>
      <c r="U3" s="174"/>
      <c r="V3" s="174"/>
      <c r="W3" s="174"/>
      <c r="X3" s="174"/>
    </row>
    <row r="5" spans="1:34" ht="16.5" thickBot="1" x14ac:dyDescent="0.3">
      <c r="A5" s="1104" t="s">
        <v>220</v>
      </c>
      <c r="B5" s="145" t="s">
        <v>185</v>
      </c>
      <c r="J5" s="61" t="s">
        <v>777</v>
      </c>
      <c r="K5" s="172"/>
      <c r="L5" s="61"/>
      <c r="M5" s="61"/>
      <c r="N5" s="61"/>
      <c r="O5" s="61"/>
      <c r="P5" s="134" t="s">
        <v>256</v>
      </c>
      <c r="Q5" s="134"/>
      <c r="R5" s="134"/>
      <c r="S5" s="134"/>
      <c r="T5" s="134"/>
      <c r="U5" s="134"/>
      <c r="V5" s="134"/>
      <c r="W5" s="134"/>
      <c r="X5" s="134"/>
    </row>
    <row r="6" spans="1:34" ht="16.5" thickBot="1" x14ac:dyDescent="0.3">
      <c r="H6" s="1101" t="s">
        <v>181</v>
      </c>
      <c r="J6" s="1101" t="s">
        <v>352</v>
      </c>
      <c r="K6" s="61"/>
      <c r="L6" s="1101" t="s">
        <v>353</v>
      </c>
      <c r="M6" s="61"/>
      <c r="N6" s="1101" t="s">
        <v>181</v>
      </c>
      <c r="O6" s="61"/>
      <c r="P6" s="1101" t="s">
        <v>558</v>
      </c>
      <c r="Q6" s="61"/>
      <c r="R6" s="1101" t="s">
        <v>559</v>
      </c>
      <c r="S6" s="61"/>
      <c r="T6" s="1101" t="s">
        <v>639</v>
      </c>
      <c r="U6" s="61"/>
      <c r="V6" s="1101" t="s">
        <v>903</v>
      </c>
      <c r="W6" s="61"/>
      <c r="X6" s="1101" t="s">
        <v>904</v>
      </c>
      <c r="Z6" s="1182">
        <v>7.4999999999999997E-2</v>
      </c>
      <c r="AA6" s="1183"/>
      <c r="AB6" s="1182">
        <v>7.0300000000000001E-2</v>
      </c>
      <c r="AC6" s="1183"/>
      <c r="AD6" s="1182">
        <v>6.5299999999999997E-2</v>
      </c>
      <c r="AE6" s="1104"/>
      <c r="AF6" s="1182">
        <v>6.2100000000000002E-2</v>
      </c>
      <c r="AG6" s="1104"/>
      <c r="AH6" s="1182">
        <v>4.3099999999999999E-2</v>
      </c>
    </row>
    <row r="7" spans="1:34" x14ac:dyDescent="0.25">
      <c r="B7" s="145" t="s">
        <v>186</v>
      </c>
      <c r="T7" s="61"/>
      <c r="U7" s="61"/>
      <c r="V7" s="61"/>
      <c r="W7" s="61"/>
      <c r="X7" s="61"/>
    </row>
    <row r="8" spans="1:34" x14ac:dyDescent="0.25">
      <c r="B8" s="998" t="s">
        <v>187</v>
      </c>
      <c r="C8" s="996" t="s">
        <v>188</v>
      </c>
      <c r="H8" s="213">
        <v>4.38</v>
      </c>
      <c r="J8" s="213">
        <v>7.52</v>
      </c>
      <c r="K8" s="213"/>
      <c r="L8" s="213">
        <v>8.4700000000000006</v>
      </c>
      <c r="M8" s="213"/>
      <c r="N8" s="213">
        <v>8.94</v>
      </c>
      <c r="O8" s="363"/>
      <c r="P8" s="213">
        <f>ROUND(N8*(1+$Z$6),2)</f>
        <v>9.61</v>
      </c>
      <c r="Q8" s="363"/>
      <c r="R8" s="213">
        <f>ROUND(P8*(1+$AB$6),2)</f>
        <v>10.29</v>
      </c>
      <c r="S8" s="213"/>
      <c r="T8" s="213">
        <f t="shared" ref="T8:T17" si="0">ROUND(R8*(1+$AD$6),2)</f>
        <v>10.96</v>
      </c>
      <c r="U8" s="213"/>
      <c r="V8" s="213">
        <f>ROUND(T8*(1+$AF$6),2)</f>
        <v>11.64</v>
      </c>
      <c r="W8" s="213"/>
      <c r="X8" s="213">
        <f>ROUND(V8*(1+$AH$6),2)</f>
        <v>12.14</v>
      </c>
      <c r="Z8" s="70"/>
      <c r="AA8" s="70"/>
      <c r="AB8" s="70"/>
      <c r="AD8" s="70"/>
      <c r="AF8" s="70"/>
      <c r="AH8" s="70"/>
    </row>
    <row r="9" spans="1:34" x14ac:dyDescent="0.25">
      <c r="B9" s="1112">
        <v>1</v>
      </c>
      <c r="C9" s="996" t="s">
        <v>188</v>
      </c>
      <c r="H9" s="354">
        <v>5.22</v>
      </c>
      <c r="J9" s="354">
        <v>8.9499999999999993</v>
      </c>
      <c r="K9" s="354"/>
      <c r="L9" s="354">
        <v>10.08</v>
      </c>
      <c r="M9" s="354"/>
      <c r="N9" s="354">
        <v>10.64</v>
      </c>
      <c r="O9" s="447"/>
      <c r="P9" s="354">
        <f t="shared" ref="P9:P17" si="1">ROUND(N9*(1+$Z$6),2)</f>
        <v>11.44</v>
      </c>
      <c r="Q9" s="447"/>
      <c r="R9" s="354">
        <f>ROUND(P9*(1+$AB$6),2)</f>
        <v>12.24</v>
      </c>
      <c r="S9" s="354"/>
      <c r="T9" s="354">
        <f t="shared" si="0"/>
        <v>13.04</v>
      </c>
      <c r="U9" s="354"/>
      <c r="V9" s="354">
        <f t="shared" ref="V9:V17" si="2">ROUND(T9*(1+$AF$6),2)</f>
        <v>13.85</v>
      </c>
      <c r="W9" s="354"/>
      <c r="X9" s="354">
        <f t="shared" ref="X9:X17" si="3">ROUND(V9*(1+$AH$6),2)</f>
        <v>14.45</v>
      </c>
      <c r="Z9" s="70"/>
      <c r="AA9" s="70"/>
      <c r="AB9" s="70"/>
      <c r="AD9" s="70"/>
      <c r="AF9" s="70"/>
      <c r="AH9" s="70"/>
    </row>
    <row r="10" spans="1:34" x14ac:dyDescent="0.25">
      <c r="B10" s="127" t="s">
        <v>189</v>
      </c>
      <c r="C10" s="996" t="s">
        <v>188</v>
      </c>
      <c r="H10" s="354">
        <v>5.76</v>
      </c>
      <c r="J10" s="354">
        <v>9.8800000000000008</v>
      </c>
      <c r="K10" s="354"/>
      <c r="L10" s="354">
        <v>11.12</v>
      </c>
      <c r="M10" s="354"/>
      <c r="N10" s="354">
        <v>11.74</v>
      </c>
      <c r="O10" s="447"/>
      <c r="P10" s="354">
        <f t="shared" si="1"/>
        <v>12.62</v>
      </c>
      <c r="Q10" s="447"/>
      <c r="R10" s="354">
        <f t="shared" ref="R10:R17" si="4">ROUND(P10*(1+$AB$6),2)</f>
        <v>13.51</v>
      </c>
      <c r="S10" s="354"/>
      <c r="T10" s="354">
        <f t="shared" si="0"/>
        <v>14.39</v>
      </c>
      <c r="U10" s="354"/>
      <c r="V10" s="354">
        <f t="shared" si="2"/>
        <v>15.28</v>
      </c>
      <c r="W10" s="354"/>
      <c r="X10" s="354">
        <f t="shared" si="3"/>
        <v>15.94</v>
      </c>
      <c r="Z10" s="70"/>
      <c r="AA10" s="70"/>
      <c r="AB10" s="70"/>
      <c r="AD10" s="70"/>
      <c r="AF10" s="70"/>
      <c r="AH10" s="70"/>
    </row>
    <row r="11" spans="1:34" x14ac:dyDescent="0.25">
      <c r="B11" s="1184" t="s">
        <v>190</v>
      </c>
      <c r="C11" s="996" t="s">
        <v>188</v>
      </c>
      <c r="H11" s="354">
        <v>6.16</v>
      </c>
      <c r="J11" s="354">
        <v>10.56</v>
      </c>
      <c r="K11" s="354"/>
      <c r="L11" s="354">
        <v>11.89</v>
      </c>
      <c r="M11" s="354"/>
      <c r="N11" s="354">
        <v>12.55</v>
      </c>
      <c r="O11" s="447"/>
      <c r="P11" s="354">
        <f>ROUND(N11*(1+$Z$6),2)</f>
        <v>13.49</v>
      </c>
      <c r="Q11" s="447"/>
      <c r="R11" s="354">
        <f>ROUND(P11*(1+$AB$6),2)</f>
        <v>14.44</v>
      </c>
      <c r="S11" s="354"/>
      <c r="T11" s="354">
        <f t="shared" si="0"/>
        <v>15.38</v>
      </c>
      <c r="U11" s="354"/>
      <c r="V11" s="354">
        <f t="shared" si="2"/>
        <v>16.34</v>
      </c>
      <c r="W11" s="354"/>
      <c r="X11" s="354">
        <f t="shared" si="3"/>
        <v>17.04</v>
      </c>
      <c r="Z11" s="70"/>
      <c r="AA11" s="70"/>
      <c r="AB11" s="70"/>
      <c r="AD11" s="70"/>
      <c r="AF11" s="70"/>
      <c r="AH11" s="70"/>
    </row>
    <row r="12" spans="1:34" x14ac:dyDescent="0.25">
      <c r="B12" s="1112">
        <v>2</v>
      </c>
      <c r="C12" s="996" t="s">
        <v>188</v>
      </c>
      <c r="H12" s="354">
        <v>8.43</v>
      </c>
      <c r="J12" s="354">
        <v>14.45</v>
      </c>
      <c r="K12" s="354"/>
      <c r="L12" s="354">
        <v>16.27</v>
      </c>
      <c r="M12" s="354"/>
      <c r="N12" s="354">
        <v>17.170000000000002</v>
      </c>
      <c r="O12" s="447"/>
      <c r="P12" s="354">
        <f t="shared" si="1"/>
        <v>18.46</v>
      </c>
      <c r="Q12" s="447"/>
      <c r="R12" s="354">
        <f t="shared" si="4"/>
        <v>19.760000000000002</v>
      </c>
      <c r="S12" s="354"/>
      <c r="T12" s="354">
        <f t="shared" si="0"/>
        <v>21.05</v>
      </c>
      <c r="U12" s="354"/>
      <c r="V12" s="354">
        <f t="shared" si="2"/>
        <v>22.36</v>
      </c>
      <c r="W12" s="354"/>
      <c r="X12" s="354">
        <f t="shared" si="3"/>
        <v>23.32</v>
      </c>
      <c r="Z12" s="70"/>
      <c r="AA12" s="70"/>
      <c r="AB12" s="70"/>
      <c r="AD12" s="70"/>
      <c r="AF12" s="70"/>
      <c r="AH12" s="70"/>
    </row>
    <row r="13" spans="1:34" x14ac:dyDescent="0.25">
      <c r="B13" s="1112">
        <v>3</v>
      </c>
      <c r="C13" s="996" t="s">
        <v>188</v>
      </c>
      <c r="H13" s="354">
        <v>25.6</v>
      </c>
      <c r="J13" s="354">
        <v>43.88</v>
      </c>
      <c r="K13" s="354"/>
      <c r="L13" s="354">
        <v>49.41</v>
      </c>
      <c r="M13" s="354"/>
      <c r="N13" s="354">
        <v>52.15</v>
      </c>
      <c r="O13" s="447"/>
      <c r="P13" s="354">
        <f t="shared" si="1"/>
        <v>56.06</v>
      </c>
      <c r="Q13" s="447"/>
      <c r="R13" s="354">
        <f t="shared" si="4"/>
        <v>60</v>
      </c>
      <c r="S13" s="354"/>
      <c r="T13" s="354">
        <f t="shared" si="0"/>
        <v>63.92</v>
      </c>
      <c r="U13" s="354"/>
      <c r="V13" s="354">
        <f t="shared" si="2"/>
        <v>67.89</v>
      </c>
      <c r="W13" s="354"/>
      <c r="X13" s="354">
        <f t="shared" si="3"/>
        <v>70.819999999999993</v>
      </c>
      <c r="Z13" s="70"/>
      <c r="AA13" s="70"/>
      <c r="AB13" s="70"/>
      <c r="AD13" s="70"/>
      <c r="AF13" s="70"/>
      <c r="AH13" s="70"/>
    </row>
    <row r="14" spans="1:34" x14ac:dyDescent="0.25">
      <c r="B14" s="1112">
        <v>4</v>
      </c>
      <c r="C14" s="996" t="s">
        <v>188</v>
      </c>
      <c r="H14" s="354">
        <v>31.94</v>
      </c>
      <c r="J14" s="354">
        <v>54.75</v>
      </c>
      <c r="K14" s="354"/>
      <c r="L14" s="354">
        <v>61.65</v>
      </c>
      <c r="M14" s="354"/>
      <c r="N14" s="354">
        <v>65.069999999999993</v>
      </c>
      <c r="O14" s="447"/>
      <c r="P14" s="354">
        <f t="shared" si="1"/>
        <v>69.95</v>
      </c>
      <c r="Q14" s="447"/>
      <c r="R14" s="354">
        <f t="shared" si="4"/>
        <v>74.87</v>
      </c>
      <c r="S14" s="354"/>
      <c r="T14" s="354">
        <f t="shared" si="0"/>
        <v>79.760000000000005</v>
      </c>
      <c r="U14" s="354"/>
      <c r="V14" s="354">
        <f t="shared" si="2"/>
        <v>84.71</v>
      </c>
      <c r="W14" s="354"/>
      <c r="X14" s="354">
        <f t="shared" si="3"/>
        <v>88.36</v>
      </c>
      <c r="Z14" s="70"/>
      <c r="AA14" s="70"/>
      <c r="AB14" s="70"/>
      <c r="AD14" s="70"/>
      <c r="AF14" s="70"/>
      <c r="AH14" s="70"/>
    </row>
    <row r="15" spans="1:34" x14ac:dyDescent="0.25">
      <c r="B15" s="1112">
        <v>6</v>
      </c>
      <c r="C15" s="996" t="s">
        <v>188</v>
      </c>
      <c r="H15" s="354">
        <v>46.75</v>
      </c>
      <c r="J15" s="354">
        <v>80.14</v>
      </c>
      <c r="K15" s="354"/>
      <c r="L15" s="354">
        <v>90.24</v>
      </c>
      <c r="M15" s="354"/>
      <c r="N15" s="354">
        <v>95.25</v>
      </c>
      <c r="O15" s="447"/>
      <c r="P15" s="354">
        <f t="shared" si="1"/>
        <v>102.39</v>
      </c>
      <c r="Q15" s="447"/>
      <c r="R15" s="354">
        <f t="shared" si="4"/>
        <v>109.59</v>
      </c>
      <c r="S15" s="354"/>
      <c r="T15" s="354">
        <f t="shared" si="0"/>
        <v>116.75</v>
      </c>
      <c r="U15" s="354"/>
      <c r="V15" s="354">
        <f t="shared" si="2"/>
        <v>124</v>
      </c>
      <c r="W15" s="354"/>
      <c r="X15" s="354">
        <f t="shared" si="3"/>
        <v>129.34</v>
      </c>
      <c r="Z15" s="70"/>
      <c r="AA15" s="70"/>
      <c r="AB15" s="70"/>
      <c r="AD15" s="70"/>
      <c r="AF15" s="70"/>
      <c r="AH15" s="70"/>
    </row>
    <row r="16" spans="1:34" x14ac:dyDescent="0.25">
      <c r="B16" s="1112">
        <v>8</v>
      </c>
      <c r="C16" s="996" t="s">
        <v>188</v>
      </c>
      <c r="H16" s="354">
        <v>63.68</v>
      </c>
      <c r="J16" s="354">
        <v>109.15</v>
      </c>
      <c r="K16" s="354"/>
      <c r="L16" s="354">
        <v>122.9</v>
      </c>
      <c r="M16" s="354"/>
      <c r="N16" s="354">
        <v>129.72</v>
      </c>
      <c r="O16" s="447"/>
      <c r="P16" s="354">
        <f t="shared" si="1"/>
        <v>139.44999999999999</v>
      </c>
      <c r="Q16" s="447"/>
      <c r="R16" s="354">
        <f t="shared" si="4"/>
        <v>149.25</v>
      </c>
      <c r="S16" s="354"/>
      <c r="T16" s="354">
        <f t="shared" si="0"/>
        <v>159</v>
      </c>
      <c r="U16" s="354"/>
      <c r="V16" s="354">
        <f t="shared" si="2"/>
        <v>168.87</v>
      </c>
      <c r="W16" s="354"/>
      <c r="X16" s="354">
        <f t="shared" si="3"/>
        <v>176.15</v>
      </c>
      <c r="Z16" s="70"/>
      <c r="AA16" s="70"/>
      <c r="AB16" s="70"/>
      <c r="AD16" s="70"/>
      <c r="AF16" s="70"/>
      <c r="AH16" s="70"/>
    </row>
    <row r="17" spans="1:34" x14ac:dyDescent="0.25">
      <c r="B17" s="1112">
        <v>10</v>
      </c>
      <c r="C17" s="996" t="s">
        <v>188</v>
      </c>
      <c r="H17" s="354">
        <v>82.69</v>
      </c>
      <c r="J17" s="354">
        <v>141.74</v>
      </c>
      <c r="K17" s="354"/>
      <c r="L17" s="354">
        <v>159.6</v>
      </c>
      <c r="M17" s="354"/>
      <c r="N17" s="354">
        <v>168.46</v>
      </c>
      <c r="O17" s="447"/>
      <c r="P17" s="354">
        <f t="shared" si="1"/>
        <v>181.09</v>
      </c>
      <c r="Q17" s="447"/>
      <c r="R17" s="354">
        <f t="shared" si="4"/>
        <v>193.82</v>
      </c>
      <c r="S17" s="354"/>
      <c r="T17" s="354">
        <f t="shared" si="0"/>
        <v>206.48</v>
      </c>
      <c r="U17" s="354"/>
      <c r="V17" s="354">
        <f t="shared" si="2"/>
        <v>219.3</v>
      </c>
      <c r="W17" s="354"/>
      <c r="X17" s="354">
        <f t="shared" si="3"/>
        <v>228.75</v>
      </c>
      <c r="Z17" s="70"/>
      <c r="AA17" s="70"/>
      <c r="AB17" s="70"/>
      <c r="AD17" s="70"/>
      <c r="AF17" s="70"/>
      <c r="AH17" s="70"/>
    </row>
    <row r="18" spans="1:34" x14ac:dyDescent="0.25">
      <c r="H18" s="61"/>
      <c r="I18" s="61"/>
      <c r="J18" s="61"/>
      <c r="K18" s="61"/>
      <c r="L18" s="61"/>
      <c r="M18" s="61"/>
      <c r="O18" s="61"/>
      <c r="Q18" s="61"/>
      <c r="T18" s="354"/>
      <c r="U18" s="354"/>
      <c r="V18" s="354"/>
      <c r="W18" s="354"/>
      <c r="X18" s="354"/>
      <c r="AD18" s="70"/>
      <c r="AF18" s="70"/>
      <c r="AH18" s="70"/>
    </row>
    <row r="19" spans="1:34" x14ac:dyDescent="0.25">
      <c r="A19" s="1104" t="s">
        <v>221</v>
      </c>
      <c r="B19" s="145" t="s">
        <v>905</v>
      </c>
      <c r="H19" s="61"/>
      <c r="I19" s="1115"/>
      <c r="J19" s="61"/>
      <c r="K19" s="61"/>
      <c r="L19" s="61"/>
      <c r="M19" s="61"/>
      <c r="O19" s="61"/>
      <c r="Q19" s="61"/>
      <c r="T19" s="354"/>
      <c r="U19" s="354"/>
      <c r="V19" s="354"/>
      <c r="W19" s="354"/>
      <c r="X19" s="354"/>
      <c r="AD19" s="70"/>
      <c r="AF19" s="70"/>
      <c r="AH19" s="70"/>
    </row>
    <row r="20" spans="1:34" x14ac:dyDescent="0.25">
      <c r="A20" s="1104"/>
      <c r="B20" s="145" t="s">
        <v>906</v>
      </c>
      <c r="H20" s="61"/>
      <c r="I20" s="1115"/>
      <c r="J20" s="61"/>
      <c r="K20" s="61"/>
      <c r="L20" s="61"/>
      <c r="M20" s="61"/>
      <c r="O20" s="61"/>
      <c r="Q20" s="61"/>
      <c r="T20" s="354"/>
      <c r="U20" s="354"/>
      <c r="V20" s="354"/>
      <c r="W20" s="354"/>
      <c r="X20" s="354"/>
      <c r="AD20" s="70"/>
      <c r="AF20" s="70"/>
      <c r="AH20" s="70"/>
    </row>
    <row r="21" spans="1:34" x14ac:dyDescent="0.25">
      <c r="A21" s="1104"/>
      <c r="B21" s="145"/>
      <c r="H21" s="61"/>
      <c r="I21" s="1115"/>
      <c r="J21" s="61"/>
      <c r="K21" s="61"/>
      <c r="L21" s="61"/>
      <c r="M21" s="61"/>
      <c r="O21" s="61"/>
      <c r="Q21" s="61"/>
      <c r="T21" s="354"/>
      <c r="U21" s="354"/>
      <c r="V21" s="354"/>
      <c r="W21" s="354"/>
      <c r="X21" s="354"/>
      <c r="AD21" s="70"/>
      <c r="AF21" s="70"/>
      <c r="AH21" s="70"/>
    </row>
    <row r="22" spans="1:34" x14ac:dyDescent="0.25">
      <c r="B22" s="145" t="s">
        <v>191</v>
      </c>
      <c r="T22" s="354"/>
      <c r="U22" s="354"/>
      <c r="V22" s="354"/>
      <c r="W22" s="354"/>
      <c r="X22" s="354"/>
      <c r="AD22" s="70"/>
      <c r="AF22" s="70"/>
      <c r="AH22" s="70"/>
    </row>
    <row r="23" spans="1:34" x14ac:dyDescent="0.25">
      <c r="B23" s="996" t="s">
        <v>182</v>
      </c>
      <c r="C23" s="993">
        <v>20000</v>
      </c>
      <c r="E23" s="996" t="s">
        <v>183</v>
      </c>
      <c r="H23" s="213">
        <v>3.04</v>
      </c>
      <c r="J23" s="213">
        <v>5.21</v>
      </c>
      <c r="K23" s="213"/>
      <c r="L23" s="213">
        <v>5.87</v>
      </c>
      <c r="M23" s="213"/>
      <c r="N23" s="213">
        <v>6.2</v>
      </c>
      <c r="O23" s="363"/>
      <c r="P23" s="213">
        <f>ROUND(N23*(1+$Z$6),2)</f>
        <v>6.67</v>
      </c>
      <c r="Q23" s="363"/>
      <c r="R23" s="213">
        <f>ROUND(P23*(1+$AB$6),2)</f>
        <v>7.14</v>
      </c>
      <c r="S23" s="213"/>
      <c r="T23" s="213">
        <f>ROUND(R23*(1+$AD$6),2)</f>
        <v>7.61</v>
      </c>
      <c r="U23" s="213"/>
      <c r="V23" s="213">
        <f>ROUND(T23*(1+$AF$6),2)</f>
        <v>8.08</v>
      </c>
      <c r="W23" s="213"/>
      <c r="X23" s="213">
        <f>ROUND(V23*(1+$AH$6),2)</f>
        <v>8.43</v>
      </c>
      <c r="Y23" s="447"/>
      <c r="Z23" s="70"/>
      <c r="AA23" s="70"/>
      <c r="AB23" s="70"/>
      <c r="AC23" s="447"/>
      <c r="AD23" s="70"/>
      <c r="AF23" s="70"/>
      <c r="AH23" s="70"/>
    </row>
    <row r="24" spans="1:34" x14ac:dyDescent="0.25">
      <c r="B24" s="996" t="s">
        <v>184</v>
      </c>
      <c r="C24" s="993">
        <v>280000</v>
      </c>
      <c r="E24" s="996" t="s">
        <v>183</v>
      </c>
      <c r="H24" s="354">
        <v>2.38</v>
      </c>
      <c r="J24" s="354">
        <v>4.08</v>
      </c>
      <c r="K24" s="354"/>
      <c r="L24" s="354">
        <v>4.59</v>
      </c>
      <c r="M24" s="354"/>
      <c r="N24" s="354">
        <v>4.84</v>
      </c>
      <c r="O24" s="447"/>
      <c r="P24" s="354">
        <f>ROUND(N24*(1+$Z$6),2)</f>
        <v>5.2</v>
      </c>
      <c r="Q24" s="447"/>
      <c r="R24" s="354">
        <f>ROUND(P24*(1+$AB$6),2)</f>
        <v>5.57</v>
      </c>
      <c r="S24" s="354"/>
      <c r="T24" s="354">
        <f t="shared" ref="T24:T27" si="5">ROUND(R24*(1+$AD$6),2)</f>
        <v>5.93</v>
      </c>
      <c r="U24" s="354"/>
      <c r="V24" s="354">
        <f t="shared" ref="V24:V27" si="6">ROUND(T24*(1+$AF$6),2)</f>
        <v>6.3</v>
      </c>
      <c r="W24" s="354"/>
      <c r="X24" s="354">
        <f t="shared" ref="X24:X27" si="7">ROUND(V24*(1+$AH$6),2)</f>
        <v>6.57</v>
      </c>
      <c r="Y24" s="466"/>
      <c r="Z24" s="70"/>
      <c r="AA24" s="70"/>
      <c r="AB24" s="70"/>
      <c r="AD24" s="70"/>
      <c r="AF24" s="70"/>
      <c r="AH24" s="70"/>
    </row>
    <row r="25" spans="1:34" x14ac:dyDescent="0.25">
      <c r="B25" s="996" t="s">
        <v>184</v>
      </c>
      <c r="C25" s="993">
        <v>700000</v>
      </c>
      <c r="E25" s="996" t="s">
        <v>183</v>
      </c>
      <c r="H25" s="354">
        <v>2.15</v>
      </c>
      <c r="J25" s="354">
        <v>3.68</v>
      </c>
      <c r="K25" s="354"/>
      <c r="L25" s="354">
        <v>4.1399999999999997</v>
      </c>
      <c r="M25" s="354"/>
      <c r="N25" s="354">
        <v>4.37</v>
      </c>
      <c r="O25" s="447"/>
      <c r="P25" s="354">
        <f t="shared" ref="P25:P27" si="8">ROUND(N25*(1+$Z$6),2)</f>
        <v>4.7</v>
      </c>
      <c r="Q25" s="447"/>
      <c r="R25" s="354">
        <f t="shared" ref="R25:R27" si="9">ROUND(P25*(1+$AB$6),2)</f>
        <v>5.03</v>
      </c>
      <c r="S25" s="354"/>
      <c r="T25" s="354">
        <f t="shared" si="5"/>
        <v>5.36</v>
      </c>
      <c r="U25" s="354"/>
      <c r="V25" s="354">
        <f t="shared" si="6"/>
        <v>5.69</v>
      </c>
      <c r="W25" s="354"/>
      <c r="X25" s="354">
        <f t="shared" si="7"/>
        <v>5.94</v>
      </c>
      <c r="Y25" s="447"/>
      <c r="Z25" s="70"/>
      <c r="AA25" s="70"/>
      <c r="AB25" s="70"/>
      <c r="AD25" s="70"/>
      <c r="AF25" s="70"/>
      <c r="AH25" s="70"/>
    </row>
    <row r="26" spans="1:34" x14ac:dyDescent="0.25">
      <c r="B26" s="996" t="s">
        <v>184</v>
      </c>
      <c r="C26" s="993">
        <v>2000000</v>
      </c>
      <c r="E26" s="996" t="s">
        <v>183</v>
      </c>
      <c r="H26" s="354">
        <v>1.89</v>
      </c>
      <c r="J26" s="354">
        <v>3.24</v>
      </c>
      <c r="K26" s="354"/>
      <c r="L26" s="354">
        <v>3.65</v>
      </c>
      <c r="M26" s="354"/>
      <c r="N26" s="354">
        <v>3.85</v>
      </c>
      <c r="O26" s="447"/>
      <c r="P26" s="354">
        <f t="shared" si="8"/>
        <v>4.1399999999999997</v>
      </c>
      <c r="Q26" s="447"/>
      <c r="R26" s="354">
        <f t="shared" si="9"/>
        <v>4.43</v>
      </c>
      <c r="S26" s="354"/>
      <c r="T26" s="354">
        <f t="shared" si="5"/>
        <v>4.72</v>
      </c>
      <c r="U26" s="354"/>
      <c r="V26" s="354">
        <f t="shared" si="6"/>
        <v>5.01</v>
      </c>
      <c r="W26" s="354"/>
      <c r="X26" s="354">
        <f t="shared" si="7"/>
        <v>5.23</v>
      </c>
      <c r="Y26" s="425"/>
      <c r="Z26" s="70"/>
      <c r="AA26" s="70"/>
      <c r="AB26" s="70"/>
      <c r="AD26" s="70"/>
      <c r="AF26" s="70"/>
      <c r="AH26" s="70"/>
    </row>
    <row r="27" spans="1:34" x14ac:dyDescent="0.25">
      <c r="B27" s="996" t="s">
        <v>192</v>
      </c>
      <c r="C27" s="993">
        <v>3000000</v>
      </c>
      <c r="E27" s="996" t="s">
        <v>183</v>
      </c>
      <c r="H27" s="354">
        <v>1.43</v>
      </c>
      <c r="J27" s="354">
        <v>2.4500000000000002</v>
      </c>
      <c r="K27" s="354"/>
      <c r="L27" s="354">
        <v>2.76</v>
      </c>
      <c r="M27" s="354"/>
      <c r="N27" s="354">
        <v>2.91</v>
      </c>
      <c r="O27" s="447"/>
      <c r="P27" s="354">
        <f t="shared" si="8"/>
        <v>3.13</v>
      </c>
      <c r="Q27" s="447"/>
      <c r="R27" s="354">
        <f t="shared" si="9"/>
        <v>3.35</v>
      </c>
      <c r="S27" s="354"/>
      <c r="T27" s="354">
        <f t="shared" si="5"/>
        <v>3.57</v>
      </c>
      <c r="U27" s="354"/>
      <c r="V27" s="354">
        <f t="shared" si="6"/>
        <v>3.79</v>
      </c>
      <c r="W27" s="354"/>
      <c r="X27" s="354">
        <f t="shared" si="7"/>
        <v>3.95</v>
      </c>
      <c r="Y27" s="447"/>
      <c r="Z27" s="70"/>
      <c r="AA27" s="70"/>
      <c r="AB27" s="70"/>
      <c r="AD27" s="70"/>
      <c r="AF27" s="70"/>
      <c r="AH27" s="70"/>
    </row>
    <row r="28" spans="1:34" x14ac:dyDescent="0.25">
      <c r="R28" s="354"/>
      <c r="S28" s="354"/>
      <c r="T28" s="354"/>
      <c r="U28" s="354"/>
      <c r="V28" s="354"/>
      <c r="W28" s="354"/>
      <c r="X28" s="354"/>
      <c r="Y28" s="466"/>
      <c r="Z28" s="425"/>
      <c r="AD28" s="70"/>
      <c r="AF28" s="70"/>
      <c r="AH28" s="70"/>
    </row>
    <row r="29" spans="1:34" x14ac:dyDescent="0.25">
      <c r="A29" s="170" t="s">
        <v>218</v>
      </c>
      <c r="B29" s="145" t="s">
        <v>430</v>
      </c>
      <c r="T29" s="354"/>
      <c r="U29" s="354"/>
      <c r="V29" s="354"/>
      <c r="W29" s="354"/>
      <c r="X29" s="354"/>
      <c r="Y29" s="425"/>
      <c r="Z29" s="425"/>
      <c r="AD29" s="70"/>
      <c r="AF29" s="70"/>
      <c r="AH29" s="70"/>
    </row>
    <row r="30" spans="1:34" x14ac:dyDescent="0.25">
      <c r="T30" s="354"/>
      <c r="U30" s="354"/>
      <c r="V30" s="354"/>
      <c r="W30" s="354"/>
      <c r="X30" s="354"/>
      <c r="Y30" s="466"/>
      <c r="Z30" s="363"/>
      <c r="AD30" s="70"/>
      <c r="AF30" s="70"/>
      <c r="AH30" s="70"/>
    </row>
    <row r="31" spans="1:34" x14ac:dyDescent="0.25">
      <c r="B31" s="485" t="s">
        <v>431</v>
      </c>
      <c r="T31" s="354"/>
      <c r="U31" s="354"/>
      <c r="V31" s="354"/>
      <c r="W31" s="354"/>
      <c r="X31" s="354"/>
      <c r="Y31" s="466"/>
      <c r="Z31" s="447"/>
      <c r="AD31" s="70"/>
      <c r="AF31" s="70"/>
      <c r="AH31" s="70"/>
    </row>
    <row r="32" spans="1:34" x14ac:dyDescent="0.25">
      <c r="T32" s="354"/>
      <c r="U32" s="354"/>
      <c r="V32" s="354"/>
      <c r="W32" s="354"/>
      <c r="X32" s="354"/>
      <c r="Y32" s="466"/>
      <c r="Z32" s="447"/>
      <c r="AD32" s="70"/>
      <c r="AF32" s="70"/>
      <c r="AH32" s="70"/>
    </row>
    <row r="33" spans="1:34" x14ac:dyDescent="0.25">
      <c r="B33" s="109" t="s">
        <v>2</v>
      </c>
      <c r="C33" s="996" t="s">
        <v>188</v>
      </c>
      <c r="H33" s="213">
        <v>2.4300000000000002</v>
      </c>
      <c r="J33" s="213">
        <v>4.3600000000000003</v>
      </c>
      <c r="K33" s="213"/>
      <c r="L33" s="213">
        <v>4.91</v>
      </c>
      <c r="M33" s="213"/>
      <c r="N33" s="213">
        <v>5.18</v>
      </c>
      <c r="O33" s="363"/>
      <c r="P33" s="213">
        <f>ROUND(N33*(1+$Z$6),2)</f>
        <v>5.57</v>
      </c>
      <c r="Q33" s="363"/>
      <c r="R33" s="213">
        <f>ROUND(P33*(1+$AB$6),2)</f>
        <v>5.96</v>
      </c>
      <c r="S33" s="213"/>
      <c r="T33" s="213">
        <f>ROUND(R33*(1+$AD$6),2)</f>
        <v>6.35</v>
      </c>
      <c r="U33" s="213"/>
      <c r="V33" s="213">
        <f>ROUND(T33*(1+$AF$6),2)</f>
        <v>6.74</v>
      </c>
      <c r="W33" s="213"/>
      <c r="X33" s="213">
        <f>ROUND(V33*(1+$AH$6),2)</f>
        <v>7.03</v>
      </c>
      <c r="Y33" s="466"/>
      <c r="Z33" s="70"/>
      <c r="AA33" s="70"/>
      <c r="AB33" s="70"/>
      <c r="AD33" s="70"/>
      <c r="AF33" s="70"/>
      <c r="AH33" s="70"/>
    </row>
    <row r="34" spans="1:34" x14ac:dyDescent="0.25">
      <c r="B34" s="1112">
        <v>1</v>
      </c>
      <c r="C34" s="996" t="s">
        <v>188</v>
      </c>
      <c r="H34" s="354">
        <v>4.33</v>
      </c>
      <c r="J34" s="354">
        <v>10.9</v>
      </c>
      <c r="K34" s="354"/>
      <c r="L34" s="354">
        <v>12.27</v>
      </c>
      <c r="M34" s="354"/>
      <c r="N34" s="354">
        <v>12.95</v>
      </c>
      <c r="O34" s="447"/>
      <c r="P34" s="354">
        <f>ROUND(N34*(1+$Z$6),2)</f>
        <v>13.92</v>
      </c>
      <c r="Q34" s="447"/>
      <c r="R34" s="354">
        <f>ROUND(P34*(1+$AB$6),2)</f>
        <v>14.9</v>
      </c>
      <c r="S34" s="354"/>
      <c r="T34" s="354">
        <f t="shared" ref="T34:T39" si="10">ROUND(R34*(1+$AD$6),2)</f>
        <v>15.87</v>
      </c>
      <c r="U34" s="354"/>
      <c r="V34" s="354">
        <f>ROUND(T34*(1+$AF$6),2)</f>
        <v>16.86</v>
      </c>
      <c r="W34" s="354"/>
      <c r="X34" s="354">
        <f>ROUND(V34*(1+$AH$6),2)</f>
        <v>17.59</v>
      </c>
      <c r="Y34" s="425"/>
      <c r="Z34" s="70"/>
      <c r="AA34" s="70"/>
      <c r="AB34" s="70"/>
      <c r="AD34" s="70"/>
      <c r="AF34" s="70"/>
      <c r="AH34" s="70"/>
    </row>
    <row r="35" spans="1:34" x14ac:dyDescent="0.25">
      <c r="B35" s="1184" t="s">
        <v>190</v>
      </c>
      <c r="C35" s="996" t="s">
        <v>188</v>
      </c>
      <c r="H35" s="354">
        <v>7.05</v>
      </c>
      <c r="J35" s="354">
        <v>21.81</v>
      </c>
      <c r="K35" s="354"/>
      <c r="L35" s="354">
        <v>24.56</v>
      </c>
      <c r="M35" s="354"/>
      <c r="N35" s="354">
        <v>25.92</v>
      </c>
      <c r="O35" s="447"/>
      <c r="P35" s="354">
        <f>ROUND(N35*(1+$Z$6),2)</f>
        <v>27.86</v>
      </c>
      <c r="Q35" s="447"/>
      <c r="R35" s="354">
        <f t="shared" ref="R35:R39" si="11">ROUND(P35*(1+$AB$6),2)</f>
        <v>29.82</v>
      </c>
      <c r="S35" s="354"/>
      <c r="T35" s="354">
        <f t="shared" si="10"/>
        <v>31.77</v>
      </c>
      <c r="U35" s="354"/>
      <c r="V35" s="354">
        <f t="shared" ref="V35:V39" si="12">ROUND(T35*(1+$AF$6),2)</f>
        <v>33.74</v>
      </c>
      <c r="W35" s="354"/>
      <c r="X35" s="354">
        <f t="shared" ref="X35:X39" si="13">ROUND(V35*(1+$AH$6),2)</f>
        <v>35.19</v>
      </c>
      <c r="Y35" s="466"/>
      <c r="Z35" s="70"/>
      <c r="AA35" s="70"/>
      <c r="AB35" s="70"/>
      <c r="AD35" s="70"/>
      <c r="AF35" s="70"/>
      <c r="AH35" s="70"/>
    </row>
    <row r="36" spans="1:34" x14ac:dyDescent="0.25">
      <c r="B36" s="1112">
        <v>2</v>
      </c>
      <c r="C36" s="996" t="s">
        <v>188</v>
      </c>
      <c r="H36" s="354">
        <v>11.32</v>
      </c>
      <c r="J36" s="354">
        <v>34.89</v>
      </c>
      <c r="K36" s="354"/>
      <c r="L36" s="354">
        <v>39.29</v>
      </c>
      <c r="M36" s="354"/>
      <c r="N36" s="354">
        <v>41.47</v>
      </c>
      <c r="O36" s="447"/>
      <c r="P36" s="354">
        <f t="shared" ref="P36:P39" si="14">ROUND(N36*(1+$Z$6),2)</f>
        <v>44.58</v>
      </c>
      <c r="Q36" s="447"/>
      <c r="R36" s="354">
        <f t="shared" si="11"/>
        <v>47.71</v>
      </c>
      <c r="S36" s="354"/>
      <c r="T36" s="354">
        <f t="shared" si="10"/>
        <v>50.83</v>
      </c>
      <c r="U36" s="354"/>
      <c r="V36" s="354">
        <f t="shared" si="12"/>
        <v>53.99</v>
      </c>
      <c r="W36" s="354"/>
      <c r="X36" s="354">
        <f t="shared" si="13"/>
        <v>56.32</v>
      </c>
      <c r="Y36" s="466"/>
      <c r="Z36" s="70"/>
      <c r="AA36" s="70"/>
      <c r="AB36" s="70"/>
      <c r="AD36" s="70"/>
      <c r="AF36" s="70"/>
      <c r="AH36" s="70"/>
    </row>
    <row r="37" spans="1:34" x14ac:dyDescent="0.25">
      <c r="B37" s="1112">
        <v>3</v>
      </c>
      <c r="C37" s="996" t="s">
        <v>188</v>
      </c>
      <c r="H37" s="354">
        <v>30.14</v>
      </c>
      <c r="J37" s="354">
        <v>65.430000000000007</v>
      </c>
      <c r="K37" s="354"/>
      <c r="L37" s="354">
        <v>73.67</v>
      </c>
      <c r="M37" s="354"/>
      <c r="N37" s="354">
        <v>77.760000000000005</v>
      </c>
      <c r="O37" s="447"/>
      <c r="P37" s="354">
        <f t="shared" si="14"/>
        <v>83.59</v>
      </c>
      <c r="Q37" s="447"/>
      <c r="R37" s="354">
        <f t="shared" si="11"/>
        <v>89.47</v>
      </c>
      <c r="S37" s="354"/>
      <c r="T37" s="354">
        <f t="shared" si="10"/>
        <v>95.31</v>
      </c>
      <c r="U37" s="354"/>
      <c r="V37" s="354">
        <f t="shared" si="12"/>
        <v>101.23</v>
      </c>
      <c r="W37" s="354"/>
      <c r="X37" s="354">
        <f t="shared" si="13"/>
        <v>105.59</v>
      </c>
      <c r="Y37" s="425"/>
      <c r="Z37" s="70"/>
      <c r="AA37" s="70"/>
      <c r="AB37" s="70"/>
      <c r="AD37" s="70"/>
      <c r="AF37" s="70"/>
      <c r="AH37" s="70"/>
    </row>
    <row r="38" spans="1:34" x14ac:dyDescent="0.25">
      <c r="B38" s="1112">
        <v>4</v>
      </c>
      <c r="C38" s="996" t="s">
        <v>188</v>
      </c>
      <c r="H38" s="354">
        <v>43.27</v>
      </c>
      <c r="J38" s="354">
        <v>109.03</v>
      </c>
      <c r="K38" s="354"/>
      <c r="L38" s="354">
        <v>122.77</v>
      </c>
      <c r="M38" s="354"/>
      <c r="N38" s="354">
        <v>129.58000000000001</v>
      </c>
      <c r="O38" s="447"/>
      <c r="P38" s="354">
        <f t="shared" si="14"/>
        <v>139.30000000000001</v>
      </c>
      <c r="Q38" s="447"/>
      <c r="R38" s="354">
        <f t="shared" si="11"/>
        <v>149.09</v>
      </c>
      <c r="S38" s="354"/>
      <c r="T38" s="354">
        <f t="shared" si="10"/>
        <v>158.83000000000001</v>
      </c>
      <c r="U38" s="354"/>
      <c r="V38" s="354">
        <f t="shared" si="12"/>
        <v>168.69</v>
      </c>
      <c r="W38" s="354"/>
      <c r="X38" s="354">
        <f t="shared" si="13"/>
        <v>175.96</v>
      </c>
      <c r="Y38" s="425"/>
      <c r="Z38" s="70"/>
      <c r="AA38" s="70"/>
      <c r="AB38" s="70"/>
      <c r="AD38" s="70"/>
      <c r="AF38" s="70"/>
      <c r="AH38" s="70"/>
    </row>
    <row r="39" spans="1:34" x14ac:dyDescent="0.25">
      <c r="B39" s="1112">
        <v>6</v>
      </c>
      <c r="C39" s="996" t="s">
        <v>188</v>
      </c>
      <c r="H39" s="354">
        <v>75.3</v>
      </c>
      <c r="J39" s="354">
        <v>218.08</v>
      </c>
      <c r="K39" s="354"/>
      <c r="L39" s="354">
        <v>245.56</v>
      </c>
      <c r="M39" s="354"/>
      <c r="N39" s="354">
        <v>259.19</v>
      </c>
      <c r="O39" s="447"/>
      <c r="P39" s="354">
        <f t="shared" si="14"/>
        <v>278.63</v>
      </c>
      <c r="Q39" s="447"/>
      <c r="R39" s="354">
        <f t="shared" si="11"/>
        <v>298.22000000000003</v>
      </c>
      <c r="S39" s="354"/>
      <c r="T39" s="354">
        <f t="shared" si="10"/>
        <v>317.69</v>
      </c>
      <c r="U39" s="354"/>
      <c r="V39" s="354">
        <f t="shared" si="12"/>
        <v>337.42</v>
      </c>
      <c r="W39" s="354"/>
      <c r="X39" s="354">
        <f t="shared" si="13"/>
        <v>351.96</v>
      </c>
      <c r="Y39" s="466"/>
      <c r="Z39" s="70"/>
      <c r="AA39" s="70"/>
      <c r="AB39" s="70"/>
      <c r="AD39" s="70"/>
      <c r="AF39" s="70"/>
      <c r="AH39" s="70"/>
    </row>
    <row r="40" spans="1:34" x14ac:dyDescent="0.25">
      <c r="B40" s="1112"/>
      <c r="H40" s="354"/>
      <c r="J40" s="354"/>
      <c r="K40" s="354"/>
      <c r="L40" s="354"/>
      <c r="M40" s="354"/>
      <c r="N40" s="354"/>
      <c r="O40" s="447"/>
      <c r="P40" s="354"/>
      <c r="Q40" s="447"/>
      <c r="R40" s="354"/>
      <c r="S40" s="354"/>
      <c r="Y40" s="466"/>
      <c r="Z40" s="70"/>
      <c r="AA40" s="70"/>
      <c r="AB40" s="70"/>
    </row>
    <row r="41" spans="1:34" x14ac:dyDescent="0.25">
      <c r="B41" s="710"/>
      <c r="H41" s="354"/>
      <c r="J41" s="354"/>
      <c r="K41" s="354"/>
      <c r="L41" s="354"/>
      <c r="M41" s="354"/>
      <c r="N41" s="354"/>
      <c r="O41" s="447"/>
      <c r="P41" s="354"/>
      <c r="Q41" s="447"/>
      <c r="R41" s="354"/>
      <c r="S41" s="354"/>
    </row>
    <row r="42" spans="1:34" ht="15.75" customHeight="1" x14ac:dyDescent="0.25"/>
    <row r="43" spans="1:34" ht="15.75" customHeight="1" x14ac:dyDescent="0.25"/>
    <row r="44" spans="1:34" x14ac:dyDescent="0.25">
      <c r="A44" s="1110">
        <v>-1</v>
      </c>
      <c r="B44" s="996" t="s">
        <v>779</v>
      </c>
    </row>
    <row r="45" spans="1:34" x14ac:dyDescent="0.25">
      <c r="B45" s="996" t="s">
        <v>780</v>
      </c>
    </row>
    <row r="46" spans="1:34" x14ac:dyDescent="0.25">
      <c r="A46" s="1110">
        <v>-2</v>
      </c>
      <c r="B46" s="996" t="str">
        <f>"Phase I rates and charges represent a "&amp;TEXT($Z$6*100,"0.00")&amp;"% across-the-board rate increase in present rates and charges"</f>
        <v>Phase I rates and charges represent a 7.50% across-the-board rate increase in present rates and charges</v>
      </c>
    </row>
    <row r="47" spans="1:34" x14ac:dyDescent="0.25">
      <c r="A47" s="1110"/>
      <c r="B47" s="996" t="s">
        <v>569</v>
      </c>
    </row>
    <row r="48" spans="1:34" x14ac:dyDescent="0.25">
      <c r="A48" s="1110">
        <v>-3</v>
      </c>
      <c r="B48" s="996" t="str">
        <f>"Phase II rates and charges represent a "&amp;TEXT($AB$6*100,"0.00")&amp;"% across-the-board rate increase in Phase I rates and charges"</f>
        <v>Phase II rates and charges represent a 7.03% across-the-board rate increase in Phase I rates and charges</v>
      </c>
    </row>
    <row r="49" spans="1:24" x14ac:dyDescent="0.25">
      <c r="A49" s="1110"/>
      <c r="B49" s="996" t="s">
        <v>1094</v>
      </c>
    </row>
    <row r="50" spans="1:24" x14ac:dyDescent="0.25">
      <c r="A50" s="1110">
        <v>-4</v>
      </c>
      <c r="B50" s="996" t="str">
        <f>"Phase III rates and charges represent a "&amp;TEXT($AD$6*100,"0.00")&amp;"% across-the-board rate increase in Phase II rates and charges"</f>
        <v>Phase III rates and charges represent a 6.53% across-the-board rate increase in Phase II rates and charges</v>
      </c>
    </row>
    <row r="51" spans="1:24" x14ac:dyDescent="0.25">
      <c r="A51" s="1110"/>
      <c r="B51" s="996" t="s">
        <v>1095</v>
      </c>
    </row>
    <row r="52" spans="1:24" x14ac:dyDescent="0.25">
      <c r="A52" s="1110">
        <v>-5</v>
      </c>
      <c r="B52" s="996" t="str">
        <f>"Phase IV rates and charges represent a "&amp;TEXT($AF$6*100,"0.00")&amp;"% across-the-board rate increase in Phase II rates and charges"</f>
        <v>Phase IV rates and charges represent a 6.21% across-the-board rate increase in Phase II rates and charges</v>
      </c>
    </row>
    <row r="53" spans="1:24" x14ac:dyDescent="0.25">
      <c r="B53" s="996" t="s">
        <v>1096</v>
      </c>
    </row>
    <row r="54" spans="1:24" x14ac:dyDescent="0.25">
      <c r="A54" s="183" t="s">
        <v>217</v>
      </c>
      <c r="B54" s="996" t="str">
        <f>"Phase V rates and charges represent a "&amp;TEXT($AH$6*100,"0.00")&amp;"% across-the-board rate increase in Phase II rates and charges"</f>
        <v>Phase V rates and charges represent a 4.31% across-the-board rate increase in Phase II rates and charges</v>
      </c>
    </row>
    <row r="55" spans="1:24" x14ac:dyDescent="0.25">
      <c r="A55" s="1110"/>
      <c r="B55" s="996" t="s">
        <v>1097</v>
      </c>
    </row>
    <row r="56" spans="1:24" x14ac:dyDescent="0.25">
      <c r="B56" s="174"/>
      <c r="C56" s="174"/>
      <c r="D56" s="174"/>
      <c r="E56" s="174"/>
      <c r="F56" s="174"/>
      <c r="G56" s="174"/>
      <c r="H56" s="174"/>
      <c r="I56" s="174"/>
      <c r="J56" s="174"/>
      <c r="K56" s="174"/>
      <c r="L56" s="174"/>
      <c r="M56" s="174"/>
      <c r="N56" s="174"/>
      <c r="O56" s="177"/>
      <c r="P56" s="174"/>
      <c r="Q56" s="177"/>
      <c r="R56" s="174"/>
      <c r="S56" s="174"/>
      <c r="T56" s="174"/>
      <c r="U56" s="174"/>
      <c r="V56" s="174"/>
      <c r="W56" s="174"/>
      <c r="X56" s="174"/>
    </row>
    <row r="57" spans="1:24" x14ac:dyDescent="0.25"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7"/>
      <c r="P57" s="174"/>
      <c r="Q57" s="177"/>
      <c r="R57" s="174"/>
      <c r="S57" s="174"/>
      <c r="T57" s="174"/>
      <c r="U57" s="174"/>
      <c r="V57" s="174"/>
      <c r="W57" s="174"/>
      <c r="X57" s="174"/>
    </row>
    <row r="58" spans="1:24" x14ac:dyDescent="0.2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7"/>
      <c r="P58" s="174"/>
      <c r="Q58" s="177"/>
      <c r="R58" s="174"/>
      <c r="S58" s="174"/>
      <c r="T58" s="174"/>
      <c r="U58" s="174"/>
      <c r="V58" s="174"/>
      <c r="W58" s="174"/>
      <c r="X58" s="174"/>
    </row>
    <row r="59" spans="1:24" x14ac:dyDescent="0.2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7"/>
      <c r="P59" s="174"/>
      <c r="Q59" s="177"/>
      <c r="R59" s="174"/>
      <c r="S59" s="174"/>
      <c r="T59" s="174"/>
      <c r="U59" s="174"/>
      <c r="V59" s="174"/>
      <c r="W59" s="174"/>
      <c r="X59" s="174"/>
    </row>
    <row r="60" spans="1:24" x14ac:dyDescent="0.2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7"/>
      <c r="P60" s="174"/>
      <c r="Q60" s="177"/>
      <c r="R60" s="174"/>
      <c r="S60" s="174"/>
      <c r="T60" s="174"/>
      <c r="U60" s="174"/>
      <c r="V60" s="174"/>
      <c r="W60" s="174"/>
      <c r="X60" s="174"/>
    </row>
    <row r="61" spans="1:24" x14ac:dyDescent="0.2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7"/>
      <c r="P61" s="174"/>
      <c r="Q61" s="177"/>
      <c r="R61" s="174"/>
      <c r="S61" s="174"/>
      <c r="T61" s="174"/>
      <c r="U61" s="174"/>
      <c r="V61" s="174"/>
      <c r="W61" s="174"/>
      <c r="X61" s="174"/>
    </row>
    <row r="62" spans="1:24" x14ac:dyDescent="0.25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7"/>
      <c r="P62" s="174"/>
      <c r="Q62" s="177"/>
      <c r="R62" s="174"/>
      <c r="S62" s="174"/>
      <c r="T62" s="174"/>
      <c r="U62" s="174"/>
      <c r="V62" s="174"/>
      <c r="W62" s="174"/>
      <c r="X62" s="174"/>
    </row>
    <row r="63" spans="1:24" x14ac:dyDescent="0.25"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7"/>
      <c r="P63" s="174"/>
      <c r="Q63" s="177"/>
      <c r="R63" s="174"/>
      <c r="S63" s="174"/>
      <c r="T63" s="174"/>
      <c r="U63" s="174"/>
      <c r="V63" s="174"/>
      <c r="W63" s="174"/>
      <c r="X63" s="174"/>
    </row>
    <row r="64" spans="1:24" x14ac:dyDescent="0.25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7"/>
      <c r="P64" s="174"/>
      <c r="Q64" s="177"/>
      <c r="R64" s="174"/>
      <c r="S64" s="174"/>
      <c r="T64" s="174"/>
      <c r="U64" s="174"/>
      <c r="V64" s="174"/>
      <c r="W64" s="174"/>
      <c r="X64" s="174"/>
    </row>
    <row r="65" spans="1:43" x14ac:dyDescent="0.25"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7"/>
      <c r="P65" s="174"/>
      <c r="Q65" s="177"/>
      <c r="R65" s="174"/>
      <c r="S65" s="174"/>
      <c r="T65" s="174"/>
      <c r="U65" s="174"/>
      <c r="V65" s="174"/>
      <c r="W65" s="174"/>
      <c r="X65" s="174"/>
    </row>
    <row r="66" spans="1:43" x14ac:dyDescent="0.25"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7"/>
      <c r="P66" s="174"/>
      <c r="Q66" s="177"/>
      <c r="R66" s="174"/>
      <c r="S66" s="174"/>
      <c r="T66" s="174"/>
      <c r="U66" s="174"/>
      <c r="V66" s="174"/>
      <c r="W66" s="174"/>
      <c r="X66" s="174"/>
    </row>
    <row r="67" spans="1:43" x14ac:dyDescent="0.25">
      <c r="A67" s="174" t="s">
        <v>16</v>
      </c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7"/>
      <c r="P67" s="174"/>
      <c r="Q67" s="177"/>
      <c r="R67" s="174"/>
      <c r="S67" s="174"/>
      <c r="T67" s="174"/>
      <c r="U67" s="174"/>
      <c r="V67" s="174"/>
      <c r="W67" s="174"/>
      <c r="X67" s="174"/>
    </row>
    <row r="68" spans="1:43" x14ac:dyDescent="0.25">
      <c r="A68" s="174"/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7"/>
      <c r="P68" s="174"/>
      <c r="Q68" s="177"/>
      <c r="R68" s="174"/>
      <c r="S68" s="174"/>
      <c r="T68" s="174"/>
      <c r="U68" s="174"/>
      <c r="V68" s="174"/>
      <c r="W68" s="174"/>
      <c r="X68" s="174"/>
    </row>
    <row r="69" spans="1:43" x14ac:dyDescent="0.25">
      <c r="A69" s="174" t="str">
        <f>INFO!A26</f>
        <v>(See Accountants' Report)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7"/>
      <c r="P69" s="174"/>
      <c r="Q69" s="177"/>
      <c r="R69" s="174"/>
      <c r="S69" s="174"/>
      <c r="T69" s="174"/>
      <c r="U69" s="174"/>
      <c r="V69" s="174"/>
      <c r="W69" s="174"/>
      <c r="X69" s="174"/>
    </row>
    <row r="70" spans="1:43" x14ac:dyDescent="0.25">
      <c r="A70" s="174"/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7"/>
      <c r="P70" s="174"/>
      <c r="Q70" s="177"/>
      <c r="R70" s="174"/>
      <c r="S70" s="174"/>
      <c r="T70" s="174"/>
      <c r="U70" s="174"/>
      <c r="V70" s="174"/>
      <c r="W70" s="174"/>
      <c r="X70" s="174"/>
    </row>
    <row r="71" spans="1:43" x14ac:dyDescent="0.25">
      <c r="A71" s="313">
        <f>Y71</f>
        <v>30</v>
      </c>
      <c r="B71" s="313"/>
      <c r="C71" s="313"/>
      <c r="D71" s="313"/>
      <c r="E71" s="313"/>
      <c r="F71" s="313"/>
      <c r="G71" s="313"/>
      <c r="H71" s="313"/>
      <c r="I71" s="313"/>
      <c r="J71" s="313"/>
      <c r="K71" s="313"/>
      <c r="L71" s="313"/>
      <c r="M71" s="313"/>
      <c r="N71" s="313"/>
      <c r="O71" s="223"/>
      <c r="P71" s="313"/>
      <c r="Q71" s="223"/>
      <c r="R71" s="313"/>
      <c r="S71" s="313"/>
      <c r="T71" s="313"/>
      <c r="U71" s="313"/>
      <c r="V71" s="313"/>
      <c r="W71" s="313"/>
      <c r="X71" s="313"/>
      <c r="Y71" s="998" cm="1">
        <f t="array" ref="Y71:AQ71">'PF Exp Rev Req II '!A265:S265+1</f>
        <v>30</v>
      </c>
      <c r="Z71" s="996">
        <v>1</v>
      </c>
      <c r="AA71" s="996">
        <v>1</v>
      </c>
      <c r="AB71" s="996">
        <v>1</v>
      </c>
      <c r="AC71" s="996">
        <v>1</v>
      </c>
      <c r="AD71" s="996">
        <v>1</v>
      </c>
      <c r="AE71" s="996">
        <v>1</v>
      </c>
      <c r="AF71" s="996">
        <v>1</v>
      </c>
      <c r="AG71" s="996">
        <v>1</v>
      </c>
      <c r="AH71" s="996">
        <v>1</v>
      </c>
      <c r="AI71" s="996">
        <v>1</v>
      </c>
      <c r="AJ71" s="996">
        <v>1</v>
      </c>
      <c r="AK71" s="996">
        <v>1</v>
      </c>
      <c r="AL71" s="996">
        <v>1</v>
      </c>
      <c r="AM71" s="996">
        <v>1</v>
      </c>
      <c r="AN71" s="996">
        <v>1</v>
      </c>
      <c r="AO71" s="996">
        <v>1</v>
      </c>
      <c r="AP71" s="996">
        <v>1</v>
      </c>
      <c r="AQ71" s="996">
        <v>1</v>
      </c>
    </row>
    <row r="75" spans="1:43" x14ac:dyDescent="0.25">
      <c r="A75" s="1110" t="s">
        <v>429</v>
      </c>
      <c r="B75" s="132" t="s">
        <v>488</v>
      </c>
    </row>
    <row r="76" spans="1:43" x14ac:dyDescent="0.25">
      <c r="A76" s="1110"/>
      <c r="B76" s="996" t="s">
        <v>491</v>
      </c>
    </row>
    <row r="77" spans="1:43" x14ac:dyDescent="0.25">
      <c r="A77" s="1110"/>
      <c r="B77" s="132" t="s">
        <v>489</v>
      </c>
    </row>
    <row r="78" spans="1:43" x14ac:dyDescent="0.25">
      <c r="A78" s="1110"/>
      <c r="B78" s="132" t="s">
        <v>490</v>
      </c>
    </row>
    <row r="81" spans="2:2" x14ac:dyDescent="0.25">
      <c r="B81" s="996" t="s">
        <v>509</v>
      </c>
    </row>
    <row r="83" spans="2:2" x14ac:dyDescent="0.25">
      <c r="B83" s="996" t="s">
        <v>510</v>
      </c>
    </row>
    <row r="85" spans="2:2" x14ac:dyDescent="0.25">
      <c r="B85" s="996" t="s">
        <v>377</v>
      </c>
    </row>
    <row r="86" spans="2:2" x14ac:dyDescent="0.25">
      <c r="B86" s="996" t="s">
        <v>376</v>
      </c>
    </row>
    <row r="87" spans="2:2" x14ac:dyDescent="0.25">
      <c r="B87" s="996" t="s">
        <v>481</v>
      </c>
    </row>
    <row r="88" spans="2:2" x14ac:dyDescent="0.25">
      <c r="B88" s="996" t="s">
        <v>482</v>
      </c>
    </row>
    <row r="91" spans="2:2" x14ac:dyDescent="0.25">
      <c r="B91" s="996" t="s">
        <v>443</v>
      </c>
    </row>
    <row r="92" spans="2:2" x14ac:dyDescent="0.25">
      <c r="B92" s="996" t="s">
        <v>508</v>
      </c>
    </row>
  </sheetData>
  <phoneticPr fontId="0" type="noConversion"/>
  <printOptions horizontalCentered="1"/>
  <pageMargins left="0.75" right="0.75" top="0.75" bottom="0.25" header="0.5" footer="0.5"/>
  <pageSetup scale="64" orientation="portrait" horizontalDpi="4294967295" verticalDpi="4294967295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/>
  <dimension ref="A1:AV97"/>
  <sheetViews>
    <sheetView view="pageBreakPreview" zoomScale="80" zoomScaleNormal="100" zoomScaleSheetLayoutView="80" workbookViewId="0">
      <selection activeCell="AD36" sqref="AD36"/>
    </sheetView>
  </sheetViews>
  <sheetFormatPr defaultColWidth="9.140625" defaultRowHeight="15.75" x14ac:dyDescent="0.25"/>
  <cols>
    <col min="1" max="1" width="4" style="996" bestFit="1" customWidth="1"/>
    <col min="2" max="2" width="9.42578125" style="996" customWidth="1"/>
    <col min="3" max="3" width="10.85546875" style="996" bestFit="1" customWidth="1"/>
    <col min="4" max="4" width="1.7109375" style="996" customWidth="1"/>
    <col min="5" max="5" width="11" style="996" customWidth="1"/>
    <col min="6" max="6" width="5.5703125" style="996" customWidth="1"/>
    <col min="7" max="7" width="2.42578125" style="996" hidden="1" customWidth="1"/>
    <col min="8" max="8" width="12" style="996" hidden="1" customWidth="1"/>
    <col min="9" max="9" width="1.7109375" style="996" hidden="1" customWidth="1"/>
    <col min="10" max="10" width="12" style="996" hidden="1" customWidth="1"/>
    <col min="11" max="11" width="1.7109375" style="996" hidden="1" customWidth="1"/>
    <col min="12" max="12" width="12" style="996" hidden="1" customWidth="1"/>
    <col min="13" max="13" width="1.7109375" style="996" hidden="1" customWidth="1"/>
    <col min="14" max="14" width="12" style="996" customWidth="1"/>
    <col min="15" max="15" width="1.5703125" style="996" customWidth="1"/>
    <col min="16" max="16" width="12" style="996" customWidth="1"/>
    <col min="17" max="17" width="1.5703125" style="996" customWidth="1"/>
    <col min="18" max="18" width="12" style="996" customWidth="1"/>
    <col min="19" max="19" width="1.5703125" style="996" customWidth="1"/>
    <col min="20" max="20" width="13.140625" style="996" customWidth="1"/>
    <col min="21" max="21" width="1.5703125" style="996" customWidth="1"/>
    <col min="22" max="22" width="13.140625" style="996" customWidth="1"/>
    <col min="23" max="23" width="1.5703125" style="996" customWidth="1"/>
    <col min="24" max="24" width="13.140625" style="996" customWidth="1"/>
    <col min="25" max="25" width="9.140625" style="996"/>
    <col min="26" max="26" width="10.7109375" style="996" bestFit="1" customWidth="1"/>
    <col min="27" max="27" width="9.140625" style="996"/>
    <col min="28" max="28" width="10.140625" style="996" bestFit="1" customWidth="1"/>
    <col min="29" max="29" width="9.140625" style="996"/>
    <col min="30" max="30" width="10" style="996" bestFit="1" customWidth="1"/>
    <col min="31" max="16384" width="9.140625" style="996"/>
  </cols>
  <sheetData>
    <row r="1" spans="1:34" x14ac:dyDescent="0.25">
      <c r="A1" s="41" t="str">
        <f>INFO!B1</f>
        <v>EVANSVILLE (INDIANA) WATERWORKS DISTRICT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34" x14ac:dyDescent="0.25">
      <c r="M2" s="174"/>
      <c r="P2" s="41"/>
      <c r="S2" s="41"/>
      <c r="U2" s="41"/>
      <c r="V2" s="41"/>
      <c r="W2" s="41"/>
      <c r="X2" s="41" t="s">
        <v>17</v>
      </c>
    </row>
    <row r="3" spans="1:34" x14ac:dyDescent="0.25">
      <c r="A3" s="136" t="str">
        <f>'Rates I '!A3</f>
        <v>SCHEDULE OF PRESENT AND PROPOSED RATES AND CHARGES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5" spans="1:34" x14ac:dyDescent="0.25">
      <c r="C5" s="425"/>
      <c r="D5" s="425"/>
      <c r="E5" s="425"/>
      <c r="F5" s="425"/>
      <c r="G5" s="425"/>
      <c r="J5" s="1101" t="s">
        <v>471</v>
      </c>
      <c r="K5" s="172"/>
      <c r="L5" s="1101" t="s">
        <v>530</v>
      </c>
      <c r="M5" s="177"/>
      <c r="N5" s="61"/>
      <c r="O5" s="1104"/>
      <c r="P5" s="1433" t="s">
        <v>256</v>
      </c>
      <c r="Q5" s="1433"/>
      <c r="R5" s="1433"/>
      <c r="S5" s="1433"/>
      <c r="T5" s="1433"/>
      <c r="U5" s="1433"/>
      <c r="V5" s="1433"/>
      <c r="W5" s="1433"/>
      <c r="X5" s="1433"/>
    </row>
    <row r="6" spans="1:34" ht="16.5" thickBot="1" x14ac:dyDescent="0.3">
      <c r="C6" s="425"/>
      <c r="D6" s="425"/>
      <c r="E6" s="425"/>
      <c r="F6" s="425"/>
      <c r="G6" s="425"/>
      <c r="J6" s="1213"/>
      <c r="K6" s="172"/>
      <c r="L6" s="1213"/>
      <c r="M6" s="177"/>
      <c r="N6" s="1101" t="s">
        <v>181</v>
      </c>
      <c r="O6" s="425"/>
      <c r="P6" s="1101" t="str">
        <f>'Rates I '!P6</f>
        <v>Phase I (2)</v>
      </c>
      <c r="Q6" s="61"/>
      <c r="R6" s="1101" t="str">
        <f>'Rates I '!R6</f>
        <v>Phase II (3)</v>
      </c>
      <c r="S6" s="61"/>
      <c r="T6" s="1101" t="str">
        <f>'Rates I '!T6</f>
        <v>Phase III (4)</v>
      </c>
      <c r="U6" s="61"/>
      <c r="V6" s="1101" t="str">
        <f>'Rates I '!V6</f>
        <v>Phase IV (5)</v>
      </c>
      <c r="W6" s="61"/>
      <c r="X6" s="1101" t="str">
        <f>'Rates I '!X6</f>
        <v>Phase V (6)</v>
      </c>
    </row>
    <row r="7" spans="1:34" ht="16.5" thickBot="1" x14ac:dyDescent="0.3">
      <c r="A7" s="61" t="s">
        <v>218</v>
      </c>
      <c r="B7" s="145" t="s">
        <v>432</v>
      </c>
      <c r="C7" s="425"/>
      <c r="D7" s="425"/>
      <c r="E7" s="425"/>
      <c r="F7" s="425"/>
      <c r="G7" s="425"/>
      <c r="H7" s="1101" t="s">
        <v>181</v>
      </c>
      <c r="J7" s="1101" t="s">
        <v>472</v>
      </c>
      <c r="K7" s="61"/>
      <c r="L7" s="1101" t="s">
        <v>472</v>
      </c>
      <c r="M7" s="61"/>
      <c r="Z7" s="1185">
        <f>'Rates I '!Z6</f>
        <v>7.4999999999999997E-2</v>
      </c>
      <c r="AA7" s="1186"/>
      <c r="AB7" s="1185">
        <f>'Rates I '!AB6</f>
        <v>7.0300000000000001E-2</v>
      </c>
      <c r="AC7" s="1186"/>
      <c r="AD7" s="1185">
        <f>'Rates I '!AD6</f>
        <v>6.5299999999999997E-2</v>
      </c>
      <c r="AE7" s="1186"/>
      <c r="AF7" s="1185">
        <f>'Rates I '!AF6</f>
        <v>6.2100000000000002E-2</v>
      </c>
      <c r="AG7" s="1186"/>
      <c r="AH7" s="1185">
        <f>'Rates I '!AH6</f>
        <v>4.3099999999999999E-2</v>
      </c>
    </row>
    <row r="8" spans="1:34" x14ac:dyDescent="0.25">
      <c r="A8" s="425"/>
      <c r="C8" s="425"/>
      <c r="D8" s="425"/>
      <c r="E8" s="425"/>
      <c r="F8" s="425"/>
      <c r="G8" s="425"/>
      <c r="H8" s="354"/>
      <c r="I8" s="425"/>
      <c r="J8" s="354"/>
      <c r="K8" s="354"/>
      <c r="L8" s="354"/>
      <c r="M8" s="354"/>
      <c r="T8" s="354"/>
      <c r="U8" s="354"/>
      <c r="V8" s="354"/>
      <c r="W8" s="354"/>
      <c r="X8" s="354"/>
      <c r="AB8" s="70"/>
      <c r="AD8" s="70"/>
      <c r="AF8" s="70"/>
      <c r="AH8" s="70"/>
    </row>
    <row r="9" spans="1:34" x14ac:dyDescent="0.25">
      <c r="A9" s="425"/>
      <c r="B9" s="485" t="s">
        <v>194</v>
      </c>
      <c r="C9" s="425"/>
      <c r="D9" s="425"/>
      <c r="E9" s="425"/>
      <c r="F9" s="425"/>
      <c r="G9" s="425"/>
      <c r="H9" s="425"/>
      <c r="I9" s="425"/>
      <c r="J9" s="425"/>
      <c r="K9" s="425"/>
      <c r="L9" s="425"/>
      <c r="M9" s="425"/>
      <c r="O9" s="425"/>
      <c r="Q9" s="425"/>
      <c r="T9" s="354"/>
      <c r="U9" s="354"/>
      <c r="V9" s="354"/>
      <c r="W9" s="354"/>
      <c r="X9" s="354"/>
      <c r="AB9" s="70"/>
      <c r="AD9" s="70"/>
      <c r="AF9" s="70"/>
      <c r="AH9" s="70"/>
    </row>
    <row r="10" spans="1:34" x14ac:dyDescent="0.25">
      <c r="A10" s="425"/>
      <c r="B10" s="1112">
        <v>1</v>
      </c>
      <c r="C10" s="996" t="s">
        <v>188</v>
      </c>
      <c r="D10" s="425"/>
      <c r="E10" s="425"/>
      <c r="F10" s="425"/>
      <c r="G10" s="425"/>
      <c r="H10" s="213">
        <v>2.75</v>
      </c>
      <c r="I10" s="425"/>
      <c r="J10" s="213">
        <v>3.19</v>
      </c>
      <c r="K10" s="213"/>
      <c r="L10" s="213">
        <v>4.84</v>
      </c>
      <c r="M10" s="213"/>
      <c r="N10" s="213">
        <v>7.62</v>
      </c>
      <c r="P10" s="213">
        <f>ROUND(N10*(1+$Z$7),2)</f>
        <v>8.19</v>
      </c>
      <c r="Q10" s="363"/>
      <c r="R10" s="213">
        <f>ROUND(P10*(1+$AB$7),2)</f>
        <v>8.77</v>
      </c>
      <c r="S10" s="213"/>
      <c r="T10" s="213">
        <f t="shared" ref="T10:T17" si="0">ROUND(R10*(1+$AD$7),2)</f>
        <v>9.34</v>
      </c>
      <c r="U10" s="213"/>
      <c r="V10" s="213">
        <f t="shared" ref="V10:V17" si="1">ROUND(T10*(1+$AF$7),2)</f>
        <v>9.92</v>
      </c>
      <c r="W10" s="213"/>
      <c r="X10" s="213">
        <f t="shared" ref="X10:X17" si="2">ROUND(V10*(1+$AH$7),2)</f>
        <v>10.35</v>
      </c>
      <c r="Z10" s="70"/>
      <c r="AB10" s="70"/>
      <c r="AD10" s="70"/>
      <c r="AF10" s="70"/>
      <c r="AH10" s="70"/>
    </row>
    <row r="11" spans="1:34" x14ac:dyDescent="0.25">
      <c r="A11" s="425"/>
      <c r="B11" s="1112">
        <v>2</v>
      </c>
      <c r="C11" s="996" t="s">
        <v>188</v>
      </c>
      <c r="D11" s="425"/>
      <c r="E11" s="425"/>
      <c r="F11" s="425"/>
      <c r="G11" s="425"/>
      <c r="H11" s="354">
        <v>15.27</v>
      </c>
      <c r="I11" s="425"/>
      <c r="J11" s="354">
        <v>17.690000000000001</v>
      </c>
      <c r="K11" s="354"/>
      <c r="L11" s="354">
        <v>26.87</v>
      </c>
      <c r="M11" s="354"/>
      <c r="N11" s="354">
        <v>42.31</v>
      </c>
      <c r="P11" s="354">
        <f>ROUND(N11*(1+$Z$7),2)</f>
        <v>45.48</v>
      </c>
      <c r="R11" s="354">
        <f>ROUND(P11*(1+$AB$7),2)</f>
        <v>48.68</v>
      </c>
      <c r="S11" s="354"/>
      <c r="T11" s="354">
        <f t="shared" si="0"/>
        <v>51.86</v>
      </c>
      <c r="U11" s="354"/>
      <c r="V11" s="354">
        <f t="shared" si="1"/>
        <v>55.08</v>
      </c>
      <c r="W11" s="354"/>
      <c r="X11" s="354">
        <f t="shared" si="2"/>
        <v>57.45</v>
      </c>
      <c r="Z11" s="70"/>
      <c r="AB11" s="70"/>
      <c r="AD11" s="70"/>
      <c r="AF11" s="70"/>
      <c r="AH11" s="70"/>
    </row>
    <row r="12" spans="1:34" x14ac:dyDescent="0.25">
      <c r="A12" s="425"/>
      <c r="B12" s="1112">
        <v>3</v>
      </c>
      <c r="C12" s="996" t="s">
        <v>188</v>
      </c>
      <c r="D12" s="425"/>
      <c r="E12" s="425"/>
      <c r="F12" s="425"/>
      <c r="G12" s="425"/>
      <c r="H12" s="354">
        <v>42.23</v>
      </c>
      <c r="I12" s="425"/>
      <c r="J12" s="354">
        <v>48.92</v>
      </c>
      <c r="K12" s="354"/>
      <c r="L12" s="354">
        <v>74.3</v>
      </c>
      <c r="M12" s="354"/>
      <c r="N12" s="354">
        <v>116.99</v>
      </c>
      <c r="P12" s="354">
        <f t="shared" ref="P12:P17" si="3">ROUND(N12*(1+$Z$7),2)</f>
        <v>125.76</v>
      </c>
      <c r="R12" s="354">
        <f t="shared" ref="R12:R17" si="4">ROUND(P12*(1+$AB$7),2)</f>
        <v>134.6</v>
      </c>
      <c r="S12" s="354"/>
      <c r="T12" s="354">
        <f t="shared" si="0"/>
        <v>143.38999999999999</v>
      </c>
      <c r="U12" s="354"/>
      <c r="V12" s="354">
        <f t="shared" si="1"/>
        <v>152.29</v>
      </c>
      <c r="W12" s="354"/>
      <c r="X12" s="354">
        <f t="shared" si="2"/>
        <v>158.85</v>
      </c>
      <c r="Z12" s="70"/>
      <c r="AB12" s="70"/>
      <c r="AD12" s="70"/>
      <c r="AF12" s="70"/>
      <c r="AH12" s="70"/>
    </row>
    <row r="13" spans="1:34" x14ac:dyDescent="0.25">
      <c r="A13" s="425"/>
      <c r="B13" s="1112">
        <v>4</v>
      </c>
      <c r="C13" s="996" t="s">
        <v>188</v>
      </c>
      <c r="D13" s="425"/>
      <c r="E13" s="425"/>
      <c r="F13" s="425"/>
      <c r="G13" s="425"/>
      <c r="H13" s="354">
        <v>86.53</v>
      </c>
      <c r="I13" s="425"/>
      <c r="J13" s="354">
        <v>100.23</v>
      </c>
      <c r="K13" s="354"/>
      <c r="L13" s="354">
        <v>152.22</v>
      </c>
      <c r="M13" s="354"/>
      <c r="N13" s="354">
        <v>239.69</v>
      </c>
      <c r="P13" s="354">
        <f t="shared" si="3"/>
        <v>257.67</v>
      </c>
      <c r="R13" s="354">
        <f t="shared" si="4"/>
        <v>275.77999999999997</v>
      </c>
      <c r="S13" s="354"/>
      <c r="T13" s="354">
        <f t="shared" si="0"/>
        <v>293.79000000000002</v>
      </c>
      <c r="U13" s="354"/>
      <c r="V13" s="354">
        <f t="shared" si="1"/>
        <v>312.02999999999997</v>
      </c>
      <c r="W13" s="354"/>
      <c r="X13" s="354">
        <f t="shared" si="2"/>
        <v>325.48</v>
      </c>
      <c r="Z13" s="70"/>
      <c r="AB13" s="70"/>
      <c r="AD13" s="70"/>
      <c r="AF13" s="70"/>
      <c r="AH13" s="70"/>
    </row>
    <row r="14" spans="1:34" x14ac:dyDescent="0.25">
      <c r="A14" s="425"/>
      <c r="B14" s="1112">
        <v>6</v>
      </c>
      <c r="C14" s="996" t="s">
        <v>188</v>
      </c>
      <c r="D14" s="425"/>
      <c r="E14" s="425"/>
      <c r="F14" s="425"/>
      <c r="G14" s="425"/>
      <c r="H14" s="354">
        <v>238.29</v>
      </c>
      <c r="I14" s="425"/>
      <c r="J14" s="354">
        <v>276.01</v>
      </c>
      <c r="K14" s="354"/>
      <c r="L14" s="354">
        <v>419.17</v>
      </c>
      <c r="M14" s="354"/>
      <c r="N14" s="354">
        <v>660.05</v>
      </c>
      <c r="P14" s="354">
        <f t="shared" si="3"/>
        <v>709.55</v>
      </c>
      <c r="R14" s="354">
        <f t="shared" si="4"/>
        <v>759.43</v>
      </c>
      <c r="S14" s="354"/>
      <c r="T14" s="354">
        <f t="shared" si="0"/>
        <v>809.02</v>
      </c>
      <c r="U14" s="354"/>
      <c r="V14" s="354">
        <f t="shared" si="1"/>
        <v>859.26</v>
      </c>
      <c r="W14" s="354"/>
      <c r="X14" s="354">
        <f t="shared" si="2"/>
        <v>896.29</v>
      </c>
      <c r="Z14" s="70"/>
      <c r="AB14" s="70"/>
      <c r="AD14" s="70"/>
      <c r="AF14" s="70"/>
      <c r="AH14" s="70"/>
    </row>
    <row r="15" spans="1:34" x14ac:dyDescent="0.25">
      <c r="A15" s="425"/>
      <c r="B15" s="1112">
        <v>8</v>
      </c>
      <c r="C15" s="996" t="s">
        <v>188</v>
      </c>
      <c r="D15" s="425"/>
      <c r="E15" s="425"/>
      <c r="F15" s="425"/>
      <c r="G15" s="425"/>
      <c r="H15" s="354">
        <v>489.29</v>
      </c>
      <c r="I15" s="425"/>
      <c r="J15" s="354">
        <v>566.74</v>
      </c>
      <c r="K15" s="354"/>
      <c r="L15" s="354">
        <v>860.7</v>
      </c>
      <c r="M15" s="354"/>
      <c r="N15" s="354">
        <v>1355.31</v>
      </c>
      <c r="P15" s="354">
        <f t="shared" si="3"/>
        <v>1456.96</v>
      </c>
      <c r="R15" s="354">
        <f t="shared" si="4"/>
        <v>1559.38</v>
      </c>
      <c r="S15" s="354"/>
      <c r="T15" s="354">
        <f t="shared" si="0"/>
        <v>1661.21</v>
      </c>
      <c r="U15" s="354"/>
      <c r="V15" s="354">
        <f t="shared" si="1"/>
        <v>1764.37</v>
      </c>
      <c r="W15" s="354"/>
      <c r="X15" s="354">
        <f t="shared" si="2"/>
        <v>1840.41</v>
      </c>
      <c r="Z15" s="70"/>
      <c r="AB15" s="70"/>
      <c r="AD15" s="70"/>
      <c r="AF15" s="70"/>
      <c r="AH15" s="70"/>
    </row>
    <row r="16" spans="1:34" x14ac:dyDescent="0.25">
      <c r="A16" s="425"/>
      <c r="B16" s="1112">
        <v>10</v>
      </c>
      <c r="C16" s="996" t="s">
        <v>188</v>
      </c>
      <c r="D16" s="425"/>
      <c r="E16" s="425"/>
      <c r="F16" s="425"/>
      <c r="G16" s="425"/>
      <c r="H16" s="354">
        <v>851.64</v>
      </c>
      <c r="I16" s="425"/>
      <c r="J16" s="354">
        <v>989.89099999999996</v>
      </c>
      <c r="K16" s="354"/>
      <c r="L16" s="354">
        <v>1503.32</v>
      </c>
      <c r="M16" s="354"/>
      <c r="N16" s="354">
        <v>2367.21</v>
      </c>
      <c r="P16" s="354">
        <f t="shared" si="3"/>
        <v>2544.75</v>
      </c>
      <c r="R16" s="354">
        <f t="shared" si="4"/>
        <v>2723.65</v>
      </c>
      <c r="S16" s="354"/>
      <c r="T16" s="354">
        <f t="shared" si="0"/>
        <v>2901.5</v>
      </c>
      <c r="U16" s="354"/>
      <c r="V16" s="354">
        <f t="shared" si="1"/>
        <v>3081.68</v>
      </c>
      <c r="W16" s="354"/>
      <c r="X16" s="354">
        <f t="shared" si="2"/>
        <v>3214.5</v>
      </c>
      <c r="Z16" s="70"/>
      <c r="AB16" s="70"/>
      <c r="AD16" s="70"/>
      <c r="AF16" s="70"/>
      <c r="AH16" s="70"/>
    </row>
    <row r="17" spans="1:48" x14ac:dyDescent="0.25">
      <c r="A17" s="425"/>
      <c r="B17" s="1112">
        <v>12</v>
      </c>
      <c r="C17" s="996" t="s">
        <v>188</v>
      </c>
      <c r="D17" s="425"/>
      <c r="E17" s="425"/>
      <c r="F17" s="425"/>
      <c r="G17" s="425"/>
      <c r="H17" s="354">
        <v>1348.19</v>
      </c>
      <c r="I17" s="425"/>
      <c r="J17" s="354">
        <v>1561.61</v>
      </c>
      <c r="K17" s="354"/>
      <c r="L17" s="354">
        <v>2371.58</v>
      </c>
      <c r="M17" s="354"/>
      <c r="N17" s="354">
        <v>3734.41</v>
      </c>
      <c r="P17" s="354">
        <f t="shared" si="3"/>
        <v>4014.49</v>
      </c>
      <c r="R17" s="354">
        <f t="shared" si="4"/>
        <v>4296.71</v>
      </c>
      <c r="S17" s="354"/>
      <c r="T17" s="354">
        <f t="shared" si="0"/>
        <v>4577.29</v>
      </c>
      <c r="U17" s="354"/>
      <c r="V17" s="354">
        <f t="shared" si="1"/>
        <v>4861.54</v>
      </c>
      <c r="W17" s="354"/>
      <c r="X17" s="354">
        <f t="shared" si="2"/>
        <v>5071.07</v>
      </c>
      <c r="Z17" s="70"/>
      <c r="AB17" s="70"/>
      <c r="AD17" s="70"/>
      <c r="AF17" s="70"/>
      <c r="AH17" s="70"/>
    </row>
    <row r="18" spans="1:48" x14ac:dyDescent="0.25">
      <c r="A18" s="425"/>
      <c r="B18" s="425"/>
      <c r="C18" s="425"/>
      <c r="D18" s="425"/>
      <c r="E18" s="425"/>
      <c r="F18" s="425"/>
      <c r="G18" s="425"/>
      <c r="H18" s="425"/>
      <c r="I18" s="425"/>
      <c r="J18" s="425"/>
      <c r="K18" s="425"/>
      <c r="L18" s="425"/>
      <c r="M18" s="425"/>
      <c r="N18" s="425"/>
      <c r="O18" s="425"/>
      <c r="P18" s="425"/>
      <c r="Q18" s="425"/>
      <c r="R18" s="425"/>
      <c r="S18" s="425"/>
      <c r="T18" s="425"/>
      <c r="U18" s="425"/>
      <c r="V18" s="425"/>
      <c r="W18" s="425"/>
      <c r="X18" s="425"/>
    </row>
    <row r="19" spans="1:48" hidden="1" x14ac:dyDescent="0.25"/>
    <row r="20" spans="1:48" hidden="1" x14ac:dyDescent="0.25"/>
    <row r="21" spans="1:48" hidden="1" x14ac:dyDescent="0.25">
      <c r="A21" s="996" t="s">
        <v>193</v>
      </c>
      <c r="B21" s="145" t="s">
        <v>451</v>
      </c>
    </row>
    <row r="22" spans="1:48" hidden="1" x14ac:dyDescent="0.25">
      <c r="AH22" s="206"/>
      <c r="AI22" s="485"/>
      <c r="AJ22" s="425"/>
      <c r="AK22" s="425"/>
      <c r="AL22" s="425"/>
      <c r="AM22" s="425"/>
      <c r="AN22" s="425"/>
      <c r="AO22" s="425"/>
      <c r="AP22" s="425"/>
      <c r="AQ22" s="425"/>
      <c r="AR22" s="425"/>
      <c r="AS22" s="425"/>
      <c r="AT22" s="425"/>
      <c r="AU22" s="425"/>
      <c r="AV22" s="425"/>
    </row>
    <row r="23" spans="1:48" hidden="1" x14ac:dyDescent="0.25">
      <c r="B23" s="170" t="s">
        <v>453</v>
      </c>
      <c r="C23" s="996" t="s">
        <v>188</v>
      </c>
      <c r="J23" s="354">
        <v>1550</v>
      </c>
      <c r="L23" s="213">
        <v>1550</v>
      </c>
      <c r="M23" s="213"/>
      <c r="N23" s="213">
        <v>1635</v>
      </c>
      <c r="P23" s="213">
        <f>N23</f>
        <v>1635</v>
      </c>
      <c r="R23" s="213">
        <f>N23</f>
        <v>1635</v>
      </c>
      <c r="S23" s="213"/>
      <c r="T23" s="213">
        <f>P23</f>
        <v>1635</v>
      </c>
      <c r="U23" s="213"/>
      <c r="V23" s="213">
        <f>T23</f>
        <v>1635</v>
      </c>
      <c r="W23" s="213"/>
      <c r="X23" s="213">
        <f>V23</f>
        <v>1635</v>
      </c>
      <c r="AK23" s="425"/>
      <c r="AL23" s="425"/>
      <c r="AM23" s="425"/>
      <c r="AN23" s="425"/>
      <c r="AO23" s="425"/>
      <c r="AP23" s="425"/>
      <c r="AQ23" s="425"/>
      <c r="AR23" s="425"/>
      <c r="AS23" s="425"/>
      <c r="AT23" s="425"/>
      <c r="AU23" s="425"/>
      <c r="AV23" s="425"/>
    </row>
    <row r="24" spans="1:48" hidden="1" x14ac:dyDescent="0.25">
      <c r="B24" s="170" t="s">
        <v>330</v>
      </c>
      <c r="C24" s="996" t="s">
        <v>188</v>
      </c>
      <c r="J24" s="354">
        <v>1600</v>
      </c>
      <c r="L24" s="354">
        <v>1600</v>
      </c>
      <c r="N24" s="354">
        <v>2080</v>
      </c>
      <c r="P24" s="354">
        <f>N24</f>
        <v>2080</v>
      </c>
      <c r="R24" s="354">
        <f>N24</f>
        <v>2080</v>
      </c>
      <c r="S24" s="354"/>
      <c r="T24" s="354">
        <f>P24</f>
        <v>2080</v>
      </c>
      <c r="U24" s="354"/>
      <c r="V24" s="354">
        <f>T24</f>
        <v>2080</v>
      </c>
      <c r="W24" s="354"/>
      <c r="X24" s="354">
        <f>V24</f>
        <v>2080</v>
      </c>
      <c r="AK24" s="425"/>
      <c r="AL24" s="425"/>
      <c r="AM24" s="425"/>
      <c r="AN24" s="425"/>
      <c r="AO24" s="363"/>
      <c r="AP24" s="425"/>
      <c r="AQ24" s="363"/>
      <c r="AR24" s="363"/>
      <c r="AS24" s="363"/>
      <c r="AT24" s="363"/>
      <c r="AU24" s="363"/>
      <c r="AV24" s="425"/>
    </row>
    <row r="25" spans="1:48" hidden="1" x14ac:dyDescent="0.25">
      <c r="B25" s="996" t="s">
        <v>454</v>
      </c>
      <c r="J25" s="354" t="s">
        <v>455</v>
      </c>
      <c r="L25" s="404" t="s">
        <v>455</v>
      </c>
      <c r="N25" s="404" t="s">
        <v>455</v>
      </c>
      <c r="P25" s="404" t="s">
        <v>455</v>
      </c>
      <c r="R25" s="404" t="s">
        <v>455</v>
      </c>
      <c r="S25" s="404"/>
      <c r="T25" s="404" t="s">
        <v>455</v>
      </c>
      <c r="U25" s="404"/>
      <c r="V25" s="404" t="str">
        <f>T25</f>
        <v>Actual cost</v>
      </c>
      <c r="W25" s="404"/>
      <c r="X25" s="404" t="str">
        <f>V25</f>
        <v>Actual cost</v>
      </c>
      <c r="AH25" s="1110"/>
      <c r="AO25" s="213"/>
    </row>
    <row r="26" spans="1:48" hidden="1" x14ac:dyDescent="0.25">
      <c r="J26" s="354"/>
      <c r="AH26" s="1110"/>
      <c r="AO26" s="358"/>
      <c r="AQ26" s="358"/>
      <c r="AR26" s="358"/>
      <c r="AS26" s="358"/>
      <c r="AT26" s="358"/>
      <c r="AU26" s="358"/>
    </row>
    <row r="27" spans="1:48" hidden="1" x14ac:dyDescent="0.25">
      <c r="J27" s="354"/>
      <c r="AH27" s="1110"/>
      <c r="AO27" s="358"/>
    </row>
    <row r="28" spans="1:48" hidden="1" x14ac:dyDescent="0.25">
      <c r="J28" s="354"/>
      <c r="AH28" s="1110"/>
      <c r="AO28" s="358"/>
      <c r="AQ28" s="358"/>
      <c r="AR28" s="358"/>
      <c r="AS28" s="358"/>
      <c r="AT28" s="358"/>
      <c r="AU28" s="358"/>
    </row>
    <row r="29" spans="1:48" x14ac:dyDescent="0.25">
      <c r="A29" s="996" t="s">
        <v>193</v>
      </c>
      <c r="B29" s="145" t="s">
        <v>457</v>
      </c>
      <c r="J29" s="354"/>
      <c r="AH29" s="1110"/>
      <c r="AO29" s="358"/>
    </row>
    <row r="30" spans="1:48" x14ac:dyDescent="0.25">
      <c r="B30" s="996" t="s">
        <v>73</v>
      </c>
      <c r="J30" s="354">
        <v>30</v>
      </c>
      <c r="L30" s="213">
        <v>40</v>
      </c>
      <c r="M30" s="213"/>
      <c r="N30" s="213">
        <v>40</v>
      </c>
      <c r="P30" s="213">
        <v>40</v>
      </c>
      <c r="R30" s="213">
        <v>40</v>
      </c>
      <c r="S30" s="213"/>
      <c r="T30" s="213">
        <v>40</v>
      </c>
      <c r="U30" s="213"/>
      <c r="V30" s="213">
        <f>T30</f>
        <v>40</v>
      </c>
      <c r="W30" s="213"/>
      <c r="X30" s="213">
        <f>V30</f>
        <v>40</v>
      </c>
      <c r="AH30" s="1110"/>
      <c r="AO30" s="358"/>
    </row>
    <row r="31" spans="1:48" x14ac:dyDescent="0.25">
      <c r="B31" s="996" t="s">
        <v>458</v>
      </c>
      <c r="J31" s="354">
        <v>45</v>
      </c>
      <c r="L31" s="354">
        <v>65</v>
      </c>
      <c r="N31" s="354">
        <v>65</v>
      </c>
      <c r="P31" s="354">
        <v>65</v>
      </c>
      <c r="R31" s="354">
        <v>65</v>
      </c>
      <c r="S31" s="354"/>
      <c r="T31" s="354">
        <v>65</v>
      </c>
      <c r="U31" s="354"/>
      <c r="V31" s="354">
        <f>T31</f>
        <v>65</v>
      </c>
      <c r="W31" s="354"/>
      <c r="X31" s="354">
        <f>V31</f>
        <v>65</v>
      </c>
      <c r="AH31" s="1110"/>
      <c r="AO31" s="358"/>
    </row>
    <row r="32" spans="1:48" x14ac:dyDescent="0.25">
      <c r="J32" s="354"/>
      <c r="N32" s="354"/>
      <c r="P32" s="354"/>
      <c r="R32" s="354"/>
      <c r="S32" s="354"/>
      <c r="T32" s="354"/>
      <c r="U32" s="354"/>
      <c r="V32" s="354"/>
      <c r="W32" s="354"/>
      <c r="X32" s="354"/>
      <c r="AH32" s="1110"/>
      <c r="AO32" s="57"/>
      <c r="AP32" s="174"/>
      <c r="AQ32" s="174"/>
      <c r="AR32" s="174"/>
      <c r="AS32" s="174"/>
      <c r="AT32" s="174"/>
      <c r="AU32" s="174"/>
    </row>
    <row r="33" spans="1:47" x14ac:dyDescent="0.25">
      <c r="A33" s="996" t="s">
        <v>456</v>
      </c>
      <c r="B33" s="145" t="s">
        <v>460</v>
      </c>
      <c r="J33" s="356">
        <v>200</v>
      </c>
      <c r="K33" s="356"/>
      <c r="L33" s="213">
        <v>200</v>
      </c>
      <c r="M33" s="213"/>
      <c r="N33" s="213">
        <v>200</v>
      </c>
      <c r="P33" s="213">
        <v>200</v>
      </c>
      <c r="R33" s="213">
        <v>200</v>
      </c>
      <c r="S33" s="213"/>
      <c r="T33" s="213">
        <v>200</v>
      </c>
      <c r="U33" s="213"/>
      <c r="V33" s="213">
        <f>T33</f>
        <v>200</v>
      </c>
      <c r="W33" s="213"/>
      <c r="X33" s="213">
        <f>V33</f>
        <v>200</v>
      </c>
      <c r="AH33" s="1110"/>
      <c r="AO33" s="57"/>
      <c r="AP33" s="174"/>
      <c r="AQ33" s="174"/>
      <c r="AR33" s="174"/>
      <c r="AS33" s="174"/>
      <c r="AT33" s="174"/>
      <c r="AU33" s="174"/>
    </row>
    <row r="34" spans="1:47" x14ac:dyDescent="0.25">
      <c r="B34" s="145"/>
      <c r="J34" s="356"/>
      <c r="K34" s="356"/>
      <c r="L34" s="356"/>
      <c r="M34" s="356"/>
      <c r="N34" s="356"/>
      <c r="P34" s="356"/>
      <c r="R34" s="356"/>
      <c r="S34" s="356"/>
      <c r="AH34" s="1110"/>
      <c r="AO34" s="57"/>
      <c r="AP34" s="174"/>
      <c r="AQ34" s="174"/>
      <c r="AR34" s="174"/>
      <c r="AS34" s="174"/>
      <c r="AT34" s="174"/>
      <c r="AU34" s="174"/>
    </row>
    <row r="35" spans="1:47" x14ac:dyDescent="0.25">
      <c r="A35" s="61" t="s">
        <v>459</v>
      </c>
      <c r="B35" s="145" t="s">
        <v>462</v>
      </c>
      <c r="AH35" s="1110"/>
      <c r="AI35" s="145"/>
    </row>
    <row r="36" spans="1:47" x14ac:dyDescent="0.25">
      <c r="A36" s="1110"/>
    </row>
    <row r="37" spans="1:47" x14ac:dyDescent="0.25">
      <c r="B37" s="1230" t="s">
        <v>453</v>
      </c>
      <c r="C37" s="996" t="s">
        <v>188</v>
      </c>
      <c r="J37" s="354">
        <v>200</v>
      </c>
      <c r="L37" s="213">
        <v>200</v>
      </c>
      <c r="M37" s="213"/>
      <c r="N37" s="213">
        <v>200</v>
      </c>
      <c r="O37" s="213"/>
      <c r="P37" s="213">
        <v>200</v>
      </c>
      <c r="Q37" s="213"/>
      <c r="R37" s="213">
        <v>200</v>
      </c>
      <c r="S37" s="213"/>
      <c r="T37" s="213">
        <v>200</v>
      </c>
      <c r="U37" s="213"/>
      <c r="V37" s="213">
        <v>200</v>
      </c>
      <c r="W37" s="213"/>
      <c r="X37" s="213">
        <v>200</v>
      </c>
      <c r="AO37" s="213"/>
      <c r="AQ37" s="213"/>
      <c r="AR37" s="213"/>
      <c r="AS37" s="213"/>
      <c r="AT37" s="213"/>
      <c r="AU37" s="213"/>
    </row>
    <row r="38" spans="1:47" x14ac:dyDescent="0.25">
      <c r="B38" s="1230" t="s">
        <v>330</v>
      </c>
      <c r="C38" s="996" t="s">
        <v>188</v>
      </c>
      <c r="J38" s="354">
        <v>230</v>
      </c>
      <c r="L38" s="354">
        <v>230</v>
      </c>
      <c r="N38" s="354">
        <v>230</v>
      </c>
      <c r="O38" s="354"/>
      <c r="P38" s="354">
        <v>230</v>
      </c>
      <c r="Q38" s="354"/>
      <c r="R38" s="354">
        <v>230</v>
      </c>
      <c r="S38" s="354"/>
      <c r="T38" s="354">
        <v>230</v>
      </c>
      <c r="U38" s="354"/>
      <c r="V38" s="354">
        <v>230</v>
      </c>
      <c r="W38" s="354"/>
      <c r="X38" s="354">
        <v>230</v>
      </c>
    </row>
    <row r="41" spans="1:47" x14ac:dyDescent="0.25">
      <c r="A41" s="1110">
        <f>'Rates I '!A44</f>
        <v>-1</v>
      </c>
      <c r="B41" s="996" t="str">
        <f>'Rates I '!B44</f>
        <v>Present rates and charges approved by IURC pursuant to Cause No. 45073 on December 9, 2018 and</v>
      </c>
    </row>
    <row r="42" spans="1:47" x14ac:dyDescent="0.25">
      <c r="A42" s="1110"/>
      <c r="B42" s="996" t="str">
        <f>'Rates I '!B45</f>
        <v>became effective on January 1, 2021.</v>
      </c>
    </row>
    <row r="43" spans="1:47" x14ac:dyDescent="0.25">
      <c r="A43" s="1110">
        <f>'Rates I '!A46</f>
        <v>-2</v>
      </c>
      <c r="B43" s="996" t="str">
        <f>'Rates I '!B46</f>
        <v>Phase I rates and charges represent a 7.50% across-the-board rate increase in present rates and charges</v>
      </c>
    </row>
    <row r="44" spans="1:47" x14ac:dyDescent="0.25">
      <c r="A44" s="1110"/>
      <c r="B44" s="996" t="str">
        <f>'Rates I '!B47</f>
        <v>effective upon Commission approval.</v>
      </c>
    </row>
    <row r="45" spans="1:47" x14ac:dyDescent="0.25">
      <c r="A45" s="1110">
        <f>'Rates I '!A48</f>
        <v>-3</v>
      </c>
      <c r="B45" s="996" t="str">
        <f>'Rates I '!B48</f>
        <v>Phase II rates and charges represent a 7.03% across-the-board rate increase in Phase I rates and charges</v>
      </c>
    </row>
    <row r="46" spans="1:47" x14ac:dyDescent="0.25">
      <c r="A46" s="1110"/>
      <c r="B46" s="996" t="str">
        <f>'Rates I '!B49</f>
        <v>effective on April 1, 2023.</v>
      </c>
    </row>
    <row r="47" spans="1:47" x14ac:dyDescent="0.25">
      <c r="A47" s="1110">
        <f>'Rates I '!A50</f>
        <v>-4</v>
      </c>
      <c r="B47" s="996" t="str">
        <f>'Rates I '!B50</f>
        <v>Phase III rates and charges represent a 6.53% across-the-board rate increase in Phase II rates and charges</v>
      </c>
    </row>
    <row r="48" spans="1:47" x14ac:dyDescent="0.25">
      <c r="A48" s="1110"/>
      <c r="B48" s="996" t="str">
        <f>'Rates I '!B51</f>
        <v>effective on April 1, 2024.</v>
      </c>
    </row>
    <row r="49" spans="1:2" x14ac:dyDescent="0.25">
      <c r="A49" s="1110">
        <f>'Rates I '!A52</f>
        <v>-5</v>
      </c>
      <c r="B49" s="996" t="str">
        <f>'Rates I '!B52</f>
        <v>Phase IV rates and charges represent a 6.21% across-the-board rate increase in Phase II rates and charges</v>
      </c>
    </row>
    <row r="50" spans="1:2" x14ac:dyDescent="0.25">
      <c r="A50" s="1110"/>
      <c r="B50" s="996" t="str">
        <f>'Rates I '!B53</f>
        <v>effective on April 1, 2025.</v>
      </c>
    </row>
    <row r="51" spans="1:2" x14ac:dyDescent="0.25">
      <c r="A51" s="1110" t="str">
        <f>'Rates I '!A54</f>
        <v>(6)</v>
      </c>
      <c r="B51" s="996" t="str">
        <f>'Rates I '!B54</f>
        <v>Phase V rates and charges represent a 4.31% across-the-board rate increase in Phase II rates and charges</v>
      </c>
    </row>
    <row r="52" spans="1:2" x14ac:dyDescent="0.25">
      <c r="B52" s="996" t="str">
        <f>'Rates I '!B55</f>
        <v>effective on April 1, 2026.</v>
      </c>
    </row>
    <row r="54" spans="1:2" x14ac:dyDescent="0.25">
      <c r="A54" s="1110"/>
      <c r="B54" s="132"/>
    </row>
    <row r="55" spans="1:2" x14ac:dyDescent="0.25">
      <c r="A55" s="1110"/>
      <c r="B55" s="132"/>
    </row>
    <row r="56" spans="1:2" x14ac:dyDescent="0.25">
      <c r="A56" s="1110"/>
      <c r="B56" s="132"/>
    </row>
    <row r="57" spans="1:2" x14ac:dyDescent="0.25">
      <c r="A57" s="1110"/>
      <c r="B57" s="132"/>
    </row>
    <row r="58" spans="1:2" x14ac:dyDescent="0.25">
      <c r="A58" s="1110"/>
      <c r="B58" s="132"/>
    </row>
    <row r="59" spans="1:2" x14ac:dyDescent="0.25">
      <c r="A59" s="1110"/>
      <c r="B59" s="132"/>
    </row>
    <row r="60" spans="1:2" x14ac:dyDescent="0.25">
      <c r="A60" s="1110"/>
      <c r="B60" s="132"/>
    </row>
    <row r="61" spans="1:2" x14ac:dyDescent="0.25">
      <c r="A61" s="1110"/>
      <c r="B61" s="132"/>
    </row>
    <row r="62" spans="1:2" x14ac:dyDescent="0.25">
      <c r="A62" s="1110"/>
      <c r="B62" s="132"/>
    </row>
    <row r="63" spans="1:2" x14ac:dyDescent="0.25">
      <c r="A63" s="1110"/>
      <c r="B63" s="132"/>
    </row>
    <row r="64" spans="1:2" x14ac:dyDescent="0.25">
      <c r="A64" s="1110"/>
      <c r="B64" s="132"/>
    </row>
    <row r="65" spans="1:24" x14ac:dyDescent="0.25">
      <c r="A65" s="1214"/>
      <c r="B65" s="132"/>
    </row>
    <row r="66" spans="1:24" x14ac:dyDescent="0.25">
      <c r="A66" s="1214"/>
      <c r="B66" s="132"/>
    </row>
    <row r="67" spans="1:24" x14ac:dyDescent="0.25">
      <c r="A67" s="1214"/>
      <c r="B67" s="132"/>
    </row>
    <row r="68" spans="1:24" x14ac:dyDescent="0.25">
      <c r="A68" s="1214"/>
      <c r="B68" s="132"/>
    </row>
    <row r="69" spans="1:24" x14ac:dyDescent="0.25">
      <c r="A69" s="1214"/>
      <c r="B69" s="132"/>
    </row>
    <row r="70" spans="1:24" x14ac:dyDescent="0.25">
      <c r="A70" s="1214"/>
      <c r="B70" s="132"/>
    </row>
    <row r="71" spans="1:24" x14ac:dyDescent="0.25">
      <c r="B71" s="313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4"/>
      <c r="U71" s="174"/>
      <c r="V71" s="174"/>
      <c r="W71" s="174"/>
      <c r="X71" s="174"/>
    </row>
    <row r="72" spans="1:24" x14ac:dyDescent="0.25"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4"/>
      <c r="U72" s="174"/>
      <c r="V72" s="174"/>
      <c r="W72" s="174"/>
      <c r="X72" s="174"/>
    </row>
    <row r="73" spans="1:24" x14ac:dyDescent="0.25">
      <c r="A73" s="174" t="str">
        <f>INFO!A10</f>
        <v>(Continued on next page)</v>
      </c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</row>
    <row r="74" spans="1:24" x14ac:dyDescent="0.25">
      <c r="A74" s="174"/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4"/>
      <c r="U74" s="174"/>
      <c r="V74" s="174"/>
      <c r="W74" s="174"/>
      <c r="X74" s="174"/>
    </row>
    <row r="75" spans="1:24" x14ac:dyDescent="0.25">
      <c r="A75" s="174" t="str">
        <f>'Rates I '!A69</f>
        <v>(See Accountants' Report)</v>
      </c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4"/>
      <c r="U75" s="174"/>
      <c r="V75" s="174"/>
      <c r="W75" s="174"/>
      <c r="X75" s="174"/>
    </row>
    <row r="76" spans="1:24" x14ac:dyDescent="0.25">
      <c r="A76" s="174"/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4"/>
      <c r="U76" s="174"/>
      <c r="V76" s="174"/>
      <c r="W76" s="174"/>
      <c r="X76" s="174"/>
    </row>
    <row r="77" spans="1:24" x14ac:dyDescent="0.25">
      <c r="A77" s="192">
        <f>'Rates I '!A71:T71+1</f>
        <v>31</v>
      </c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4"/>
      <c r="U77" s="174"/>
      <c r="V77" s="174"/>
      <c r="W77" s="174"/>
      <c r="X77" s="174"/>
    </row>
    <row r="82" spans="1:2" x14ac:dyDescent="0.25">
      <c r="A82" s="1110" t="s">
        <v>429</v>
      </c>
      <c r="B82" s="132" t="s">
        <v>488</v>
      </c>
    </row>
    <row r="83" spans="1:2" x14ac:dyDescent="0.25">
      <c r="B83" s="996" t="s">
        <v>491</v>
      </c>
    </row>
    <row r="84" spans="1:2" x14ac:dyDescent="0.25">
      <c r="A84" s="1110"/>
      <c r="B84" s="132" t="s">
        <v>489</v>
      </c>
    </row>
    <row r="85" spans="1:2" x14ac:dyDescent="0.25">
      <c r="A85" s="1110"/>
      <c r="B85" s="132" t="s">
        <v>490</v>
      </c>
    </row>
    <row r="91" spans="1:2" x14ac:dyDescent="0.25">
      <c r="B91" s="996" t="s">
        <v>379</v>
      </c>
    </row>
    <row r="92" spans="1:2" x14ac:dyDescent="0.25">
      <c r="B92" s="996" t="s">
        <v>378</v>
      </c>
    </row>
    <row r="93" spans="1:2" x14ac:dyDescent="0.25">
      <c r="B93" s="996" t="s">
        <v>481</v>
      </c>
    </row>
    <row r="94" spans="1:2" x14ac:dyDescent="0.25">
      <c r="B94" s="996" t="s">
        <v>482</v>
      </c>
    </row>
    <row r="96" spans="1:2" x14ac:dyDescent="0.25">
      <c r="B96" s="996" t="s">
        <v>443</v>
      </c>
    </row>
    <row r="97" spans="2:2" x14ac:dyDescent="0.25">
      <c r="B97" s="996" t="s">
        <v>508</v>
      </c>
    </row>
  </sheetData>
  <mergeCells count="1">
    <mergeCell ref="P5:X5"/>
  </mergeCells>
  <phoneticPr fontId="0" type="noConversion"/>
  <printOptions horizontalCentered="1"/>
  <pageMargins left="0.75" right="0.75" top="0.75" bottom="0.25" header="0.5" footer="0.5"/>
  <pageSetup scale="72" orientation="portrait" horizontalDpi="4294967295" verticalDpi="4294967295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7"/>
  <dimension ref="A1:AX115"/>
  <sheetViews>
    <sheetView view="pageBreakPreview" zoomScale="80" zoomScaleNormal="100" zoomScaleSheetLayoutView="80" workbookViewId="0">
      <selection activeCell="Y70" sqref="Y70"/>
    </sheetView>
  </sheetViews>
  <sheetFormatPr defaultColWidth="9.140625" defaultRowHeight="15.75" x14ac:dyDescent="0.25"/>
  <cols>
    <col min="1" max="1" width="4" style="996" bestFit="1" customWidth="1"/>
    <col min="2" max="2" width="9.42578125" style="996" customWidth="1"/>
    <col min="3" max="3" width="10.85546875" style="996" bestFit="1" customWidth="1"/>
    <col min="4" max="4" width="1.7109375" style="996" customWidth="1"/>
    <col min="5" max="5" width="7.28515625" style="996" customWidth="1"/>
    <col min="6" max="6" width="18.28515625" style="996" customWidth="1"/>
    <col min="7" max="7" width="2.42578125" style="996" hidden="1" customWidth="1"/>
    <col min="8" max="8" width="12" style="996" hidden="1" customWidth="1"/>
    <col min="9" max="9" width="1.7109375" style="996" hidden="1" customWidth="1"/>
    <col min="10" max="10" width="12" style="996" hidden="1" customWidth="1"/>
    <col min="11" max="11" width="1.7109375" style="996" hidden="1" customWidth="1"/>
    <col min="12" max="12" width="12" style="996" hidden="1" customWidth="1"/>
    <col min="13" max="13" width="1.7109375" style="996" customWidth="1"/>
    <col min="14" max="14" width="10.7109375" style="996" customWidth="1"/>
    <col min="15" max="15" width="1.85546875" style="996" customWidth="1"/>
    <col min="16" max="16" width="10.7109375" style="996" customWidth="1"/>
    <col min="17" max="17" width="1.85546875" style="996" customWidth="1"/>
    <col min="18" max="18" width="10.7109375" style="996" customWidth="1"/>
    <col min="19" max="19" width="1.85546875" style="996" customWidth="1"/>
    <col min="20" max="20" width="10.7109375" style="996" customWidth="1"/>
    <col min="21" max="21" width="1.85546875" style="996" customWidth="1"/>
    <col min="22" max="22" width="10.7109375" style="996" customWidth="1"/>
    <col min="23" max="23" width="1.85546875" style="996" customWidth="1"/>
    <col min="24" max="24" width="10.7109375" style="996" customWidth="1"/>
    <col min="25" max="25" width="9.140625" style="996"/>
    <col min="26" max="26" width="11.5703125" style="996" bestFit="1" customWidth="1"/>
    <col min="27" max="27" width="9.140625" style="996"/>
    <col min="28" max="28" width="10.85546875" style="996" customWidth="1"/>
    <col min="29" max="29" width="9.140625" style="996"/>
    <col min="30" max="30" width="9.85546875" style="996" bestFit="1" customWidth="1"/>
    <col min="31" max="16384" width="9.140625" style="996"/>
  </cols>
  <sheetData>
    <row r="1" spans="1:30" x14ac:dyDescent="0.25">
      <c r="A1" s="41" t="str">
        <f>INFO!B1</f>
        <v>EVANSVILLE (INDIANA) WATERWORKS DISTRICT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30" x14ac:dyDescent="0.25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41"/>
      <c r="Q2" s="41"/>
      <c r="S2" s="1105"/>
      <c r="U2" s="1105"/>
      <c r="V2" s="1105"/>
      <c r="W2" s="1105"/>
      <c r="X2" s="1105" t="s">
        <v>17</v>
      </c>
    </row>
    <row r="3" spans="1:30" x14ac:dyDescent="0.25">
      <c r="A3" s="136" t="str">
        <f>'Rates I '!A3</f>
        <v>SCHEDULE OF PRESENT AND PROPOSED RATES AND CHARGES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</row>
    <row r="5" spans="1:30" ht="16.5" thickBot="1" x14ac:dyDescent="0.3">
      <c r="C5" s="425"/>
      <c r="D5" s="425"/>
      <c r="E5" s="425"/>
      <c r="F5" s="425"/>
      <c r="G5" s="425"/>
      <c r="J5" s="1101" t="s">
        <v>471</v>
      </c>
      <c r="K5" s="172"/>
      <c r="L5" s="1101" t="s">
        <v>530</v>
      </c>
      <c r="M5" s="61"/>
      <c r="N5" s="61"/>
      <c r="O5" s="61"/>
      <c r="P5" s="1433" t="s">
        <v>256</v>
      </c>
      <c r="Q5" s="1433"/>
      <c r="R5" s="1433"/>
      <c r="S5" s="1433"/>
      <c r="T5" s="1433"/>
      <c r="U5" s="1433"/>
      <c r="V5" s="1433"/>
      <c r="W5" s="1433"/>
      <c r="X5" s="1433"/>
    </row>
    <row r="6" spans="1:30" ht="16.5" thickBot="1" x14ac:dyDescent="0.3">
      <c r="A6" s="425"/>
      <c r="B6" s="425"/>
      <c r="C6" s="425"/>
      <c r="D6" s="425"/>
      <c r="E6" s="425"/>
      <c r="F6" s="425"/>
      <c r="G6" s="425"/>
      <c r="H6" s="1101" t="s">
        <v>181</v>
      </c>
      <c r="J6" s="1101" t="s">
        <v>352</v>
      </c>
      <c r="K6" s="61"/>
      <c r="L6" s="1101" t="s">
        <v>507</v>
      </c>
      <c r="M6" s="61"/>
      <c r="N6" s="1101" t="s">
        <v>471</v>
      </c>
      <c r="O6" s="61"/>
      <c r="P6" s="1101" t="s">
        <v>352</v>
      </c>
      <c r="Q6" s="61"/>
      <c r="R6" s="1101" t="s">
        <v>353</v>
      </c>
      <c r="S6" s="61"/>
      <c r="T6" s="1101" t="s">
        <v>354</v>
      </c>
      <c r="U6" s="61"/>
      <c r="V6" s="1101" t="s">
        <v>901</v>
      </c>
      <c r="W6" s="61"/>
      <c r="X6" s="1101" t="s">
        <v>902</v>
      </c>
      <c r="Z6" s="1187"/>
      <c r="AA6" s="1188"/>
      <c r="AB6" s="1188"/>
      <c r="AC6" s="1188"/>
      <c r="AD6" s="1189"/>
    </row>
    <row r="7" spans="1:30" x14ac:dyDescent="0.25">
      <c r="A7" s="425"/>
      <c r="B7" s="145"/>
      <c r="C7" s="466"/>
      <c r="D7" s="425"/>
      <c r="E7" s="425"/>
      <c r="F7" s="425"/>
      <c r="G7" s="425"/>
    </row>
    <row r="8" spans="1:30" x14ac:dyDescent="0.25">
      <c r="A8" s="61" t="s">
        <v>461</v>
      </c>
      <c r="B8" s="145" t="s">
        <v>464</v>
      </c>
      <c r="J8" s="354"/>
      <c r="L8" s="354"/>
      <c r="N8" s="354"/>
      <c r="O8" s="354"/>
      <c r="P8" s="354"/>
      <c r="Q8" s="354"/>
      <c r="R8" s="354"/>
      <c r="S8" s="354"/>
      <c r="T8" s="354"/>
      <c r="U8" s="354"/>
      <c r="V8" s="354"/>
      <c r="W8" s="354"/>
      <c r="X8" s="354"/>
      <c r="Z8" s="70"/>
      <c r="AB8" s="70"/>
      <c r="AD8" s="70"/>
    </row>
    <row r="9" spans="1:30" x14ac:dyDescent="0.25">
      <c r="A9" s="425"/>
      <c r="J9" s="354"/>
      <c r="L9" s="354"/>
      <c r="N9" s="354"/>
      <c r="O9" s="354"/>
      <c r="P9" s="354"/>
      <c r="Q9" s="354"/>
      <c r="R9" s="354"/>
      <c r="S9" s="354"/>
      <c r="T9" s="354"/>
      <c r="U9" s="354"/>
      <c r="V9" s="354"/>
      <c r="W9" s="354"/>
      <c r="X9" s="354"/>
      <c r="Z9" s="70"/>
      <c r="AB9" s="70"/>
      <c r="AD9" s="70"/>
    </row>
    <row r="10" spans="1:30" x14ac:dyDescent="0.25">
      <c r="A10" s="425"/>
      <c r="B10" s="170" t="s">
        <v>330</v>
      </c>
      <c r="C10" s="996" t="s">
        <v>465</v>
      </c>
      <c r="J10" s="354">
        <v>500</v>
      </c>
      <c r="L10" s="213">
        <v>500</v>
      </c>
      <c r="M10" s="213"/>
      <c r="N10" s="213">
        <v>500</v>
      </c>
      <c r="O10" s="213"/>
      <c r="P10" s="213">
        <v>500</v>
      </c>
      <c r="Q10" s="213"/>
      <c r="R10" s="213">
        <v>500</v>
      </c>
      <c r="S10" s="213"/>
      <c r="T10" s="213">
        <v>500</v>
      </c>
      <c r="U10" s="213"/>
      <c r="V10" s="213">
        <v>500</v>
      </c>
      <c r="W10" s="213"/>
      <c r="X10" s="213">
        <v>500</v>
      </c>
      <c r="Z10" s="70"/>
      <c r="AB10" s="70"/>
      <c r="AD10" s="70"/>
    </row>
    <row r="11" spans="1:30" x14ac:dyDescent="0.25">
      <c r="A11" s="425"/>
      <c r="B11" s="170" t="s">
        <v>323</v>
      </c>
      <c r="C11" s="996" t="s">
        <v>466</v>
      </c>
      <c r="J11" s="354">
        <v>1000</v>
      </c>
      <c r="L11" s="354">
        <v>1000</v>
      </c>
      <c r="N11" s="354">
        <v>1000</v>
      </c>
      <c r="O11" s="354"/>
      <c r="P11" s="354">
        <v>1000</v>
      </c>
      <c r="Q11" s="354"/>
      <c r="R11" s="354">
        <v>1000</v>
      </c>
      <c r="S11" s="354"/>
      <c r="T11" s="354">
        <v>1000</v>
      </c>
      <c r="U11" s="354"/>
      <c r="V11" s="354">
        <v>1000</v>
      </c>
      <c r="W11" s="354"/>
      <c r="X11" s="354">
        <v>1000</v>
      </c>
      <c r="Z11" s="70"/>
      <c r="AB11" s="70"/>
      <c r="AD11" s="70"/>
    </row>
    <row r="12" spans="1:30" x14ac:dyDescent="0.25">
      <c r="A12" s="425"/>
      <c r="J12" s="354"/>
      <c r="L12" s="354"/>
      <c r="N12" s="354"/>
      <c r="O12" s="354"/>
      <c r="P12" s="354"/>
      <c r="Q12" s="354"/>
      <c r="R12" s="354"/>
      <c r="S12" s="354"/>
      <c r="T12" s="354"/>
      <c r="U12" s="354"/>
      <c r="V12" s="354"/>
      <c r="W12" s="354"/>
      <c r="X12" s="354"/>
    </row>
    <row r="13" spans="1:30" x14ac:dyDescent="0.25">
      <c r="A13" s="185" t="s">
        <v>463</v>
      </c>
      <c r="B13" s="145" t="s">
        <v>89</v>
      </c>
      <c r="J13" s="354">
        <v>23</v>
      </c>
      <c r="L13" s="213">
        <v>23</v>
      </c>
      <c r="M13" s="213"/>
      <c r="N13" s="213">
        <v>23</v>
      </c>
      <c r="O13" s="213"/>
      <c r="P13" s="213">
        <v>23</v>
      </c>
      <c r="Q13" s="213"/>
      <c r="R13" s="213">
        <v>23</v>
      </c>
      <c r="S13" s="213"/>
      <c r="T13" s="213">
        <v>23</v>
      </c>
      <c r="U13" s="213"/>
      <c r="V13" s="213">
        <v>23</v>
      </c>
      <c r="W13" s="213"/>
      <c r="X13" s="213">
        <v>23</v>
      </c>
    </row>
    <row r="14" spans="1:30" x14ac:dyDescent="0.25">
      <c r="A14" s="425"/>
      <c r="J14" s="354"/>
      <c r="L14" s="354"/>
      <c r="N14" s="354"/>
      <c r="O14" s="354"/>
      <c r="P14" s="354"/>
      <c r="Q14" s="354"/>
      <c r="R14" s="354"/>
      <c r="S14" s="354"/>
      <c r="T14" s="354"/>
      <c r="U14" s="354"/>
      <c r="V14" s="354"/>
      <c r="W14" s="354"/>
      <c r="X14" s="354"/>
      <c r="Z14" s="70"/>
      <c r="AB14" s="70"/>
      <c r="AD14" s="70"/>
    </row>
    <row r="15" spans="1:30" x14ac:dyDescent="0.25">
      <c r="A15" s="185" t="s">
        <v>467</v>
      </c>
      <c r="B15" s="145" t="s">
        <v>195</v>
      </c>
      <c r="J15" s="354">
        <v>45</v>
      </c>
      <c r="L15" s="213">
        <v>45</v>
      </c>
      <c r="M15" s="213"/>
      <c r="N15" s="213">
        <v>45</v>
      </c>
      <c r="O15" s="213"/>
      <c r="P15" s="213">
        <v>45</v>
      </c>
      <c r="Q15" s="213"/>
      <c r="R15" s="213">
        <v>45</v>
      </c>
      <c r="S15" s="213"/>
      <c r="T15" s="213">
        <v>45</v>
      </c>
      <c r="U15" s="213"/>
      <c r="V15" s="213">
        <v>45</v>
      </c>
      <c r="W15" s="213"/>
      <c r="X15" s="213">
        <v>45</v>
      </c>
      <c r="Z15" s="70"/>
      <c r="AB15" s="70"/>
      <c r="AD15" s="70"/>
    </row>
    <row r="16" spans="1:30" x14ac:dyDescent="0.25">
      <c r="A16" s="425"/>
      <c r="B16" s="1112"/>
      <c r="D16" s="425"/>
      <c r="E16" s="425"/>
      <c r="F16" s="425"/>
      <c r="G16" s="425"/>
      <c r="H16" s="354"/>
      <c r="I16" s="425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Z16" s="70"/>
      <c r="AB16" s="70"/>
      <c r="AD16" s="70"/>
    </row>
    <row r="17" spans="1:30" x14ac:dyDescent="0.25">
      <c r="A17" s="185" t="s">
        <v>468</v>
      </c>
      <c r="B17" s="1231" t="s">
        <v>470</v>
      </c>
      <c r="D17" s="425"/>
      <c r="E17" s="425"/>
      <c r="F17" s="425"/>
      <c r="G17" s="425"/>
      <c r="H17" s="354"/>
      <c r="I17" s="425"/>
      <c r="K17" s="404"/>
      <c r="L17" s="404"/>
      <c r="M17" s="404"/>
      <c r="N17" s="174"/>
      <c r="O17" s="187"/>
      <c r="P17" s="187" t="s">
        <v>452</v>
      </c>
      <c r="Q17" s="187"/>
      <c r="R17" s="187"/>
      <c r="S17" s="187"/>
      <c r="T17" s="174"/>
      <c r="U17" s="174"/>
      <c r="V17" s="174"/>
      <c r="W17" s="174"/>
      <c r="X17" s="174"/>
      <c r="Z17" s="70"/>
      <c r="AB17" s="70"/>
      <c r="AD17" s="70"/>
    </row>
    <row r="18" spans="1:30" x14ac:dyDescent="0.25">
      <c r="A18" s="425"/>
      <c r="B18" s="1112"/>
      <c r="D18" s="425"/>
      <c r="E18" s="425"/>
      <c r="F18" s="425"/>
      <c r="G18" s="425"/>
      <c r="H18" s="354"/>
      <c r="I18" s="425"/>
      <c r="J18" s="354"/>
      <c r="K18" s="354"/>
      <c r="L18" s="354"/>
      <c r="M18" s="354"/>
      <c r="N18" s="354"/>
      <c r="O18" s="354"/>
      <c r="P18" s="354"/>
      <c r="Q18" s="354"/>
      <c r="R18" s="354"/>
      <c r="S18" s="354"/>
      <c r="Z18" s="70"/>
      <c r="AB18" s="70"/>
      <c r="AD18" s="70"/>
    </row>
    <row r="19" spans="1:30" x14ac:dyDescent="0.25">
      <c r="A19" s="170" t="s">
        <v>469</v>
      </c>
      <c r="B19" s="1231" t="s">
        <v>547</v>
      </c>
      <c r="D19" s="425"/>
      <c r="E19" s="425"/>
      <c r="F19" s="425"/>
      <c r="G19" s="425"/>
      <c r="H19" s="354"/>
      <c r="I19" s="425"/>
      <c r="J19" s="354"/>
      <c r="K19" s="354"/>
      <c r="L19" s="213">
        <v>60</v>
      </c>
      <c r="M19" s="213"/>
      <c r="N19" s="213">
        <v>60</v>
      </c>
      <c r="O19" s="213"/>
      <c r="P19" s="213">
        <v>60</v>
      </c>
      <c r="Q19" s="213"/>
      <c r="R19" s="213">
        <v>60</v>
      </c>
      <c r="S19" s="213"/>
      <c r="T19" s="213">
        <v>60</v>
      </c>
      <c r="U19" s="213"/>
      <c r="V19" s="213">
        <v>60</v>
      </c>
      <c r="W19" s="213"/>
      <c r="X19" s="213">
        <v>60</v>
      </c>
      <c r="Z19" s="70"/>
      <c r="AB19" s="70"/>
      <c r="AD19" s="70"/>
    </row>
    <row r="20" spans="1:30" x14ac:dyDescent="0.25">
      <c r="A20" s="425"/>
      <c r="B20" s="1112"/>
      <c r="D20" s="425"/>
      <c r="E20" s="425"/>
      <c r="F20" s="425"/>
      <c r="G20" s="425"/>
      <c r="H20" s="354"/>
      <c r="I20" s="425"/>
      <c r="J20" s="354"/>
      <c r="K20" s="354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Z20" s="70"/>
      <c r="AB20" s="70"/>
      <c r="AD20" s="70"/>
    </row>
    <row r="21" spans="1:30" x14ac:dyDescent="0.25">
      <c r="A21" s="185" t="s">
        <v>544</v>
      </c>
      <c r="B21" s="145" t="s">
        <v>548</v>
      </c>
      <c r="L21" s="213">
        <v>34</v>
      </c>
      <c r="M21" s="213"/>
      <c r="N21" s="213">
        <v>34</v>
      </c>
      <c r="O21" s="213"/>
      <c r="P21" s="213">
        <v>34</v>
      </c>
      <c r="Q21" s="213"/>
      <c r="R21" s="213">
        <v>34</v>
      </c>
      <c r="S21" s="213"/>
      <c r="T21" s="213">
        <v>34</v>
      </c>
      <c r="U21" s="213"/>
      <c r="V21" s="213">
        <v>34</v>
      </c>
      <c r="W21" s="213"/>
      <c r="X21" s="213">
        <v>34</v>
      </c>
      <c r="Z21" s="70"/>
      <c r="AB21" s="70"/>
      <c r="AD21" s="70"/>
    </row>
    <row r="22" spans="1:30" x14ac:dyDescent="0.25">
      <c r="A22" s="425"/>
      <c r="B22" s="425"/>
      <c r="C22" s="425"/>
      <c r="D22" s="425"/>
      <c r="E22" s="425"/>
      <c r="F22" s="425"/>
      <c r="G22" s="425"/>
      <c r="H22" s="425"/>
      <c r="I22" s="425"/>
      <c r="J22" s="425"/>
      <c r="K22" s="425"/>
      <c r="L22" s="213"/>
      <c r="M22" s="213"/>
      <c r="N22" s="213"/>
      <c r="O22" s="213"/>
      <c r="P22" s="213"/>
      <c r="Q22" s="213"/>
      <c r="R22" s="213"/>
      <c r="S22" s="213"/>
      <c r="T22" s="213"/>
      <c r="U22" s="213"/>
      <c r="V22" s="213"/>
      <c r="W22" s="213"/>
      <c r="X22" s="213"/>
    </row>
    <row r="23" spans="1:30" x14ac:dyDescent="0.25">
      <c r="A23" s="61" t="s">
        <v>545</v>
      </c>
      <c r="B23" s="145" t="s">
        <v>549</v>
      </c>
      <c r="L23" s="213"/>
      <c r="M23" s="213"/>
      <c r="N23" s="213"/>
      <c r="O23" s="213"/>
      <c r="P23" s="213"/>
      <c r="Q23" s="213"/>
      <c r="R23" s="213"/>
      <c r="S23" s="213"/>
      <c r="T23" s="213"/>
      <c r="U23" s="213"/>
      <c r="V23" s="213"/>
      <c r="W23" s="213"/>
      <c r="X23" s="213"/>
    </row>
    <row r="24" spans="1:30" x14ac:dyDescent="0.25">
      <c r="L24" s="213"/>
      <c r="M24" s="213"/>
      <c r="N24" s="213"/>
      <c r="O24" s="213"/>
      <c r="P24" s="213"/>
      <c r="Q24" s="213"/>
      <c r="R24" s="213"/>
      <c r="S24" s="213"/>
      <c r="T24" s="213"/>
      <c r="U24" s="213"/>
      <c r="V24" s="213"/>
      <c r="W24" s="213"/>
      <c r="X24" s="213"/>
    </row>
    <row r="25" spans="1:30" x14ac:dyDescent="0.25">
      <c r="B25" s="170" t="s">
        <v>453</v>
      </c>
      <c r="C25" s="996" t="s">
        <v>188</v>
      </c>
      <c r="L25" s="213">
        <v>215</v>
      </c>
      <c r="M25" s="213"/>
      <c r="N25" s="213">
        <v>215</v>
      </c>
      <c r="O25" s="213"/>
      <c r="P25" s="213">
        <v>215</v>
      </c>
      <c r="Q25" s="213"/>
      <c r="R25" s="213">
        <v>215</v>
      </c>
      <c r="S25" s="213"/>
      <c r="T25" s="213">
        <v>215</v>
      </c>
      <c r="U25" s="213"/>
      <c r="V25" s="213">
        <v>215</v>
      </c>
      <c r="W25" s="213"/>
      <c r="X25" s="213">
        <v>215</v>
      </c>
    </row>
    <row r="26" spans="1:30" x14ac:dyDescent="0.25">
      <c r="B26" s="996" t="s">
        <v>550</v>
      </c>
      <c r="L26" s="354" t="s">
        <v>455</v>
      </c>
      <c r="N26" s="1190" t="s">
        <v>455</v>
      </c>
      <c r="O26" s="1190"/>
      <c r="P26" s="1190" t="s">
        <v>455</v>
      </c>
      <c r="Q26" s="1190"/>
      <c r="R26" s="1190" t="s">
        <v>455</v>
      </c>
      <c r="S26" s="1190"/>
      <c r="T26" s="1190" t="s">
        <v>455</v>
      </c>
      <c r="U26" s="1190"/>
      <c r="V26" s="1190" t="s">
        <v>455</v>
      </c>
      <c r="W26" s="1190"/>
      <c r="X26" s="1190" t="s">
        <v>455</v>
      </c>
    </row>
    <row r="27" spans="1:30" x14ac:dyDescent="0.25">
      <c r="J27" s="354"/>
    </row>
    <row r="28" spans="1:30" x14ac:dyDescent="0.25">
      <c r="A28" s="183" t="s">
        <v>546</v>
      </c>
      <c r="B28" s="145" t="s">
        <v>588</v>
      </c>
      <c r="J28" s="354"/>
      <c r="N28" s="213">
        <v>160</v>
      </c>
      <c r="P28" s="213">
        <v>160</v>
      </c>
      <c r="R28" s="213">
        <v>160</v>
      </c>
      <c r="S28" s="213"/>
      <c r="T28" s="213">
        <v>160</v>
      </c>
      <c r="U28" s="213"/>
      <c r="V28" s="213">
        <v>160</v>
      </c>
      <c r="W28" s="213"/>
      <c r="X28" s="213">
        <v>160</v>
      </c>
    </row>
    <row r="29" spans="1:30" x14ac:dyDescent="0.25">
      <c r="J29" s="354"/>
    </row>
    <row r="30" spans="1:30" x14ac:dyDescent="0.25">
      <c r="A30" s="183" t="s">
        <v>587</v>
      </c>
      <c r="B30" s="145" t="s">
        <v>590</v>
      </c>
      <c r="J30" s="354"/>
      <c r="N30" s="213">
        <v>50</v>
      </c>
      <c r="P30" s="213">
        <v>50</v>
      </c>
      <c r="R30" s="213">
        <v>50</v>
      </c>
      <c r="S30" s="213"/>
      <c r="T30" s="213">
        <v>50</v>
      </c>
      <c r="U30" s="213"/>
      <c r="V30" s="213">
        <v>50</v>
      </c>
      <c r="W30" s="213"/>
      <c r="X30" s="213">
        <v>50</v>
      </c>
    </row>
    <row r="31" spans="1:30" x14ac:dyDescent="0.25">
      <c r="J31" s="354"/>
    </row>
    <row r="32" spans="1:30" x14ac:dyDescent="0.25">
      <c r="A32" s="183" t="s">
        <v>589</v>
      </c>
      <c r="B32" s="145" t="s">
        <v>999</v>
      </c>
      <c r="J32" s="404"/>
      <c r="K32" s="404"/>
      <c r="L32" s="404"/>
      <c r="M32" s="404"/>
      <c r="N32" s="404"/>
      <c r="O32" s="404"/>
      <c r="P32" s="404"/>
      <c r="Q32" s="404"/>
      <c r="R32" s="404"/>
      <c r="S32" s="404"/>
    </row>
    <row r="33" spans="1:24" x14ac:dyDescent="0.25">
      <c r="B33" s="1119"/>
    </row>
    <row r="34" spans="1:24" ht="15.75" customHeight="1" x14ac:dyDescent="0.25">
      <c r="A34" s="1110"/>
      <c r="B34" s="170" t="s">
        <v>2</v>
      </c>
      <c r="C34" s="996" t="s">
        <v>188</v>
      </c>
      <c r="N34" s="213">
        <v>145</v>
      </c>
      <c r="P34" s="213">
        <f>N34</f>
        <v>145</v>
      </c>
      <c r="R34" s="213">
        <f>P34</f>
        <v>145</v>
      </c>
      <c r="T34" s="213">
        <f>R34</f>
        <v>145</v>
      </c>
      <c r="V34" s="213">
        <f>T34</f>
        <v>145</v>
      </c>
      <c r="X34" s="213">
        <f>V34</f>
        <v>145</v>
      </c>
    </row>
    <row r="35" spans="1:24" ht="15.75" customHeight="1" x14ac:dyDescent="0.25">
      <c r="B35" s="1230" t="s">
        <v>453</v>
      </c>
      <c r="C35" s="996" t="s">
        <v>188</v>
      </c>
      <c r="N35" s="354">
        <v>160</v>
      </c>
      <c r="P35" s="354">
        <f>N35</f>
        <v>160</v>
      </c>
      <c r="R35" s="354">
        <f>P35</f>
        <v>160</v>
      </c>
      <c r="T35" s="354">
        <f>R35</f>
        <v>160</v>
      </c>
      <c r="V35" s="354">
        <f>T35</f>
        <v>160</v>
      </c>
      <c r="X35" s="354">
        <f>V35</f>
        <v>160</v>
      </c>
    </row>
    <row r="36" spans="1:24" x14ac:dyDescent="0.25">
      <c r="A36" s="1110"/>
      <c r="B36" s="1230" t="s">
        <v>330</v>
      </c>
      <c r="C36" s="996" t="s">
        <v>188</v>
      </c>
      <c r="N36" s="354">
        <v>180</v>
      </c>
      <c r="P36" s="354">
        <f>N36</f>
        <v>180</v>
      </c>
      <c r="R36" s="354">
        <f>P36</f>
        <v>180</v>
      </c>
      <c r="T36" s="354">
        <f>R36</f>
        <v>180</v>
      </c>
      <c r="V36" s="354">
        <f>T36</f>
        <v>180</v>
      </c>
      <c r="X36" s="354">
        <f>V36</f>
        <v>180</v>
      </c>
    </row>
    <row r="54" spans="1:24" x14ac:dyDescent="0.25">
      <c r="A54" s="1110"/>
    </row>
    <row r="55" spans="1:24" x14ac:dyDescent="0.25">
      <c r="A55" s="1110"/>
    </row>
    <row r="56" spans="1:24" x14ac:dyDescent="0.25">
      <c r="A56" s="1110"/>
    </row>
    <row r="57" spans="1:24" x14ac:dyDescent="0.25">
      <c r="A57" s="1110"/>
    </row>
    <row r="58" spans="1:24" x14ac:dyDescent="0.25">
      <c r="A58" s="1110"/>
    </row>
    <row r="59" spans="1:24" x14ac:dyDescent="0.25">
      <c r="A59" s="1110"/>
    </row>
    <row r="60" spans="1:24" x14ac:dyDescent="0.25">
      <c r="A60" s="1110"/>
    </row>
    <row r="62" spans="1:24" x14ac:dyDescent="0.25">
      <c r="A62" s="174"/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4"/>
      <c r="U62" s="174"/>
      <c r="V62" s="174"/>
      <c r="W62" s="174"/>
      <c r="X62" s="174"/>
    </row>
    <row r="63" spans="1:24" x14ac:dyDescent="0.25">
      <c r="A63" s="174"/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</row>
    <row r="64" spans="1:24" x14ac:dyDescent="0.25">
      <c r="A64" s="174" t="str">
        <f>'Rates II'!A75</f>
        <v>(See Accountants' Report)</v>
      </c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4"/>
      <c r="U64" s="174"/>
      <c r="V64" s="174"/>
      <c r="W64" s="174"/>
      <c r="X64" s="174"/>
    </row>
    <row r="65" spans="1:24" x14ac:dyDescent="0.25">
      <c r="A65" s="174"/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4"/>
      <c r="U65" s="174"/>
      <c r="V65" s="174"/>
      <c r="W65" s="174"/>
      <c r="X65" s="174"/>
    </row>
    <row r="66" spans="1:24" x14ac:dyDescent="0.25">
      <c r="A66" s="192">
        <f>'Rates II'!A77+1</f>
        <v>32</v>
      </c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4"/>
      <c r="U66" s="174"/>
      <c r="V66" s="174"/>
      <c r="W66" s="174"/>
      <c r="X66" s="174"/>
    </row>
    <row r="101" spans="36:50" x14ac:dyDescent="0.25">
      <c r="AJ101" s="206" t="s">
        <v>193</v>
      </c>
      <c r="AK101" s="485" t="s">
        <v>200</v>
      </c>
      <c r="AL101" s="425"/>
      <c r="AM101" s="425"/>
      <c r="AN101" s="425"/>
      <c r="AO101" s="425"/>
      <c r="AP101" s="425"/>
      <c r="AQ101" s="425"/>
      <c r="AR101" s="425"/>
      <c r="AS101" s="425"/>
      <c r="AT101" s="425"/>
      <c r="AU101" s="425"/>
      <c r="AV101" s="425"/>
      <c r="AW101" s="425"/>
      <c r="AX101" s="425"/>
    </row>
    <row r="102" spans="36:50" x14ac:dyDescent="0.25">
      <c r="AM102" s="425"/>
      <c r="AN102" s="425"/>
      <c r="AO102" s="425"/>
      <c r="AP102" s="425"/>
      <c r="AQ102" s="425"/>
      <c r="AR102" s="425"/>
      <c r="AS102" s="425"/>
      <c r="AT102" s="425"/>
      <c r="AU102" s="425"/>
      <c r="AV102" s="425"/>
      <c r="AW102" s="425"/>
      <c r="AX102" s="425"/>
    </row>
    <row r="103" spans="36:50" x14ac:dyDescent="0.25">
      <c r="AK103" s="996" t="s">
        <v>195</v>
      </c>
      <c r="AM103" s="425"/>
      <c r="AN103" s="425"/>
      <c r="AO103" s="425"/>
      <c r="AP103" s="425"/>
      <c r="AQ103" s="363">
        <v>10</v>
      </c>
      <c r="AR103" s="425"/>
      <c r="AS103" s="363">
        <f>AQ103</f>
        <v>10</v>
      </c>
      <c r="AT103" s="363"/>
      <c r="AU103" s="363">
        <f>AS103</f>
        <v>10</v>
      </c>
      <c r="AV103" s="363"/>
      <c r="AW103" s="363">
        <f>AU103</f>
        <v>10</v>
      </c>
      <c r="AX103" s="425"/>
    </row>
    <row r="104" spans="36:50" x14ac:dyDescent="0.25">
      <c r="AJ104" s="1110"/>
      <c r="AQ104" s="213"/>
    </row>
    <row r="105" spans="36:50" x14ac:dyDescent="0.25">
      <c r="AJ105" s="1110"/>
      <c r="AK105" s="996" t="s">
        <v>89</v>
      </c>
      <c r="AQ105" s="358">
        <v>15</v>
      </c>
      <c r="AS105" s="358">
        <f>AQ105</f>
        <v>15</v>
      </c>
      <c r="AT105" s="358"/>
      <c r="AU105" s="358">
        <f>AS105</f>
        <v>15</v>
      </c>
      <c r="AV105" s="358"/>
      <c r="AW105" s="358">
        <f>AU105</f>
        <v>15</v>
      </c>
    </row>
    <row r="106" spans="36:50" x14ac:dyDescent="0.25">
      <c r="AJ106" s="1110"/>
      <c r="AQ106" s="358"/>
    </row>
    <row r="107" spans="36:50" x14ac:dyDescent="0.25">
      <c r="AJ107" s="1110"/>
      <c r="AK107" s="996" t="s">
        <v>196</v>
      </c>
      <c r="AQ107" s="358">
        <v>15</v>
      </c>
      <c r="AS107" s="358">
        <f>AQ107</f>
        <v>15</v>
      </c>
      <c r="AT107" s="358"/>
      <c r="AU107" s="358">
        <f>AS107</f>
        <v>15</v>
      </c>
      <c r="AV107" s="358"/>
      <c r="AW107" s="358">
        <f>AU107</f>
        <v>15</v>
      </c>
    </row>
    <row r="108" spans="36:50" x14ac:dyDescent="0.25">
      <c r="AJ108" s="1110"/>
      <c r="AQ108" s="358"/>
    </row>
    <row r="109" spans="36:50" x14ac:dyDescent="0.25">
      <c r="AJ109" s="1110"/>
      <c r="AQ109" s="358"/>
    </row>
    <row r="110" spans="36:50" x14ac:dyDescent="0.25">
      <c r="AJ110" s="1110"/>
      <c r="AQ110" s="358"/>
    </row>
    <row r="111" spans="36:50" x14ac:dyDescent="0.25">
      <c r="AJ111" s="1110"/>
      <c r="AK111" s="996" t="s">
        <v>197</v>
      </c>
      <c r="AQ111" s="57" t="s">
        <v>198</v>
      </c>
      <c r="AR111" s="174"/>
      <c r="AS111" s="174"/>
      <c r="AT111" s="174"/>
      <c r="AU111" s="174"/>
      <c r="AV111" s="174"/>
      <c r="AW111" s="174"/>
    </row>
    <row r="112" spans="36:50" x14ac:dyDescent="0.25">
      <c r="AJ112" s="1110"/>
      <c r="AQ112" s="57" t="s">
        <v>199</v>
      </c>
      <c r="AR112" s="174"/>
      <c r="AS112" s="174"/>
      <c r="AT112" s="174"/>
      <c r="AU112" s="174"/>
      <c r="AV112" s="174"/>
      <c r="AW112" s="174"/>
    </row>
    <row r="113" spans="36:49" x14ac:dyDescent="0.25">
      <c r="AJ113" s="1110"/>
      <c r="AK113" s="145" t="s">
        <v>159</v>
      </c>
    </row>
    <row r="115" spans="36:49" x14ac:dyDescent="0.25">
      <c r="AK115" s="996" t="s">
        <v>187</v>
      </c>
      <c r="AL115" s="996" t="s">
        <v>188</v>
      </c>
      <c r="AQ115" s="213">
        <v>700</v>
      </c>
      <c r="AS115" s="213">
        <f>+AQ115</f>
        <v>700</v>
      </c>
      <c r="AT115" s="213"/>
      <c r="AU115" s="213">
        <f>AS115</f>
        <v>700</v>
      </c>
      <c r="AV115" s="213"/>
      <c r="AW115" s="213">
        <f>AU115</f>
        <v>700</v>
      </c>
    </row>
  </sheetData>
  <mergeCells count="1">
    <mergeCell ref="P5:X5"/>
  </mergeCells>
  <printOptions horizontalCentered="1"/>
  <pageMargins left="0.7" right="0.7" top="0.75" bottom="0.25" header="0.3" footer="0.3"/>
  <pageSetup scale="72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40">
    <pageSetUpPr fitToPage="1"/>
  </sheetPr>
  <dimension ref="A1:I5"/>
  <sheetViews>
    <sheetView view="pageBreakPreview" zoomScale="60" zoomScaleNormal="100" workbookViewId="0">
      <selection activeCell="Y70" sqref="Y70"/>
    </sheetView>
  </sheetViews>
  <sheetFormatPr defaultColWidth="9.140625" defaultRowHeight="15.75" x14ac:dyDescent="0.25"/>
  <cols>
    <col min="1" max="16384" width="9.140625" style="13"/>
  </cols>
  <sheetData>
    <row r="1" spans="1:9" x14ac:dyDescent="0.25">
      <c r="A1" s="1456" t="str">
        <f>INFO!B1</f>
        <v>EVANSVILLE (INDIANA) WATERWORKS DISTRICT</v>
      </c>
      <c r="B1" s="1456"/>
      <c r="C1" s="1456"/>
      <c r="D1" s="1456"/>
      <c r="E1" s="1456"/>
      <c r="F1" s="1456"/>
      <c r="G1" s="1456"/>
      <c r="H1" s="1456"/>
    </row>
    <row r="2" spans="1:9" x14ac:dyDescent="0.25">
      <c r="A2" s="1456"/>
      <c r="B2" s="1456"/>
      <c r="C2" s="1456"/>
      <c r="D2" s="1456"/>
      <c r="E2" s="1456"/>
      <c r="F2" s="1456"/>
      <c r="G2" s="1456"/>
      <c r="H2" s="1456"/>
    </row>
    <row r="4" spans="1:9" x14ac:dyDescent="0.25">
      <c r="A4" s="1457" t="s">
        <v>693</v>
      </c>
      <c r="B4" s="1457"/>
      <c r="C4" s="1457"/>
      <c r="D4" s="1457"/>
      <c r="E4" s="1457"/>
      <c r="F4" s="1457"/>
      <c r="G4" s="1457"/>
      <c r="H4" s="1457"/>
      <c r="I4" s="12"/>
    </row>
    <row r="5" spans="1:9" x14ac:dyDescent="0.25">
      <c r="A5" s="1457"/>
      <c r="B5" s="1457"/>
      <c r="C5" s="1457"/>
      <c r="D5" s="1457"/>
      <c r="E5" s="1457"/>
      <c r="F5" s="1457"/>
      <c r="G5" s="1457"/>
      <c r="H5" s="1457"/>
    </row>
  </sheetData>
  <mergeCells count="4">
    <mergeCell ref="A1:H1"/>
    <mergeCell ref="A2:H2"/>
    <mergeCell ref="A4:H4"/>
    <mergeCell ref="A5:H5"/>
  </mergeCells>
  <printOptions horizontalCentered="1" verticalCentered="1"/>
  <pageMargins left="0.75" right="0.75" top="1" bottom="1" header="0.5" footer="0.5"/>
  <pageSetup orientation="portrait" horizontalDpi="4294967295" verticalDpi="4294967295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41"/>
  <dimension ref="A1:R180"/>
  <sheetViews>
    <sheetView view="pageBreakPreview" zoomScale="60" zoomScaleNormal="100" workbookViewId="0">
      <selection activeCell="A85" sqref="A85:M85"/>
    </sheetView>
  </sheetViews>
  <sheetFormatPr defaultRowHeight="15.75" x14ac:dyDescent="0.25"/>
  <cols>
    <col min="1" max="2" width="2.42578125" style="268" customWidth="1"/>
    <col min="3" max="3" width="2.7109375" style="268" customWidth="1"/>
    <col min="4" max="4" width="49.7109375" style="268" customWidth="1"/>
    <col min="5" max="5" width="2.85546875" style="268" customWidth="1"/>
    <col min="6" max="6" width="3" style="421" customWidth="1"/>
    <col min="7" max="7" width="19.5703125" style="421" customWidth="1"/>
    <col min="8" max="8" width="2.42578125" style="421" customWidth="1"/>
    <col min="9" max="9" width="17.7109375" style="421" customWidth="1"/>
    <col min="10" max="10" width="2.28515625" style="268" customWidth="1"/>
    <col min="11" max="11" width="18.28515625" style="382" customWidth="1"/>
    <col min="12" max="12" width="1.85546875" style="382" customWidth="1"/>
    <col min="13" max="13" width="17.28515625" style="382" customWidth="1"/>
    <col min="14" max="14" width="18.140625" style="382" bestFit="1" customWidth="1"/>
    <col min="15" max="15" width="2.42578125" style="382" customWidth="1"/>
    <col min="16" max="16" width="20.7109375" style="382" customWidth="1"/>
    <col min="17" max="17" width="15.85546875" style="268" bestFit="1" customWidth="1"/>
    <col min="18" max="18" width="20.7109375" style="268" customWidth="1"/>
    <col min="19" max="229" width="9.140625" style="268"/>
    <col min="230" max="231" width="2.42578125" style="268" customWidth="1"/>
    <col min="232" max="232" width="2.7109375" style="268" customWidth="1"/>
    <col min="233" max="233" width="45.7109375" style="268" customWidth="1"/>
    <col min="234" max="234" width="2.85546875" style="268" customWidth="1"/>
    <col min="235" max="258" width="0" style="268" hidden="1" customWidth="1"/>
    <col min="259" max="259" width="18.85546875" style="268" customWidth="1"/>
    <col min="260" max="260" width="3.140625" style="268" customWidth="1"/>
    <col min="261" max="261" width="18.28515625" style="268" customWidth="1"/>
    <col min="262" max="262" width="3.140625" style="268" customWidth="1"/>
    <col min="263" max="263" width="18.28515625" style="268" customWidth="1"/>
    <col min="264" max="264" width="3.140625" style="268" customWidth="1"/>
    <col min="265" max="265" width="18.28515625" style="268" customWidth="1"/>
    <col min="266" max="266" width="33.28515625" style="268" customWidth="1"/>
    <col min="267" max="267" width="18.28515625" style="268" customWidth="1"/>
    <col min="268" max="269" width="5.7109375" style="268" customWidth="1"/>
    <col min="270" max="270" width="16.42578125" style="268" bestFit="1" customWidth="1"/>
    <col min="271" max="271" width="2.42578125" style="268" customWidth="1"/>
    <col min="272" max="272" width="15.7109375" style="268" bestFit="1" customWidth="1"/>
    <col min="273" max="273" width="5.7109375" style="268" customWidth="1"/>
    <col min="274" max="274" width="13.140625" style="268" bestFit="1" customWidth="1"/>
    <col min="275" max="485" width="9.140625" style="268"/>
    <col min="486" max="487" width="2.42578125" style="268" customWidth="1"/>
    <col min="488" max="488" width="2.7109375" style="268" customWidth="1"/>
    <col min="489" max="489" width="45.7109375" style="268" customWidth="1"/>
    <col min="490" max="490" width="2.85546875" style="268" customWidth="1"/>
    <col min="491" max="514" width="0" style="268" hidden="1" customWidth="1"/>
    <col min="515" max="515" width="18.85546875" style="268" customWidth="1"/>
    <col min="516" max="516" width="3.140625" style="268" customWidth="1"/>
    <col min="517" max="517" width="18.28515625" style="268" customWidth="1"/>
    <col min="518" max="518" width="3.140625" style="268" customWidth="1"/>
    <col min="519" max="519" width="18.28515625" style="268" customWidth="1"/>
    <col min="520" max="520" width="3.140625" style="268" customWidth="1"/>
    <col min="521" max="521" width="18.28515625" style="268" customWidth="1"/>
    <col min="522" max="522" width="33.28515625" style="268" customWidth="1"/>
    <col min="523" max="523" width="18.28515625" style="268" customWidth="1"/>
    <col min="524" max="525" width="5.7109375" style="268" customWidth="1"/>
    <col min="526" max="526" width="16.42578125" style="268" bestFit="1" customWidth="1"/>
    <col min="527" max="527" width="2.42578125" style="268" customWidth="1"/>
    <col min="528" max="528" width="15.7109375" style="268" bestFit="1" customWidth="1"/>
    <col min="529" max="529" width="5.7109375" style="268" customWidth="1"/>
    <col min="530" max="530" width="13.140625" style="268" bestFit="1" customWidth="1"/>
    <col min="531" max="741" width="9.140625" style="268"/>
    <col min="742" max="743" width="2.42578125" style="268" customWidth="1"/>
    <col min="744" max="744" width="2.7109375" style="268" customWidth="1"/>
    <col min="745" max="745" width="45.7109375" style="268" customWidth="1"/>
    <col min="746" max="746" width="2.85546875" style="268" customWidth="1"/>
    <col min="747" max="770" width="0" style="268" hidden="1" customWidth="1"/>
    <col min="771" max="771" width="18.85546875" style="268" customWidth="1"/>
    <col min="772" max="772" width="3.140625" style="268" customWidth="1"/>
    <col min="773" max="773" width="18.28515625" style="268" customWidth="1"/>
    <col min="774" max="774" width="3.140625" style="268" customWidth="1"/>
    <col min="775" max="775" width="18.28515625" style="268" customWidth="1"/>
    <col min="776" max="776" width="3.140625" style="268" customWidth="1"/>
    <col min="777" max="777" width="18.28515625" style="268" customWidth="1"/>
    <col min="778" max="778" width="33.28515625" style="268" customWidth="1"/>
    <col min="779" max="779" width="18.28515625" style="268" customWidth="1"/>
    <col min="780" max="781" width="5.7109375" style="268" customWidth="1"/>
    <col min="782" max="782" width="16.42578125" style="268" bestFit="1" customWidth="1"/>
    <col min="783" max="783" width="2.42578125" style="268" customWidth="1"/>
    <col min="784" max="784" width="15.7109375" style="268" bestFit="1" customWidth="1"/>
    <col min="785" max="785" width="5.7109375" style="268" customWidth="1"/>
    <col min="786" max="786" width="13.140625" style="268" bestFit="1" customWidth="1"/>
    <col min="787" max="997" width="9.140625" style="268"/>
    <col min="998" max="999" width="2.42578125" style="268" customWidth="1"/>
    <col min="1000" max="1000" width="2.7109375" style="268" customWidth="1"/>
    <col min="1001" max="1001" width="45.7109375" style="268" customWidth="1"/>
    <col min="1002" max="1002" width="2.85546875" style="268" customWidth="1"/>
    <col min="1003" max="1026" width="0" style="268" hidden="1" customWidth="1"/>
    <col min="1027" max="1027" width="18.85546875" style="268" customWidth="1"/>
    <col min="1028" max="1028" width="3.140625" style="268" customWidth="1"/>
    <col min="1029" max="1029" width="18.28515625" style="268" customWidth="1"/>
    <col min="1030" max="1030" width="3.140625" style="268" customWidth="1"/>
    <col min="1031" max="1031" width="18.28515625" style="268" customWidth="1"/>
    <col min="1032" max="1032" width="3.140625" style="268" customWidth="1"/>
    <col min="1033" max="1033" width="18.28515625" style="268" customWidth="1"/>
    <col min="1034" max="1034" width="33.28515625" style="268" customWidth="1"/>
    <col min="1035" max="1035" width="18.28515625" style="268" customWidth="1"/>
    <col min="1036" max="1037" width="5.7109375" style="268" customWidth="1"/>
    <col min="1038" max="1038" width="16.42578125" style="268" bestFit="1" customWidth="1"/>
    <col min="1039" max="1039" width="2.42578125" style="268" customWidth="1"/>
    <col min="1040" max="1040" width="15.7109375" style="268" bestFit="1" customWidth="1"/>
    <col min="1041" max="1041" width="5.7109375" style="268" customWidth="1"/>
    <col min="1042" max="1042" width="13.140625" style="268" bestFit="1" customWidth="1"/>
    <col min="1043" max="1253" width="9.140625" style="268"/>
    <col min="1254" max="1255" width="2.42578125" style="268" customWidth="1"/>
    <col min="1256" max="1256" width="2.7109375" style="268" customWidth="1"/>
    <col min="1257" max="1257" width="45.7109375" style="268" customWidth="1"/>
    <col min="1258" max="1258" width="2.85546875" style="268" customWidth="1"/>
    <col min="1259" max="1282" width="0" style="268" hidden="1" customWidth="1"/>
    <col min="1283" max="1283" width="18.85546875" style="268" customWidth="1"/>
    <col min="1284" max="1284" width="3.140625" style="268" customWidth="1"/>
    <col min="1285" max="1285" width="18.28515625" style="268" customWidth="1"/>
    <col min="1286" max="1286" width="3.140625" style="268" customWidth="1"/>
    <col min="1287" max="1287" width="18.28515625" style="268" customWidth="1"/>
    <col min="1288" max="1288" width="3.140625" style="268" customWidth="1"/>
    <col min="1289" max="1289" width="18.28515625" style="268" customWidth="1"/>
    <col min="1290" max="1290" width="33.28515625" style="268" customWidth="1"/>
    <col min="1291" max="1291" width="18.28515625" style="268" customWidth="1"/>
    <col min="1292" max="1293" width="5.7109375" style="268" customWidth="1"/>
    <col min="1294" max="1294" width="16.42578125" style="268" bestFit="1" customWidth="1"/>
    <col min="1295" max="1295" width="2.42578125" style="268" customWidth="1"/>
    <col min="1296" max="1296" width="15.7109375" style="268" bestFit="1" customWidth="1"/>
    <col min="1297" max="1297" width="5.7109375" style="268" customWidth="1"/>
    <col min="1298" max="1298" width="13.140625" style="268" bestFit="1" customWidth="1"/>
    <col min="1299" max="1509" width="9.140625" style="268"/>
    <col min="1510" max="1511" width="2.42578125" style="268" customWidth="1"/>
    <col min="1512" max="1512" width="2.7109375" style="268" customWidth="1"/>
    <col min="1513" max="1513" width="45.7109375" style="268" customWidth="1"/>
    <col min="1514" max="1514" width="2.85546875" style="268" customWidth="1"/>
    <col min="1515" max="1538" width="0" style="268" hidden="1" customWidth="1"/>
    <col min="1539" max="1539" width="18.85546875" style="268" customWidth="1"/>
    <col min="1540" max="1540" width="3.140625" style="268" customWidth="1"/>
    <col min="1541" max="1541" width="18.28515625" style="268" customWidth="1"/>
    <col min="1542" max="1542" width="3.140625" style="268" customWidth="1"/>
    <col min="1543" max="1543" width="18.28515625" style="268" customWidth="1"/>
    <col min="1544" max="1544" width="3.140625" style="268" customWidth="1"/>
    <col min="1545" max="1545" width="18.28515625" style="268" customWidth="1"/>
    <col min="1546" max="1546" width="33.28515625" style="268" customWidth="1"/>
    <col min="1547" max="1547" width="18.28515625" style="268" customWidth="1"/>
    <col min="1548" max="1549" width="5.7109375" style="268" customWidth="1"/>
    <col min="1550" max="1550" width="16.42578125" style="268" bestFit="1" customWidth="1"/>
    <col min="1551" max="1551" width="2.42578125" style="268" customWidth="1"/>
    <col min="1552" max="1552" width="15.7109375" style="268" bestFit="1" customWidth="1"/>
    <col min="1553" max="1553" width="5.7109375" style="268" customWidth="1"/>
    <col min="1554" max="1554" width="13.140625" style="268" bestFit="1" customWidth="1"/>
    <col min="1555" max="1765" width="9.140625" style="268"/>
    <col min="1766" max="1767" width="2.42578125" style="268" customWidth="1"/>
    <col min="1768" max="1768" width="2.7109375" style="268" customWidth="1"/>
    <col min="1769" max="1769" width="45.7109375" style="268" customWidth="1"/>
    <col min="1770" max="1770" width="2.85546875" style="268" customWidth="1"/>
    <col min="1771" max="1794" width="0" style="268" hidden="1" customWidth="1"/>
    <col min="1795" max="1795" width="18.85546875" style="268" customWidth="1"/>
    <col min="1796" max="1796" width="3.140625" style="268" customWidth="1"/>
    <col min="1797" max="1797" width="18.28515625" style="268" customWidth="1"/>
    <col min="1798" max="1798" width="3.140625" style="268" customWidth="1"/>
    <col min="1799" max="1799" width="18.28515625" style="268" customWidth="1"/>
    <col min="1800" max="1800" width="3.140625" style="268" customWidth="1"/>
    <col min="1801" max="1801" width="18.28515625" style="268" customWidth="1"/>
    <col min="1802" max="1802" width="33.28515625" style="268" customWidth="1"/>
    <col min="1803" max="1803" width="18.28515625" style="268" customWidth="1"/>
    <col min="1804" max="1805" width="5.7109375" style="268" customWidth="1"/>
    <col min="1806" max="1806" width="16.42578125" style="268" bestFit="1" customWidth="1"/>
    <col min="1807" max="1807" width="2.42578125" style="268" customWidth="1"/>
    <col min="1808" max="1808" width="15.7109375" style="268" bestFit="1" customWidth="1"/>
    <col min="1809" max="1809" width="5.7109375" style="268" customWidth="1"/>
    <col min="1810" max="1810" width="13.140625" style="268" bestFit="1" customWidth="1"/>
    <col min="1811" max="2021" width="9.140625" style="268"/>
    <col min="2022" max="2023" width="2.42578125" style="268" customWidth="1"/>
    <col min="2024" max="2024" width="2.7109375" style="268" customWidth="1"/>
    <col min="2025" max="2025" width="45.7109375" style="268" customWidth="1"/>
    <col min="2026" max="2026" width="2.85546875" style="268" customWidth="1"/>
    <col min="2027" max="2050" width="0" style="268" hidden="1" customWidth="1"/>
    <col min="2051" max="2051" width="18.85546875" style="268" customWidth="1"/>
    <col min="2052" max="2052" width="3.140625" style="268" customWidth="1"/>
    <col min="2053" max="2053" width="18.28515625" style="268" customWidth="1"/>
    <col min="2054" max="2054" width="3.140625" style="268" customWidth="1"/>
    <col min="2055" max="2055" width="18.28515625" style="268" customWidth="1"/>
    <col min="2056" max="2056" width="3.140625" style="268" customWidth="1"/>
    <col min="2057" max="2057" width="18.28515625" style="268" customWidth="1"/>
    <col min="2058" max="2058" width="33.28515625" style="268" customWidth="1"/>
    <col min="2059" max="2059" width="18.28515625" style="268" customWidth="1"/>
    <col min="2060" max="2061" width="5.7109375" style="268" customWidth="1"/>
    <col min="2062" max="2062" width="16.42578125" style="268" bestFit="1" customWidth="1"/>
    <col min="2063" max="2063" width="2.42578125" style="268" customWidth="1"/>
    <col min="2064" max="2064" width="15.7109375" style="268" bestFit="1" customWidth="1"/>
    <col min="2065" max="2065" width="5.7109375" style="268" customWidth="1"/>
    <col min="2066" max="2066" width="13.140625" style="268" bestFit="1" customWidth="1"/>
    <col min="2067" max="2277" width="9.140625" style="268"/>
    <col min="2278" max="2279" width="2.42578125" style="268" customWidth="1"/>
    <col min="2280" max="2280" width="2.7109375" style="268" customWidth="1"/>
    <col min="2281" max="2281" width="45.7109375" style="268" customWidth="1"/>
    <col min="2282" max="2282" width="2.85546875" style="268" customWidth="1"/>
    <col min="2283" max="2306" width="0" style="268" hidden="1" customWidth="1"/>
    <col min="2307" max="2307" width="18.85546875" style="268" customWidth="1"/>
    <col min="2308" max="2308" width="3.140625" style="268" customWidth="1"/>
    <col min="2309" max="2309" width="18.28515625" style="268" customWidth="1"/>
    <col min="2310" max="2310" width="3.140625" style="268" customWidth="1"/>
    <col min="2311" max="2311" width="18.28515625" style="268" customWidth="1"/>
    <col min="2312" max="2312" width="3.140625" style="268" customWidth="1"/>
    <col min="2313" max="2313" width="18.28515625" style="268" customWidth="1"/>
    <col min="2314" max="2314" width="33.28515625" style="268" customWidth="1"/>
    <col min="2315" max="2315" width="18.28515625" style="268" customWidth="1"/>
    <col min="2316" max="2317" width="5.7109375" style="268" customWidth="1"/>
    <col min="2318" max="2318" width="16.42578125" style="268" bestFit="1" customWidth="1"/>
    <col min="2319" max="2319" width="2.42578125" style="268" customWidth="1"/>
    <col min="2320" max="2320" width="15.7109375" style="268" bestFit="1" customWidth="1"/>
    <col min="2321" max="2321" width="5.7109375" style="268" customWidth="1"/>
    <col min="2322" max="2322" width="13.140625" style="268" bestFit="1" customWidth="1"/>
    <col min="2323" max="2533" width="9.140625" style="268"/>
    <col min="2534" max="2535" width="2.42578125" style="268" customWidth="1"/>
    <col min="2536" max="2536" width="2.7109375" style="268" customWidth="1"/>
    <col min="2537" max="2537" width="45.7109375" style="268" customWidth="1"/>
    <col min="2538" max="2538" width="2.85546875" style="268" customWidth="1"/>
    <col min="2539" max="2562" width="0" style="268" hidden="1" customWidth="1"/>
    <col min="2563" max="2563" width="18.85546875" style="268" customWidth="1"/>
    <col min="2564" max="2564" width="3.140625" style="268" customWidth="1"/>
    <col min="2565" max="2565" width="18.28515625" style="268" customWidth="1"/>
    <col min="2566" max="2566" width="3.140625" style="268" customWidth="1"/>
    <col min="2567" max="2567" width="18.28515625" style="268" customWidth="1"/>
    <col min="2568" max="2568" width="3.140625" style="268" customWidth="1"/>
    <col min="2569" max="2569" width="18.28515625" style="268" customWidth="1"/>
    <col min="2570" max="2570" width="33.28515625" style="268" customWidth="1"/>
    <col min="2571" max="2571" width="18.28515625" style="268" customWidth="1"/>
    <col min="2572" max="2573" width="5.7109375" style="268" customWidth="1"/>
    <col min="2574" max="2574" width="16.42578125" style="268" bestFit="1" customWidth="1"/>
    <col min="2575" max="2575" width="2.42578125" style="268" customWidth="1"/>
    <col min="2576" max="2576" width="15.7109375" style="268" bestFit="1" customWidth="1"/>
    <col min="2577" max="2577" width="5.7109375" style="268" customWidth="1"/>
    <col min="2578" max="2578" width="13.140625" style="268" bestFit="1" customWidth="1"/>
    <col min="2579" max="2789" width="9.140625" style="268"/>
    <col min="2790" max="2791" width="2.42578125" style="268" customWidth="1"/>
    <col min="2792" max="2792" width="2.7109375" style="268" customWidth="1"/>
    <col min="2793" max="2793" width="45.7109375" style="268" customWidth="1"/>
    <col min="2794" max="2794" width="2.85546875" style="268" customWidth="1"/>
    <col min="2795" max="2818" width="0" style="268" hidden="1" customWidth="1"/>
    <col min="2819" max="2819" width="18.85546875" style="268" customWidth="1"/>
    <col min="2820" max="2820" width="3.140625" style="268" customWidth="1"/>
    <col min="2821" max="2821" width="18.28515625" style="268" customWidth="1"/>
    <col min="2822" max="2822" width="3.140625" style="268" customWidth="1"/>
    <col min="2823" max="2823" width="18.28515625" style="268" customWidth="1"/>
    <col min="2824" max="2824" width="3.140625" style="268" customWidth="1"/>
    <col min="2825" max="2825" width="18.28515625" style="268" customWidth="1"/>
    <col min="2826" max="2826" width="33.28515625" style="268" customWidth="1"/>
    <col min="2827" max="2827" width="18.28515625" style="268" customWidth="1"/>
    <col min="2828" max="2829" width="5.7109375" style="268" customWidth="1"/>
    <col min="2830" max="2830" width="16.42578125" style="268" bestFit="1" customWidth="1"/>
    <col min="2831" max="2831" width="2.42578125" style="268" customWidth="1"/>
    <col min="2832" max="2832" width="15.7109375" style="268" bestFit="1" customWidth="1"/>
    <col min="2833" max="2833" width="5.7109375" style="268" customWidth="1"/>
    <col min="2834" max="2834" width="13.140625" style="268" bestFit="1" customWidth="1"/>
    <col min="2835" max="3045" width="9.140625" style="268"/>
    <col min="3046" max="3047" width="2.42578125" style="268" customWidth="1"/>
    <col min="3048" max="3048" width="2.7109375" style="268" customWidth="1"/>
    <col min="3049" max="3049" width="45.7109375" style="268" customWidth="1"/>
    <col min="3050" max="3050" width="2.85546875" style="268" customWidth="1"/>
    <col min="3051" max="3074" width="0" style="268" hidden="1" customWidth="1"/>
    <col min="3075" max="3075" width="18.85546875" style="268" customWidth="1"/>
    <col min="3076" max="3076" width="3.140625" style="268" customWidth="1"/>
    <col min="3077" max="3077" width="18.28515625" style="268" customWidth="1"/>
    <col min="3078" max="3078" width="3.140625" style="268" customWidth="1"/>
    <col min="3079" max="3079" width="18.28515625" style="268" customWidth="1"/>
    <col min="3080" max="3080" width="3.140625" style="268" customWidth="1"/>
    <col min="3081" max="3081" width="18.28515625" style="268" customWidth="1"/>
    <col min="3082" max="3082" width="33.28515625" style="268" customWidth="1"/>
    <col min="3083" max="3083" width="18.28515625" style="268" customWidth="1"/>
    <col min="3084" max="3085" width="5.7109375" style="268" customWidth="1"/>
    <col min="3086" max="3086" width="16.42578125" style="268" bestFit="1" customWidth="1"/>
    <col min="3087" max="3087" width="2.42578125" style="268" customWidth="1"/>
    <col min="3088" max="3088" width="15.7109375" style="268" bestFit="1" customWidth="1"/>
    <col min="3089" max="3089" width="5.7109375" style="268" customWidth="1"/>
    <col min="3090" max="3090" width="13.140625" style="268" bestFit="1" customWidth="1"/>
    <col min="3091" max="3301" width="9.140625" style="268"/>
    <col min="3302" max="3303" width="2.42578125" style="268" customWidth="1"/>
    <col min="3304" max="3304" width="2.7109375" style="268" customWidth="1"/>
    <col min="3305" max="3305" width="45.7109375" style="268" customWidth="1"/>
    <col min="3306" max="3306" width="2.85546875" style="268" customWidth="1"/>
    <col min="3307" max="3330" width="0" style="268" hidden="1" customWidth="1"/>
    <col min="3331" max="3331" width="18.85546875" style="268" customWidth="1"/>
    <col min="3332" max="3332" width="3.140625" style="268" customWidth="1"/>
    <col min="3333" max="3333" width="18.28515625" style="268" customWidth="1"/>
    <col min="3334" max="3334" width="3.140625" style="268" customWidth="1"/>
    <col min="3335" max="3335" width="18.28515625" style="268" customWidth="1"/>
    <col min="3336" max="3336" width="3.140625" style="268" customWidth="1"/>
    <col min="3337" max="3337" width="18.28515625" style="268" customWidth="1"/>
    <col min="3338" max="3338" width="33.28515625" style="268" customWidth="1"/>
    <col min="3339" max="3339" width="18.28515625" style="268" customWidth="1"/>
    <col min="3340" max="3341" width="5.7109375" style="268" customWidth="1"/>
    <col min="3342" max="3342" width="16.42578125" style="268" bestFit="1" customWidth="1"/>
    <col min="3343" max="3343" width="2.42578125" style="268" customWidth="1"/>
    <col min="3344" max="3344" width="15.7109375" style="268" bestFit="1" customWidth="1"/>
    <col min="3345" max="3345" width="5.7109375" style="268" customWidth="1"/>
    <col min="3346" max="3346" width="13.140625" style="268" bestFit="1" customWidth="1"/>
    <col min="3347" max="3557" width="9.140625" style="268"/>
    <col min="3558" max="3559" width="2.42578125" style="268" customWidth="1"/>
    <col min="3560" max="3560" width="2.7109375" style="268" customWidth="1"/>
    <col min="3561" max="3561" width="45.7109375" style="268" customWidth="1"/>
    <col min="3562" max="3562" width="2.85546875" style="268" customWidth="1"/>
    <col min="3563" max="3586" width="0" style="268" hidden="1" customWidth="1"/>
    <col min="3587" max="3587" width="18.85546875" style="268" customWidth="1"/>
    <col min="3588" max="3588" width="3.140625" style="268" customWidth="1"/>
    <col min="3589" max="3589" width="18.28515625" style="268" customWidth="1"/>
    <col min="3590" max="3590" width="3.140625" style="268" customWidth="1"/>
    <col min="3591" max="3591" width="18.28515625" style="268" customWidth="1"/>
    <col min="3592" max="3592" width="3.140625" style="268" customWidth="1"/>
    <col min="3593" max="3593" width="18.28515625" style="268" customWidth="1"/>
    <col min="3594" max="3594" width="33.28515625" style="268" customWidth="1"/>
    <col min="3595" max="3595" width="18.28515625" style="268" customWidth="1"/>
    <col min="3596" max="3597" width="5.7109375" style="268" customWidth="1"/>
    <col min="3598" max="3598" width="16.42578125" style="268" bestFit="1" customWidth="1"/>
    <col min="3599" max="3599" width="2.42578125" style="268" customWidth="1"/>
    <col min="3600" max="3600" width="15.7109375" style="268" bestFit="1" customWidth="1"/>
    <col min="3601" max="3601" width="5.7109375" style="268" customWidth="1"/>
    <col min="3602" max="3602" width="13.140625" style="268" bestFit="1" customWidth="1"/>
    <col min="3603" max="3813" width="9.140625" style="268"/>
    <col min="3814" max="3815" width="2.42578125" style="268" customWidth="1"/>
    <col min="3816" max="3816" width="2.7109375" style="268" customWidth="1"/>
    <col min="3817" max="3817" width="45.7109375" style="268" customWidth="1"/>
    <col min="3818" max="3818" width="2.85546875" style="268" customWidth="1"/>
    <col min="3819" max="3842" width="0" style="268" hidden="1" customWidth="1"/>
    <col min="3843" max="3843" width="18.85546875" style="268" customWidth="1"/>
    <col min="3844" max="3844" width="3.140625" style="268" customWidth="1"/>
    <col min="3845" max="3845" width="18.28515625" style="268" customWidth="1"/>
    <col min="3846" max="3846" width="3.140625" style="268" customWidth="1"/>
    <col min="3847" max="3847" width="18.28515625" style="268" customWidth="1"/>
    <col min="3848" max="3848" width="3.140625" style="268" customWidth="1"/>
    <col min="3849" max="3849" width="18.28515625" style="268" customWidth="1"/>
    <col min="3850" max="3850" width="33.28515625" style="268" customWidth="1"/>
    <col min="3851" max="3851" width="18.28515625" style="268" customWidth="1"/>
    <col min="3852" max="3853" width="5.7109375" style="268" customWidth="1"/>
    <col min="3854" max="3854" width="16.42578125" style="268" bestFit="1" customWidth="1"/>
    <col min="3855" max="3855" width="2.42578125" style="268" customWidth="1"/>
    <col min="3856" max="3856" width="15.7109375" style="268" bestFit="1" customWidth="1"/>
    <col min="3857" max="3857" width="5.7109375" style="268" customWidth="1"/>
    <col min="3858" max="3858" width="13.140625" style="268" bestFit="1" customWidth="1"/>
    <col min="3859" max="4069" width="9.140625" style="268"/>
    <col min="4070" max="4071" width="2.42578125" style="268" customWidth="1"/>
    <col min="4072" max="4072" width="2.7109375" style="268" customWidth="1"/>
    <col min="4073" max="4073" width="45.7109375" style="268" customWidth="1"/>
    <col min="4074" max="4074" width="2.85546875" style="268" customWidth="1"/>
    <col min="4075" max="4098" width="0" style="268" hidden="1" customWidth="1"/>
    <col min="4099" max="4099" width="18.85546875" style="268" customWidth="1"/>
    <col min="4100" max="4100" width="3.140625" style="268" customWidth="1"/>
    <col min="4101" max="4101" width="18.28515625" style="268" customWidth="1"/>
    <col min="4102" max="4102" width="3.140625" style="268" customWidth="1"/>
    <col min="4103" max="4103" width="18.28515625" style="268" customWidth="1"/>
    <col min="4104" max="4104" width="3.140625" style="268" customWidth="1"/>
    <col min="4105" max="4105" width="18.28515625" style="268" customWidth="1"/>
    <col min="4106" max="4106" width="33.28515625" style="268" customWidth="1"/>
    <col min="4107" max="4107" width="18.28515625" style="268" customWidth="1"/>
    <col min="4108" max="4109" width="5.7109375" style="268" customWidth="1"/>
    <col min="4110" max="4110" width="16.42578125" style="268" bestFit="1" customWidth="1"/>
    <col min="4111" max="4111" width="2.42578125" style="268" customWidth="1"/>
    <col min="4112" max="4112" width="15.7109375" style="268" bestFit="1" customWidth="1"/>
    <col min="4113" max="4113" width="5.7109375" style="268" customWidth="1"/>
    <col min="4114" max="4114" width="13.140625" style="268" bestFit="1" customWidth="1"/>
    <col min="4115" max="4325" width="9.140625" style="268"/>
    <col min="4326" max="4327" width="2.42578125" style="268" customWidth="1"/>
    <col min="4328" max="4328" width="2.7109375" style="268" customWidth="1"/>
    <col min="4329" max="4329" width="45.7109375" style="268" customWidth="1"/>
    <col min="4330" max="4330" width="2.85546875" style="268" customWidth="1"/>
    <col min="4331" max="4354" width="0" style="268" hidden="1" customWidth="1"/>
    <col min="4355" max="4355" width="18.85546875" style="268" customWidth="1"/>
    <col min="4356" max="4356" width="3.140625" style="268" customWidth="1"/>
    <col min="4357" max="4357" width="18.28515625" style="268" customWidth="1"/>
    <col min="4358" max="4358" width="3.140625" style="268" customWidth="1"/>
    <col min="4359" max="4359" width="18.28515625" style="268" customWidth="1"/>
    <col min="4360" max="4360" width="3.140625" style="268" customWidth="1"/>
    <col min="4361" max="4361" width="18.28515625" style="268" customWidth="1"/>
    <col min="4362" max="4362" width="33.28515625" style="268" customWidth="1"/>
    <col min="4363" max="4363" width="18.28515625" style="268" customWidth="1"/>
    <col min="4364" max="4365" width="5.7109375" style="268" customWidth="1"/>
    <col min="4366" max="4366" width="16.42578125" style="268" bestFit="1" customWidth="1"/>
    <col min="4367" max="4367" width="2.42578125" style="268" customWidth="1"/>
    <col min="4368" max="4368" width="15.7109375" style="268" bestFit="1" customWidth="1"/>
    <col min="4369" max="4369" width="5.7109375" style="268" customWidth="1"/>
    <col min="4370" max="4370" width="13.140625" style="268" bestFit="1" customWidth="1"/>
    <col min="4371" max="4581" width="9.140625" style="268"/>
    <col min="4582" max="4583" width="2.42578125" style="268" customWidth="1"/>
    <col min="4584" max="4584" width="2.7109375" style="268" customWidth="1"/>
    <col min="4585" max="4585" width="45.7109375" style="268" customWidth="1"/>
    <col min="4586" max="4586" width="2.85546875" style="268" customWidth="1"/>
    <col min="4587" max="4610" width="0" style="268" hidden="1" customWidth="1"/>
    <col min="4611" max="4611" width="18.85546875" style="268" customWidth="1"/>
    <col min="4612" max="4612" width="3.140625" style="268" customWidth="1"/>
    <col min="4613" max="4613" width="18.28515625" style="268" customWidth="1"/>
    <col min="4614" max="4614" width="3.140625" style="268" customWidth="1"/>
    <col min="4615" max="4615" width="18.28515625" style="268" customWidth="1"/>
    <col min="4616" max="4616" width="3.140625" style="268" customWidth="1"/>
    <col min="4617" max="4617" width="18.28515625" style="268" customWidth="1"/>
    <col min="4618" max="4618" width="33.28515625" style="268" customWidth="1"/>
    <col min="4619" max="4619" width="18.28515625" style="268" customWidth="1"/>
    <col min="4620" max="4621" width="5.7109375" style="268" customWidth="1"/>
    <col min="4622" max="4622" width="16.42578125" style="268" bestFit="1" customWidth="1"/>
    <col min="4623" max="4623" width="2.42578125" style="268" customWidth="1"/>
    <col min="4624" max="4624" width="15.7109375" style="268" bestFit="1" customWidth="1"/>
    <col min="4625" max="4625" width="5.7109375" style="268" customWidth="1"/>
    <col min="4626" max="4626" width="13.140625" style="268" bestFit="1" customWidth="1"/>
    <col min="4627" max="4837" width="9.140625" style="268"/>
    <col min="4838" max="4839" width="2.42578125" style="268" customWidth="1"/>
    <col min="4840" max="4840" width="2.7109375" style="268" customWidth="1"/>
    <col min="4841" max="4841" width="45.7109375" style="268" customWidth="1"/>
    <col min="4842" max="4842" width="2.85546875" style="268" customWidth="1"/>
    <col min="4843" max="4866" width="0" style="268" hidden="1" customWidth="1"/>
    <col min="4867" max="4867" width="18.85546875" style="268" customWidth="1"/>
    <col min="4868" max="4868" width="3.140625" style="268" customWidth="1"/>
    <col min="4869" max="4869" width="18.28515625" style="268" customWidth="1"/>
    <col min="4870" max="4870" width="3.140625" style="268" customWidth="1"/>
    <col min="4871" max="4871" width="18.28515625" style="268" customWidth="1"/>
    <col min="4872" max="4872" width="3.140625" style="268" customWidth="1"/>
    <col min="4873" max="4873" width="18.28515625" style="268" customWidth="1"/>
    <col min="4874" max="4874" width="33.28515625" style="268" customWidth="1"/>
    <col min="4875" max="4875" width="18.28515625" style="268" customWidth="1"/>
    <col min="4876" max="4877" width="5.7109375" style="268" customWidth="1"/>
    <col min="4878" max="4878" width="16.42578125" style="268" bestFit="1" customWidth="1"/>
    <col min="4879" max="4879" width="2.42578125" style="268" customWidth="1"/>
    <col min="4880" max="4880" width="15.7109375" style="268" bestFit="1" customWidth="1"/>
    <col min="4881" max="4881" width="5.7109375" style="268" customWidth="1"/>
    <col min="4882" max="4882" width="13.140625" style="268" bestFit="1" customWidth="1"/>
    <col min="4883" max="5093" width="9.140625" style="268"/>
    <col min="5094" max="5095" width="2.42578125" style="268" customWidth="1"/>
    <col min="5096" max="5096" width="2.7109375" style="268" customWidth="1"/>
    <col min="5097" max="5097" width="45.7109375" style="268" customWidth="1"/>
    <col min="5098" max="5098" width="2.85546875" style="268" customWidth="1"/>
    <col min="5099" max="5122" width="0" style="268" hidden="1" customWidth="1"/>
    <col min="5123" max="5123" width="18.85546875" style="268" customWidth="1"/>
    <col min="5124" max="5124" width="3.140625" style="268" customWidth="1"/>
    <col min="5125" max="5125" width="18.28515625" style="268" customWidth="1"/>
    <col min="5126" max="5126" width="3.140625" style="268" customWidth="1"/>
    <col min="5127" max="5127" width="18.28515625" style="268" customWidth="1"/>
    <col min="5128" max="5128" width="3.140625" style="268" customWidth="1"/>
    <col min="5129" max="5129" width="18.28515625" style="268" customWidth="1"/>
    <col min="5130" max="5130" width="33.28515625" style="268" customWidth="1"/>
    <col min="5131" max="5131" width="18.28515625" style="268" customWidth="1"/>
    <col min="5132" max="5133" width="5.7109375" style="268" customWidth="1"/>
    <col min="5134" max="5134" width="16.42578125" style="268" bestFit="1" customWidth="1"/>
    <col min="5135" max="5135" width="2.42578125" style="268" customWidth="1"/>
    <col min="5136" max="5136" width="15.7109375" style="268" bestFit="1" customWidth="1"/>
    <col min="5137" max="5137" width="5.7109375" style="268" customWidth="1"/>
    <col min="5138" max="5138" width="13.140625" style="268" bestFit="1" customWidth="1"/>
    <col min="5139" max="5349" width="9.140625" style="268"/>
    <col min="5350" max="5351" width="2.42578125" style="268" customWidth="1"/>
    <col min="5352" max="5352" width="2.7109375" style="268" customWidth="1"/>
    <col min="5353" max="5353" width="45.7109375" style="268" customWidth="1"/>
    <col min="5354" max="5354" width="2.85546875" style="268" customWidth="1"/>
    <col min="5355" max="5378" width="0" style="268" hidden="1" customWidth="1"/>
    <col min="5379" max="5379" width="18.85546875" style="268" customWidth="1"/>
    <col min="5380" max="5380" width="3.140625" style="268" customWidth="1"/>
    <col min="5381" max="5381" width="18.28515625" style="268" customWidth="1"/>
    <col min="5382" max="5382" width="3.140625" style="268" customWidth="1"/>
    <col min="5383" max="5383" width="18.28515625" style="268" customWidth="1"/>
    <col min="5384" max="5384" width="3.140625" style="268" customWidth="1"/>
    <col min="5385" max="5385" width="18.28515625" style="268" customWidth="1"/>
    <col min="5386" max="5386" width="33.28515625" style="268" customWidth="1"/>
    <col min="5387" max="5387" width="18.28515625" style="268" customWidth="1"/>
    <col min="5388" max="5389" width="5.7109375" style="268" customWidth="1"/>
    <col min="5390" max="5390" width="16.42578125" style="268" bestFit="1" customWidth="1"/>
    <col min="5391" max="5391" width="2.42578125" style="268" customWidth="1"/>
    <col min="5392" max="5392" width="15.7109375" style="268" bestFit="1" customWidth="1"/>
    <col min="5393" max="5393" width="5.7109375" style="268" customWidth="1"/>
    <col min="5394" max="5394" width="13.140625" style="268" bestFit="1" customWidth="1"/>
    <col min="5395" max="5605" width="9.140625" style="268"/>
    <col min="5606" max="5607" width="2.42578125" style="268" customWidth="1"/>
    <col min="5608" max="5608" width="2.7109375" style="268" customWidth="1"/>
    <col min="5609" max="5609" width="45.7109375" style="268" customWidth="1"/>
    <col min="5610" max="5610" width="2.85546875" style="268" customWidth="1"/>
    <col min="5611" max="5634" width="0" style="268" hidden="1" customWidth="1"/>
    <col min="5635" max="5635" width="18.85546875" style="268" customWidth="1"/>
    <col min="5636" max="5636" width="3.140625" style="268" customWidth="1"/>
    <col min="5637" max="5637" width="18.28515625" style="268" customWidth="1"/>
    <col min="5638" max="5638" width="3.140625" style="268" customWidth="1"/>
    <col min="5639" max="5639" width="18.28515625" style="268" customWidth="1"/>
    <col min="5640" max="5640" width="3.140625" style="268" customWidth="1"/>
    <col min="5641" max="5641" width="18.28515625" style="268" customWidth="1"/>
    <col min="5642" max="5642" width="33.28515625" style="268" customWidth="1"/>
    <col min="5643" max="5643" width="18.28515625" style="268" customWidth="1"/>
    <col min="5644" max="5645" width="5.7109375" style="268" customWidth="1"/>
    <col min="5646" max="5646" width="16.42578125" style="268" bestFit="1" customWidth="1"/>
    <col min="5647" max="5647" width="2.42578125" style="268" customWidth="1"/>
    <col min="5648" max="5648" width="15.7109375" style="268" bestFit="1" customWidth="1"/>
    <col min="5649" max="5649" width="5.7109375" style="268" customWidth="1"/>
    <col min="5650" max="5650" width="13.140625" style="268" bestFit="1" customWidth="1"/>
    <col min="5651" max="5861" width="9.140625" style="268"/>
    <col min="5862" max="5863" width="2.42578125" style="268" customWidth="1"/>
    <col min="5864" max="5864" width="2.7109375" style="268" customWidth="1"/>
    <col min="5865" max="5865" width="45.7109375" style="268" customWidth="1"/>
    <col min="5866" max="5866" width="2.85546875" style="268" customWidth="1"/>
    <col min="5867" max="5890" width="0" style="268" hidden="1" customWidth="1"/>
    <col min="5891" max="5891" width="18.85546875" style="268" customWidth="1"/>
    <col min="5892" max="5892" width="3.140625" style="268" customWidth="1"/>
    <col min="5893" max="5893" width="18.28515625" style="268" customWidth="1"/>
    <col min="5894" max="5894" width="3.140625" style="268" customWidth="1"/>
    <col min="5895" max="5895" width="18.28515625" style="268" customWidth="1"/>
    <col min="5896" max="5896" width="3.140625" style="268" customWidth="1"/>
    <col min="5897" max="5897" width="18.28515625" style="268" customWidth="1"/>
    <col min="5898" max="5898" width="33.28515625" style="268" customWidth="1"/>
    <col min="5899" max="5899" width="18.28515625" style="268" customWidth="1"/>
    <col min="5900" max="5901" width="5.7109375" style="268" customWidth="1"/>
    <col min="5902" max="5902" width="16.42578125" style="268" bestFit="1" customWidth="1"/>
    <col min="5903" max="5903" width="2.42578125" style="268" customWidth="1"/>
    <col min="5904" max="5904" width="15.7109375" style="268" bestFit="1" customWidth="1"/>
    <col min="5905" max="5905" width="5.7109375" style="268" customWidth="1"/>
    <col min="5906" max="5906" width="13.140625" style="268" bestFit="1" customWidth="1"/>
    <col min="5907" max="6117" width="9.140625" style="268"/>
    <col min="6118" max="6119" width="2.42578125" style="268" customWidth="1"/>
    <col min="6120" max="6120" width="2.7109375" style="268" customWidth="1"/>
    <col min="6121" max="6121" width="45.7109375" style="268" customWidth="1"/>
    <col min="6122" max="6122" width="2.85546875" style="268" customWidth="1"/>
    <col min="6123" max="6146" width="0" style="268" hidden="1" customWidth="1"/>
    <col min="6147" max="6147" width="18.85546875" style="268" customWidth="1"/>
    <col min="6148" max="6148" width="3.140625" style="268" customWidth="1"/>
    <col min="6149" max="6149" width="18.28515625" style="268" customWidth="1"/>
    <col min="6150" max="6150" width="3.140625" style="268" customWidth="1"/>
    <col min="6151" max="6151" width="18.28515625" style="268" customWidth="1"/>
    <col min="6152" max="6152" width="3.140625" style="268" customWidth="1"/>
    <col min="6153" max="6153" width="18.28515625" style="268" customWidth="1"/>
    <col min="6154" max="6154" width="33.28515625" style="268" customWidth="1"/>
    <col min="6155" max="6155" width="18.28515625" style="268" customWidth="1"/>
    <col min="6156" max="6157" width="5.7109375" style="268" customWidth="1"/>
    <col min="6158" max="6158" width="16.42578125" style="268" bestFit="1" customWidth="1"/>
    <col min="6159" max="6159" width="2.42578125" style="268" customWidth="1"/>
    <col min="6160" max="6160" width="15.7109375" style="268" bestFit="1" customWidth="1"/>
    <col min="6161" max="6161" width="5.7109375" style="268" customWidth="1"/>
    <col min="6162" max="6162" width="13.140625" style="268" bestFit="1" customWidth="1"/>
    <col min="6163" max="6373" width="9.140625" style="268"/>
    <col min="6374" max="6375" width="2.42578125" style="268" customWidth="1"/>
    <col min="6376" max="6376" width="2.7109375" style="268" customWidth="1"/>
    <col min="6377" max="6377" width="45.7109375" style="268" customWidth="1"/>
    <col min="6378" max="6378" width="2.85546875" style="268" customWidth="1"/>
    <col min="6379" max="6402" width="0" style="268" hidden="1" customWidth="1"/>
    <col min="6403" max="6403" width="18.85546875" style="268" customWidth="1"/>
    <col min="6404" max="6404" width="3.140625" style="268" customWidth="1"/>
    <col min="6405" max="6405" width="18.28515625" style="268" customWidth="1"/>
    <col min="6406" max="6406" width="3.140625" style="268" customWidth="1"/>
    <col min="6407" max="6407" width="18.28515625" style="268" customWidth="1"/>
    <col min="6408" max="6408" width="3.140625" style="268" customWidth="1"/>
    <col min="6409" max="6409" width="18.28515625" style="268" customWidth="1"/>
    <col min="6410" max="6410" width="33.28515625" style="268" customWidth="1"/>
    <col min="6411" max="6411" width="18.28515625" style="268" customWidth="1"/>
    <col min="6412" max="6413" width="5.7109375" style="268" customWidth="1"/>
    <col min="6414" max="6414" width="16.42578125" style="268" bestFit="1" customWidth="1"/>
    <col min="6415" max="6415" width="2.42578125" style="268" customWidth="1"/>
    <col min="6416" max="6416" width="15.7109375" style="268" bestFit="1" customWidth="1"/>
    <col min="6417" max="6417" width="5.7109375" style="268" customWidth="1"/>
    <col min="6418" max="6418" width="13.140625" style="268" bestFit="1" customWidth="1"/>
    <col min="6419" max="6629" width="9.140625" style="268"/>
    <col min="6630" max="6631" width="2.42578125" style="268" customWidth="1"/>
    <col min="6632" max="6632" width="2.7109375" style="268" customWidth="1"/>
    <col min="6633" max="6633" width="45.7109375" style="268" customWidth="1"/>
    <col min="6634" max="6634" width="2.85546875" style="268" customWidth="1"/>
    <col min="6635" max="6658" width="0" style="268" hidden="1" customWidth="1"/>
    <col min="6659" max="6659" width="18.85546875" style="268" customWidth="1"/>
    <col min="6660" max="6660" width="3.140625" style="268" customWidth="1"/>
    <col min="6661" max="6661" width="18.28515625" style="268" customWidth="1"/>
    <col min="6662" max="6662" width="3.140625" style="268" customWidth="1"/>
    <col min="6663" max="6663" width="18.28515625" style="268" customWidth="1"/>
    <col min="6664" max="6664" width="3.140625" style="268" customWidth="1"/>
    <col min="6665" max="6665" width="18.28515625" style="268" customWidth="1"/>
    <col min="6666" max="6666" width="33.28515625" style="268" customWidth="1"/>
    <col min="6667" max="6667" width="18.28515625" style="268" customWidth="1"/>
    <col min="6668" max="6669" width="5.7109375" style="268" customWidth="1"/>
    <col min="6670" max="6670" width="16.42578125" style="268" bestFit="1" customWidth="1"/>
    <col min="6671" max="6671" width="2.42578125" style="268" customWidth="1"/>
    <col min="6672" max="6672" width="15.7109375" style="268" bestFit="1" customWidth="1"/>
    <col min="6673" max="6673" width="5.7109375" style="268" customWidth="1"/>
    <col min="6674" max="6674" width="13.140625" style="268" bestFit="1" customWidth="1"/>
    <col min="6675" max="6885" width="9.140625" style="268"/>
    <col min="6886" max="6887" width="2.42578125" style="268" customWidth="1"/>
    <col min="6888" max="6888" width="2.7109375" style="268" customWidth="1"/>
    <col min="6889" max="6889" width="45.7109375" style="268" customWidth="1"/>
    <col min="6890" max="6890" width="2.85546875" style="268" customWidth="1"/>
    <col min="6891" max="6914" width="0" style="268" hidden="1" customWidth="1"/>
    <col min="6915" max="6915" width="18.85546875" style="268" customWidth="1"/>
    <col min="6916" max="6916" width="3.140625" style="268" customWidth="1"/>
    <col min="6917" max="6917" width="18.28515625" style="268" customWidth="1"/>
    <col min="6918" max="6918" width="3.140625" style="268" customWidth="1"/>
    <col min="6919" max="6919" width="18.28515625" style="268" customWidth="1"/>
    <col min="6920" max="6920" width="3.140625" style="268" customWidth="1"/>
    <col min="6921" max="6921" width="18.28515625" style="268" customWidth="1"/>
    <col min="6922" max="6922" width="33.28515625" style="268" customWidth="1"/>
    <col min="6923" max="6923" width="18.28515625" style="268" customWidth="1"/>
    <col min="6924" max="6925" width="5.7109375" style="268" customWidth="1"/>
    <col min="6926" max="6926" width="16.42578125" style="268" bestFit="1" customWidth="1"/>
    <col min="6927" max="6927" width="2.42578125" style="268" customWidth="1"/>
    <col min="6928" max="6928" width="15.7109375" style="268" bestFit="1" customWidth="1"/>
    <col min="6929" max="6929" width="5.7109375" style="268" customWidth="1"/>
    <col min="6930" max="6930" width="13.140625" style="268" bestFit="1" customWidth="1"/>
    <col min="6931" max="7141" width="9.140625" style="268"/>
    <col min="7142" max="7143" width="2.42578125" style="268" customWidth="1"/>
    <col min="7144" max="7144" width="2.7109375" style="268" customWidth="1"/>
    <col min="7145" max="7145" width="45.7109375" style="268" customWidth="1"/>
    <col min="7146" max="7146" width="2.85546875" style="268" customWidth="1"/>
    <col min="7147" max="7170" width="0" style="268" hidden="1" customWidth="1"/>
    <col min="7171" max="7171" width="18.85546875" style="268" customWidth="1"/>
    <col min="7172" max="7172" width="3.140625" style="268" customWidth="1"/>
    <col min="7173" max="7173" width="18.28515625" style="268" customWidth="1"/>
    <col min="7174" max="7174" width="3.140625" style="268" customWidth="1"/>
    <col min="7175" max="7175" width="18.28515625" style="268" customWidth="1"/>
    <col min="7176" max="7176" width="3.140625" style="268" customWidth="1"/>
    <col min="7177" max="7177" width="18.28515625" style="268" customWidth="1"/>
    <col min="7178" max="7178" width="33.28515625" style="268" customWidth="1"/>
    <col min="7179" max="7179" width="18.28515625" style="268" customWidth="1"/>
    <col min="7180" max="7181" width="5.7109375" style="268" customWidth="1"/>
    <col min="7182" max="7182" width="16.42578125" style="268" bestFit="1" customWidth="1"/>
    <col min="7183" max="7183" width="2.42578125" style="268" customWidth="1"/>
    <col min="7184" max="7184" width="15.7109375" style="268" bestFit="1" customWidth="1"/>
    <col min="7185" max="7185" width="5.7109375" style="268" customWidth="1"/>
    <col min="7186" max="7186" width="13.140625" style="268" bestFit="1" customWidth="1"/>
    <col min="7187" max="7397" width="9.140625" style="268"/>
    <col min="7398" max="7399" width="2.42578125" style="268" customWidth="1"/>
    <col min="7400" max="7400" width="2.7109375" style="268" customWidth="1"/>
    <col min="7401" max="7401" width="45.7109375" style="268" customWidth="1"/>
    <col min="7402" max="7402" width="2.85546875" style="268" customWidth="1"/>
    <col min="7403" max="7426" width="0" style="268" hidden="1" customWidth="1"/>
    <col min="7427" max="7427" width="18.85546875" style="268" customWidth="1"/>
    <col min="7428" max="7428" width="3.140625" style="268" customWidth="1"/>
    <col min="7429" max="7429" width="18.28515625" style="268" customWidth="1"/>
    <col min="7430" max="7430" width="3.140625" style="268" customWidth="1"/>
    <col min="7431" max="7431" width="18.28515625" style="268" customWidth="1"/>
    <col min="7432" max="7432" width="3.140625" style="268" customWidth="1"/>
    <col min="7433" max="7433" width="18.28515625" style="268" customWidth="1"/>
    <col min="7434" max="7434" width="33.28515625" style="268" customWidth="1"/>
    <col min="7435" max="7435" width="18.28515625" style="268" customWidth="1"/>
    <col min="7436" max="7437" width="5.7109375" style="268" customWidth="1"/>
    <col min="7438" max="7438" width="16.42578125" style="268" bestFit="1" customWidth="1"/>
    <col min="7439" max="7439" width="2.42578125" style="268" customWidth="1"/>
    <col min="7440" max="7440" width="15.7109375" style="268" bestFit="1" customWidth="1"/>
    <col min="7441" max="7441" width="5.7109375" style="268" customWidth="1"/>
    <col min="7442" max="7442" width="13.140625" style="268" bestFit="1" customWidth="1"/>
    <col min="7443" max="7653" width="9.140625" style="268"/>
    <col min="7654" max="7655" width="2.42578125" style="268" customWidth="1"/>
    <col min="7656" max="7656" width="2.7109375" style="268" customWidth="1"/>
    <col min="7657" max="7657" width="45.7109375" style="268" customWidth="1"/>
    <col min="7658" max="7658" width="2.85546875" style="268" customWidth="1"/>
    <col min="7659" max="7682" width="0" style="268" hidden="1" customWidth="1"/>
    <col min="7683" max="7683" width="18.85546875" style="268" customWidth="1"/>
    <col min="7684" max="7684" width="3.140625" style="268" customWidth="1"/>
    <col min="7685" max="7685" width="18.28515625" style="268" customWidth="1"/>
    <col min="7686" max="7686" width="3.140625" style="268" customWidth="1"/>
    <col min="7687" max="7687" width="18.28515625" style="268" customWidth="1"/>
    <col min="7688" max="7688" width="3.140625" style="268" customWidth="1"/>
    <col min="7689" max="7689" width="18.28515625" style="268" customWidth="1"/>
    <col min="7690" max="7690" width="33.28515625" style="268" customWidth="1"/>
    <col min="7691" max="7691" width="18.28515625" style="268" customWidth="1"/>
    <col min="7692" max="7693" width="5.7109375" style="268" customWidth="1"/>
    <col min="7694" max="7694" width="16.42578125" style="268" bestFit="1" customWidth="1"/>
    <col min="7695" max="7695" width="2.42578125" style="268" customWidth="1"/>
    <col min="7696" max="7696" width="15.7109375" style="268" bestFit="1" customWidth="1"/>
    <col min="7697" max="7697" width="5.7109375" style="268" customWidth="1"/>
    <col min="7698" max="7698" width="13.140625" style="268" bestFit="1" customWidth="1"/>
    <col min="7699" max="7909" width="9.140625" style="268"/>
    <col min="7910" max="7911" width="2.42578125" style="268" customWidth="1"/>
    <col min="7912" max="7912" width="2.7109375" style="268" customWidth="1"/>
    <col min="7913" max="7913" width="45.7109375" style="268" customWidth="1"/>
    <col min="7914" max="7914" width="2.85546875" style="268" customWidth="1"/>
    <col min="7915" max="7938" width="0" style="268" hidden="1" customWidth="1"/>
    <col min="7939" max="7939" width="18.85546875" style="268" customWidth="1"/>
    <col min="7940" max="7940" width="3.140625" style="268" customWidth="1"/>
    <col min="7941" max="7941" width="18.28515625" style="268" customWidth="1"/>
    <col min="7942" max="7942" width="3.140625" style="268" customWidth="1"/>
    <col min="7943" max="7943" width="18.28515625" style="268" customWidth="1"/>
    <col min="7944" max="7944" width="3.140625" style="268" customWidth="1"/>
    <col min="7945" max="7945" width="18.28515625" style="268" customWidth="1"/>
    <col min="7946" max="7946" width="33.28515625" style="268" customWidth="1"/>
    <col min="7947" max="7947" width="18.28515625" style="268" customWidth="1"/>
    <col min="7948" max="7949" width="5.7109375" style="268" customWidth="1"/>
    <col min="7950" max="7950" width="16.42578125" style="268" bestFit="1" customWidth="1"/>
    <col min="7951" max="7951" width="2.42578125" style="268" customWidth="1"/>
    <col min="7952" max="7952" width="15.7109375" style="268" bestFit="1" customWidth="1"/>
    <col min="7953" max="7953" width="5.7109375" style="268" customWidth="1"/>
    <col min="7954" max="7954" width="13.140625" style="268" bestFit="1" customWidth="1"/>
    <col min="7955" max="8165" width="9.140625" style="268"/>
    <col min="8166" max="8167" width="2.42578125" style="268" customWidth="1"/>
    <col min="8168" max="8168" width="2.7109375" style="268" customWidth="1"/>
    <col min="8169" max="8169" width="45.7109375" style="268" customWidth="1"/>
    <col min="8170" max="8170" width="2.85546875" style="268" customWidth="1"/>
    <col min="8171" max="8194" width="0" style="268" hidden="1" customWidth="1"/>
    <col min="8195" max="8195" width="18.85546875" style="268" customWidth="1"/>
    <col min="8196" max="8196" width="3.140625" style="268" customWidth="1"/>
    <col min="8197" max="8197" width="18.28515625" style="268" customWidth="1"/>
    <col min="8198" max="8198" width="3.140625" style="268" customWidth="1"/>
    <col min="8199" max="8199" width="18.28515625" style="268" customWidth="1"/>
    <col min="8200" max="8200" width="3.140625" style="268" customWidth="1"/>
    <col min="8201" max="8201" width="18.28515625" style="268" customWidth="1"/>
    <col min="8202" max="8202" width="33.28515625" style="268" customWidth="1"/>
    <col min="8203" max="8203" width="18.28515625" style="268" customWidth="1"/>
    <col min="8204" max="8205" width="5.7109375" style="268" customWidth="1"/>
    <col min="8206" max="8206" width="16.42578125" style="268" bestFit="1" customWidth="1"/>
    <col min="8207" max="8207" width="2.42578125" style="268" customWidth="1"/>
    <col min="8208" max="8208" width="15.7109375" style="268" bestFit="1" customWidth="1"/>
    <col min="8209" max="8209" width="5.7109375" style="268" customWidth="1"/>
    <col min="8210" max="8210" width="13.140625" style="268" bestFit="1" customWidth="1"/>
    <col min="8211" max="8421" width="9.140625" style="268"/>
    <col min="8422" max="8423" width="2.42578125" style="268" customWidth="1"/>
    <col min="8424" max="8424" width="2.7109375" style="268" customWidth="1"/>
    <col min="8425" max="8425" width="45.7109375" style="268" customWidth="1"/>
    <col min="8426" max="8426" width="2.85546875" style="268" customWidth="1"/>
    <col min="8427" max="8450" width="0" style="268" hidden="1" customWidth="1"/>
    <col min="8451" max="8451" width="18.85546875" style="268" customWidth="1"/>
    <col min="8452" max="8452" width="3.140625" style="268" customWidth="1"/>
    <col min="8453" max="8453" width="18.28515625" style="268" customWidth="1"/>
    <col min="8454" max="8454" width="3.140625" style="268" customWidth="1"/>
    <col min="8455" max="8455" width="18.28515625" style="268" customWidth="1"/>
    <col min="8456" max="8456" width="3.140625" style="268" customWidth="1"/>
    <col min="8457" max="8457" width="18.28515625" style="268" customWidth="1"/>
    <col min="8458" max="8458" width="33.28515625" style="268" customWidth="1"/>
    <col min="8459" max="8459" width="18.28515625" style="268" customWidth="1"/>
    <col min="8460" max="8461" width="5.7109375" style="268" customWidth="1"/>
    <col min="8462" max="8462" width="16.42578125" style="268" bestFit="1" customWidth="1"/>
    <col min="8463" max="8463" width="2.42578125" style="268" customWidth="1"/>
    <col min="8464" max="8464" width="15.7109375" style="268" bestFit="1" customWidth="1"/>
    <col min="8465" max="8465" width="5.7109375" style="268" customWidth="1"/>
    <col min="8466" max="8466" width="13.140625" style="268" bestFit="1" customWidth="1"/>
    <col min="8467" max="8677" width="9.140625" style="268"/>
    <col min="8678" max="8679" width="2.42578125" style="268" customWidth="1"/>
    <col min="8680" max="8680" width="2.7109375" style="268" customWidth="1"/>
    <col min="8681" max="8681" width="45.7109375" style="268" customWidth="1"/>
    <col min="8682" max="8682" width="2.85546875" style="268" customWidth="1"/>
    <col min="8683" max="8706" width="0" style="268" hidden="1" customWidth="1"/>
    <col min="8707" max="8707" width="18.85546875" style="268" customWidth="1"/>
    <col min="8708" max="8708" width="3.140625" style="268" customWidth="1"/>
    <col min="8709" max="8709" width="18.28515625" style="268" customWidth="1"/>
    <col min="8710" max="8710" width="3.140625" style="268" customWidth="1"/>
    <col min="8711" max="8711" width="18.28515625" style="268" customWidth="1"/>
    <col min="8712" max="8712" width="3.140625" style="268" customWidth="1"/>
    <col min="8713" max="8713" width="18.28515625" style="268" customWidth="1"/>
    <col min="8714" max="8714" width="33.28515625" style="268" customWidth="1"/>
    <col min="8715" max="8715" width="18.28515625" style="268" customWidth="1"/>
    <col min="8716" max="8717" width="5.7109375" style="268" customWidth="1"/>
    <col min="8718" max="8718" width="16.42578125" style="268" bestFit="1" customWidth="1"/>
    <col min="8719" max="8719" width="2.42578125" style="268" customWidth="1"/>
    <col min="8720" max="8720" width="15.7109375" style="268" bestFit="1" customWidth="1"/>
    <col min="8721" max="8721" width="5.7109375" style="268" customWidth="1"/>
    <col min="8722" max="8722" width="13.140625" style="268" bestFit="1" customWidth="1"/>
    <col min="8723" max="8933" width="9.140625" style="268"/>
    <col min="8934" max="8935" width="2.42578125" style="268" customWidth="1"/>
    <col min="8936" max="8936" width="2.7109375" style="268" customWidth="1"/>
    <col min="8937" max="8937" width="45.7109375" style="268" customWidth="1"/>
    <col min="8938" max="8938" width="2.85546875" style="268" customWidth="1"/>
    <col min="8939" max="8962" width="0" style="268" hidden="1" customWidth="1"/>
    <col min="8963" max="8963" width="18.85546875" style="268" customWidth="1"/>
    <col min="8964" max="8964" width="3.140625" style="268" customWidth="1"/>
    <col min="8965" max="8965" width="18.28515625" style="268" customWidth="1"/>
    <col min="8966" max="8966" width="3.140625" style="268" customWidth="1"/>
    <col min="8967" max="8967" width="18.28515625" style="268" customWidth="1"/>
    <col min="8968" max="8968" width="3.140625" style="268" customWidth="1"/>
    <col min="8969" max="8969" width="18.28515625" style="268" customWidth="1"/>
    <col min="8970" max="8970" width="33.28515625" style="268" customWidth="1"/>
    <col min="8971" max="8971" width="18.28515625" style="268" customWidth="1"/>
    <col min="8972" max="8973" width="5.7109375" style="268" customWidth="1"/>
    <col min="8974" max="8974" width="16.42578125" style="268" bestFit="1" customWidth="1"/>
    <col min="8975" max="8975" width="2.42578125" style="268" customWidth="1"/>
    <col min="8976" max="8976" width="15.7109375" style="268" bestFit="1" customWidth="1"/>
    <col min="8977" max="8977" width="5.7109375" style="268" customWidth="1"/>
    <col min="8978" max="8978" width="13.140625" style="268" bestFit="1" customWidth="1"/>
    <col min="8979" max="9189" width="9.140625" style="268"/>
    <col min="9190" max="9191" width="2.42578125" style="268" customWidth="1"/>
    <col min="9192" max="9192" width="2.7109375" style="268" customWidth="1"/>
    <col min="9193" max="9193" width="45.7109375" style="268" customWidth="1"/>
    <col min="9194" max="9194" width="2.85546875" style="268" customWidth="1"/>
    <col min="9195" max="9218" width="0" style="268" hidden="1" customWidth="1"/>
    <col min="9219" max="9219" width="18.85546875" style="268" customWidth="1"/>
    <col min="9220" max="9220" width="3.140625" style="268" customWidth="1"/>
    <col min="9221" max="9221" width="18.28515625" style="268" customWidth="1"/>
    <col min="9222" max="9222" width="3.140625" style="268" customWidth="1"/>
    <col min="9223" max="9223" width="18.28515625" style="268" customWidth="1"/>
    <col min="9224" max="9224" width="3.140625" style="268" customWidth="1"/>
    <col min="9225" max="9225" width="18.28515625" style="268" customWidth="1"/>
    <col min="9226" max="9226" width="33.28515625" style="268" customWidth="1"/>
    <col min="9227" max="9227" width="18.28515625" style="268" customWidth="1"/>
    <col min="9228" max="9229" width="5.7109375" style="268" customWidth="1"/>
    <col min="9230" max="9230" width="16.42578125" style="268" bestFit="1" customWidth="1"/>
    <col min="9231" max="9231" width="2.42578125" style="268" customWidth="1"/>
    <col min="9232" max="9232" width="15.7109375" style="268" bestFit="1" customWidth="1"/>
    <col min="9233" max="9233" width="5.7109375" style="268" customWidth="1"/>
    <col min="9234" max="9234" width="13.140625" style="268" bestFit="1" customWidth="1"/>
    <col min="9235" max="9445" width="9.140625" style="268"/>
    <col min="9446" max="9447" width="2.42578125" style="268" customWidth="1"/>
    <col min="9448" max="9448" width="2.7109375" style="268" customWidth="1"/>
    <col min="9449" max="9449" width="45.7109375" style="268" customWidth="1"/>
    <col min="9450" max="9450" width="2.85546875" style="268" customWidth="1"/>
    <col min="9451" max="9474" width="0" style="268" hidden="1" customWidth="1"/>
    <col min="9475" max="9475" width="18.85546875" style="268" customWidth="1"/>
    <col min="9476" max="9476" width="3.140625" style="268" customWidth="1"/>
    <col min="9477" max="9477" width="18.28515625" style="268" customWidth="1"/>
    <col min="9478" max="9478" width="3.140625" style="268" customWidth="1"/>
    <col min="9479" max="9479" width="18.28515625" style="268" customWidth="1"/>
    <col min="9480" max="9480" width="3.140625" style="268" customWidth="1"/>
    <col min="9481" max="9481" width="18.28515625" style="268" customWidth="1"/>
    <col min="9482" max="9482" width="33.28515625" style="268" customWidth="1"/>
    <col min="9483" max="9483" width="18.28515625" style="268" customWidth="1"/>
    <col min="9484" max="9485" width="5.7109375" style="268" customWidth="1"/>
    <col min="9486" max="9486" width="16.42578125" style="268" bestFit="1" customWidth="1"/>
    <col min="9487" max="9487" width="2.42578125" style="268" customWidth="1"/>
    <col min="9488" max="9488" width="15.7109375" style="268" bestFit="1" customWidth="1"/>
    <col min="9489" max="9489" width="5.7109375" style="268" customWidth="1"/>
    <col min="9490" max="9490" width="13.140625" style="268" bestFit="1" customWidth="1"/>
    <col min="9491" max="9701" width="9.140625" style="268"/>
    <col min="9702" max="9703" width="2.42578125" style="268" customWidth="1"/>
    <col min="9704" max="9704" width="2.7109375" style="268" customWidth="1"/>
    <col min="9705" max="9705" width="45.7109375" style="268" customWidth="1"/>
    <col min="9706" max="9706" width="2.85546875" style="268" customWidth="1"/>
    <col min="9707" max="9730" width="0" style="268" hidden="1" customWidth="1"/>
    <col min="9731" max="9731" width="18.85546875" style="268" customWidth="1"/>
    <col min="9732" max="9732" width="3.140625" style="268" customWidth="1"/>
    <col min="9733" max="9733" width="18.28515625" style="268" customWidth="1"/>
    <col min="9734" max="9734" width="3.140625" style="268" customWidth="1"/>
    <col min="9735" max="9735" width="18.28515625" style="268" customWidth="1"/>
    <col min="9736" max="9736" width="3.140625" style="268" customWidth="1"/>
    <col min="9737" max="9737" width="18.28515625" style="268" customWidth="1"/>
    <col min="9738" max="9738" width="33.28515625" style="268" customWidth="1"/>
    <col min="9739" max="9739" width="18.28515625" style="268" customWidth="1"/>
    <col min="9740" max="9741" width="5.7109375" style="268" customWidth="1"/>
    <col min="9742" max="9742" width="16.42578125" style="268" bestFit="1" customWidth="1"/>
    <col min="9743" max="9743" width="2.42578125" style="268" customWidth="1"/>
    <col min="9744" max="9744" width="15.7109375" style="268" bestFit="1" customWidth="1"/>
    <col min="9745" max="9745" width="5.7109375" style="268" customWidth="1"/>
    <col min="9746" max="9746" width="13.140625" style="268" bestFit="1" customWidth="1"/>
    <col min="9747" max="9957" width="9.140625" style="268"/>
    <col min="9958" max="9959" width="2.42578125" style="268" customWidth="1"/>
    <col min="9960" max="9960" width="2.7109375" style="268" customWidth="1"/>
    <col min="9961" max="9961" width="45.7109375" style="268" customWidth="1"/>
    <col min="9962" max="9962" width="2.85546875" style="268" customWidth="1"/>
    <col min="9963" max="9986" width="0" style="268" hidden="1" customWidth="1"/>
    <col min="9987" max="9987" width="18.85546875" style="268" customWidth="1"/>
    <col min="9988" max="9988" width="3.140625" style="268" customWidth="1"/>
    <col min="9989" max="9989" width="18.28515625" style="268" customWidth="1"/>
    <col min="9990" max="9990" width="3.140625" style="268" customWidth="1"/>
    <col min="9991" max="9991" width="18.28515625" style="268" customWidth="1"/>
    <col min="9992" max="9992" width="3.140625" style="268" customWidth="1"/>
    <col min="9993" max="9993" width="18.28515625" style="268" customWidth="1"/>
    <col min="9994" max="9994" width="33.28515625" style="268" customWidth="1"/>
    <col min="9995" max="9995" width="18.28515625" style="268" customWidth="1"/>
    <col min="9996" max="9997" width="5.7109375" style="268" customWidth="1"/>
    <col min="9998" max="9998" width="16.42578125" style="268" bestFit="1" customWidth="1"/>
    <col min="9999" max="9999" width="2.42578125" style="268" customWidth="1"/>
    <col min="10000" max="10000" width="15.7109375" style="268" bestFit="1" customWidth="1"/>
    <col min="10001" max="10001" width="5.7109375" style="268" customWidth="1"/>
    <col min="10002" max="10002" width="13.140625" style="268" bestFit="1" customWidth="1"/>
    <col min="10003" max="10213" width="9.140625" style="268"/>
    <col min="10214" max="10215" width="2.42578125" style="268" customWidth="1"/>
    <col min="10216" max="10216" width="2.7109375" style="268" customWidth="1"/>
    <col min="10217" max="10217" width="45.7109375" style="268" customWidth="1"/>
    <col min="10218" max="10218" width="2.85546875" style="268" customWidth="1"/>
    <col min="10219" max="10242" width="0" style="268" hidden="1" customWidth="1"/>
    <col min="10243" max="10243" width="18.85546875" style="268" customWidth="1"/>
    <col min="10244" max="10244" width="3.140625" style="268" customWidth="1"/>
    <col min="10245" max="10245" width="18.28515625" style="268" customWidth="1"/>
    <col min="10246" max="10246" width="3.140625" style="268" customWidth="1"/>
    <col min="10247" max="10247" width="18.28515625" style="268" customWidth="1"/>
    <col min="10248" max="10248" width="3.140625" style="268" customWidth="1"/>
    <col min="10249" max="10249" width="18.28515625" style="268" customWidth="1"/>
    <col min="10250" max="10250" width="33.28515625" style="268" customWidth="1"/>
    <col min="10251" max="10251" width="18.28515625" style="268" customWidth="1"/>
    <col min="10252" max="10253" width="5.7109375" style="268" customWidth="1"/>
    <col min="10254" max="10254" width="16.42578125" style="268" bestFit="1" customWidth="1"/>
    <col min="10255" max="10255" width="2.42578125" style="268" customWidth="1"/>
    <col min="10256" max="10256" width="15.7109375" style="268" bestFit="1" customWidth="1"/>
    <col min="10257" max="10257" width="5.7109375" style="268" customWidth="1"/>
    <col min="10258" max="10258" width="13.140625" style="268" bestFit="1" customWidth="1"/>
    <col min="10259" max="10469" width="9.140625" style="268"/>
    <col min="10470" max="10471" width="2.42578125" style="268" customWidth="1"/>
    <col min="10472" max="10472" width="2.7109375" style="268" customWidth="1"/>
    <col min="10473" max="10473" width="45.7109375" style="268" customWidth="1"/>
    <col min="10474" max="10474" width="2.85546875" style="268" customWidth="1"/>
    <col min="10475" max="10498" width="0" style="268" hidden="1" customWidth="1"/>
    <col min="10499" max="10499" width="18.85546875" style="268" customWidth="1"/>
    <col min="10500" max="10500" width="3.140625" style="268" customWidth="1"/>
    <col min="10501" max="10501" width="18.28515625" style="268" customWidth="1"/>
    <col min="10502" max="10502" width="3.140625" style="268" customWidth="1"/>
    <col min="10503" max="10503" width="18.28515625" style="268" customWidth="1"/>
    <col min="10504" max="10504" width="3.140625" style="268" customWidth="1"/>
    <col min="10505" max="10505" width="18.28515625" style="268" customWidth="1"/>
    <col min="10506" max="10506" width="33.28515625" style="268" customWidth="1"/>
    <col min="10507" max="10507" width="18.28515625" style="268" customWidth="1"/>
    <col min="10508" max="10509" width="5.7109375" style="268" customWidth="1"/>
    <col min="10510" max="10510" width="16.42578125" style="268" bestFit="1" customWidth="1"/>
    <col min="10511" max="10511" width="2.42578125" style="268" customWidth="1"/>
    <col min="10512" max="10512" width="15.7109375" style="268" bestFit="1" customWidth="1"/>
    <col min="10513" max="10513" width="5.7109375" style="268" customWidth="1"/>
    <col min="10514" max="10514" width="13.140625" style="268" bestFit="1" customWidth="1"/>
    <col min="10515" max="10725" width="9.140625" style="268"/>
    <col min="10726" max="10727" width="2.42578125" style="268" customWidth="1"/>
    <col min="10728" max="10728" width="2.7109375" style="268" customWidth="1"/>
    <col min="10729" max="10729" width="45.7109375" style="268" customWidth="1"/>
    <col min="10730" max="10730" width="2.85546875" style="268" customWidth="1"/>
    <col min="10731" max="10754" width="0" style="268" hidden="1" customWidth="1"/>
    <col min="10755" max="10755" width="18.85546875" style="268" customWidth="1"/>
    <col min="10756" max="10756" width="3.140625" style="268" customWidth="1"/>
    <col min="10757" max="10757" width="18.28515625" style="268" customWidth="1"/>
    <col min="10758" max="10758" width="3.140625" style="268" customWidth="1"/>
    <col min="10759" max="10759" width="18.28515625" style="268" customWidth="1"/>
    <col min="10760" max="10760" width="3.140625" style="268" customWidth="1"/>
    <col min="10761" max="10761" width="18.28515625" style="268" customWidth="1"/>
    <col min="10762" max="10762" width="33.28515625" style="268" customWidth="1"/>
    <col min="10763" max="10763" width="18.28515625" style="268" customWidth="1"/>
    <col min="10764" max="10765" width="5.7109375" style="268" customWidth="1"/>
    <col min="10766" max="10766" width="16.42578125" style="268" bestFit="1" customWidth="1"/>
    <col min="10767" max="10767" width="2.42578125" style="268" customWidth="1"/>
    <col min="10768" max="10768" width="15.7109375" style="268" bestFit="1" customWidth="1"/>
    <col min="10769" max="10769" width="5.7109375" style="268" customWidth="1"/>
    <col min="10770" max="10770" width="13.140625" style="268" bestFit="1" customWidth="1"/>
    <col min="10771" max="10981" width="9.140625" style="268"/>
    <col min="10982" max="10983" width="2.42578125" style="268" customWidth="1"/>
    <col min="10984" max="10984" width="2.7109375" style="268" customWidth="1"/>
    <col min="10985" max="10985" width="45.7109375" style="268" customWidth="1"/>
    <col min="10986" max="10986" width="2.85546875" style="268" customWidth="1"/>
    <col min="10987" max="11010" width="0" style="268" hidden="1" customWidth="1"/>
    <col min="11011" max="11011" width="18.85546875" style="268" customWidth="1"/>
    <col min="11012" max="11012" width="3.140625" style="268" customWidth="1"/>
    <col min="11013" max="11013" width="18.28515625" style="268" customWidth="1"/>
    <col min="11014" max="11014" width="3.140625" style="268" customWidth="1"/>
    <col min="11015" max="11015" width="18.28515625" style="268" customWidth="1"/>
    <col min="11016" max="11016" width="3.140625" style="268" customWidth="1"/>
    <col min="11017" max="11017" width="18.28515625" style="268" customWidth="1"/>
    <col min="11018" max="11018" width="33.28515625" style="268" customWidth="1"/>
    <col min="11019" max="11019" width="18.28515625" style="268" customWidth="1"/>
    <col min="11020" max="11021" width="5.7109375" style="268" customWidth="1"/>
    <col min="11022" max="11022" width="16.42578125" style="268" bestFit="1" customWidth="1"/>
    <col min="11023" max="11023" width="2.42578125" style="268" customWidth="1"/>
    <col min="11024" max="11024" width="15.7109375" style="268" bestFit="1" customWidth="1"/>
    <col min="11025" max="11025" width="5.7109375" style="268" customWidth="1"/>
    <col min="11026" max="11026" width="13.140625" style="268" bestFit="1" customWidth="1"/>
    <col min="11027" max="11237" width="9.140625" style="268"/>
    <col min="11238" max="11239" width="2.42578125" style="268" customWidth="1"/>
    <col min="11240" max="11240" width="2.7109375" style="268" customWidth="1"/>
    <col min="11241" max="11241" width="45.7109375" style="268" customWidth="1"/>
    <col min="11242" max="11242" width="2.85546875" style="268" customWidth="1"/>
    <col min="11243" max="11266" width="0" style="268" hidden="1" customWidth="1"/>
    <col min="11267" max="11267" width="18.85546875" style="268" customWidth="1"/>
    <col min="11268" max="11268" width="3.140625" style="268" customWidth="1"/>
    <col min="11269" max="11269" width="18.28515625" style="268" customWidth="1"/>
    <col min="11270" max="11270" width="3.140625" style="268" customWidth="1"/>
    <col min="11271" max="11271" width="18.28515625" style="268" customWidth="1"/>
    <col min="11272" max="11272" width="3.140625" style="268" customWidth="1"/>
    <col min="11273" max="11273" width="18.28515625" style="268" customWidth="1"/>
    <col min="11274" max="11274" width="33.28515625" style="268" customWidth="1"/>
    <col min="11275" max="11275" width="18.28515625" style="268" customWidth="1"/>
    <col min="11276" max="11277" width="5.7109375" style="268" customWidth="1"/>
    <col min="11278" max="11278" width="16.42578125" style="268" bestFit="1" customWidth="1"/>
    <col min="11279" max="11279" width="2.42578125" style="268" customWidth="1"/>
    <col min="11280" max="11280" width="15.7109375" style="268" bestFit="1" customWidth="1"/>
    <col min="11281" max="11281" width="5.7109375" style="268" customWidth="1"/>
    <col min="11282" max="11282" width="13.140625" style="268" bestFit="1" customWidth="1"/>
    <col min="11283" max="11493" width="9.140625" style="268"/>
    <col min="11494" max="11495" width="2.42578125" style="268" customWidth="1"/>
    <col min="11496" max="11496" width="2.7109375" style="268" customWidth="1"/>
    <col min="11497" max="11497" width="45.7109375" style="268" customWidth="1"/>
    <col min="11498" max="11498" width="2.85546875" style="268" customWidth="1"/>
    <col min="11499" max="11522" width="0" style="268" hidden="1" customWidth="1"/>
    <col min="11523" max="11523" width="18.85546875" style="268" customWidth="1"/>
    <col min="11524" max="11524" width="3.140625" style="268" customWidth="1"/>
    <col min="11525" max="11525" width="18.28515625" style="268" customWidth="1"/>
    <col min="11526" max="11526" width="3.140625" style="268" customWidth="1"/>
    <col min="11527" max="11527" width="18.28515625" style="268" customWidth="1"/>
    <col min="11528" max="11528" width="3.140625" style="268" customWidth="1"/>
    <col min="11529" max="11529" width="18.28515625" style="268" customWidth="1"/>
    <col min="11530" max="11530" width="33.28515625" style="268" customWidth="1"/>
    <col min="11531" max="11531" width="18.28515625" style="268" customWidth="1"/>
    <col min="11532" max="11533" width="5.7109375" style="268" customWidth="1"/>
    <col min="11534" max="11534" width="16.42578125" style="268" bestFit="1" customWidth="1"/>
    <col min="11535" max="11535" width="2.42578125" style="268" customWidth="1"/>
    <col min="11536" max="11536" width="15.7109375" style="268" bestFit="1" customWidth="1"/>
    <col min="11537" max="11537" width="5.7109375" style="268" customWidth="1"/>
    <col min="11538" max="11538" width="13.140625" style="268" bestFit="1" customWidth="1"/>
    <col min="11539" max="11749" width="9.140625" style="268"/>
    <col min="11750" max="11751" width="2.42578125" style="268" customWidth="1"/>
    <col min="11752" max="11752" width="2.7109375" style="268" customWidth="1"/>
    <col min="11753" max="11753" width="45.7109375" style="268" customWidth="1"/>
    <col min="11754" max="11754" width="2.85546875" style="268" customWidth="1"/>
    <col min="11755" max="11778" width="0" style="268" hidden="1" customWidth="1"/>
    <col min="11779" max="11779" width="18.85546875" style="268" customWidth="1"/>
    <col min="11780" max="11780" width="3.140625" style="268" customWidth="1"/>
    <col min="11781" max="11781" width="18.28515625" style="268" customWidth="1"/>
    <col min="11782" max="11782" width="3.140625" style="268" customWidth="1"/>
    <col min="11783" max="11783" width="18.28515625" style="268" customWidth="1"/>
    <col min="11784" max="11784" width="3.140625" style="268" customWidth="1"/>
    <col min="11785" max="11785" width="18.28515625" style="268" customWidth="1"/>
    <col min="11786" max="11786" width="33.28515625" style="268" customWidth="1"/>
    <col min="11787" max="11787" width="18.28515625" style="268" customWidth="1"/>
    <col min="11788" max="11789" width="5.7109375" style="268" customWidth="1"/>
    <col min="11790" max="11790" width="16.42578125" style="268" bestFit="1" customWidth="1"/>
    <col min="11791" max="11791" width="2.42578125" style="268" customWidth="1"/>
    <col min="11792" max="11792" width="15.7109375" style="268" bestFit="1" customWidth="1"/>
    <col min="11793" max="11793" width="5.7109375" style="268" customWidth="1"/>
    <col min="11794" max="11794" width="13.140625" style="268" bestFit="1" customWidth="1"/>
    <col min="11795" max="12005" width="9.140625" style="268"/>
    <col min="12006" max="12007" width="2.42578125" style="268" customWidth="1"/>
    <col min="12008" max="12008" width="2.7109375" style="268" customWidth="1"/>
    <col min="12009" max="12009" width="45.7109375" style="268" customWidth="1"/>
    <col min="12010" max="12010" width="2.85546875" style="268" customWidth="1"/>
    <col min="12011" max="12034" width="0" style="268" hidden="1" customWidth="1"/>
    <col min="12035" max="12035" width="18.85546875" style="268" customWidth="1"/>
    <col min="12036" max="12036" width="3.140625" style="268" customWidth="1"/>
    <col min="12037" max="12037" width="18.28515625" style="268" customWidth="1"/>
    <col min="12038" max="12038" width="3.140625" style="268" customWidth="1"/>
    <col min="12039" max="12039" width="18.28515625" style="268" customWidth="1"/>
    <col min="12040" max="12040" width="3.140625" style="268" customWidth="1"/>
    <col min="12041" max="12041" width="18.28515625" style="268" customWidth="1"/>
    <col min="12042" max="12042" width="33.28515625" style="268" customWidth="1"/>
    <col min="12043" max="12043" width="18.28515625" style="268" customWidth="1"/>
    <col min="12044" max="12045" width="5.7109375" style="268" customWidth="1"/>
    <col min="12046" max="12046" width="16.42578125" style="268" bestFit="1" customWidth="1"/>
    <col min="12047" max="12047" width="2.42578125" style="268" customWidth="1"/>
    <col min="12048" max="12048" width="15.7109375" style="268" bestFit="1" customWidth="1"/>
    <col min="12049" max="12049" width="5.7109375" style="268" customWidth="1"/>
    <col min="12050" max="12050" width="13.140625" style="268" bestFit="1" customWidth="1"/>
    <col min="12051" max="12261" width="9.140625" style="268"/>
    <col min="12262" max="12263" width="2.42578125" style="268" customWidth="1"/>
    <col min="12264" max="12264" width="2.7109375" style="268" customWidth="1"/>
    <col min="12265" max="12265" width="45.7109375" style="268" customWidth="1"/>
    <col min="12266" max="12266" width="2.85546875" style="268" customWidth="1"/>
    <col min="12267" max="12290" width="0" style="268" hidden="1" customWidth="1"/>
    <col min="12291" max="12291" width="18.85546875" style="268" customWidth="1"/>
    <col min="12292" max="12292" width="3.140625" style="268" customWidth="1"/>
    <col min="12293" max="12293" width="18.28515625" style="268" customWidth="1"/>
    <col min="12294" max="12294" width="3.140625" style="268" customWidth="1"/>
    <col min="12295" max="12295" width="18.28515625" style="268" customWidth="1"/>
    <col min="12296" max="12296" width="3.140625" style="268" customWidth="1"/>
    <col min="12297" max="12297" width="18.28515625" style="268" customWidth="1"/>
    <col min="12298" max="12298" width="33.28515625" style="268" customWidth="1"/>
    <col min="12299" max="12299" width="18.28515625" style="268" customWidth="1"/>
    <col min="12300" max="12301" width="5.7109375" style="268" customWidth="1"/>
    <col min="12302" max="12302" width="16.42578125" style="268" bestFit="1" customWidth="1"/>
    <col min="12303" max="12303" width="2.42578125" style="268" customWidth="1"/>
    <col min="12304" max="12304" width="15.7109375" style="268" bestFit="1" customWidth="1"/>
    <col min="12305" max="12305" width="5.7109375" style="268" customWidth="1"/>
    <col min="12306" max="12306" width="13.140625" style="268" bestFit="1" customWidth="1"/>
    <col min="12307" max="12517" width="9.140625" style="268"/>
    <col min="12518" max="12519" width="2.42578125" style="268" customWidth="1"/>
    <col min="12520" max="12520" width="2.7109375" style="268" customWidth="1"/>
    <col min="12521" max="12521" width="45.7109375" style="268" customWidth="1"/>
    <col min="12522" max="12522" width="2.85546875" style="268" customWidth="1"/>
    <col min="12523" max="12546" width="0" style="268" hidden="1" customWidth="1"/>
    <col min="12547" max="12547" width="18.85546875" style="268" customWidth="1"/>
    <col min="12548" max="12548" width="3.140625" style="268" customWidth="1"/>
    <col min="12549" max="12549" width="18.28515625" style="268" customWidth="1"/>
    <col min="12550" max="12550" width="3.140625" style="268" customWidth="1"/>
    <col min="12551" max="12551" width="18.28515625" style="268" customWidth="1"/>
    <col min="12552" max="12552" width="3.140625" style="268" customWidth="1"/>
    <col min="12553" max="12553" width="18.28515625" style="268" customWidth="1"/>
    <col min="12554" max="12554" width="33.28515625" style="268" customWidth="1"/>
    <col min="12555" max="12555" width="18.28515625" style="268" customWidth="1"/>
    <col min="12556" max="12557" width="5.7109375" style="268" customWidth="1"/>
    <col min="12558" max="12558" width="16.42578125" style="268" bestFit="1" customWidth="1"/>
    <col min="12559" max="12559" width="2.42578125" style="268" customWidth="1"/>
    <col min="12560" max="12560" width="15.7109375" style="268" bestFit="1" customWidth="1"/>
    <col min="12561" max="12561" width="5.7109375" style="268" customWidth="1"/>
    <col min="12562" max="12562" width="13.140625" style="268" bestFit="1" customWidth="1"/>
    <col min="12563" max="12773" width="9.140625" style="268"/>
    <col min="12774" max="12775" width="2.42578125" style="268" customWidth="1"/>
    <col min="12776" max="12776" width="2.7109375" style="268" customWidth="1"/>
    <col min="12777" max="12777" width="45.7109375" style="268" customWidth="1"/>
    <col min="12778" max="12778" width="2.85546875" style="268" customWidth="1"/>
    <col min="12779" max="12802" width="0" style="268" hidden="1" customWidth="1"/>
    <col min="12803" max="12803" width="18.85546875" style="268" customWidth="1"/>
    <col min="12804" max="12804" width="3.140625" style="268" customWidth="1"/>
    <col min="12805" max="12805" width="18.28515625" style="268" customWidth="1"/>
    <col min="12806" max="12806" width="3.140625" style="268" customWidth="1"/>
    <col min="12807" max="12807" width="18.28515625" style="268" customWidth="1"/>
    <col min="12808" max="12808" width="3.140625" style="268" customWidth="1"/>
    <col min="12809" max="12809" width="18.28515625" style="268" customWidth="1"/>
    <col min="12810" max="12810" width="33.28515625" style="268" customWidth="1"/>
    <col min="12811" max="12811" width="18.28515625" style="268" customWidth="1"/>
    <col min="12812" max="12813" width="5.7109375" style="268" customWidth="1"/>
    <col min="12814" max="12814" width="16.42578125" style="268" bestFit="1" customWidth="1"/>
    <col min="12815" max="12815" width="2.42578125" style="268" customWidth="1"/>
    <col min="12816" max="12816" width="15.7109375" style="268" bestFit="1" customWidth="1"/>
    <col min="12817" max="12817" width="5.7109375" style="268" customWidth="1"/>
    <col min="12818" max="12818" width="13.140625" style="268" bestFit="1" customWidth="1"/>
    <col min="12819" max="13029" width="9.140625" style="268"/>
    <col min="13030" max="13031" width="2.42578125" style="268" customWidth="1"/>
    <col min="13032" max="13032" width="2.7109375" style="268" customWidth="1"/>
    <col min="13033" max="13033" width="45.7109375" style="268" customWidth="1"/>
    <col min="13034" max="13034" width="2.85546875" style="268" customWidth="1"/>
    <col min="13035" max="13058" width="0" style="268" hidden="1" customWidth="1"/>
    <col min="13059" max="13059" width="18.85546875" style="268" customWidth="1"/>
    <col min="13060" max="13060" width="3.140625" style="268" customWidth="1"/>
    <col min="13061" max="13061" width="18.28515625" style="268" customWidth="1"/>
    <col min="13062" max="13062" width="3.140625" style="268" customWidth="1"/>
    <col min="13063" max="13063" width="18.28515625" style="268" customWidth="1"/>
    <col min="13064" max="13064" width="3.140625" style="268" customWidth="1"/>
    <col min="13065" max="13065" width="18.28515625" style="268" customWidth="1"/>
    <col min="13066" max="13066" width="33.28515625" style="268" customWidth="1"/>
    <col min="13067" max="13067" width="18.28515625" style="268" customWidth="1"/>
    <col min="13068" max="13069" width="5.7109375" style="268" customWidth="1"/>
    <col min="13070" max="13070" width="16.42578125" style="268" bestFit="1" customWidth="1"/>
    <col min="13071" max="13071" width="2.42578125" style="268" customWidth="1"/>
    <col min="13072" max="13072" width="15.7109375" style="268" bestFit="1" customWidth="1"/>
    <col min="13073" max="13073" width="5.7109375" style="268" customWidth="1"/>
    <col min="13074" max="13074" width="13.140625" style="268" bestFit="1" customWidth="1"/>
    <col min="13075" max="13285" width="9.140625" style="268"/>
    <col min="13286" max="13287" width="2.42578125" style="268" customWidth="1"/>
    <col min="13288" max="13288" width="2.7109375" style="268" customWidth="1"/>
    <col min="13289" max="13289" width="45.7109375" style="268" customWidth="1"/>
    <col min="13290" max="13290" width="2.85546875" style="268" customWidth="1"/>
    <col min="13291" max="13314" width="0" style="268" hidden="1" customWidth="1"/>
    <col min="13315" max="13315" width="18.85546875" style="268" customWidth="1"/>
    <col min="13316" max="13316" width="3.140625" style="268" customWidth="1"/>
    <col min="13317" max="13317" width="18.28515625" style="268" customWidth="1"/>
    <col min="13318" max="13318" width="3.140625" style="268" customWidth="1"/>
    <col min="13319" max="13319" width="18.28515625" style="268" customWidth="1"/>
    <col min="13320" max="13320" width="3.140625" style="268" customWidth="1"/>
    <col min="13321" max="13321" width="18.28515625" style="268" customWidth="1"/>
    <col min="13322" max="13322" width="33.28515625" style="268" customWidth="1"/>
    <col min="13323" max="13323" width="18.28515625" style="268" customWidth="1"/>
    <col min="13324" max="13325" width="5.7109375" style="268" customWidth="1"/>
    <col min="13326" max="13326" width="16.42578125" style="268" bestFit="1" customWidth="1"/>
    <col min="13327" max="13327" width="2.42578125" style="268" customWidth="1"/>
    <col min="13328" max="13328" width="15.7109375" style="268" bestFit="1" customWidth="1"/>
    <col min="13329" max="13329" width="5.7109375" style="268" customWidth="1"/>
    <col min="13330" max="13330" width="13.140625" style="268" bestFit="1" customWidth="1"/>
    <col min="13331" max="13541" width="9.140625" style="268"/>
    <col min="13542" max="13543" width="2.42578125" style="268" customWidth="1"/>
    <col min="13544" max="13544" width="2.7109375" style="268" customWidth="1"/>
    <col min="13545" max="13545" width="45.7109375" style="268" customWidth="1"/>
    <col min="13546" max="13546" width="2.85546875" style="268" customWidth="1"/>
    <col min="13547" max="13570" width="0" style="268" hidden="1" customWidth="1"/>
    <col min="13571" max="13571" width="18.85546875" style="268" customWidth="1"/>
    <col min="13572" max="13572" width="3.140625" style="268" customWidth="1"/>
    <col min="13573" max="13573" width="18.28515625" style="268" customWidth="1"/>
    <col min="13574" max="13574" width="3.140625" style="268" customWidth="1"/>
    <col min="13575" max="13575" width="18.28515625" style="268" customWidth="1"/>
    <col min="13576" max="13576" width="3.140625" style="268" customWidth="1"/>
    <col min="13577" max="13577" width="18.28515625" style="268" customWidth="1"/>
    <col min="13578" max="13578" width="33.28515625" style="268" customWidth="1"/>
    <col min="13579" max="13579" width="18.28515625" style="268" customWidth="1"/>
    <col min="13580" max="13581" width="5.7109375" style="268" customWidth="1"/>
    <col min="13582" max="13582" width="16.42578125" style="268" bestFit="1" customWidth="1"/>
    <col min="13583" max="13583" width="2.42578125" style="268" customWidth="1"/>
    <col min="13584" max="13584" width="15.7109375" style="268" bestFit="1" customWidth="1"/>
    <col min="13585" max="13585" width="5.7109375" style="268" customWidth="1"/>
    <col min="13586" max="13586" width="13.140625" style="268" bestFit="1" customWidth="1"/>
    <col min="13587" max="13797" width="9.140625" style="268"/>
    <col min="13798" max="13799" width="2.42578125" style="268" customWidth="1"/>
    <col min="13800" max="13800" width="2.7109375" style="268" customWidth="1"/>
    <col min="13801" max="13801" width="45.7109375" style="268" customWidth="1"/>
    <col min="13802" max="13802" width="2.85546875" style="268" customWidth="1"/>
    <col min="13803" max="13826" width="0" style="268" hidden="1" customWidth="1"/>
    <col min="13827" max="13827" width="18.85546875" style="268" customWidth="1"/>
    <col min="13828" max="13828" width="3.140625" style="268" customWidth="1"/>
    <col min="13829" max="13829" width="18.28515625" style="268" customWidth="1"/>
    <col min="13830" max="13830" width="3.140625" style="268" customWidth="1"/>
    <col min="13831" max="13831" width="18.28515625" style="268" customWidth="1"/>
    <col min="13832" max="13832" width="3.140625" style="268" customWidth="1"/>
    <col min="13833" max="13833" width="18.28515625" style="268" customWidth="1"/>
    <col min="13834" max="13834" width="33.28515625" style="268" customWidth="1"/>
    <col min="13835" max="13835" width="18.28515625" style="268" customWidth="1"/>
    <col min="13836" max="13837" width="5.7109375" style="268" customWidth="1"/>
    <col min="13838" max="13838" width="16.42578125" style="268" bestFit="1" customWidth="1"/>
    <col min="13839" max="13839" width="2.42578125" style="268" customWidth="1"/>
    <col min="13840" max="13840" width="15.7109375" style="268" bestFit="1" customWidth="1"/>
    <col min="13841" max="13841" width="5.7109375" style="268" customWidth="1"/>
    <col min="13842" max="13842" width="13.140625" style="268" bestFit="1" customWidth="1"/>
    <col min="13843" max="14053" width="9.140625" style="268"/>
    <col min="14054" max="14055" width="2.42578125" style="268" customWidth="1"/>
    <col min="14056" max="14056" width="2.7109375" style="268" customWidth="1"/>
    <col min="14057" max="14057" width="45.7109375" style="268" customWidth="1"/>
    <col min="14058" max="14058" width="2.85546875" style="268" customWidth="1"/>
    <col min="14059" max="14082" width="0" style="268" hidden="1" customWidth="1"/>
    <col min="14083" max="14083" width="18.85546875" style="268" customWidth="1"/>
    <col min="14084" max="14084" width="3.140625" style="268" customWidth="1"/>
    <col min="14085" max="14085" width="18.28515625" style="268" customWidth="1"/>
    <col min="14086" max="14086" width="3.140625" style="268" customWidth="1"/>
    <col min="14087" max="14087" width="18.28515625" style="268" customWidth="1"/>
    <col min="14088" max="14088" width="3.140625" style="268" customWidth="1"/>
    <col min="14089" max="14089" width="18.28515625" style="268" customWidth="1"/>
    <col min="14090" max="14090" width="33.28515625" style="268" customWidth="1"/>
    <col min="14091" max="14091" width="18.28515625" style="268" customWidth="1"/>
    <col min="14092" max="14093" width="5.7109375" style="268" customWidth="1"/>
    <col min="14094" max="14094" width="16.42578125" style="268" bestFit="1" customWidth="1"/>
    <col min="14095" max="14095" width="2.42578125" style="268" customWidth="1"/>
    <col min="14096" max="14096" width="15.7109375" style="268" bestFit="1" customWidth="1"/>
    <col min="14097" max="14097" width="5.7109375" style="268" customWidth="1"/>
    <col min="14098" max="14098" width="13.140625" style="268" bestFit="1" customWidth="1"/>
    <col min="14099" max="14309" width="9.140625" style="268"/>
    <col min="14310" max="14311" width="2.42578125" style="268" customWidth="1"/>
    <col min="14312" max="14312" width="2.7109375" style="268" customWidth="1"/>
    <col min="14313" max="14313" width="45.7109375" style="268" customWidth="1"/>
    <col min="14314" max="14314" width="2.85546875" style="268" customWidth="1"/>
    <col min="14315" max="14338" width="0" style="268" hidden="1" customWidth="1"/>
    <col min="14339" max="14339" width="18.85546875" style="268" customWidth="1"/>
    <col min="14340" max="14340" width="3.140625" style="268" customWidth="1"/>
    <col min="14341" max="14341" width="18.28515625" style="268" customWidth="1"/>
    <col min="14342" max="14342" width="3.140625" style="268" customWidth="1"/>
    <col min="14343" max="14343" width="18.28515625" style="268" customWidth="1"/>
    <col min="14344" max="14344" width="3.140625" style="268" customWidth="1"/>
    <col min="14345" max="14345" width="18.28515625" style="268" customWidth="1"/>
    <col min="14346" max="14346" width="33.28515625" style="268" customWidth="1"/>
    <col min="14347" max="14347" width="18.28515625" style="268" customWidth="1"/>
    <col min="14348" max="14349" width="5.7109375" style="268" customWidth="1"/>
    <col min="14350" max="14350" width="16.42578125" style="268" bestFit="1" customWidth="1"/>
    <col min="14351" max="14351" width="2.42578125" style="268" customWidth="1"/>
    <col min="14352" max="14352" width="15.7109375" style="268" bestFit="1" customWidth="1"/>
    <col min="14353" max="14353" width="5.7109375" style="268" customWidth="1"/>
    <col min="14354" max="14354" width="13.140625" style="268" bestFit="1" customWidth="1"/>
    <col min="14355" max="14565" width="9.140625" style="268"/>
    <col min="14566" max="14567" width="2.42578125" style="268" customWidth="1"/>
    <col min="14568" max="14568" width="2.7109375" style="268" customWidth="1"/>
    <col min="14569" max="14569" width="45.7109375" style="268" customWidth="1"/>
    <col min="14570" max="14570" width="2.85546875" style="268" customWidth="1"/>
    <col min="14571" max="14594" width="0" style="268" hidden="1" customWidth="1"/>
    <col min="14595" max="14595" width="18.85546875" style="268" customWidth="1"/>
    <col min="14596" max="14596" width="3.140625" style="268" customWidth="1"/>
    <col min="14597" max="14597" width="18.28515625" style="268" customWidth="1"/>
    <col min="14598" max="14598" width="3.140625" style="268" customWidth="1"/>
    <col min="14599" max="14599" width="18.28515625" style="268" customWidth="1"/>
    <col min="14600" max="14600" width="3.140625" style="268" customWidth="1"/>
    <col min="14601" max="14601" width="18.28515625" style="268" customWidth="1"/>
    <col min="14602" max="14602" width="33.28515625" style="268" customWidth="1"/>
    <col min="14603" max="14603" width="18.28515625" style="268" customWidth="1"/>
    <col min="14604" max="14605" width="5.7109375" style="268" customWidth="1"/>
    <col min="14606" max="14606" width="16.42578125" style="268" bestFit="1" customWidth="1"/>
    <col min="14607" max="14607" width="2.42578125" style="268" customWidth="1"/>
    <col min="14608" max="14608" width="15.7109375" style="268" bestFit="1" customWidth="1"/>
    <col min="14609" max="14609" width="5.7109375" style="268" customWidth="1"/>
    <col min="14610" max="14610" width="13.140625" style="268" bestFit="1" customWidth="1"/>
    <col min="14611" max="14821" width="9.140625" style="268"/>
    <col min="14822" max="14823" width="2.42578125" style="268" customWidth="1"/>
    <col min="14824" max="14824" width="2.7109375" style="268" customWidth="1"/>
    <col min="14825" max="14825" width="45.7109375" style="268" customWidth="1"/>
    <col min="14826" max="14826" width="2.85546875" style="268" customWidth="1"/>
    <col min="14827" max="14850" width="0" style="268" hidden="1" customWidth="1"/>
    <col min="14851" max="14851" width="18.85546875" style="268" customWidth="1"/>
    <col min="14852" max="14852" width="3.140625" style="268" customWidth="1"/>
    <col min="14853" max="14853" width="18.28515625" style="268" customWidth="1"/>
    <col min="14854" max="14854" width="3.140625" style="268" customWidth="1"/>
    <col min="14855" max="14855" width="18.28515625" style="268" customWidth="1"/>
    <col min="14856" max="14856" width="3.140625" style="268" customWidth="1"/>
    <col min="14857" max="14857" width="18.28515625" style="268" customWidth="1"/>
    <col min="14858" max="14858" width="33.28515625" style="268" customWidth="1"/>
    <col min="14859" max="14859" width="18.28515625" style="268" customWidth="1"/>
    <col min="14860" max="14861" width="5.7109375" style="268" customWidth="1"/>
    <col min="14862" max="14862" width="16.42578125" style="268" bestFit="1" customWidth="1"/>
    <col min="14863" max="14863" width="2.42578125" style="268" customWidth="1"/>
    <col min="14864" max="14864" width="15.7109375" style="268" bestFit="1" customWidth="1"/>
    <col min="14865" max="14865" width="5.7109375" style="268" customWidth="1"/>
    <col min="14866" max="14866" width="13.140625" style="268" bestFit="1" customWidth="1"/>
    <col min="14867" max="15077" width="9.140625" style="268"/>
    <col min="15078" max="15079" width="2.42578125" style="268" customWidth="1"/>
    <col min="15080" max="15080" width="2.7109375" style="268" customWidth="1"/>
    <col min="15081" max="15081" width="45.7109375" style="268" customWidth="1"/>
    <col min="15082" max="15082" width="2.85546875" style="268" customWidth="1"/>
    <col min="15083" max="15106" width="0" style="268" hidden="1" customWidth="1"/>
    <col min="15107" max="15107" width="18.85546875" style="268" customWidth="1"/>
    <col min="15108" max="15108" width="3.140625" style="268" customWidth="1"/>
    <col min="15109" max="15109" width="18.28515625" style="268" customWidth="1"/>
    <col min="15110" max="15110" width="3.140625" style="268" customWidth="1"/>
    <col min="15111" max="15111" width="18.28515625" style="268" customWidth="1"/>
    <col min="15112" max="15112" width="3.140625" style="268" customWidth="1"/>
    <col min="15113" max="15113" width="18.28515625" style="268" customWidth="1"/>
    <col min="15114" max="15114" width="33.28515625" style="268" customWidth="1"/>
    <col min="15115" max="15115" width="18.28515625" style="268" customWidth="1"/>
    <col min="15116" max="15117" width="5.7109375" style="268" customWidth="1"/>
    <col min="15118" max="15118" width="16.42578125" style="268" bestFit="1" customWidth="1"/>
    <col min="15119" max="15119" width="2.42578125" style="268" customWidth="1"/>
    <col min="15120" max="15120" width="15.7109375" style="268" bestFit="1" customWidth="1"/>
    <col min="15121" max="15121" width="5.7109375" style="268" customWidth="1"/>
    <col min="15122" max="15122" width="13.140625" style="268" bestFit="1" customWidth="1"/>
    <col min="15123" max="15333" width="9.140625" style="268"/>
    <col min="15334" max="15335" width="2.42578125" style="268" customWidth="1"/>
    <col min="15336" max="15336" width="2.7109375" style="268" customWidth="1"/>
    <col min="15337" max="15337" width="45.7109375" style="268" customWidth="1"/>
    <col min="15338" max="15338" width="2.85546875" style="268" customWidth="1"/>
    <col min="15339" max="15362" width="0" style="268" hidden="1" customWidth="1"/>
    <col min="15363" max="15363" width="18.85546875" style="268" customWidth="1"/>
    <col min="15364" max="15364" width="3.140625" style="268" customWidth="1"/>
    <col min="15365" max="15365" width="18.28515625" style="268" customWidth="1"/>
    <col min="15366" max="15366" width="3.140625" style="268" customWidth="1"/>
    <col min="15367" max="15367" width="18.28515625" style="268" customWidth="1"/>
    <col min="15368" max="15368" width="3.140625" style="268" customWidth="1"/>
    <col min="15369" max="15369" width="18.28515625" style="268" customWidth="1"/>
    <col min="15370" max="15370" width="33.28515625" style="268" customWidth="1"/>
    <col min="15371" max="15371" width="18.28515625" style="268" customWidth="1"/>
    <col min="15372" max="15373" width="5.7109375" style="268" customWidth="1"/>
    <col min="15374" max="15374" width="16.42578125" style="268" bestFit="1" customWidth="1"/>
    <col min="15375" max="15375" width="2.42578125" style="268" customWidth="1"/>
    <col min="15376" max="15376" width="15.7109375" style="268" bestFit="1" customWidth="1"/>
    <col min="15377" max="15377" width="5.7109375" style="268" customWidth="1"/>
    <col min="15378" max="15378" width="13.140625" style="268" bestFit="1" customWidth="1"/>
    <col min="15379" max="15589" width="9.140625" style="268"/>
    <col min="15590" max="15591" width="2.42578125" style="268" customWidth="1"/>
    <col min="15592" max="15592" width="2.7109375" style="268" customWidth="1"/>
    <col min="15593" max="15593" width="45.7109375" style="268" customWidth="1"/>
    <col min="15594" max="15594" width="2.85546875" style="268" customWidth="1"/>
    <col min="15595" max="15618" width="0" style="268" hidden="1" customWidth="1"/>
    <col min="15619" max="15619" width="18.85546875" style="268" customWidth="1"/>
    <col min="15620" max="15620" width="3.140625" style="268" customWidth="1"/>
    <col min="15621" max="15621" width="18.28515625" style="268" customWidth="1"/>
    <col min="15622" max="15622" width="3.140625" style="268" customWidth="1"/>
    <col min="15623" max="15623" width="18.28515625" style="268" customWidth="1"/>
    <col min="15624" max="15624" width="3.140625" style="268" customWidth="1"/>
    <col min="15625" max="15625" width="18.28515625" style="268" customWidth="1"/>
    <col min="15626" max="15626" width="33.28515625" style="268" customWidth="1"/>
    <col min="15627" max="15627" width="18.28515625" style="268" customWidth="1"/>
    <col min="15628" max="15629" width="5.7109375" style="268" customWidth="1"/>
    <col min="15630" max="15630" width="16.42578125" style="268" bestFit="1" customWidth="1"/>
    <col min="15631" max="15631" width="2.42578125" style="268" customWidth="1"/>
    <col min="15632" max="15632" width="15.7109375" style="268" bestFit="1" customWidth="1"/>
    <col min="15633" max="15633" width="5.7109375" style="268" customWidth="1"/>
    <col min="15634" max="15634" width="13.140625" style="268" bestFit="1" customWidth="1"/>
    <col min="15635" max="15845" width="9.140625" style="268"/>
    <col min="15846" max="15847" width="2.42578125" style="268" customWidth="1"/>
    <col min="15848" max="15848" width="2.7109375" style="268" customWidth="1"/>
    <col min="15849" max="15849" width="45.7109375" style="268" customWidth="1"/>
    <col min="15850" max="15850" width="2.85546875" style="268" customWidth="1"/>
    <col min="15851" max="15874" width="0" style="268" hidden="1" customWidth="1"/>
    <col min="15875" max="15875" width="18.85546875" style="268" customWidth="1"/>
    <col min="15876" max="15876" width="3.140625" style="268" customWidth="1"/>
    <col min="15877" max="15877" width="18.28515625" style="268" customWidth="1"/>
    <col min="15878" max="15878" width="3.140625" style="268" customWidth="1"/>
    <col min="15879" max="15879" width="18.28515625" style="268" customWidth="1"/>
    <col min="15880" max="15880" width="3.140625" style="268" customWidth="1"/>
    <col min="15881" max="15881" width="18.28515625" style="268" customWidth="1"/>
    <col min="15882" max="15882" width="33.28515625" style="268" customWidth="1"/>
    <col min="15883" max="15883" width="18.28515625" style="268" customWidth="1"/>
    <col min="15884" max="15885" width="5.7109375" style="268" customWidth="1"/>
    <col min="15886" max="15886" width="16.42578125" style="268" bestFit="1" customWidth="1"/>
    <col min="15887" max="15887" width="2.42578125" style="268" customWidth="1"/>
    <col min="15888" max="15888" width="15.7109375" style="268" bestFit="1" customWidth="1"/>
    <col min="15889" max="15889" width="5.7109375" style="268" customWidth="1"/>
    <col min="15890" max="15890" width="13.140625" style="268" bestFit="1" customWidth="1"/>
    <col min="15891" max="16101" width="9.140625" style="268"/>
    <col min="16102" max="16103" width="2.42578125" style="268" customWidth="1"/>
    <col min="16104" max="16104" width="2.7109375" style="268" customWidth="1"/>
    <col min="16105" max="16105" width="45.7109375" style="268" customWidth="1"/>
    <col min="16106" max="16106" width="2.85546875" style="268" customWidth="1"/>
    <col min="16107" max="16130" width="0" style="268" hidden="1" customWidth="1"/>
    <col min="16131" max="16131" width="18.85546875" style="268" customWidth="1"/>
    <col min="16132" max="16132" width="3.140625" style="268" customWidth="1"/>
    <col min="16133" max="16133" width="18.28515625" style="268" customWidth="1"/>
    <col min="16134" max="16134" width="3.140625" style="268" customWidth="1"/>
    <col min="16135" max="16135" width="18.28515625" style="268" customWidth="1"/>
    <col min="16136" max="16136" width="3.140625" style="268" customWidth="1"/>
    <col min="16137" max="16137" width="18.28515625" style="268" customWidth="1"/>
    <col min="16138" max="16138" width="33.28515625" style="268" customWidth="1"/>
    <col min="16139" max="16139" width="18.28515625" style="268" customWidth="1"/>
    <col min="16140" max="16141" width="5.7109375" style="268" customWidth="1"/>
    <col min="16142" max="16142" width="16.42578125" style="268" bestFit="1" customWidth="1"/>
    <col min="16143" max="16143" width="2.42578125" style="268" customWidth="1"/>
    <col min="16144" max="16144" width="15.7109375" style="268" bestFit="1" customWidth="1"/>
    <col min="16145" max="16145" width="5.7109375" style="268" customWidth="1"/>
    <col min="16146" max="16146" width="13.140625" style="268" bestFit="1" customWidth="1"/>
    <col min="16147" max="16380" width="9.140625" style="268"/>
    <col min="16381" max="16384" width="9.140625" style="268" customWidth="1"/>
  </cols>
  <sheetData>
    <row r="1" spans="1:16" x14ac:dyDescent="0.25">
      <c r="A1" s="1461" t="str">
        <f>INFO!B1</f>
        <v>EVANSVILLE (INDIANA) WATERWORKS DISTRICT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</row>
    <row r="2" spans="1:16" ht="12" customHeight="1" x14ac:dyDescent="0.25">
      <c r="A2" s="270"/>
      <c r="B2" s="270"/>
      <c r="C2" s="270"/>
      <c r="D2" s="270"/>
      <c r="E2" s="270"/>
      <c r="F2" s="272"/>
      <c r="G2" s="248"/>
      <c r="H2" s="420"/>
      <c r="I2" s="420"/>
    </row>
    <row r="3" spans="1:16" x14ac:dyDescent="0.25">
      <c r="A3" s="1460" t="s">
        <v>444</v>
      </c>
      <c r="B3" s="1460"/>
      <c r="C3" s="1460"/>
      <c r="D3" s="1460"/>
      <c r="E3" s="1460"/>
      <c r="F3" s="1460"/>
      <c r="G3" s="1460"/>
      <c r="H3" s="1460"/>
      <c r="I3" s="1460"/>
      <c r="J3" s="1460"/>
      <c r="K3" s="1460"/>
      <c r="L3" s="1460"/>
      <c r="M3" s="1460"/>
    </row>
    <row r="4" spans="1:16" x14ac:dyDescent="0.25">
      <c r="A4" s="270"/>
      <c r="B4" s="270"/>
      <c r="C4" s="270"/>
      <c r="D4" s="270"/>
      <c r="E4" s="270"/>
      <c r="F4" s="271"/>
      <c r="G4" s="270"/>
      <c r="M4" s="942"/>
      <c r="N4" s="354"/>
    </row>
    <row r="5" spans="1:16" x14ac:dyDescent="0.25">
      <c r="A5" s="249"/>
      <c r="B5" s="249"/>
      <c r="C5" s="249"/>
      <c r="D5" s="249"/>
      <c r="E5" s="249"/>
      <c r="F5" s="250"/>
      <c r="G5" s="322"/>
      <c r="I5" s="377"/>
      <c r="M5" s="174" t="s">
        <v>254</v>
      </c>
    </row>
    <row r="6" spans="1:16" x14ac:dyDescent="0.25">
      <c r="A6" s="322"/>
      <c r="B6" s="322"/>
      <c r="C6" s="322"/>
      <c r="D6" s="322"/>
      <c r="E6" s="322"/>
      <c r="F6" s="246"/>
      <c r="G6" s="1458" t="s">
        <v>318</v>
      </c>
      <c r="H6" s="1458"/>
      <c r="I6" s="1458"/>
      <c r="J6" s="1458"/>
      <c r="K6" s="1458"/>
      <c r="M6" s="223" t="s">
        <v>627</v>
      </c>
    </row>
    <row r="7" spans="1:16" x14ac:dyDescent="0.25">
      <c r="A7" s="322" t="s">
        <v>41</v>
      </c>
      <c r="B7" s="322"/>
      <c r="C7" s="322"/>
      <c r="D7" s="322"/>
      <c r="E7" s="322"/>
      <c r="F7" s="279"/>
      <c r="G7" s="434">
        <v>2017</v>
      </c>
      <c r="H7" s="251"/>
      <c r="I7" s="528">
        <v>2018</v>
      </c>
      <c r="J7" s="133"/>
      <c r="K7" s="528">
        <v>2019</v>
      </c>
      <c r="L7" s="354"/>
      <c r="M7" s="528">
        <v>2020</v>
      </c>
    </row>
    <row r="8" spans="1:16" x14ac:dyDescent="0.25">
      <c r="A8" s="322"/>
      <c r="B8" s="322"/>
      <c r="C8" s="322"/>
      <c r="D8" s="322"/>
      <c r="E8" s="322"/>
      <c r="F8" s="250"/>
      <c r="G8" s="250"/>
      <c r="H8" s="250"/>
      <c r="I8" s="252"/>
      <c r="J8" s="133"/>
      <c r="K8" s="354"/>
      <c r="L8" s="354"/>
      <c r="M8" s="354"/>
    </row>
    <row r="9" spans="1:16" x14ac:dyDescent="0.25">
      <c r="A9" s="234" t="s">
        <v>42</v>
      </c>
      <c r="B9" s="322"/>
      <c r="C9" s="322"/>
      <c r="D9" s="322"/>
      <c r="E9" s="322"/>
      <c r="F9" s="277"/>
      <c r="G9" s="322"/>
      <c r="H9" s="322"/>
      <c r="I9" s="337"/>
      <c r="J9" s="133"/>
      <c r="K9" s="354"/>
      <c r="L9" s="354"/>
      <c r="M9" s="354"/>
    </row>
    <row r="10" spans="1:16" x14ac:dyDescent="0.25">
      <c r="A10" s="234"/>
      <c r="B10" s="234" t="s">
        <v>501</v>
      </c>
      <c r="C10" s="322"/>
      <c r="D10" s="234"/>
      <c r="E10" s="234"/>
      <c r="F10" s="360"/>
      <c r="G10" s="448">
        <v>4556726</v>
      </c>
      <c r="H10" s="360"/>
      <c r="I10" s="448">
        <v>3718667</v>
      </c>
      <c r="J10" s="133"/>
      <c r="K10" s="448">
        <v>2190933</v>
      </c>
      <c r="L10" s="354"/>
      <c r="M10" s="448">
        <v>2578099</v>
      </c>
      <c r="N10" s="369"/>
      <c r="P10" s="369"/>
    </row>
    <row r="11" spans="1:16" s="421" customFormat="1" x14ac:dyDescent="0.25">
      <c r="A11" s="234"/>
      <c r="B11" s="788" t="s">
        <v>436</v>
      </c>
      <c r="C11" s="322"/>
      <c r="D11" s="234"/>
      <c r="E11" s="234"/>
      <c r="F11" s="448"/>
      <c r="G11" s="453">
        <v>0</v>
      </c>
      <c r="H11" s="448"/>
      <c r="I11" s="453">
        <v>1581158</v>
      </c>
      <c r="J11" s="133"/>
      <c r="K11" s="453">
        <v>5275285</v>
      </c>
      <c r="L11" s="354"/>
      <c r="M11" s="453">
        <v>5243862</v>
      </c>
      <c r="N11" s="387"/>
      <c r="O11" s="382"/>
      <c r="P11" s="387"/>
    </row>
    <row r="12" spans="1:16" x14ac:dyDescent="0.25">
      <c r="A12" s="234"/>
      <c r="B12" s="234" t="s">
        <v>492</v>
      </c>
      <c r="C12" s="322"/>
      <c r="D12" s="234"/>
      <c r="E12" s="234"/>
      <c r="F12" s="351"/>
      <c r="G12" s="437"/>
      <c r="H12" s="349"/>
      <c r="I12" s="453"/>
      <c r="J12" s="133"/>
      <c r="K12" s="453"/>
      <c r="L12" s="354"/>
      <c r="M12" s="453"/>
    </row>
    <row r="13" spans="1:16" ht="14.25" customHeight="1" x14ac:dyDescent="0.25">
      <c r="A13" s="234"/>
      <c r="B13" s="234"/>
      <c r="C13" s="234" t="s">
        <v>47</v>
      </c>
      <c r="D13" s="234"/>
      <c r="E13" s="234"/>
      <c r="F13" s="338"/>
      <c r="G13" s="437">
        <v>5838912</v>
      </c>
      <c r="H13" s="349"/>
      <c r="I13" s="453">
        <v>7578525</v>
      </c>
      <c r="J13" s="133"/>
      <c r="K13" s="453">
        <v>10333532</v>
      </c>
      <c r="L13" s="354"/>
      <c r="M13" s="453">
        <v>9016090</v>
      </c>
    </row>
    <row r="14" spans="1:16" x14ac:dyDescent="0.25">
      <c r="A14" s="234"/>
      <c r="B14" s="234"/>
      <c r="C14" s="234" t="s">
        <v>116</v>
      </c>
      <c r="D14" s="234"/>
      <c r="E14" s="234"/>
      <c r="F14" s="338"/>
      <c r="G14" s="453">
        <v>2113589</v>
      </c>
      <c r="H14" s="349"/>
      <c r="I14" s="453">
        <v>7779648</v>
      </c>
      <c r="J14" s="133"/>
      <c r="K14" s="453">
        <v>12798454</v>
      </c>
      <c r="L14" s="354"/>
      <c r="M14" s="453">
        <v>15640936</v>
      </c>
    </row>
    <row r="15" spans="1:16" x14ac:dyDescent="0.25">
      <c r="A15" s="234"/>
      <c r="B15" s="234"/>
      <c r="C15" s="234" t="s">
        <v>436</v>
      </c>
      <c r="D15" s="234"/>
      <c r="E15" s="234"/>
      <c r="F15" s="338"/>
      <c r="G15" s="453">
        <v>833758</v>
      </c>
      <c r="H15" s="349"/>
      <c r="I15" s="453">
        <v>500000</v>
      </c>
      <c r="J15" s="133"/>
      <c r="K15" s="453">
        <v>500000</v>
      </c>
      <c r="L15" s="354"/>
      <c r="M15" s="453">
        <v>500000</v>
      </c>
    </row>
    <row r="16" spans="1:16" s="421" customFormat="1" x14ac:dyDescent="0.25">
      <c r="A16" s="234"/>
      <c r="B16" s="234"/>
      <c r="C16" s="234" t="s">
        <v>620</v>
      </c>
      <c r="D16" s="234"/>
      <c r="E16" s="234"/>
      <c r="F16" s="466"/>
      <c r="G16" s="453">
        <v>2185676</v>
      </c>
      <c r="H16" s="453"/>
      <c r="I16" s="453">
        <v>1476181</v>
      </c>
      <c r="J16" s="133"/>
      <c r="K16" s="453">
        <v>2251972</v>
      </c>
      <c r="L16" s="354"/>
      <c r="M16" s="453">
        <v>3250327</v>
      </c>
      <c r="N16" s="382"/>
      <c r="O16" s="382"/>
      <c r="P16" s="382"/>
    </row>
    <row r="17" spans="1:16" x14ac:dyDescent="0.25">
      <c r="A17" s="234"/>
      <c r="B17" s="234"/>
      <c r="C17" s="234" t="s">
        <v>236</v>
      </c>
      <c r="D17" s="234"/>
      <c r="E17" s="234"/>
      <c r="F17" s="338"/>
      <c r="G17" s="453">
        <v>11257253</v>
      </c>
      <c r="H17" s="349"/>
      <c r="I17" s="453">
        <v>74967986</v>
      </c>
      <c r="J17" s="133"/>
      <c r="K17" s="453">
        <v>71491676</v>
      </c>
      <c r="L17" s="354"/>
      <c r="M17" s="453">
        <v>83293652</v>
      </c>
    </row>
    <row r="18" spans="1:16" ht="15" customHeight="1" x14ac:dyDescent="0.25">
      <c r="A18" s="234"/>
      <c r="B18" s="234"/>
      <c r="C18" s="234" t="s">
        <v>312</v>
      </c>
      <c r="D18" s="234"/>
      <c r="E18" s="234"/>
      <c r="F18" s="338"/>
      <c r="G18" s="453">
        <v>1503558</v>
      </c>
      <c r="H18" s="349"/>
      <c r="I18" s="453">
        <v>1564391</v>
      </c>
      <c r="J18" s="133"/>
      <c r="K18" s="453">
        <v>1603574</v>
      </c>
      <c r="L18" s="354"/>
      <c r="M18" s="453">
        <v>1690446</v>
      </c>
    </row>
    <row r="19" spans="1:16" x14ac:dyDescent="0.25">
      <c r="A19" s="234"/>
      <c r="B19" s="234"/>
      <c r="C19" s="234" t="s">
        <v>621</v>
      </c>
      <c r="D19" s="234"/>
      <c r="E19" s="234"/>
      <c r="F19" s="351"/>
      <c r="G19" s="453">
        <v>292979</v>
      </c>
      <c r="H19" s="349"/>
      <c r="I19" s="453">
        <v>575749</v>
      </c>
      <c r="J19" s="133"/>
      <c r="K19" s="453">
        <v>417127</v>
      </c>
      <c r="L19" s="354"/>
      <c r="M19" s="453">
        <v>377619</v>
      </c>
    </row>
    <row r="20" spans="1:16" s="421" customFormat="1" x14ac:dyDescent="0.25">
      <c r="A20" s="234"/>
      <c r="B20" s="234"/>
      <c r="C20" s="793" t="s">
        <v>702</v>
      </c>
      <c r="D20" s="234"/>
      <c r="E20" s="234"/>
      <c r="F20" s="464"/>
      <c r="G20" s="453">
        <v>0</v>
      </c>
      <c r="H20" s="453"/>
      <c r="I20" s="453">
        <v>0</v>
      </c>
      <c r="J20" s="133"/>
      <c r="K20" s="453">
        <v>401482</v>
      </c>
      <c r="L20" s="354"/>
      <c r="M20" s="453">
        <v>702593</v>
      </c>
      <c r="N20" s="382"/>
      <c r="O20" s="382"/>
      <c r="P20" s="382"/>
    </row>
    <row r="21" spans="1:16" x14ac:dyDescent="0.25">
      <c r="A21" s="234"/>
      <c r="B21" s="234"/>
      <c r="C21" s="268" t="s">
        <v>649</v>
      </c>
      <c r="D21" s="234"/>
      <c r="E21" s="234"/>
      <c r="F21" s="351"/>
      <c r="G21" s="453">
        <v>7231</v>
      </c>
      <c r="H21" s="349"/>
      <c r="I21" s="453">
        <v>4603</v>
      </c>
      <c r="J21" s="133"/>
      <c r="K21" s="453">
        <v>4381</v>
      </c>
      <c r="L21" s="354"/>
      <c r="M21" s="453">
        <v>21226</v>
      </c>
    </row>
    <row r="22" spans="1:16" x14ac:dyDescent="0.25">
      <c r="A22" s="234"/>
      <c r="B22" s="234" t="s">
        <v>233</v>
      </c>
      <c r="C22" s="322"/>
      <c r="D22" s="234"/>
      <c r="E22" s="234"/>
      <c r="F22" s="338"/>
      <c r="G22" s="438"/>
      <c r="H22" s="336"/>
      <c r="I22" s="467"/>
      <c r="J22" s="133"/>
      <c r="K22" s="467"/>
      <c r="L22" s="354"/>
      <c r="M22" s="467"/>
    </row>
    <row r="23" spans="1:16" x14ac:dyDescent="0.25">
      <c r="A23" s="234"/>
      <c r="B23" s="234"/>
      <c r="C23" s="253" t="s">
        <v>160</v>
      </c>
      <c r="D23" s="234"/>
      <c r="E23" s="234"/>
      <c r="F23" s="338"/>
      <c r="G23" s="437">
        <v>1785257</v>
      </c>
      <c r="H23" s="349"/>
      <c r="I23" s="453">
        <v>2003704</v>
      </c>
      <c r="J23" s="133"/>
      <c r="K23" s="453">
        <v>2615755</v>
      </c>
      <c r="L23" s="354"/>
      <c r="M23" s="453">
        <v>3240585</v>
      </c>
      <c r="N23" s="349"/>
      <c r="P23" s="349"/>
    </row>
    <row r="24" spans="1:16" x14ac:dyDescent="0.25">
      <c r="A24" s="234"/>
      <c r="B24" s="234"/>
      <c r="C24" s="253" t="s">
        <v>130</v>
      </c>
      <c r="D24" s="234"/>
      <c r="E24" s="234"/>
      <c r="F24" s="338"/>
      <c r="G24" s="453">
        <v>88129</v>
      </c>
      <c r="H24" s="349"/>
      <c r="I24" s="453">
        <v>606711</v>
      </c>
      <c r="J24" s="133"/>
      <c r="K24" s="453">
        <v>167316</v>
      </c>
      <c r="L24" s="354"/>
      <c r="M24" s="453">
        <v>214373</v>
      </c>
    </row>
    <row r="25" spans="1:16" hidden="1" x14ac:dyDescent="0.25">
      <c r="A25" s="234"/>
      <c r="B25" s="276"/>
      <c r="C25" s="253" t="s">
        <v>315</v>
      </c>
      <c r="D25" s="234"/>
      <c r="E25" s="234"/>
      <c r="F25" s="351"/>
      <c r="G25" s="453">
        <v>0</v>
      </c>
      <c r="H25" s="349"/>
      <c r="I25" s="453">
        <v>0</v>
      </c>
      <c r="J25" s="133"/>
      <c r="K25" s="453"/>
      <c r="L25" s="354"/>
      <c r="M25" s="453"/>
    </row>
    <row r="26" spans="1:16" hidden="1" x14ac:dyDescent="0.25">
      <c r="A26" s="234"/>
      <c r="B26" s="234" t="s">
        <v>314</v>
      </c>
      <c r="C26" s="322"/>
      <c r="D26" s="234"/>
      <c r="E26" s="234"/>
      <c r="F26" s="338"/>
      <c r="G26" s="453">
        <v>0</v>
      </c>
      <c r="H26" s="349"/>
      <c r="I26" s="453">
        <v>0</v>
      </c>
      <c r="J26" s="133"/>
      <c r="K26" s="453"/>
      <c r="L26" s="354"/>
      <c r="M26" s="453"/>
    </row>
    <row r="27" spans="1:16" x14ac:dyDescent="0.25">
      <c r="A27" s="234"/>
      <c r="B27" s="234" t="s">
        <v>301</v>
      </c>
      <c r="C27" s="322"/>
      <c r="D27" s="234"/>
      <c r="E27" s="234"/>
      <c r="F27" s="338"/>
      <c r="G27" s="453">
        <v>1063509</v>
      </c>
      <c r="H27" s="349"/>
      <c r="I27" s="453">
        <v>1013140</v>
      </c>
      <c r="J27" s="133"/>
      <c r="K27" s="453">
        <v>1121023</v>
      </c>
      <c r="L27" s="354"/>
      <c r="M27" s="453">
        <v>1121023</v>
      </c>
    </row>
    <row r="28" spans="1:16" x14ac:dyDescent="0.25">
      <c r="A28" s="234"/>
      <c r="B28" s="234" t="s">
        <v>235</v>
      </c>
      <c r="C28" s="322"/>
      <c r="D28" s="234"/>
      <c r="E28" s="234"/>
      <c r="F28" s="338"/>
      <c r="G28" s="453">
        <v>448665</v>
      </c>
      <c r="H28" s="349"/>
      <c r="I28" s="453">
        <v>797324</v>
      </c>
      <c r="J28" s="439"/>
      <c r="K28" s="453">
        <v>854112</v>
      </c>
      <c r="L28" s="354"/>
      <c r="M28" s="453">
        <v>1050657</v>
      </c>
    </row>
    <row r="29" spans="1:16" x14ac:dyDescent="0.25">
      <c r="A29" s="234"/>
      <c r="B29" s="234" t="s">
        <v>45</v>
      </c>
      <c r="C29" s="322"/>
      <c r="D29" s="234"/>
      <c r="E29" s="234"/>
      <c r="F29" s="338"/>
      <c r="G29" s="453">
        <v>318028</v>
      </c>
      <c r="H29" s="349"/>
      <c r="I29" s="453">
        <v>2008465</v>
      </c>
      <c r="J29" s="133"/>
      <c r="K29" s="453">
        <v>139270</v>
      </c>
      <c r="L29" s="354"/>
      <c r="M29" s="453">
        <v>349798</v>
      </c>
    </row>
    <row r="30" spans="1:16" x14ac:dyDescent="0.25">
      <c r="A30" s="234"/>
      <c r="B30" s="234"/>
      <c r="C30" s="322"/>
      <c r="D30" s="234"/>
      <c r="E30" s="234"/>
      <c r="F30" s="296"/>
      <c r="G30" s="295"/>
      <c r="H30" s="296"/>
      <c r="I30" s="295"/>
      <c r="J30" s="133"/>
      <c r="K30" s="295"/>
      <c r="L30" s="354"/>
      <c r="M30" s="295"/>
    </row>
    <row r="31" spans="1:16" x14ac:dyDescent="0.25">
      <c r="A31" s="234"/>
      <c r="B31" s="234"/>
      <c r="C31" s="234"/>
      <c r="D31" s="234" t="s">
        <v>46</v>
      </c>
      <c r="E31" s="234"/>
      <c r="F31" s="296"/>
      <c r="G31" s="294">
        <f>SUM(G10:G29)-G26</f>
        <v>32293270</v>
      </c>
      <c r="H31" s="296"/>
      <c r="I31" s="294">
        <f>SUM(I10:I29)</f>
        <v>106176252</v>
      </c>
      <c r="J31" s="133"/>
      <c r="K31" s="294">
        <f>SUM(K10:K29)</f>
        <v>112165892</v>
      </c>
      <c r="L31" s="354"/>
      <c r="M31" s="294">
        <f>SUM(M10:M29)-M26</f>
        <v>128291286</v>
      </c>
    </row>
    <row r="32" spans="1:16" x14ac:dyDescent="0.25">
      <c r="A32" s="234"/>
      <c r="B32" s="234"/>
      <c r="C32" s="234"/>
      <c r="D32" s="234"/>
      <c r="E32" s="234"/>
      <c r="F32" s="296"/>
      <c r="G32" s="287"/>
      <c r="H32" s="287"/>
      <c r="I32" s="287"/>
      <c r="J32" s="133"/>
      <c r="K32" s="354"/>
      <c r="L32" s="354"/>
      <c r="M32" s="354"/>
    </row>
    <row r="33" spans="1:18" x14ac:dyDescent="0.25">
      <c r="A33" s="234" t="s">
        <v>437</v>
      </c>
      <c r="B33" s="322"/>
      <c r="C33" s="234"/>
      <c r="D33" s="234"/>
      <c r="E33" s="234"/>
      <c r="F33" s="296"/>
      <c r="G33" s="287"/>
      <c r="H33" s="287"/>
      <c r="I33" s="287"/>
      <c r="J33" s="133"/>
      <c r="K33" s="354"/>
      <c r="L33" s="354"/>
      <c r="M33" s="354"/>
    </row>
    <row r="34" spans="1:18" hidden="1" x14ac:dyDescent="0.25">
      <c r="A34" s="234"/>
      <c r="B34" s="234" t="s">
        <v>502</v>
      </c>
      <c r="C34" s="322"/>
      <c r="D34" s="234"/>
      <c r="E34" s="234"/>
      <c r="F34" s="351"/>
      <c r="G34" s="349"/>
      <c r="H34" s="349"/>
      <c r="I34" s="453"/>
      <c r="J34" s="133"/>
      <c r="K34" s="354"/>
      <c r="L34" s="354"/>
      <c r="M34" s="354"/>
    </row>
    <row r="35" spans="1:18" x14ac:dyDescent="0.25">
      <c r="A35" s="234"/>
      <c r="B35" s="234" t="s">
        <v>438</v>
      </c>
      <c r="C35" s="234"/>
      <c r="D35" s="234"/>
      <c r="E35" s="234"/>
      <c r="F35" s="338"/>
      <c r="G35" s="336"/>
      <c r="H35" s="336"/>
      <c r="I35" s="467"/>
      <c r="J35" s="133"/>
      <c r="K35" s="354"/>
      <c r="L35" s="354"/>
      <c r="M35" s="354"/>
    </row>
    <row r="36" spans="1:18" hidden="1" x14ac:dyDescent="0.25">
      <c r="A36" s="234"/>
      <c r="B36" s="234"/>
      <c r="C36" s="234" t="s">
        <v>48</v>
      </c>
      <c r="D36" s="234"/>
      <c r="E36" s="234"/>
      <c r="F36" s="351"/>
      <c r="G36" s="349"/>
      <c r="H36" s="349"/>
      <c r="I36" s="453"/>
      <c r="J36" s="133"/>
      <c r="K36" s="354"/>
      <c r="L36" s="354"/>
      <c r="M36" s="354"/>
    </row>
    <row r="37" spans="1:18" x14ac:dyDescent="0.25">
      <c r="A37" s="234"/>
      <c r="B37" s="234"/>
      <c r="C37" s="234" t="s">
        <v>49</v>
      </c>
      <c r="D37" s="234"/>
      <c r="E37" s="234"/>
      <c r="F37" s="338"/>
      <c r="G37" s="440">
        <v>6110000</v>
      </c>
      <c r="H37" s="349"/>
      <c r="I37" s="453">
        <v>5945549</v>
      </c>
      <c r="J37" s="133"/>
      <c r="K37" s="453">
        <v>4169617</v>
      </c>
      <c r="L37" s="354"/>
      <c r="M37" s="453">
        <v>1163089</v>
      </c>
    </row>
    <row r="38" spans="1:18" ht="16.5" customHeight="1" x14ac:dyDescent="0.25">
      <c r="A38" s="234"/>
      <c r="B38" s="234"/>
      <c r="C38" s="234" t="s">
        <v>237</v>
      </c>
      <c r="D38" s="234"/>
      <c r="E38" s="234"/>
      <c r="F38" s="338"/>
      <c r="G38" s="453">
        <v>21450000</v>
      </c>
      <c r="H38" s="349"/>
      <c r="I38" s="453">
        <v>15999999</v>
      </c>
      <c r="J38" s="133"/>
      <c r="K38" s="453">
        <v>45807763</v>
      </c>
      <c r="L38" s="354"/>
      <c r="M38" s="453">
        <v>19046414</v>
      </c>
    </row>
    <row r="39" spans="1:18" hidden="1" x14ac:dyDescent="0.25">
      <c r="A39" s="234"/>
      <c r="B39" s="234"/>
      <c r="C39" s="234" t="s">
        <v>238</v>
      </c>
      <c r="D39" s="234"/>
      <c r="E39" s="234"/>
      <c r="F39" s="351"/>
      <c r="G39" s="453">
        <v>0</v>
      </c>
      <c r="H39" s="349"/>
      <c r="I39" s="453">
        <v>0</v>
      </c>
      <c r="J39" s="133"/>
      <c r="K39" s="453"/>
      <c r="L39" s="354"/>
      <c r="M39" s="453"/>
    </row>
    <row r="40" spans="1:18" hidden="1" x14ac:dyDescent="0.25">
      <c r="A40" s="234"/>
      <c r="B40" s="234"/>
      <c r="C40" s="234" t="s">
        <v>239</v>
      </c>
      <c r="D40" s="234"/>
      <c r="E40" s="234"/>
      <c r="F40" s="351"/>
      <c r="G40" s="453">
        <v>0</v>
      </c>
      <c r="H40" s="349"/>
      <c r="I40" s="453">
        <v>0</v>
      </c>
      <c r="J40" s="133"/>
      <c r="K40" s="453"/>
      <c r="L40" s="354"/>
      <c r="M40" s="453"/>
    </row>
    <row r="41" spans="1:18" hidden="1" x14ac:dyDescent="0.25">
      <c r="A41" s="234"/>
      <c r="B41" s="234"/>
      <c r="C41" s="234" t="s">
        <v>313</v>
      </c>
      <c r="D41" s="234"/>
      <c r="E41" s="234"/>
      <c r="F41" s="351"/>
      <c r="G41" s="453">
        <v>0</v>
      </c>
      <c r="H41" s="349"/>
      <c r="I41" s="453">
        <v>0</v>
      </c>
      <c r="J41" s="133"/>
      <c r="K41" s="453"/>
      <c r="L41" s="354"/>
      <c r="M41" s="453"/>
    </row>
    <row r="42" spans="1:18" x14ac:dyDescent="0.25">
      <c r="A42" s="234"/>
      <c r="B42" s="322"/>
      <c r="C42" s="234" t="s">
        <v>44</v>
      </c>
      <c r="D42" s="234"/>
      <c r="E42" s="234"/>
      <c r="F42" s="351"/>
      <c r="G42" s="453">
        <v>199012</v>
      </c>
      <c r="H42" s="349"/>
      <c r="I42" s="453">
        <v>316668</v>
      </c>
      <c r="J42" s="133"/>
      <c r="K42" s="453">
        <v>767295</v>
      </c>
      <c r="L42" s="354"/>
      <c r="M42" s="453">
        <v>801223</v>
      </c>
    </row>
    <row r="43" spans="1:18" ht="15" customHeight="1" x14ac:dyDescent="0.25">
      <c r="A43" s="234"/>
      <c r="B43" s="322"/>
      <c r="C43" s="234" t="s">
        <v>511</v>
      </c>
      <c r="D43" s="234"/>
      <c r="E43" s="234"/>
      <c r="F43" s="351"/>
      <c r="G43" s="453">
        <v>30905</v>
      </c>
      <c r="H43" s="349"/>
      <c r="I43" s="453">
        <v>22712</v>
      </c>
      <c r="J43" s="133"/>
      <c r="K43" s="453">
        <v>52190</v>
      </c>
      <c r="L43" s="354"/>
      <c r="M43" s="453">
        <v>45118</v>
      </c>
    </row>
    <row r="44" spans="1:18" x14ac:dyDescent="0.25">
      <c r="A44" s="234"/>
      <c r="B44" s="234"/>
      <c r="C44" s="234"/>
      <c r="D44" s="234"/>
      <c r="E44" s="234"/>
      <c r="F44" s="296"/>
      <c r="G44" s="295"/>
      <c r="H44" s="296"/>
      <c r="I44" s="295"/>
      <c r="J44" s="133"/>
      <c r="K44" s="295"/>
      <c r="L44" s="354"/>
      <c r="M44" s="295"/>
    </row>
    <row r="45" spans="1:18" x14ac:dyDescent="0.25">
      <c r="A45" s="234"/>
      <c r="B45" s="234"/>
      <c r="C45" s="234"/>
      <c r="D45" s="234" t="s">
        <v>50</v>
      </c>
      <c r="E45" s="234"/>
      <c r="F45" s="275"/>
      <c r="G45" s="303">
        <f>SUM(G34:G43)</f>
        <v>27789917</v>
      </c>
      <c r="H45" s="275"/>
      <c r="I45" s="294">
        <f>SUM(I34:I43)</f>
        <v>22284928</v>
      </c>
      <c r="J45" s="133"/>
      <c r="K45" s="294">
        <f>SUM(K34:K43)</f>
        <v>50796865</v>
      </c>
      <c r="L45" s="354"/>
      <c r="M45" s="294">
        <f>SUM(M34:M43)</f>
        <v>21055844</v>
      </c>
    </row>
    <row r="46" spans="1:18" x14ac:dyDescent="0.25">
      <c r="A46" s="234"/>
      <c r="B46" s="234"/>
      <c r="C46" s="234"/>
      <c r="D46" s="234"/>
      <c r="E46" s="234"/>
      <c r="F46" s="296"/>
      <c r="G46" s="287"/>
      <c r="H46" s="287"/>
      <c r="I46" s="287"/>
      <c r="J46" s="133"/>
      <c r="K46" s="354"/>
      <c r="L46" s="354"/>
      <c r="M46" s="354"/>
    </row>
    <row r="47" spans="1:18" x14ac:dyDescent="0.25">
      <c r="A47" s="322"/>
      <c r="B47" s="322" t="s">
        <v>51</v>
      </c>
      <c r="C47" s="322"/>
      <c r="D47" s="322"/>
      <c r="E47" s="322"/>
      <c r="F47" s="256"/>
      <c r="G47" s="337"/>
      <c r="H47" s="337"/>
      <c r="I47" s="337"/>
      <c r="J47" s="133"/>
      <c r="K47" s="354"/>
      <c r="L47" s="354"/>
      <c r="M47" s="354"/>
      <c r="R47" s="122"/>
    </row>
    <row r="48" spans="1:18" x14ac:dyDescent="0.25">
      <c r="A48" s="234"/>
      <c r="B48" s="234"/>
      <c r="C48" s="788" t="s">
        <v>52</v>
      </c>
      <c r="D48" s="234"/>
      <c r="E48" s="234"/>
      <c r="F48" s="338"/>
      <c r="G48" s="441">
        <v>214839325</v>
      </c>
      <c r="H48" s="349"/>
      <c r="I48" s="453">
        <v>303022910</v>
      </c>
      <c r="J48" s="471"/>
      <c r="K48" s="453">
        <v>313544403</v>
      </c>
      <c r="L48" s="354"/>
      <c r="M48" s="453">
        <v>313992393</v>
      </c>
      <c r="N48" s="349"/>
      <c r="P48" s="349"/>
      <c r="R48" s="122"/>
    </row>
    <row r="49" spans="1:18" s="421" customFormat="1" x14ac:dyDescent="0.25">
      <c r="A49" s="234"/>
      <c r="B49" s="234"/>
      <c r="C49" s="788" t="s">
        <v>696</v>
      </c>
      <c r="D49" s="263"/>
      <c r="E49" s="234"/>
      <c r="F49" s="466"/>
      <c r="G49" s="453">
        <v>0</v>
      </c>
      <c r="H49" s="453"/>
      <c r="I49" s="453">
        <v>883092</v>
      </c>
      <c r="J49" s="471"/>
      <c r="K49" s="453">
        <v>883092</v>
      </c>
      <c r="L49" s="354"/>
      <c r="M49" s="453">
        <v>883092</v>
      </c>
      <c r="N49" s="453"/>
      <c r="O49" s="382"/>
      <c r="P49" s="453"/>
      <c r="R49" s="395"/>
    </row>
    <row r="50" spans="1:18" s="421" customFormat="1" x14ac:dyDescent="0.25">
      <c r="A50" s="234"/>
      <c r="B50" s="234"/>
      <c r="C50" s="788" t="s">
        <v>697</v>
      </c>
      <c r="D50" s="263"/>
      <c r="E50" s="234"/>
      <c r="F50" s="466"/>
      <c r="G50" s="453">
        <v>0</v>
      </c>
      <c r="H50" s="453"/>
      <c r="I50" s="453">
        <v>55830</v>
      </c>
      <c r="J50" s="471"/>
      <c r="K50" s="453">
        <v>765939</v>
      </c>
      <c r="L50" s="354"/>
      <c r="M50" s="453">
        <v>1043189</v>
      </c>
      <c r="N50" s="453"/>
      <c r="O50" s="382"/>
      <c r="P50" s="453"/>
      <c r="R50" s="395"/>
    </row>
    <row r="51" spans="1:18" s="421" customFormat="1" x14ac:dyDescent="0.25">
      <c r="A51" s="234"/>
      <c r="B51" s="234"/>
      <c r="C51" s="788" t="s">
        <v>707</v>
      </c>
      <c r="D51" s="263"/>
      <c r="E51" s="234"/>
      <c r="F51" s="466"/>
      <c r="G51" s="453">
        <v>0</v>
      </c>
      <c r="H51" s="453"/>
      <c r="I51" s="453">
        <v>0</v>
      </c>
      <c r="J51" s="471"/>
      <c r="K51" s="453">
        <v>262700</v>
      </c>
      <c r="L51" s="354"/>
      <c r="M51" s="453">
        <v>262700</v>
      </c>
      <c r="N51" s="453"/>
      <c r="O51" s="382"/>
      <c r="P51" s="453"/>
      <c r="R51" s="395"/>
    </row>
    <row r="52" spans="1:18" s="421" customFormat="1" x14ac:dyDescent="0.25">
      <c r="A52" s="234"/>
      <c r="B52" s="234"/>
      <c r="C52" s="788" t="s">
        <v>53</v>
      </c>
      <c r="D52" s="263"/>
      <c r="E52" s="234"/>
      <c r="F52" s="466"/>
      <c r="G52" s="453">
        <v>-71831333</v>
      </c>
      <c r="H52" s="453"/>
      <c r="I52" s="453">
        <v>-112591724</v>
      </c>
      <c r="J52" s="471"/>
      <c r="K52" s="453">
        <v>-118252843</v>
      </c>
      <c r="L52" s="354"/>
      <c r="M52" s="453">
        <v>-122724702</v>
      </c>
      <c r="N52" s="453"/>
      <c r="O52" s="382"/>
      <c r="P52" s="453"/>
      <c r="R52" s="395"/>
    </row>
    <row r="53" spans="1:18" x14ac:dyDescent="0.25">
      <c r="A53" s="234"/>
      <c r="B53" s="234"/>
      <c r="C53" s="788" t="s">
        <v>698</v>
      </c>
      <c r="D53" s="234"/>
      <c r="E53" s="234"/>
      <c r="F53" s="338"/>
      <c r="G53" s="453">
        <v>0</v>
      </c>
      <c r="H53" s="349"/>
      <c r="I53" s="453">
        <v>-1237</v>
      </c>
      <c r="J53" s="133"/>
      <c r="K53" s="453">
        <v>-387881</v>
      </c>
      <c r="L53" s="354"/>
      <c r="M53" s="453">
        <v>-568539</v>
      </c>
      <c r="R53" s="122"/>
    </row>
    <row r="54" spans="1:18" x14ac:dyDescent="0.25">
      <c r="A54" s="234"/>
      <c r="B54" s="234"/>
      <c r="C54" s="234"/>
      <c r="D54" s="234"/>
      <c r="E54" s="234"/>
      <c r="F54" s="275"/>
      <c r="G54" s="255"/>
      <c r="H54" s="275"/>
      <c r="I54" s="295"/>
      <c r="J54" s="439"/>
      <c r="K54" s="295"/>
      <c r="L54" s="354"/>
      <c r="M54" s="295"/>
      <c r="R54" s="384"/>
    </row>
    <row r="55" spans="1:18" x14ac:dyDescent="0.25">
      <c r="A55" s="234"/>
      <c r="B55" s="234"/>
      <c r="C55" s="234"/>
      <c r="D55" s="234" t="s">
        <v>107</v>
      </c>
      <c r="E55" s="234"/>
      <c r="F55" s="275"/>
      <c r="G55" s="276">
        <f>SUM(G48:G54)</f>
        <v>143007992</v>
      </c>
      <c r="H55" s="276"/>
      <c r="I55" s="287">
        <f>SUM(I48:I54)</f>
        <v>191368871</v>
      </c>
      <c r="J55" s="439"/>
      <c r="K55" s="287">
        <f>SUM(K48:K54)</f>
        <v>196815410</v>
      </c>
      <c r="L55" s="354"/>
      <c r="M55" s="287">
        <f>SUM(M48:M54)</f>
        <v>192888133</v>
      </c>
    </row>
    <row r="56" spans="1:18" x14ac:dyDescent="0.25">
      <c r="A56" s="234"/>
      <c r="B56" s="234"/>
      <c r="C56" s="234" t="s">
        <v>54</v>
      </c>
      <c r="D56" s="234"/>
      <c r="E56" s="234"/>
      <c r="F56" s="338"/>
      <c r="G56" s="442">
        <v>432435</v>
      </c>
      <c r="H56" s="349"/>
      <c r="I56" s="453">
        <v>432435</v>
      </c>
      <c r="J56" s="287"/>
      <c r="K56" s="453">
        <v>432435</v>
      </c>
      <c r="L56" s="354"/>
      <c r="M56" s="453">
        <v>432435</v>
      </c>
    </row>
    <row r="57" spans="1:18" x14ac:dyDescent="0.25">
      <c r="A57" s="234"/>
      <c r="B57" s="234"/>
      <c r="C57" s="234" t="s">
        <v>55</v>
      </c>
      <c r="D57" s="234"/>
      <c r="E57" s="234"/>
      <c r="F57" s="338"/>
      <c r="G57" s="453">
        <v>13280455</v>
      </c>
      <c r="H57" s="349"/>
      <c r="I57" s="453">
        <v>21482137</v>
      </c>
      <c r="J57" s="133"/>
      <c r="K57" s="453">
        <v>28595563</v>
      </c>
      <c r="L57" s="354"/>
      <c r="M57" s="453">
        <v>46090260</v>
      </c>
      <c r="N57" s="122"/>
    </row>
    <row r="58" spans="1:18" x14ac:dyDescent="0.25">
      <c r="A58" s="234"/>
      <c r="B58" s="234"/>
      <c r="C58" s="234"/>
      <c r="D58" s="234"/>
      <c r="E58" s="234"/>
      <c r="F58" s="275"/>
      <c r="G58" s="255"/>
      <c r="H58" s="275"/>
      <c r="I58" s="295"/>
      <c r="J58" s="439"/>
      <c r="K58" s="295"/>
      <c r="L58" s="354"/>
      <c r="M58" s="295"/>
    </row>
    <row r="59" spans="1:18" x14ac:dyDescent="0.25">
      <c r="A59" s="234"/>
      <c r="B59" s="234"/>
      <c r="C59" s="234"/>
      <c r="D59" s="234" t="s">
        <v>56</v>
      </c>
      <c r="E59" s="234"/>
      <c r="F59" s="275"/>
      <c r="G59" s="303">
        <f>SUM(G55:G57)</f>
        <v>156720882</v>
      </c>
      <c r="H59" s="275"/>
      <c r="I59" s="294">
        <f>SUM(I55:I57)</f>
        <v>213283443</v>
      </c>
      <c r="J59" s="133"/>
      <c r="K59" s="294">
        <f>SUM(K55:K57)</f>
        <v>225843408</v>
      </c>
      <c r="L59" s="354"/>
      <c r="M59" s="294">
        <f>SUM(M55:M57)</f>
        <v>239410828</v>
      </c>
    </row>
    <row r="60" spans="1:18" x14ac:dyDescent="0.25">
      <c r="A60" s="234"/>
      <c r="B60" s="234"/>
      <c r="C60" s="234"/>
      <c r="D60" s="234"/>
      <c r="E60" s="234"/>
      <c r="F60" s="275"/>
      <c r="G60" s="275"/>
      <c r="H60" s="275"/>
      <c r="I60" s="444"/>
      <c r="J60" s="133"/>
      <c r="K60" s="354"/>
      <c r="L60" s="354"/>
      <c r="M60" s="354"/>
    </row>
    <row r="61" spans="1:18" x14ac:dyDescent="0.25">
      <c r="A61" s="234"/>
      <c r="B61" s="234"/>
      <c r="C61" s="234"/>
      <c r="D61" s="234" t="s">
        <v>493</v>
      </c>
      <c r="E61" s="234"/>
      <c r="F61" s="275"/>
      <c r="G61" s="303">
        <f>G59+G45</f>
        <v>184510799</v>
      </c>
      <c r="H61" s="275"/>
      <c r="I61" s="294">
        <f>I59+I45</f>
        <v>235568371</v>
      </c>
      <c r="J61" s="133"/>
      <c r="K61" s="294">
        <f>K59+K45</f>
        <v>276640273</v>
      </c>
      <c r="L61" s="354"/>
      <c r="M61" s="294">
        <f>M59+M45</f>
        <v>260466672</v>
      </c>
    </row>
    <row r="62" spans="1:18" x14ac:dyDescent="0.25">
      <c r="A62" s="234"/>
      <c r="B62" s="234"/>
      <c r="C62" s="234"/>
      <c r="D62" s="234"/>
      <c r="E62" s="234"/>
      <c r="F62" s="275"/>
      <c r="G62" s="276"/>
      <c r="H62" s="276"/>
      <c r="I62" s="287"/>
      <c r="J62" s="133"/>
      <c r="K62" s="354"/>
      <c r="L62" s="354"/>
      <c r="M62" s="354"/>
    </row>
    <row r="63" spans="1:18" ht="16.5" thickBot="1" x14ac:dyDescent="0.3">
      <c r="A63" s="234" t="s">
        <v>57</v>
      </c>
      <c r="B63" s="234"/>
      <c r="C63" s="234"/>
      <c r="D63" s="234"/>
      <c r="E63" s="234"/>
      <c r="F63" s="310"/>
      <c r="G63" s="309">
        <f>G31+G61</f>
        <v>216804069</v>
      </c>
      <c r="H63" s="310"/>
      <c r="I63" s="260">
        <f>I31+I61</f>
        <v>341744623</v>
      </c>
      <c r="J63" s="284"/>
      <c r="K63" s="260">
        <f>K31+K61</f>
        <v>388806165</v>
      </c>
      <c r="L63" s="354"/>
      <c r="M63" s="260">
        <f>M31+M61</f>
        <v>388757958</v>
      </c>
    </row>
    <row r="64" spans="1:18" ht="16.5" thickTop="1" x14ac:dyDescent="0.25">
      <c r="A64" s="234"/>
      <c r="B64" s="234"/>
      <c r="C64" s="234"/>
      <c r="D64" s="234"/>
      <c r="E64" s="234"/>
      <c r="F64" s="262"/>
      <c r="G64" s="234"/>
      <c r="H64" s="234"/>
      <c r="I64" s="263"/>
      <c r="J64" s="133"/>
      <c r="K64" s="354"/>
      <c r="L64" s="354"/>
      <c r="M64" s="354"/>
    </row>
    <row r="65" spans="1:16" x14ac:dyDescent="0.25">
      <c r="A65" s="322" t="s">
        <v>494</v>
      </c>
      <c r="B65" s="234"/>
      <c r="C65" s="234"/>
      <c r="D65" s="234"/>
      <c r="E65" s="234"/>
      <c r="F65" s="262"/>
      <c r="G65" s="234"/>
      <c r="H65" s="234"/>
      <c r="I65" s="263"/>
      <c r="J65" s="133"/>
      <c r="K65" s="354"/>
      <c r="L65" s="354"/>
      <c r="M65" s="354"/>
    </row>
    <row r="66" spans="1:16" x14ac:dyDescent="0.25">
      <c r="A66" s="234"/>
      <c r="B66" s="234"/>
      <c r="C66" s="234"/>
      <c r="D66" s="234"/>
      <c r="E66" s="234"/>
      <c r="F66" s="262"/>
      <c r="G66" s="234"/>
      <c r="H66" s="234"/>
      <c r="I66" s="263"/>
      <c r="J66" s="133"/>
      <c r="K66" s="354"/>
      <c r="L66" s="354"/>
      <c r="M66" s="354"/>
    </row>
    <row r="67" spans="1:16" x14ac:dyDescent="0.25">
      <c r="A67" s="234" t="s">
        <v>497</v>
      </c>
      <c r="D67" s="234"/>
      <c r="E67" s="234"/>
      <c r="F67" s="360"/>
      <c r="G67" s="443">
        <v>2481360</v>
      </c>
      <c r="H67" s="360"/>
      <c r="I67" s="448">
        <v>2592501</v>
      </c>
      <c r="J67" s="439"/>
      <c r="K67" s="448">
        <v>3039418</v>
      </c>
      <c r="L67" s="354"/>
      <c r="M67" s="448">
        <v>2738094</v>
      </c>
    </row>
    <row r="68" spans="1:16" x14ac:dyDescent="0.25">
      <c r="A68" s="234" t="s">
        <v>495</v>
      </c>
      <c r="B68" s="277"/>
      <c r="C68" s="277"/>
      <c r="D68" s="277"/>
      <c r="E68" s="275"/>
      <c r="F68" s="338"/>
      <c r="G68" s="467">
        <v>2510331</v>
      </c>
      <c r="H68" s="338"/>
      <c r="I68" s="453">
        <v>2253960</v>
      </c>
      <c r="J68" s="133"/>
      <c r="K68" s="444">
        <v>1997588</v>
      </c>
      <c r="L68" s="354"/>
      <c r="M68" s="444">
        <v>3522025</v>
      </c>
      <c r="N68" s="369"/>
      <c r="P68" s="369"/>
    </row>
    <row r="69" spans="1:16" x14ac:dyDescent="0.25">
      <c r="A69" s="234" t="s">
        <v>622</v>
      </c>
      <c r="B69" s="322"/>
      <c r="C69" s="234"/>
      <c r="D69" s="234"/>
      <c r="E69" s="234"/>
      <c r="F69" s="338"/>
      <c r="G69" s="453">
        <v>1689158</v>
      </c>
      <c r="H69" s="349"/>
      <c r="I69" s="453">
        <v>719030</v>
      </c>
      <c r="J69" s="133"/>
      <c r="K69" s="453">
        <v>686521</v>
      </c>
      <c r="L69" s="354"/>
      <c r="M69" s="453">
        <v>686521</v>
      </c>
    </row>
    <row r="70" spans="1:16" x14ac:dyDescent="0.25">
      <c r="A70" s="234"/>
      <c r="B70" s="234"/>
      <c r="C70" s="234"/>
      <c r="D70" s="234"/>
      <c r="E70" s="234"/>
      <c r="F70" s="262"/>
      <c r="G70" s="264"/>
      <c r="H70" s="262"/>
      <c r="I70" s="265"/>
      <c r="J70" s="133"/>
      <c r="K70" s="265"/>
      <c r="L70" s="354"/>
      <c r="M70" s="265"/>
    </row>
    <row r="71" spans="1:16" ht="16.5" thickBot="1" x14ac:dyDescent="0.3">
      <c r="A71" s="234" t="s">
        <v>512</v>
      </c>
      <c r="B71" s="234"/>
      <c r="C71" s="234"/>
      <c r="D71" s="234"/>
      <c r="E71" s="234"/>
      <c r="F71" s="310"/>
      <c r="G71" s="309">
        <f>SUM(G67:G69)</f>
        <v>6680849</v>
      </c>
      <c r="H71" s="310"/>
      <c r="I71" s="260">
        <f>SUM(I67:I69)</f>
        <v>5565491</v>
      </c>
      <c r="J71" s="133"/>
      <c r="K71" s="260">
        <f>SUM(K67:K69)</f>
        <v>5723527</v>
      </c>
      <c r="L71" s="354"/>
      <c r="M71" s="260">
        <f>SUM(M67:M69)</f>
        <v>6946640</v>
      </c>
    </row>
    <row r="72" spans="1:16" ht="16.5" thickTop="1" x14ac:dyDescent="0.25">
      <c r="A72" s="234"/>
      <c r="B72" s="234"/>
      <c r="C72" s="234"/>
      <c r="D72" s="234"/>
      <c r="E72" s="234"/>
      <c r="F72" s="262"/>
      <c r="G72" s="234"/>
      <c r="H72" s="234"/>
      <c r="I72" s="263"/>
      <c r="J72" s="133"/>
      <c r="K72" s="354"/>
      <c r="L72" s="354"/>
      <c r="M72" s="263"/>
    </row>
    <row r="73" spans="1:16" ht="16.5" thickBot="1" x14ac:dyDescent="0.3">
      <c r="A73" s="234" t="s">
        <v>496</v>
      </c>
      <c r="B73" s="234"/>
      <c r="C73" s="234"/>
      <c r="D73" s="234"/>
      <c r="E73" s="234"/>
      <c r="F73" s="310"/>
      <c r="G73" s="309">
        <f>+G71+G63</f>
        <v>223484918</v>
      </c>
      <c r="H73" s="310"/>
      <c r="I73" s="260">
        <f>+I71+I63</f>
        <v>347310114</v>
      </c>
      <c r="J73" s="133"/>
      <c r="K73" s="260">
        <f>+K71+K63</f>
        <v>394529692</v>
      </c>
      <c r="L73" s="354"/>
      <c r="M73" s="260">
        <f>+M71+M63</f>
        <v>395704598</v>
      </c>
    </row>
    <row r="74" spans="1:16" ht="16.5" thickTop="1" x14ac:dyDescent="0.25">
      <c r="A74" s="234"/>
      <c r="B74" s="234"/>
      <c r="C74" s="234"/>
      <c r="D74" s="234"/>
      <c r="E74" s="234"/>
      <c r="F74" s="262"/>
      <c r="G74" s="234"/>
      <c r="H74" s="234"/>
      <c r="I74" s="263"/>
    </row>
    <row r="75" spans="1:16" s="421" customFormat="1" x14ac:dyDescent="0.25">
      <c r="A75" s="234"/>
      <c r="B75" s="234"/>
      <c r="C75" s="234"/>
      <c r="D75" s="234"/>
      <c r="E75" s="234"/>
      <c r="F75" s="262"/>
      <c r="G75" s="234"/>
      <c r="H75" s="234"/>
      <c r="I75" s="263"/>
      <c r="K75" s="382"/>
      <c r="L75" s="382"/>
      <c r="M75" s="382"/>
      <c r="N75" s="382"/>
      <c r="O75" s="382"/>
      <c r="P75" s="382"/>
    </row>
    <row r="76" spans="1:16" s="421" customFormat="1" x14ac:dyDescent="0.25">
      <c r="A76" s="234"/>
      <c r="B76" s="234"/>
      <c r="C76" s="234"/>
      <c r="D76" s="234"/>
      <c r="E76" s="234"/>
      <c r="F76" s="262"/>
      <c r="G76" s="234"/>
      <c r="H76" s="234"/>
      <c r="I76" s="263"/>
      <c r="K76" s="382"/>
      <c r="L76" s="382"/>
      <c r="M76" s="382"/>
      <c r="N76" s="382"/>
      <c r="O76" s="382"/>
      <c r="P76" s="382"/>
    </row>
    <row r="77" spans="1:16" x14ac:dyDescent="0.25">
      <c r="A77" s="273"/>
      <c r="B77" s="273"/>
      <c r="C77" s="273"/>
      <c r="D77" s="273"/>
      <c r="E77" s="273"/>
      <c r="F77" s="246"/>
      <c r="G77" s="245"/>
      <c r="H77" s="420"/>
      <c r="I77" s="267"/>
    </row>
    <row r="79" spans="1:16" s="421" customFormat="1" x14ac:dyDescent="0.25">
      <c r="A79" s="1113"/>
      <c r="B79" s="1113"/>
      <c r="C79" s="1113"/>
      <c r="D79" s="1113"/>
      <c r="E79" s="1113"/>
      <c r="F79" s="1113"/>
      <c r="G79" s="1113"/>
      <c r="H79" s="1113"/>
      <c r="I79" s="1113"/>
      <c r="J79" s="1113"/>
      <c r="K79" s="1113"/>
      <c r="L79" s="1113"/>
      <c r="M79" s="1113"/>
      <c r="N79" s="382"/>
      <c r="O79" s="382"/>
      <c r="P79" s="382"/>
    </row>
    <row r="80" spans="1:16" s="421" customFormat="1" x14ac:dyDescent="0.25">
      <c r="A80" s="1462" t="s">
        <v>16</v>
      </c>
      <c r="B80" s="1462"/>
      <c r="C80" s="1462"/>
      <c r="D80" s="1462"/>
      <c r="E80" s="1462"/>
      <c r="F80" s="1462"/>
      <c r="G80" s="1462"/>
      <c r="H80" s="1462"/>
      <c r="I80" s="1462"/>
      <c r="J80" s="1462"/>
      <c r="K80" s="1462"/>
      <c r="L80" s="1462"/>
      <c r="M80" s="1462"/>
      <c r="N80" s="382"/>
      <c r="O80" s="382"/>
      <c r="P80" s="382"/>
    </row>
    <row r="81" spans="1:16" x14ac:dyDescent="0.25">
      <c r="A81" s="326"/>
      <c r="B81" s="273"/>
      <c r="C81" s="273"/>
      <c r="D81" s="273"/>
      <c r="E81" s="273"/>
      <c r="F81" s="246"/>
      <c r="G81" s="245"/>
      <c r="H81" s="420"/>
      <c r="I81" s="267"/>
      <c r="J81" s="420"/>
      <c r="K81" s="175"/>
      <c r="L81" s="175"/>
      <c r="M81" s="175"/>
    </row>
    <row r="82" spans="1:16" x14ac:dyDescent="0.25">
      <c r="A82" s="326" t="str">
        <f>INFO!A26</f>
        <v>(See Accountants' Report)</v>
      </c>
      <c r="B82" s="326"/>
      <c r="C82" s="326"/>
      <c r="D82" s="326"/>
      <c r="E82" s="326"/>
      <c r="F82" s="326"/>
      <c r="G82" s="326"/>
      <c r="H82" s="326"/>
      <c r="I82" s="326"/>
      <c r="J82" s="326"/>
      <c r="K82" s="326"/>
      <c r="L82" s="326"/>
      <c r="M82" s="326"/>
    </row>
    <row r="83" spans="1:16" ht="15.75" customHeight="1" x14ac:dyDescent="0.25">
      <c r="A83" s="266"/>
      <c r="B83" s="266"/>
      <c r="C83" s="266"/>
      <c r="D83" s="266"/>
      <c r="E83" s="266"/>
      <c r="F83" s="420"/>
      <c r="G83" s="420"/>
      <c r="H83" s="420"/>
      <c r="I83" s="267"/>
    </row>
    <row r="84" spans="1:16" ht="16.5" customHeight="1" x14ac:dyDescent="0.25">
      <c r="A84" s="1459">
        <v>33</v>
      </c>
      <c r="B84" s="1459"/>
      <c r="C84" s="1459"/>
      <c r="D84" s="1459"/>
      <c r="E84" s="1459"/>
      <c r="F84" s="1459"/>
      <c r="G84" s="1459"/>
      <c r="H84" s="1459"/>
      <c r="I84" s="1459"/>
      <c r="J84" s="1459"/>
      <c r="K84" s="1459"/>
      <c r="L84" s="1459"/>
      <c r="M84" s="1459"/>
    </row>
    <row r="85" spans="1:16" x14ac:dyDescent="0.25">
      <c r="A85" s="1461" t="str">
        <f>A1</f>
        <v>EVANSVILLE (INDIANA) WATERWORKS DISTRICT</v>
      </c>
      <c r="B85" s="1461"/>
      <c r="C85" s="1461"/>
      <c r="D85" s="1461"/>
      <c r="E85" s="1461"/>
      <c r="F85" s="1461"/>
      <c r="G85" s="1461"/>
      <c r="H85" s="1461"/>
      <c r="I85" s="1461"/>
      <c r="J85" s="1461"/>
      <c r="K85" s="1461"/>
      <c r="L85" s="1461"/>
      <c r="M85" s="1461"/>
    </row>
    <row r="86" spans="1:16" x14ac:dyDescent="0.25">
      <c r="A86" s="270"/>
      <c r="B86" s="270"/>
      <c r="C86" s="270"/>
      <c r="D86" s="270"/>
      <c r="E86" s="270"/>
      <c r="F86" s="272"/>
      <c r="M86" s="269" t="s">
        <v>17</v>
      </c>
    </row>
    <row r="87" spans="1:16" x14ac:dyDescent="0.25">
      <c r="A87" s="1460" t="str">
        <f>A3</f>
        <v>COMPARATIVE STATEMENT OF NET POSITION</v>
      </c>
      <c r="B87" s="1460"/>
      <c r="C87" s="1460"/>
      <c r="D87" s="1460"/>
      <c r="E87" s="1460"/>
      <c r="F87" s="1460"/>
      <c r="G87" s="1460"/>
      <c r="H87" s="1460"/>
      <c r="I87" s="1460"/>
      <c r="J87" s="1460"/>
      <c r="K87" s="1460"/>
      <c r="L87" s="1460"/>
      <c r="M87" s="1460"/>
    </row>
    <row r="88" spans="1:16" x14ac:dyDescent="0.25">
      <c r="A88" s="270"/>
      <c r="B88" s="270"/>
      <c r="C88" s="270"/>
      <c r="D88" s="270"/>
      <c r="E88" s="270"/>
      <c r="F88" s="271"/>
      <c r="G88" s="270"/>
      <c r="I88" s="133"/>
    </row>
    <row r="89" spans="1:16" x14ac:dyDescent="0.25">
      <c r="A89" s="249"/>
      <c r="B89" s="249"/>
      <c r="C89" s="249"/>
      <c r="D89" s="249"/>
      <c r="E89" s="249"/>
      <c r="F89" s="250"/>
      <c r="G89" s="249"/>
      <c r="I89" s="377"/>
      <c r="M89" s="174" t="s">
        <v>381</v>
      </c>
    </row>
    <row r="90" spans="1:16" x14ac:dyDescent="0.25">
      <c r="A90" s="322"/>
      <c r="B90" s="322"/>
      <c r="C90" s="322"/>
      <c r="D90" s="322"/>
      <c r="E90" s="322"/>
      <c r="F90" s="246"/>
      <c r="G90" s="1458" t="s">
        <v>318</v>
      </c>
      <c r="H90" s="1458"/>
      <c r="I90" s="1458"/>
      <c r="J90" s="1458"/>
      <c r="K90" s="1458"/>
      <c r="M90" s="223" t="s">
        <v>627</v>
      </c>
    </row>
    <row r="91" spans="1:16" x14ac:dyDescent="0.25">
      <c r="A91" s="322"/>
      <c r="B91" s="322"/>
      <c r="C91" s="322"/>
      <c r="D91" s="322"/>
      <c r="E91" s="322"/>
      <c r="F91" s="279"/>
      <c r="G91" s="787">
        <v>2017</v>
      </c>
      <c r="H91" s="251"/>
      <c r="I91" s="528">
        <v>2018</v>
      </c>
      <c r="J91" s="133"/>
      <c r="K91" s="528">
        <v>2019</v>
      </c>
      <c r="L91" s="354"/>
      <c r="M91" s="528">
        <v>2020</v>
      </c>
    </row>
    <row r="92" spans="1:16" x14ac:dyDescent="0.25">
      <c r="A92" s="322" t="s">
        <v>58</v>
      </c>
      <c r="B92" s="322"/>
      <c r="C92" s="322"/>
      <c r="D92" s="322"/>
      <c r="E92" s="322"/>
      <c r="F92" s="277"/>
      <c r="G92" s="322"/>
      <c r="H92" s="322"/>
      <c r="I92" s="337"/>
      <c r="J92" s="133"/>
      <c r="K92" s="354"/>
      <c r="L92" s="354"/>
      <c r="M92" s="354"/>
    </row>
    <row r="93" spans="1:16" x14ac:dyDescent="0.25">
      <c r="A93" s="322"/>
      <c r="B93" s="322"/>
      <c r="C93" s="322"/>
      <c r="D93" s="322"/>
      <c r="E93" s="322"/>
      <c r="F93" s="277"/>
      <c r="G93" s="322"/>
      <c r="H93" s="322"/>
      <c r="I93" s="337"/>
      <c r="J93" s="133"/>
      <c r="K93" s="354"/>
      <c r="L93" s="354"/>
      <c r="M93" s="354"/>
    </row>
    <row r="94" spans="1:16" x14ac:dyDescent="0.25">
      <c r="A94" s="322" t="s">
        <v>59</v>
      </c>
      <c r="B94" s="322"/>
      <c r="C94" s="322"/>
      <c r="D94" s="322"/>
      <c r="E94" s="322"/>
      <c r="F94" s="277"/>
      <c r="G94" s="360"/>
      <c r="H94" s="360"/>
      <c r="I94" s="448"/>
      <c r="J94" s="133"/>
      <c r="K94" s="354"/>
      <c r="L94" s="354"/>
      <c r="M94" s="354"/>
    </row>
    <row r="95" spans="1:16" x14ac:dyDescent="0.25">
      <c r="A95" s="322"/>
      <c r="B95" s="322" t="s">
        <v>6</v>
      </c>
      <c r="C95" s="322"/>
      <c r="D95" s="322"/>
      <c r="E95" s="322"/>
      <c r="F95" s="345"/>
      <c r="G95" s="445"/>
      <c r="H95" s="360"/>
      <c r="I95" s="448"/>
      <c r="J95" s="284"/>
      <c r="K95" s="448">
        <v>2136188</v>
      </c>
      <c r="L95" s="354"/>
      <c r="M95" s="448">
        <v>1420801</v>
      </c>
    </row>
    <row r="96" spans="1:16" s="421" customFormat="1" x14ac:dyDescent="0.25">
      <c r="A96" s="322"/>
      <c r="B96" s="322" t="s">
        <v>703</v>
      </c>
      <c r="C96" s="322"/>
      <c r="D96" s="322"/>
      <c r="E96" s="322"/>
      <c r="F96" s="454"/>
      <c r="G96" s="453">
        <v>609833</v>
      </c>
      <c r="H96" s="467"/>
      <c r="I96" s="467">
        <v>1185484</v>
      </c>
      <c r="J96" s="287"/>
      <c r="K96" s="467">
        <v>230714</v>
      </c>
      <c r="L96" s="467"/>
      <c r="M96" s="467">
        <v>230714</v>
      </c>
      <c r="N96" s="382"/>
      <c r="O96" s="382"/>
      <c r="P96" s="382"/>
    </row>
    <row r="97" spans="1:17" x14ac:dyDescent="0.25">
      <c r="A97" s="322"/>
      <c r="B97" s="322" t="s">
        <v>241</v>
      </c>
      <c r="C97" s="322"/>
      <c r="D97" s="322"/>
      <c r="E97" s="322"/>
      <c r="F97" s="338"/>
      <c r="G97" s="500">
        <v>0</v>
      </c>
      <c r="H97" s="467"/>
      <c r="I97" s="467">
        <v>53002</v>
      </c>
      <c r="J97" s="287"/>
      <c r="K97" s="467">
        <v>150992</v>
      </c>
      <c r="L97" s="467"/>
      <c r="M97" s="467">
        <v>232753</v>
      </c>
    </row>
    <row r="98" spans="1:17" x14ac:dyDescent="0.25">
      <c r="A98" s="322"/>
      <c r="B98" s="322" t="s">
        <v>60</v>
      </c>
      <c r="C98" s="322"/>
      <c r="D98" s="322"/>
      <c r="E98" s="276"/>
      <c r="F98" s="338"/>
      <c r="G98" s="467">
        <v>94259</v>
      </c>
      <c r="H98" s="467"/>
      <c r="I98" s="467">
        <v>157432</v>
      </c>
      <c r="J98" s="287"/>
      <c r="K98" s="467">
        <v>250639</v>
      </c>
      <c r="L98" s="467"/>
      <c r="M98" s="467">
        <v>401029</v>
      </c>
    </row>
    <row r="99" spans="1:17" s="138" customFormat="1" hidden="1" x14ac:dyDescent="0.25">
      <c r="A99" s="943"/>
      <c r="B99" s="943" t="s">
        <v>623</v>
      </c>
      <c r="C99" s="943"/>
      <c r="D99" s="943"/>
      <c r="E99" s="312"/>
      <c r="F99" s="291"/>
      <c r="G99" s="391">
        <v>190255</v>
      </c>
      <c r="H99" s="391"/>
      <c r="I99" s="391">
        <v>206848</v>
      </c>
      <c r="J99" s="312"/>
      <c r="K99" s="391">
        <v>0</v>
      </c>
      <c r="L99" s="391"/>
      <c r="M99" s="391">
        <v>0</v>
      </c>
      <c r="N99" s="468"/>
      <c r="O99" s="56"/>
      <c r="P99" s="56"/>
    </row>
    <row r="100" spans="1:17" x14ac:dyDescent="0.25">
      <c r="A100" s="322"/>
      <c r="B100" s="322" t="s">
        <v>62</v>
      </c>
      <c r="C100" s="322"/>
      <c r="D100" s="322"/>
      <c r="E100" s="276"/>
      <c r="F100" s="338"/>
      <c r="G100" s="467"/>
      <c r="H100" s="467"/>
      <c r="I100" s="500">
        <v>0</v>
      </c>
      <c r="J100" s="287"/>
      <c r="K100" s="467">
        <v>730050</v>
      </c>
      <c r="L100" s="467"/>
      <c r="M100" s="467">
        <v>730050</v>
      </c>
    </row>
    <row r="101" spans="1:17" x14ac:dyDescent="0.25">
      <c r="A101" s="322"/>
      <c r="B101" s="322" t="s">
        <v>63</v>
      </c>
      <c r="C101" s="322"/>
      <c r="D101" s="322"/>
      <c r="E101" s="276"/>
      <c r="F101" s="338"/>
      <c r="G101" s="467">
        <v>602947</v>
      </c>
      <c r="H101" s="467"/>
      <c r="I101" s="467">
        <v>707987</v>
      </c>
      <c r="J101" s="287"/>
      <c r="K101" s="467"/>
      <c r="L101" s="467"/>
      <c r="M101" s="467"/>
    </row>
    <row r="102" spans="1:17" x14ac:dyDescent="0.25">
      <c r="A102" s="322"/>
      <c r="B102" s="322"/>
      <c r="C102" s="322" t="s">
        <v>242</v>
      </c>
      <c r="D102" s="322"/>
      <c r="E102" s="276"/>
      <c r="F102" s="305"/>
      <c r="G102" s="467"/>
      <c r="H102" s="467"/>
      <c r="I102" s="467"/>
      <c r="J102" s="287"/>
      <c r="K102" s="467">
        <v>1631405</v>
      </c>
      <c r="L102" s="467"/>
      <c r="M102" s="467">
        <v>5910</v>
      </c>
    </row>
    <row r="103" spans="1:17" x14ac:dyDescent="0.25">
      <c r="A103" s="322"/>
      <c r="B103" s="322"/>
      <c r="C103" s="322" t="s">
        <v>61</v>
      </c>
      <c r="D103" s="322"/>
      <c r="E103" s="276"/>
      <c r="F103" s="305"/>
      <c r="G103" s="467">
        <v>2166065</v>
      </c>
      <c r="H103" s="467"/>
      <c r="I103" s="467">
        <v>688088</v>
      </c>
      <c r="J103" s="287"/>
      <c r="K103" s="467">
        <v>837903</v>
      </c>
      <c r="L103" s="467"/>
      <c r="M103" s="467">
        <v>1073266</v>
      </c>
    </row>
    <row r="104" spans="1:17" x14ac:dyDescent="0.25">
      <c r="A104" s="322"/>
      <c r="B104" s="322"/>
      <c r="C104" s="322" t="s">
        <v>243</v>
      </c>
      <c r="D104" s="322"/>
      <c r="E104" s="276"/>
      <c r="F104" s="338"/>
      <c r="G104" s="467">
        <v>738056</v>
      </c>
      <c r="H104" s="467"/>
      <c r="I104" s="467">
        <v>1049313</v>
      </c>
      <c r="J104" s="287"/>
      <c r="K104" s="467">
        <v>1635371</v>
      </c>
      <c r="L104" s="467"/>
      <c r="M104" s="467">
        <v>1667919</v>
      </c>
    </row>
    <row r="105" spans="1:17" s="421" customFormat="1" x14ac:dyDescent="0.25">
      <c r="A105" s="322"/>
      <c r="B105" s="322"/>
      <c r="C105" s="322" t="s">
        <v>658</v>
      </c>
      <c r="D105" s="322"/>
      <c r="E105" s="276"/>
      <c r="F105" s="466"/>
      <c r="G105" s="453">
        <v>1534463</v>
      </c>
      <c r="H105" s="467"/>
      <c r="I105" s="467">
        <v>1587103</v>
      </c>
      <c r="J105" s="287"/>
      <c r="K105" s="467">
        <v>4381</v>
      </c>
      <c r="L105" s="467"/>
      <c r="M105" s="467">
        <v>9133</v>
      </c>
      <c r="N105" s="382"/>
      <c r="O105" s="382"/>
      <c r="P105" s="382"/>
    </row>
    <row r="106" spans="1:17" x14ac:dyDescent="0.25">
      <c r="A106" s="322"/>
      <c r="B106" s="322"/>
      <c r="C106" s="322" t="s">
        <v>64</v>
      </c>
      <c r="D106" s="322"/>
      <c r="E106" s="276"/>
      <c r="F106" s="338"/>
      <c r="G106" s="467">
        <v>7231</v>
      </c>
      <c r="H106" s="467"/>
      <c r="I106" s="467">
        <v>4604</v>
      </c>
      <c r="J106" s="467"/>
      <c r="K106" s="467">
        <v>4363722</v>
      </c>
      <c r="L106" s="467"/>
      <c r="M106" s="467">
        <v>1993739</v>
      </c>
    </row>
    <row r="107" spans="1:17" x14ac:dyDescent="0.25">
      <c r="A107" s="322"/>
      <c r="B107" s="322"/>
      <c r="C107" s="322" t="s">
        <v>69</v>
      </c>
      <c r="D107" s="322"/>
      <c r="E107" s="276"/>
      <c r="F107" s="305"/>
      <c r="G107" s="453">
        <v>2690425</v>
      </c>
      <c r="H107" s="467"/>
      <c r="I107" s="467">
        <v>2630500</v>
      </c>
      <c r="J107" s="287"/>
      <c r="K107" s="453">
        <v>0</v>
      </c>
      <c r="L107" s="467"/>
      <c r="M107" s="453">
        <v>0</v>
      </c>
    </row>
    <row r="108" spans="1:17" s="138" customFormat="1" ht="15.75" hidden="1" customHeight="1" x14ac:dyDescent="0.25">
      <c r="A108" s="943"/>
      <c r="B108" s="943"/>
      <c r="C108" s="943" t="s">
        <v>238</v>
      </c>
      <c r="D108" s="943"/>
      <c r="E108" s="312"/>
      <c r="F108" s="944"/>
      <c r="G108" s="391">
        <v>0</v>
      </c>
      <c r="H108" s="391"/>
      <c r="I108" s="391">
        <v>500000</v>
      </c>
      <c r="J108" s="312"/>
      <c r="K108" s="391">
        <v>0</v>
      </c>
      <c r="L108" s="391"/>
      <c r="M108" s="391">
        <v>0</v>
      </c>
      <c r="N108" s="56"/>
      <c r="O108" s="56"/>
      <c r="P108" s="56"/>
    </row>
    <row r="109" spans="1:17" x14ac:dyDescent="0.25">
      <c r="A109" s="322"/>
      <c r="B109" s="322"/>
      <c r="C109" s="322" t="s">
        <v>316</v>
      </c>
      <c r="D109" s="322"/>
      <c r="E109" s="276"/>
      <c r="F109" s="338"/>
      <c r="G109" s="500">
        <v>0</v>
      </c>
      <c r="H109" s="466"/>
      <c r="I109" s="502">
        <v>0</v>
      </c>
      <c r="J109" s="287"/>
      <c r="K109" s="466">
        <v>5755000</v>
      </c>
      <c r="L109" s="467"/>
      <c r="M109" s="466">
        <v>6145000</v>
      </c>
    </row>
    <row r="110" spans="1:17" x14ac:dyDescent="0.25">
      <c r="A110" s="322"/>
      <c r="B110" s="322"/>
      <c r="C110" s="322" t="s">
        <v>727</v>
      </c>
      <c r="D110" s="322"/>
      <c r="E110" s="276"/>
      <c r="F110" s="275"/>
      <c r="G110" s="453">
        <v>3130000</v>
      </c>
      <c r="H110" s="275"/>
      <c r="I110" s="453">
        <v>4870000</v>
      </c>
      <c r="J110" s="133"/>
      <c r="K110" s="453">
        <v>0</v>
      </c>
      <c r="L110" s="354"/>
      <c r="M110" s="453">
        <v>2798303</v>
      </c>
    </row>
    <row r="111" spans="1:17" x14ac:dyDescent="0.25">
      <c r="A111" s="322"/>
      <c r="B111" s="322"/>
      <c r="C111" s="322"/>
      <c r="D111" s="322"/>
      <c r="E111" s="276"/>
      <c r="F111" s="275"/>
      <c r="G111" s="255"/>
      <c r="H111" s="276"/>
      <c r="I111" s="295"/>
      <c r="J111" s="133"/>
      <c r="K111" s="295"/>
      <c r="L111" s="354"/>
      <c r="M111" s="295"/>
    </row>
    <row r="112" spans="1:17" x14ac:dyDescent="0.25">
      <c r="A112" s="322"/>
      <c r="B112" s="322"/>
      <c r="C112" s="322"/>
      <c r="D112" s="234" t="s">
        <v>65</v>
      </c>
      <c r="E112" s="276"/>
      <c r="F112" s="275"/>
      <c r="G112" s="303">
        <f>SUM(G95:G110)</f>
        <v>11763534</v>
      </c>
      <c r="H112" s="275"/>
      <c r="I112" s="294">
        <f>SUM(I95:I110)</f>
        <v>13640361</v>
      </c>
      <c r="J112" s="287"/>
      <c r="K112" s="294">
        <f>SUM(K95:K110)</f>
        <v>17726365</v>
      </c>
      <c r="L112" s="354"/>
      <c r="M112" s="294">
        <f>SUM(M95:M110)</f>
        <v>16708617</v>
      </c>
      <c r="Q112" s="282"/>
    </row>
    <row r="113" spans="1:17" x14ac:dyDescent="0.25">
      <c r="A113" s="322"/>
      <c r="B113" s="322"/>
      <c r="C113" s="322"/>
      <c r="D113" s="322"/>
      <c r="E113" s="276"/>
      <c r="F113" s="275"/>
      <c r="G113" s="276"/>
      <c r="H113" s="276"/>
      <c r="I113" s="287"/>
      <c r="J113" s="133"/>
      <c r="K113" s="287"/>
      <c r="L113" s="354"/>
      <c r="M113" s="354"/>
      <c r="Q113" s="282"/>
    </row>
    <row r="114" spans="1:17" x14ac:dyDescent="0.25">
      <c r="A114" s="322" t="s">
        <v>66</v>
      </c>
      <c r="B114" s="322"/>
      <c r="C114" s="322"/>
      <c r="D114" s="322"/>
      <c r="E114" s="276"/>
      <c r="F114" s="275"/>
      <c r="G114" s="276"/>
      <c r="H114" s="276"/>
      <c r="I114" s="287"/>
      <c r="J114" s="133"/>
      <c r="K114" s="354"/>
      <c r="L114" s="354"/>
      <c r="M114" s="354"/>
    </row>
    <row r="115" spans="1:17" x14ac:dyDescent="0.25">
      <c r="A115" s="322"/>
      <c r="B115" s="790" t="s">
        <v>700</v>
      </c>
      <c r="C115" s="322"/>
      <c r="D115" s="322"/>
      <c r="E115" s="276"/>
      <c r="F115" s="338"/>
      <c r="G115" s="225">
        <v>128800000</v>
      </c>
      <c r="H115" s="225"/>
      <c r="I115" s="225">
        <v>123930000</v>
      </c>
      <c r="J115" s="133"/>
      <c r="K115" s="453">
        <v>157940000</v>
      </c>
      <c r="L115" s="354"/>
      <c r="M115" s="453">
        <v>153690000</v>
      </c>
      <c r="Q115" s="282"/>
    </row>
    <row r="116" spans="1:17" s="421" customFormat="1" x14ac:dyDescent="0.25">
      <c r="A116" s="322"/>
      <c r="B116" s="322" t="s">
        <v>701</v>
      </c>
      <c r="C116" s="322"/>
      <c r="D116" s="322"/>
      <c r="E116" s="276"/>
      <c r="F116" s="466"/>
      <c r="G116" s="225">
        <v>0</v>
      </c>
      <c r="H116" s="225"/>
      <c r="I116" s="225">
        <v>77220000</v>
      </c>
      <c r="J116" s="133"/>
      <c r="K116" s="453">
        <v>77220000</v>
      </c>
      <c r="L116" s="354"/>
      <c r="M116" s="453">
        <v>74421697</v>
      </c>
      <c r="N116" s="382"/>
      <c r="O116" s="382"/>
      <c r="P116" s="382"/>
      <c r="Q116" s="282"/>
    </row>
    <row r="117" spans="1:17" s="138" customFormat="1" hidden="1" x14ac:dyDescent="0.25">
      <c r="A117" s="943"/>
      <c r="B117" s="943" t="s">
        <v>69</v>
      </c>
      <c r="C117" s="943"/>
      <c r="D117" s="943"/>
      <c r="E117" s="27"/>
      <c r="F117" s="499"/>
      <c r="G117" s="27">
        <v>0</v>
      </c>
      <c r="H117" s="27"/>
      <c r="I117" s="27">
        <v>0</v>
      </c>
      <c r="K117" s="27">
        <v>0</v>
      </c>
      <c r="L117" s="56"/>
      <c r="M117" s="27">
        <v>0</v>
      </c>
      <c r="N117" s="56"/>
      <c r="O117" s="56"/>
      <c r="P117" s="56"/>
    </row>
    <row r="118" spans="1:17" x14ac:dyDescent="0.25">
      <c r="B118" s="322" t="s">
        <v>261</v>
      </c>
      <c r="C118" s="322"/>
      <c r="D118" s="322"/>
      <c r="E118" s="276"/>
      <c r="F118" s="345"/>
      <c r="G118" s="225">
        <v>3078292</v>
      </c>
      <c r="H118" s="387"/>
      <c r="I118" s="225">
        <v>2745680</v>
      </c>
      <c r="J118" s="133"/>
      <c r="K118" s="453">
        <v>2864444</v>
      </c>
      <c r="L118" s="354"/>
      <c r="M118" s="453">
        <v>2233860</v>
      </c>
    </row>
    <row r="119" spans="1:17" s="421" customFormat="1" x14ac:dyDescent="0.25">
      <c r="B119" s="322" t="s">
        <v>699</v>
      </c>
      <c r="C119" s="322"/>
      <c r="D119" s="322"/>
      <c r="E119" s="276"/>
      <c r="F119" s="454"/>
      <c r="G119" s="225">
        <v>0</v>
      </c>
      <c r="H119" s="387"/>
      <c r="I119" s="225">
        <v>526586</v>
      </c>
      <c r="J119" s="133"/>
      <c r="K119" s="453">
        <v>970848</v>
      </c>
      <c r="L119" s="354"/>
      <c r="M119" s="453">
        <v>1094298</v>
      </c>
      <c r="N119" s="382"/>
      <c r="O119" s="382"/>
      <c r="P119" s="382"/>
    </row>
    <row r="120" spans="1:17" x14ac:dyDescent="0.25">
      <c r="A120" s="322"/>
      <c r="B120" s="322" t="s">
        <v>317</v>
      </c>
      <c r="C120" s="322"/>
      <c r="D120" s="322"/>
      <c r="E120" s="276"/>
      <c r="F120" s="338"/>
      <c r="G120" s="225">
        <v>702956</v>
      </c>
      <c r="H120" s="225"/>
      <c r="I120" s="225">
        <v>702956</v>
      </c>
      <c r="J120" s="133"/>
      <c r="K120" s="453">
        <v>702956</v>
      </c>
      <c r="L120" s="354"/>
      <c r="M120" s="453">
        <v>702956</v>
      </c>
    </row>
    <row r="121" spans="1:17" s="421" customFormat="1" x14ac:dyDescent="0.25">
      <c r="A121" s="322"/>
      <c r="B121" s="322" t="s">
        <v>623</v>
      </c>
      <c r="C121" s="322"/>
      <c r="D121" s="322"/>
      <c r="E121" s="276"/>
      <c r="F121" s="466"/>
      <c r="G121" s="225">
        <v>5938565</v>
      </c>
      <c r="H121" s="225"/>
      <c r="I121" s="225">
        <v>4719544</v>
      </c>
      <c r="J121" s="133"/>
      <c r="K121" s="453">
        <v>4668313</v>
      </c>
      <c r="L121" s="354"/>
      <c r="M121" s="453">
        <v>4668313</v>
      </c>
      <c r="N121" s="382"/>
      <c r="O121" s="382"/>
      <c r="P121" s="382"/>
    </row>
    <row r="122" spans="1:17" x14ac:dyDescent="0.25">
      <c r="A122" s="322"/>
      <c r="B122" s="322"/>
      <c r="C122" s="322"/>
      <c r="D122" s="322"/>
      <c r="E122" s="322"/>
      <c r="F122" s="277"/>
      <c r="G122" s="308"/>
      <c r="H122" s="277"/>
      <c r="I122" s="300"/>
      <c r="J122" s="133"/>
      <c r="K122" s="300"/>
      <c r="L122" s="354"/>
      <c r="M122" s="300"/>
    </row>
    <row r="123" spans="1:17" x14ac:dyDescent="0.25">
      <c r="A123" s="322"/>
      <c r="B123" s="322"/>
      <c r="C123" s="322"/>
      <c r="D123" s="234" t="s">
        <v>67</v>
      </c>
      <c r="E123" s="276"/>
      <c r="F123" s="275"/>
      <c r="G123" s="303">
        <f>SUM(G115:G122)</f>
        <v>138519813</v>
      </c>
      <c r="H123" s="275"/>
      <c r="I123" s="294">
        <f>SUM(I115:I122)</f>
        <v>209844766</v>
      </c>
      <c r="J123" s="133"/>
      <c r="K123" s="294">
        <f>SUM(K115:K122)</f>
        <v>244366561</v>
      </c>
      <c r="L123" s="354"/>
      <c r="M123" s="294">
        <f>SUM(M115:M122)</f>
        <v>236811124</v>
      </c>
    </row>
    <row r="124" spans="1:17" x14ac:dyDescent="0.25">
      <c r="A124" s="322"/>
      <c r="B124" s="322"/>
      <c r="C124" s="322"/>
      <c r="D124" s="322"/>
      <c r="E124" s="276"/>
      <c r="F124" s="275"/>
      <c r="G124" s="276"/>
      <c r="H124" s="276"/>
      <c r="I124" s="287"/>
      <c r="J124" s="133"/>
      <c r="K124" s="354"/>
      <c r="L124" s="354"/>
      <c r="M124" s="354"/>
    </row>
    <row r="125" spans="1:17" ht="16.5" thickBot="1" x14ac:dyDescent="0.3">
      <c r="A125" s="234" t="s">
        <v>68</v>
      </c>
      <c r="B125" s="322"/>
      <c r="C125" s="322"/>
      <c r="D125" s="322"/>
      <c r="E125" s="322"/>
      <c r="F125" s="310"/>
      <c r="G125" s="309">
        <f>+G123+G112</f>
        <v>150283347</v>
      </c>
      <c r="H125" s="310"/>
      <c r="I125" s="260">
        <f>+I123+I112</f>
        <v>223485127</v>
      </c>
      <c r="J125" s="133"/>
      <c r="K125" s="260">
        <f>+K123+K112</f>
        <v>262092926</v>
      </c>
      <c r="L125" s="354"/>
      <c r="M125" s="260">
        <f>+M123+M112</f>
        <v>253519741</v>
      </c>
    </row>
    <row r="126" spans="1:17" ht="16.5" thickTop="1" x14ac:dyDescent="0.25">
      <c r="A126" s="322"/>
      <c r="B126" s="322"/>
      <c r="C126" s="322"/>
      <c r="D126" s="322"/>
      <c r="E126" s="322"/>
      <c r="F126" s="277"/>
      <c r="G126" s="322"/>
      <c r="H126" s="322"/>
      <c r="I126" s="337"/>
      <c r="J126" s="133"/>
      <c r="K126" s="354"/>
      <c r="L126" s="354"/>
      <c r="M126" s="354"/>
    </row>
    <row r="127" spans="1:17" x14ac:dyDescent="0.25">
      <c r="A127" s="268" t="s">
        <v>624</v>
      </c>
      <c r="I127" s="133"/>
      <c r="J127" s="133"/>
      <c r="K127" s="354"/>
      <c r="L127" s="354"/>
      <c r="M127" s="354"/>
      <c r="N127" s="369"/>
    </row>
    <row r="128" spans="1:17" s="421" customFormat="1" x14ac:dyDescent="0.25">
      <c r="I128" s="133"/>
      <c r="J128" s="133"/>
      <c r="K128" s="354"/>
      <c r="L128" s="354"/>
      <c r="M128" s="354"/>
      <c r="N128" s="387"/>
      <c r="O128" s="382"/>
      <c r="P128" s="382"/>
    </row>
    <row r="129" spans="1:17" s="421" customFormat="1" ht="16.5" thickBot="1" x14ac:dyDescent="0.3">
      <c r="A129" s="58" t="s">
        <v>625</v>
      </c>
      <c r="G129" s="1418">
        <v>365017</v>
      </c>
      <c r="H129" s="282"/>
      <c r="I129" s="1418">
        <v>816791</v>
      </c>
      <c r="J129" s="133"/>
      <c r="K129" s="260">
        <v>786457</v>
      </c>
      <c r="L129" s="354"/>
      <c r="M129" s="260">
        <v>786457</v>
      </c>
      <c r="N129" s="387"/>
      <c r="O129" s="382"/>
      <c r="P129" s="382"/>
    </row>
    <row r="130" spans="1:17" ht="16.5" thickTop="1" x14ac:dyDescent="0.25">
      <c r="A130" s="234"/>
      <c r="B130" s="234"/>
      <c r="C130" s="234"/>
      <c r="D130" s="234"/>
      <c r="E130" s="322"/>
      <c r="F130" s="277"/>
      <c r="G130" s="337"/>
      <c r="H130" s="322"/>
      <c r="I130" s="256"/>
      <c r="J130" s="133"/>
      <c r="K130" s="354"/>
      <c r="L130" s="354"/>
      <c r="M130" s="354"/>
    </row>
    <row r="131" spans="1:17" ht="16.5" thickBot="1" x14ac:dyDescent="0.3">
      <c r="A131" s="234" t="s">
        <v>513</v>
      </c>
      <c r="B131" s="234"/>
      <c r="C131" s="234"/>
      <c r="D131" s="234"/>
      <c r="E131" s="322"/>
      <c r="F131" s="277"/>
      <c r="G131" s="260">
        <f>G125+G129</f>
        <v>150648364</v>
      </c>
      <c r="H131" s="310"/>
      <c r="I131" s="260">
        <f>I125+I129</f>
        <v>224301918</v>
      </c>
      <c r="J131" s="133"/>
      <c r="K131" s="260">
        <f>K125+K129</f>
        <v>262879383</v>
      </c>
      <c r="L131" s="354"/>
      <c r="M131" s="260">
        <f>M125+M129</f>
        <v>254306198</v>
      </c>
    </row>
    <row r="132" spans="1:17" ht="16.5" thickTop="1" x14ac:dyDescent="0.25">
      <c r="A132" s="234"/>
      <c r="B132" s="234"/>
      <c r="C132" s="234"/>
      <c r="D132" s="234"/>
      <c r="E132" s="322"/>
      <c r="F132" s="277"/>
      <c r="G132" s="337"/>
      <c r="H132" s="322"/>
      <c r="I132" s="337"/>
      <c r="J132" s="133"/>
      <c r="K132" s="354"/>
      <c r="L132" s="354"/>
      <c r="M132" s="354"/>
    </row>
    <row r="133" spans="1:17" x14ac:dyDescent="0.25">
      <c r="A133" s="322" t="s">
        <v>445</v>
      </c>
      <c r="B133" s="322"/>
      <c r="C133" s="322"/>
      <c r="D133" s="322"/>
      <c r="E133" s="322"/>
      <c r="F133" s="310"/>
      <c r="G133" s="284"/>
      <c r="H133" s="282"/>
      <c r="I133" s="284"/>
      <c r="J133" s="133"/>
      <c r="K133" s="354"/>
      <c r="L133" s="354"/>
      <c r="M133" s="354"/>
    </row>
    <row r="134" spans="1:17" x14ac:dyDescent="0.25">
      <c r="A134" s="322"/>
      <c r="B134" s="322"/>
      <c r="C134" s="322"/>
      <c r="D134" s="322"/>
      <c r="E134" s="322"/>
      <c r="F134" s="277"/>
      <c r="G134" s="337"/>
      <c r="H134" s="322"/>
      <c r="I134" s="337"/>
      <c r="J134" s="133"/>
      <c r="K134" s="354"/>
      <c r="L134" s="354"/>
      <c r="M134" s="354"/>
    </row>
    <row r="135" spans="1:17" x14ac:dyDescent="0.25">
      <c r="A135" s="322" t="s">
        <v>70</v>
      </c>
      <c r="B135" s="322"/>
      <c r="C135" s="322"/>
      <c r="D135" s="322"/>
      <c r="E135" s="322"/>
      <c r="F135" s="310"/>
      <c r="G135" s="181">
        <f>G17+G38+G59+G67+G68-G96-G109-G115-G116-G117-G118</f>
        <v>61931701</v>
      </c>
      <c r="H135" s="181"/>
      <c r="I135" s="181">
        <f>I17+I38+I59+I67+I68-I96-I109-I115-I116-I117-I118</f>
        <v>104016725</v>
      </c>
      <c r="J135" s="945"/>
      <c r="K135" s="181">
        <f>K17+K38+K59+K67+K68-K96-K109-K115-K116-K117-K118-K119</f>
        <v>103198847</v>
      </c>
      <c r="L135" s="447"/>
      <c r="M135" s="181">
        <v>110195444</v>
      </c>
      <c r="Q135" s="28"/>
    </row>
    <row r="136" spans="1:17" x14ac:dyDescent="0.25">
      <c r="A136" s="322" t="s">
        <v>230</v>
      </c>
      <c r="B136" s="322"/>
      <c r="C136" s="322"/>
      <c r="D136" s="322"/>
      <c r="E136" s="322"/>
      <c r="F136" s="275"/>
      <c r="G136" s="439">
        <f>SUM(G13:G21)-G17-G38+G45+G69-G102-G103-G104-G106-G99-G129</f>
        <v>17338154</v>
      </c>
      <c r="H136" s="287"/>
      <c r="I136" s="439">
        <f>SUM(I13:I21)-I17-I38+I45+I69-I102-I103-I104-I106-I99-I129</f>
        <v>23717412</v>
      </c>
      <c r="J136" s="133"/>
      <c r="K136" s="439">
        <f>SUM(K13:K21)-K17-K38+K45+K69-K102-K103-K104-K106-K99-K129</f>
        <v>24731287</v>
      </c>
      <c r="L136" s="354"/>
      <c r="M136" s="287">
        <v>23699584</v>
      </c>
      <c r="Q136" s="28"/>
    </row>
    <row r="137" spans="1:17" x14ac:dyDescent="0.25">
      <c r="A137" s="322" t="s">
        <v>71</v>
      </c>
      <c r="B137" s="322"/>
      <c r="C137" s="322"/>
      <c r="D137" s="322"/>
      <c r="E137" s="322"/>
      <c r="F137" s="275"/>
      <c r="G137" s="294">
        <f>(G73-G131)-G135-G136</f>
        <v>-6433301</v>
      </c>
      <c r="H137" s="444"/>
      <c r="I137" s="294">
        <f>(I73-I131)-I135-I136</f>
        <v>-4725941</v>
      </c>
      <c r="J137" s="133"/>
      <c r="K137" s="294">
        <f>(K73-K131)-K135-K136</f>
        <v>3720175</v>
      </c>
      <c r="L137" s="354"/>
      <c r="M137" s="294">
        <v>7503372</v>
      </c>
      <c r="Q137" s="28"/>
    </row>
    <row r="138" spans="1:17" x14ac:dyDescent="0.25">
      <c r="A138" s="322"/>
      <c r="B138" s="322"/>
      <c r="C138" s="322"/>
      <c r="D138" s="322"/>
      <c r="E138" s="322"/>
      <c r="F138" s="275"/>
      <c r="G138" s="287"/>
      <c r="H138" s="276"/>
      <c r="I138" s="287"/>
      <c r="J138" s="133"/>
      <c r="K138" s="287"/>
      <c r="L138" s="354"/>
      <c r="M138" s="287"/>
    </row>
    <row r="139" spans="1:17" ht="16.5" thickBot="1" x14ac:dyDescent="0.3">
      <c r="A139" s="322" t="s">
        <v>446</v>
      </c>
      <c r="B139" s="322"/>
      <c r="C139" s="322"/>
      <c r="D139" s="322"/>
      <c r="E139" s="322"/>
      <c r="F139" s="310"/>
      <c r="G139" s="260">
        <f>SUM(G135:G138)</f>
        <v>72836554</v>
      </c>
      <c r="H139" s="310"/>
      <c r="I139" s="260">
        <f>SUM(I135:I138)</f>
        <v>123008196</v>
      </c>
      <c r="J139" s="133"/>
      <c r="K139" s="260">
        <f>SUM(K135:K138)</f>
        <v>131650309</v>
      </c>
      <c r="L139" s="354"/>
      <c r="M139" s="260">
        <f>SUM(M135:M138)</f>
        <v>141398400</v>
      </c>
      <c r="N139" s="276"/>
      <c r="O139" s="276"/>
      <c r="P139" s="276"/>
    </row>
    <row r="140" spans="1:17" ht="16.5" thickTop="1" x14ac:dyDescent="0.25">
      <c r="A140" s="322"/>
      <c r="B140" s="322"/>
      <c r="C140" s="322"/>
      <c r="D140" s="322"/>
      <c r="E140" s="322"/>
      <c r="F140" s="277"/>
      <c r="G140" s="337"/>
      <c r="H140" s="322"/>
      <c r="I140" s="322"/>
    </row>
    <row r="141" spans="1:17" x14ac:dyDescent="0.25">
      <c r="A141" s="322"/>
      <c r="B141" s="322"/>
      <c r="C141" s="322"/>
      <c r="D141" s="322"/>
      <c r="E141" s="322"/>
      <c r="F141" s="275"/>
      <c r="G141" s="287"/>
    </row>
    <row r="142" spans="1:17" x14ac:dyDescent="0.25">
      <c r="A142" s="322"/>
      <c r="B142" s="322"/>
      <c r="C142" s="322"/>
      <c r="D142" s="322"/>
      <c r="E142" s="322"/>
      <c r="F142" s="275"/>
      <c r="G142" s="276"/>
    </row>
    <row r="143" spans="1:17" x14ac:dyDescent="0.25">
      <c r="A143" s="322"/>
      <c r="B143" s="322"/>
      <c r="C143" s="322"/>
      <c r="D143" s="322"/>
      <c r="E143" s="322"/>
      <c r="F143" s="275"/>
      <c r="G143" s="276"/>
    </row>
    <row r="144" spans="1:17" x14ac:dyDescent="0.25">
      <c r="A144" s="322"/>
      <c r="B144" s="322"/>
      <c r="C144" s="322"/>
      <c r="D144" s="322"/>
      <c r="E144" s="322"/>
      <c r="F144" s="275"/>
      <c r="G144" s="276"/>
    </row>
    <row r="145" spans="1:16" s="421" customFormat="1" x14ac:dyDescent="0.25">
      <c r="A145" s="322"/>
      <c r="B145" s="322"/>
      <c r="C145" s="322"/>
      <c r="D145" s="322"/>
      <c r="E145" s="322"/>
      <c r="F145" s="275"/>
      <c r="G145" s="276"/>
      <c r="K145" s="382"/>
      <c r="L145" s="382"/>
      <c r="M145" s="382"/>
      <c r="N145" s="382"/>
      <c r="O145" s="382"/>
      <c r="P145" s="382"/>
    </row>
    <row r="146" spans="1:16" s="421" customFormat="1" x14ac:dyDescent="0.25">
      <c r="A146" s="322"/>
      <c r="B146" s="322"/>
      <c r="C146" s="322"/>
      <c r="D146" s="322"/>
      <c r="E146" s="322"/>
      <c r="F146" s="275"/>
      <c r="G146" s="276"/>
      <c r="K146" s="382"/>
      <c r="L146" s="382"/>
      <c r="M146" s="382"/>
      <c r="N146" s="382"/>
      <c r="O146" s="382"/>
      <c r="P146" s="382"/>
    </row>
    <row r="147" spans="1:16" s="421" customFormat="1" x14ac:dyDescent="0.25">
      <c r="A147" s="322"/>
      <c r="B147" s="322"/>
      <c r="C147" s="322"/>
      <c r="D147" s="322"/>
      <c r="E147" s="322"/>
      <c r="F147" s="275"/>
      <c r="G147" s="276"/>
      <c r="K147" s="382"/>
      <c r="L147" s="382"/>
      <c r="M147" s="382"/>
      <c r="N147" s="382"/>
      <c r="O147" s="382"/>
      <c r="P147" s="382"/>
    </row>
    <row r="148" spans="1:16" s="421" customFormat="1" x14ac:dyDescent="0.25">
      <c r="A148" s="322"/>
      <c r="B148" s="322"/>
      <c r="C148" s="322"/>
      <c r="D148" s="322"/>
      <c r="E148" s="322"/>
      <c r="F148" s="275"/>
      <c r="G148" s="276"/>
      <c r="K148" s="382"/>
      <c r="L148" s="382"/>
      <c r="M148" s="382"/>
      <c r="N148" s="382"/>
      <c r="O148" s="382"/>
      <c r="P148" s="382"/>
    </row>
    <row r="149" spans="1:16" s="421" customFormat="1" x14ac:dyDescent="0.25">
      <c r="A149" s="322"/>
      <c r="B149" s="322"/>
      <c r="C149" s="322"/>
      <c r="D149" s="322"/>
      <c r="E149" s="322"/>
      <c r="F149" s="275"/>
      <c r="G149" s="276"/>
      <c r="K149" s="382"/>
      <c r="L149" s="382"/>
      <c r="M149" s="382"/>
      <c r="N149" s="382"/>
      <c r="O149" s="382"/>
      <c r="P149" s="382"/>
    </row>
    <row r="150" spans="1:16" s="421" customFormat="1" x14ac:dyDescent="0.25">
      <c r="A150" s="322"/>
      <c r="B150" s="322"/>
      <c r="C150" s="322"/>
      <c r="D150" s="322"/>
      <c r="E150" s="322"/>
      <c r="F150" s="275"/>
      <c r="G150" s="276"/>
      <c r="K150" s="382"/>
      <c r="L150" s="382"/>
      <c r="M150" s="382"/>
      <c r="N150" s="382"/>
      <c r="O150" s="382"/>
      <c r="P150" s="382"/>
    </row>
    <row r="151" spans="1:16" x14ac:dyDescent="0.25">
      <c r="A151" s="322"/>
      <c r="B151" s="322"/>
      <c r="C151" s="322"/>
      <c r="D151" s="322"/>
      <c r="E151" s="322"/>
      <c r="F151" s="275"/>
      <c r="G151" s="276"/>
    </row>
    <row r="152" spans="1:16" x14ac:dyDescent="0.25">
      <c r="A152" s="322"/>
      <c r="B152" s="322"/>
      <c r="C152" s="322"/>
      <c r="D152" s="322"/>
      <c r="E152" s="322"/>
      <c r="F152" s="275"/>
      <c r="G152" s="276"/>
    </row>
    <row r="153" spans="1:16" x14ac:dyDescent="0.25">
      <c r="A153" s="322"/>
      <c r="B153" s="322"/>
      <c r="C153" s="322"/>
      <c r="D153" s="322"/>
      <c r="E153" s="322"/>
      <c r="F153" s="275"/>
      <c r="G153" s="276"/>
    </row>
    <row r="154" spans="1:16" x14ac:dyDescent="0.25">
      <c r="A154" s="322"/>
      <c r="B154" s="322"/>
      <c r="C154" s="322"/>
      <c r="D154" s="322"/>
      <c r="E154" s="322"/>
      <c r="F154" s="275"/>
      <c r="G154" s="276"/>
    </row>
    <row r="155" spans="1:16" x14ac:dyDescent="0.25">
      <c r="A155" s="322"/>
      <c r="B155" s="322"/>
      <c r="C155" s="322"/>
      <c r="D155" s="322"/>
      <c r="E155" s="322"/>
      <c r="F155" s="275"/>
      <c r="G155" s="276"/>
    </row>
    <row r="156" spans="1:16" x14ac:dyDescent="0.25">
      <c r="A156" s="322"/>
      <c r="B156" s="322"/>
      <c r="C156" s="322"/>
      <c r="D156" s="322"/>
      <c r="E156" s="322"/>
      <c r="F156" s="275"/>
      <c r="G156" s="276"/>
    </row>
    <row r="158" spans="1:16" x14ac:dyDescent="0.25">
      <c r="A158" s="420"/>
      <c r="B158" s="420"/>
      <c r="C158" s="420"/>
      <c r="D158" s="420"/>
      <c r="E158" s="420"/>
      <c r="F158" s="420"/>
      <c r="G158" s="420"/>
      <c r="H158" s="420"/>
      <c r="I158" s="420"/>
      <c r="J158" s="420"/>
      <c r="K158" s="175"/>
      <c r="L158" s="175"/>
      <c r="M158" s="175"/>
    </row>
    <row r="159" spans="1:16" x14ac:dyDescent="0.25">
      <c r="A159" s="420"/>
      <c r="B159" s="420"/>
      <c r="C159" s="420"/>
      <c r="D159" s="420"/>
      <c r="E159" s="420"/>
      <c r="F159" s="420"/>
      <c r="G159" s="420"/>
      <c r="H159" s="420"/>
      <c r="I159" s="420"/>
      <c r="J159" s="420"/>
      <c r="K159" s="175"/>
      <c r="L159" s="175"/>
      <c r="M159" s="175"/>
    </row>
    <row r="160" spans="1:16" x14ac:dyDescent="0.25">
      <c r="A160" s="420" t="str">
        <f>A82</f>
        <v>(See Accountants' Report)</v>
      </c>
      <c r="B160" s="420"/>
      <c r="C160" s="420"/>
      <c r="D160" s="420"/>
      <c r="E160" s="420"/>
      <c r="F160" s="420"/>
      <c r="G160" s="420"/>
      <c r="H160" s="420"/>
      <c r="I160" s="420"/>
      <c r="J160" s="420"/>
      <c r="K160" s="420"/>
      <c r="L160" s="420"/>
      <c r="M160" s="420"/>
    </row>
    <row r="161" spans="1:13" ht="15.75" customHeight="1" x14ac:dyDescent="0.25">
      <c r="A161" s="266"/>
      <c r="B161" s="266"/>
      <c r="C161" s="266"/>
      <c r="D161" s="266"/>
      <c r="E161" s="266"/>
      <c r="F161" s="420"/>
      <c r="G161" s="420"/>
      <c r="H161" s="420"/>
      <c r="I161" s="420"/>
    </row>
    <row r="162" spans="1:13" x14ac:dyDescent="0.25">
      <c r="A162" s="1459">
        <f>A84+1</f>
        <v>34</v>
      </c>
      <c r="B162" s="1459"/>
      <c r="C162" s="1459"/>
      <c r="D162" s="1459"/>
      <c r="E162" s="1459"/>
      <c r="F162" s="1459"/>
      <c r="G162" s="1459"/>
      <c r="H162" s="1459"/>
      <c r="I162" s="1459"/>
      <c r="J162" s="1459"/>
      <c r="K162" s="1459"/>
      <c r="L162" s="1459"/>
      <c r="M162" s="1459"/>
    </row>
    <row r="163" spans="1:13" x14ac:dyDescent="0.25">
      <c r="F163" s="275"/>
      <c r="G163" s="276"/>
      <c r="H163" s="276"/>
      <c r="I163" s="275"/>
      <c r="K163" s="275"/>
      <c r="M163" s="275"/>
    </row>
    <row r="164" spans="1:13" x14ac:dyDescent="0.25">
      <c r="F164" s="275"/>
      <c r="G164" s="276"/>
      <c r="H164" s="276"/>
      <c r="I164" s="275"/>
      <c r="K164" s="275"/>
      <c r="M164" s="275"/>
    </row>
    <row r="165" spans="1:13" x14ac:dyDescent="0.25">
      <c r="F165" s="277"/>
      <c r="G165" s="322"/>
      <c r="H165" s="322"/>
      <c r="I165" s="277"/>
      <c r="K165" s="277"/>
      <c r="M165" s="277"/>
    </row>
    <row r="166" spans="1:13" x14ac:dyDescent="0.25">
      <c r="F166" s="277"/>
      <c r="G166" s="387"/>
      <c r="H166" s="387"/>
      <c r="I166" s="387"/>
      <c r="K166" s="387"/>
      <c r="M166" s="387"/>
    </row>
    <row r="167" spans="1:13" x14ac:dyDescent="0.25">
      <c r="F167" s="275"/>
      <c r="G167" s="275"/>
      <c r="H167" s="276"/>
      <c r="I167" s="275"/>
      <c r="K167" s="275"/>
      <c r="M167" s="275"/>
    </row>
    <row r="168" spans="1:13" x14ac:dyDescent="0.25">
      <c r="F168" s="275"/>
      <c r="G168" s="276"/>
      <c r="H168" s="276"/>
      <c r="I168" s="275"/>
      <c r="K168" s="275"/>
      <c r="M168" s="275"/>
    </row>
    <row r="169" spans="1:13" x14ac:dyDescent="0.25">
      <c r="F169" s="275"/>
      <c r="G169" s="275"/>
      <c r="H169" s="276"/>
      <c r="I169" s="275"/>
      <c r="K169" s="275"/>
      <c r="M169" s="275"/>
    </row>
    <row r="170" spans="1:13" x14ac:dyDescent="0.25">
      <c r="F170" s="275"/>
      <c r="G170" s="275"/>
      <c r="H170" s="276"/>
      <c r="I170" s="275"/>
      <c r="K170" s="275"/>
      <c r="M170" s="275"/>
    </row>
    <row r="171" spans="1:13" x14ac:dyDescent="0.25">
      <c r="F171" s="275"/>
      <c r="G171" s="276"/>
      <c r="H171" s="276"/>
      <c r="I171" s="275"/>
    </row>
    <row r="172" spans="1:13" x14ac:dyDescent="0.25">
      <c r="F172" s="275"/>
      <c r="G172" s="276"/>
      <c r="H172" s="276"/>
      <c r="I172" s="276"/>
    </row>
    <row r="173" spans="1:13" x14ac:dyDescent="0.25">
      <c r="F173" s="277"/>
      <c r="G173" s="322"/>
      <c r="H173" s="322"/>
      <c r="I173" s="277"/>
    </row>
    <row r="174" spans="1:13" x14ac:dyDescent="0.25">
      <c r="F174" s="277"/>
      <c r="G174" s="387"/>
      <c r="H174" s="387"/>
      <c r="I174" s="277"/>
    </row>
    <row r="175" spans="1:13" x14ac:dyDescent="0.25">
      <c r="I175" s="276"/>
    </row>
    <row r="176" spans="1:13" x14ac:dyDescent="0.25">
      <c r="I176" s="276"/>
    </row>
    <row r="177" spans="9:9" x14ac:dyDescent="0.25">
      <c r="I177" s="276"/>
    </row>
    <row r="178" spans="9:9" x14ac:dyDescent="0.25">
      <c r="I178" s="282"/>
    </row>
    <row r="179" spans="9:9" x14ac:dyDescent="0.25">
      <c r="I179" s="276"/>
    </row>
    <row r="180" spans="9:9" x14ac:dyDescent="0.25">
      <c r="I180" s="276"/>
    </row>
  </sheetData>
  <mergeCells count="9">
    <mergeCell ref="G90:K90"/>
    <mergeCell ref="A162:M162"/>
    <mergeCell ref="A3:M3"/>
    <mergeCell ref="A1:M1"/>
    <mergeCell ref="G6:K6"/>
    <mergeCell ref="A87:M87"/>
    <mergeCell ref="A85:M85"/>
    <mergeCell ref="A84:M84"/>
    <mergeCell ref="A80:M80"/>
  </mergeCells>
  <printOptions horizontalCentered="1"/>
  <pageMargins left="0.75" right="0.75" top="0.75" bottom="0.25" header="0.3" footer="0.3"/>
  <pageSetup scale="63" fitToHeight="2" orientation="portrait" horizontalDpi="4294967295" verticalDpi="4294967295" r:id="rId1"/>
  <rowBreaks count="1" manualBreakCount="1">
    <brk id="84" max="16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42">
    <pageSetUpPr fitToPage="1"/>
  </sheetPr>
  <dimension ref="A1:AB161"/>
  <sheetViews>
    <sheetView view="pageBreakPreview" topLeftCell="A31" zoomScale="60" zoomScaleNormal="100" workbookViewId="0">
      <selection activeCell="T14" sqref="T14"/>
    </sheetView>
  </sheetViews>
  <sheetFormatPr defaultRowHeight="15" x14ac:dyDescent="0.25"/>
  <cols>
    <col min="1" max="1" width="5.28515625" style="238" customWidth="1"/>
    <col min="2" max="2" width="3" style="238" customWidth="1"/>
    <col min="3" max="3" width="4.140625" style="238" customWidth="1"/>
    <col min="4" max="4" width="29.42578125" style="238" customWidth="1"/>
    <col min="5" max="5" width="4.7109375" style="238" customWidth="1"/>
    <col min="6" max="6" width="4.28515625" style="238" customWidth="1"/>
    <col min="7" max="7" width="17.7109375" style="435" customWidth="1"/>
    <col min="8" max="8" width="3" style="238" customWidth="1"/>
    <col min="9" max="9" width="17.7109375" style="435" customWidth="1"/>
    <col min="10" max="10" width="3.85546875" style="435" customWidth="1"/>
    <col min="11" max="11" width="17.7109375" style="238" customWidth="1"/>
    <col min="12" max="12" width="3.7109375" style="257" customWidth="1"/>
    <col min="13" max="13" width="17.140625" style="239" bestFit="1" customWidth="1"/>
    <col min="14" max="14" width="3.28515625" style="239" customWidth="1"/>
    <col min="15" max="15" width="20.140625" style="238" customWidth="1"/>
    <col min="16" max="16" width="24" style="238" customWidth="1"/>
    <col min="17" max="18" width="19.140625" style="238" bestFit="1" customWidth="1"/>
    <col min="19" max="19" width="18.5703125" style="238" customWidth="1"/>
    <col min="20" max="20" width="20.7109375" style="238" customWidth="1"/>
    <col min="21" max="22" width="20.85546875" style="238" customWidth="1"/>
    <col min="23" max="23" width="9.140625" style="238"/>
    <col min="24" max="24" width="12.140625" style="238" bestFit="1" customWidth="1"/>
    <col min="25" max="25" width="11.140625" style="238" bestFit="1" customWidth="1"/>
    <col min="26" max="26" width="12.5703125" style="238" bestFit="1" customWidth="1"/>
    <col min="27" max="27" width="9.140625" style="238"/>
    <col min="28" max="28" width="12.5703125" style="238" bestFit="1" customWidth="1"/>
    <col min="29" max="241" width="9.140625" style="238"/>
    <col min="242" max="242" width="3.28515625" style="238" customWidth="1"/>
    <col min="243" max="243" width="3" style="238" customWidth="1"/>
    <col min="244" max="244" width="4.140625" style="238" customWidth="1"/>
    <col min="245" max="245" width="21.5703125" style="238" customWidth="1"/>
    <col min="246" max="246" width="4.7109375" style="238" customWidth="1"/>
    <col min="247" max="247" width="2.5703125" style="238" customWidth="1"/>
    <col min="248" max="248" width="3" style="238" customWidth="1"/>
    <col min="249" max="249" width="0" style="238" hidden="1" customWidth="1"/>
    <col min="250" max="250" width="7.28515625" style="238" customWidth="1"/>
    <col min="251" max="256" width="0" style="238" hidden="1" customWidth="1"/>
    <col min="257" max="257" width="15.28515625" style="238" customWidth="1"/>
    <col min="258" max="258" width="2.28515625" style="238" customWidth="1"/>
    <col min="259" max="259" width="15.28515625" style="238" customWidth="1"/>
    <col min="260" max="260" width="2.7109375" style="238" customWidth="1"/>
    <col min="261" max="261" width="15.28515625" style="238" customWidth="1"/>
    <col min="262" max="262" width="2.28515625" style="238" customWidth="1"/>
    <col min="263" max="263" width="15.28515625" style="238" customWidth="1"/>
    <col min="264" max="264" width="2.28515625" style="238" customWidth="1"/>
    <col min="265" max="265" width="15.28515625" style="238" customWidth="1"/>
    <col min="266" max="266" width="3.140625" style="238" customWidth="1"/>
    <col min="267" max="267" width="9.85546875" style="238" bestFit="1" customWidth="1"/>
    <col min="268" max="268" width="27.7109375" style="238" customWidth="1"/>
    <col min="269" max="269" width="9.5703125" style="238" bestFit="1" customWidth="1"/>
    <col min="270" max="270" width="11.42578125" style="238" customWidth="1"/>
    <col min="271" max="271" width="11.42578125" style="238" bestFit="1" customWidth="1"/>
    <col min="272" max="272" width="9.140625" style="238"/>
    <col min="273" max="273" width="10.7109375" style="238" bestFit="1" customWidth="1"/>
    <col min="274" max="497" width="9.140625" style="238"/>
    <col min="498" max="498" width="3.28515625" style="238" customWidth="1"/>
    <col min="499" max="499" width="3" style="238" customWidth="1"/>
    <col min="500" max="500" width="4.140625" style="238" customWidth="1"/>
    <col min="501" max="501" width="21.5703125" style="238" customWidth="1"/>
    <col min="502" max="502" width="4.7109375" style="238" customWidth="1"/>
    <col min="503" max="503" width="2.5703125" style="238" customWidth="1"/>
    <col min="504" max="504" width="3" style="238" customWidth="1"/>
    <col min="505" max="505" width="0" style="238" hidden="1" customWidth="1"/>
    <col min="506" max="506" width="7.28515625" style="238" customWidth="1"/>
    <col min="507" max="512" width="0" style="238" hidden="1" customWidth="1"/>
    <col min="513" max="513" width="15.28515625" style="238" customWidth="1"/>
    <col min="514" max="514" width="2.28515625" style="238" customWidth="1"/>
    <col min="515" max="515" width="15.28515625" style="238" customWidth="1"/>
    <col min="516" max="516" width="2.7109375" style="238" customWidth="1"/>
    <col min="517" max="517" width="15.28515625" style="238" customWidth="1"/>
    <col min="518" max="518" width="2.28515625" style="238" customWidth="1"/>
    <col min="519" max="519" width="15.28515625" style="238" customWidth="1"/>
    <col min="520" max="520" width="2.28515625" style="238" customWidth="1"/>
    <col min="521" max="521" width="15.28515625" style="238" customWidth="1"/>
    <col min="522" max="522" width="3.140625" style="238" customWidth="1"/>
    <col min="523" max="523" width="9.85546875" style="238" bestFit="1" customWidth="1"/>
    <col min="524" max="524" width="27.7109375" style="238" customWidth="1"/>
    <col min="525" max="525" width="9.5703125" style="238" bestFit="1" customWidth="1"/>
    <col min="526" max="526" width="11.42578125" style="238" customWidth="1"/>
    <col min="527" max="527" width="11.42578125" style="238" bestFit="1" customWidth="1"/>
    <col min="528" max="528" width="9.140625" style="238"/>
    <col min="529" max="529" width="10.7109375" style="238" bestFit="1" customWidth="1"/>
    <col min="530" max="753" width="9.140625" style="238"/>
    <col min="754" max="754" width="3.28515625" style="238" customWidth="1"/>
    <col min="755" max="755" width="3" style="238" customWidth="1"/>
    <col min="756" max="756" width="4.140625" style="238" customWidth="1"/>
    <col min="757" max="757" width="21.5703125" style="238" customWidth="1"/>
    <col min="758" max="758" width="4.7109375" style="238" customWidth="1"/>
    <col min="759" max="759" width="2.5703125" style="238" customWidth="1"/>
    <col min="760" max="760" width="3" style="238" customWidth="1"/>
    <col min="761" max="761" width="0" style="238" hidden="1" customWidth="1"/>
    <col min="762" max="762" width="7.28515625" style="238" customWidth="1"/>
    <col min="763" max="768" width="0" style="238" hidden="1" customWidth="1"/>
    <col min="769" max="769" width="15.28515625" style="238" customWidth="1"/>
    <col min="770" max="770" width="2.28515625" style="238" customWidth="1"/>
    <col min="771" max="771" width="15.28515625" style="238" customWidth="1"/>
    <col min="772" max="772" width="2.7109375" style="238" customWidth="1"/>
    <col min="773" max="773" width="15.28515625" style="238" customWidth="1"/>
    <col min="774" max="774" width="2.28515625" style="238" customWidth="1"/>
    <col min="775" max="775" width="15.28515625" style="238" customWidth="1"/>
    <col min="776" max="776" width="2.28515625" style="238" customWidth="1"/>
    <col min="777" max="777" width="15.28515625" style="238" customWidth="1"/>
    <col min="778" max="778" width="3.140625" style="238" customWidth="1"/>
    <col min="779" max="779" width="9.85546875" style="238" bestFit="1" customWidth="1"/>
    <col min="780" max="780" width="27.7109375" style="238" customWidth="1"/>
    <col min="781" max="781" width="9.5703125" style="238" bestFit="1" customWidth="1"/>
    <col min="782" max="782" width="11.42578125" style="238" customWidth="1"/>
    <col min="783" max="783" width="11.42578125" style="238" bestFit="1" customWidth="1"/>
    <col min="784" max="784" width="9.140625" style="238"/>
    <col min="785" max="785" width="10.7109375" style="238" bestFit="1" customWidth="1"/>
    <col min="786" max="1009" width="9.140625" style="238"/>
    <col min="1010" max="1010" width="3.28515625" style="238" customWidth="1"/>
    <col min="1011" max="1011" width="3" style="238" customWidth="1"/>
    <col min="1012" max="1012" width="4.140625" style="238" customWidth="1"/>
    <col min="1013" max="1013" width="21.5703125" style="238" customWidth="1"/>
    <col min="1014" max="1014" width="4.7109375" style="238" customWidth="1"/>
    <col min="1015" max="1015" width="2.5703125" style="238" customWidth="1"/>
    <col min="1016" max="1016" width="3" style="238" customWidth="1"/>
    <col min="1017" max="1017" width="0" style="238" hidden="1" customWidth="1"/>
    <col min="1018" max="1018" width="7.28515625" style="238" customWidth="1"/>
    <col min="1019" max="1024" width="0" style="238" hidden="1" customWidth="1"/>
    <col min="1025" max="1025" width="15.28515625" style="238" customWidth="1"/>
    <col min="1026" max="1026" width="2.28515625" style="238" customWidth="1"/>
    <col min="1027" max="1027" width="15.28515625" style="238" customWidth="1"/>
    <col min="1028" max="1028" width="2.7109375" style="238" customWidth="1"/>
    <col min="1029" max="1029" width="15.28515625" style="238" customWidth="1"/>
    <col min="1030" max="1030" width="2.28515625" style="238" customWidth="1"/>
    <col min="1031" max="1031" width="15.28515625" style="238" customWidth="1"/>
    <col min="1032" max="1032" width="2.28515625" style="238" customWidth="1"/>
    <col min="1033" max="1033" width="15.28515625" style="238" customWidth="1"/>
    <col min="1034" max="1034" width="3.140625" style="238" customWidth="1"/>
    <col min="1035" max="1035" width="9.85546875" style="238" bestFit="1" customWidth="1"/>
    <col min="1036" max="1036" width="27.7109375" style="238" customWidth="1"/>
    <col min="1037" max="1037" width="9.5703125" style="238" bestFit="1" customWidth="1"/>
    <col min="1038" max="1038" width="11.42578125" style="238" customWidth="1"/>
    <col min="1039" max="1039" width="11.42578125" style="238" bestFit="1" customWidth="1"/>
    <col min="1040" max="1040" width="9.140625" style="238"/>
    <col min="1041" max="1041" width="10.7109375" style="238" bestFit="1" customWidth="1"/>
    <col min="1042" max="1265" width="9.140625" style="238"/>
    <col min="1266" max="1266" width="3.28515625" style="238" customWidth="1"/>
    <col min="1267" max="1267" width="3" style="238" customWidth="1"/>
    <col min="1268" max="1268" width="4.140625" style="238" customWidth="1"/>
    <col min="1269" max="1269" width="21.5703125" style="238" customWidth="1"/>
    <col min="1270" max="1270" width="4.7109375" style="238" customWidth="1"/>
    <col min="1271" max="1271" width="2.5703125" style="238" customWidth="1"/>
    <col min="1272" max="1272" width="3" style="238" customWidth="1"/>
    <col min="1273" max="1273" width="0" style="238" hidden="1" customWidth="1"/>
    <col min="1274" max="1274" width="7.28515625" style="238" customWidth="1"/>
    <col min="1275" max="1280" width="0" style="238" hidden="1" customWidth="1"/>
    <col min="1281" max="1281" width="15.28515625" style="238" customWidth="1"/>
    <col min="1282" max="1282" width="2.28515625" style="238" customWidth="1"/>
    <col min="1283" max="1283" width="15.28515625" style="238" customWidth="1"/>
    <col min="1284" max="1284" width="2.7109375" style="238" customWidth="1"/>
    <col min="1285" max="1285" width="15.28515625" style="238" customWidth="1"/>
    <col min="1286" max="1286" width="2.28515625" style="238" customWidth="1"/>
    <col min="1287" max="1287" width="15.28515625" style="238" customWidth="1"/>
    <col min="1288" max="1288" width="2.28515625" style="238" customWidth="1"/>
    <col min="1289" max="1289" width="15.28515625" style="238" customWidth="1"/>
    <col min="1290" max="1290" width="3.140625" style="238" customWidth="1"/>
    <col min="1291" max="1291" width="9.85546875" style="238" bestFit="1" customWidth="1"/>
    <col min="1292" max="1292" width="27.7109375" style="238" customWidth="1"/>
    <col min="1293" max="1293" width="9.5703125" style="238" bestFit="1" customWidth="1"/>
    <col min="1294" max="1294" width="11.42578125" style="238" customWidth="1"/>
    <col min="1295" max="1295" width="11.42578125" style="238" bestFit="1" customWidth="1"/>
    <col min="1296" max="1296" width="9.140625" style="238"/>
    <col min="1297" max="1297" width="10.7109375" style="238" bestFit="1" customWidth="1"/>
    <col min="1298" max="1521" width="9.140625" style="238"/>
    <col min="1522" max="1522" width="3.28515625" style="238" customWidth="1"/>
    <col min="1523" max="1523" width="3" style="238" customWidth="1"/>
    <col min="1524" max="1524" width="4.140625" style="238" customWidth="1"/>
    <col min="1525" max="1525" width="21.5703125" style="238" customWidth="1"/>
    <col min="1526" max="1526" width="4.7109375" style="238" customWidth="1"/>
    <col min="1527" max="1527" width="2.5703125" style="238" customWidth="1"/>
    <col min="1528" max="1528" width="3" style="238" customWidth="1"/>
    <col min="1529" max="1529" width="0" style="238" hidden="1" customWidth="1"/>
    <col min="1530" max="1530" width="7.28515625" style="238" customWidth="1"/>
    <col min="1531" max="1536" width="0" style="238" hidden="1" customWidth="1"/>
    <col min="1537" max="1537" width="15.28515625" style="238" customWidth="1"/>
    <col min="1538" max="1538" width="2.28515625" style="238" customWidth="1"/>
    <col min="1539" max="1539" width="15.28515625" style="238" customWidth="1"/>
    <col min="1540" max="1540" width="2.7109375" style="238" customWidth="1"/>
    <col min="1541" max="1541" width="15.28515625" style="238" customWidth="1"/>
    <col min="1542" max="1542" width="2.28515625" style="238" customWidth="1"/>
    <col min="1543" max="1543" width="15.28515625" style="238" customWidth="1"/>
    <col min="1544" max="1544" width="2.28515625" style="238" customWidth="1"/>
    <col min="1545" max="1545" width="15.28515625" style="238" customWidth="1"/>
    <col min="1546" max="1546" width="3.140625" style="238" customWidth="1"/>
    <col min="1547" max="1547" width="9.85546875" style="238" bestFit="1" customWidth="1"/>
    <col min="1548" max="1548" width="27.7109375" style="238" customWidth="1"/>
    <col min="1549" max="1549" width="9.5703125" style="238" bestFit="1" customWidth="1"/>
    <col min="1550" max="1550" width="11.42578125" style="238" customWidth="1"/>
    <col min="1551" max="1551" width="11.42578125" style="238" bestFit="1" customWidth="1"/>
    <col min="1552" max="1552" width="9.140625" style="238"/>
    <col min="1553" max="1553" width="10.7109375" style="238" bestFit="1" customWidth="1"/>
    <col min="1554" max="1777" width="9.140625" style="238"/>
    <col min="1778" max="1778" width="3.28515625" style="238" customWidth="1"/>
    <col min="1779" max="1779" width="3" style="238" customWidth="1"/>
    <col min="1780" max="1780" width="4.140625" style="238" customWidth="1"/>
    <col min="1781" max="1781" width="21.5703125" style="238" customWidth="1"/>
    <col min="1782" max="1782" width="4.7109375" style="238" customWidth="1"/>
    <col min="1783" max="1783" width="2.5703125" style="238" customWidth="1"/>
    <col min="1784" max="1784" width="3" style="238" customWidth="1"/>
    <col min="1785" max="1785" width="0" style="238" hidden="1" customWidth="1"/>
    <col min="1786" max="1786" width="7.28515625" style="238" customWidth="1"/>
    <col min="1787" max="1792" width="0" style="238" hidden="1" customWidth="1"/>
    <col min="1793" max="1793" width="15.28515625" style="238" customWidth="1"/>
    <col min="1794" max="1794" width="2.28515625" style="238" customWidth="1"/>
    <col min="1795" max="1795" width="15.28515625" style="238" customWidth="1"/>
    <col min="1796" max="1796" width="2.7109375" style="238" customWidth="1"/>
    <col min="1797" max="1797" width="15.28515625" style="238" customWidth="1"/>
    <col min="1798" max="1798" width="2.28515625" style="238" customWidth="1"/>
    <col min="1799" max="1799" width="15.28515625" style="238" customWidth="1"/>
    <col min="1800" max="1800" width="2.28515625" style="238" customWidth="1"/>
    <col min="1801" max="1801" width="15.28515625" style="238" customWidth="1"/>
    <col min="1802" max="1802" width="3.140625" style="238" customWidth="1"/>
    <col min="1803" max="1803" width="9.85546875" style="238" bestFit="1" customWidth="1"/>
    <col min="1804" max="1804" width="27.7109375" style="238" customWidth="1"/>
    <col min="1805" max="1805" width="9.5703125" style="238" bestFit="1" customWidth="1"/>
    <col min="1806" max="1806" width="11.42578125" style="238" customWidth="1"/>
    <col min="1807" max="1807" width="11.42578125" style="238" bestFit="1" customWidth="1"/>
    <col min="1808" max="1808" width="9.140625" style="238"/>
    <col min="1809" max="1809" width="10.7109375" style="238" bestFit="1" customWidth="1"/>
    <col min="1810" max="2033" width="9.140625" style="238"/>
    <col min="2034" max="2034" width="3.28515625" style="238" customWidth="1"/>
    <col min="2035" max="2035" width="3" style="238" customWidth="1"/>
    <col min="2036" max="2036" width="4.140625" style="238" customWidth="1"/>
    <col min="2037" max="2037" width="21.5703125" style="238" customWidth="1"/>
    <col min="2038" max="2038" width="4.7109375" style="238" customWidth="1"/>
    <col min="2039" max="2039" width="2.5703125" style="238" customWidth="1"/>
    <col min="2040" max="2040" width="3" style="238" customWidth="1"/>
    <col min="2041" max="2041" width="0" style="238" hidden="1" customWidth="1"/>
    <col min="2042" max="2042" width="7.28515625" style="238" customWidth="1"/>
    <col min="2043" max="2048" width="0" style="238" hidden="1" customWidth="1"/>
    <col min="2049" max="2049" width="15.28515625" style="238" customWidth="1"/>
    <col min="2050" max="2050" width="2.28515625" style="238" customWidth="1"/>
    <col min="2051" max="2051" width="15.28515625" style="238" customWidth="1"/>
    <col min="2052" max="2052" width="2.7109375" style="238" customWidth="1"/>
    <col min="2053" max="2053" width="15.28515625" style="238" customWidth="1"/>
    <col min="2054" max="2054" width="2.28515625" style="238" customWidth="1"/>
    <col min="2055" max="2055" width="15.28515625" style="238" customWidth="1"/>
    <col min="2056" max="2056" width="2.28515625" style="238" customWidth="1"/>
    <col min="2057" max="2057" width="15.28515625" style="238" customWidth="1"/>
    <col min="2058" max="2058" width="3.140625" style="238" customWidth="1"/>
    <col min="2059" max="2059" width="9.85546875" style="238" bestFit="1" customWidth="1"/>
    <col min="2060" max="2060" width="27.7109375" style="238" customWidth="1"/>
    <col min="2061" max="2061" width="9.5703125" style="238" bestFit="1" customWidth="1"/>
    <col min="2062" max="2062" width="11.42578125" style="238" customWidth="1"/>
    <col min="2063" max="2063" width="11.42578125" style="238" bestFit="1" customWidth="1"/>
    <col min="2064" max="2064" width="9.140625" style="238"/>
    <col min="2065" max="2065" width="10.7109375" style="238" bestFit="1" customWidth="1"/>
    <col min="2066" max="2289" width="9.140625" style="238"/>
    <col min="2290" max="2290" width="3.28515625" style="238" customWidth="1"/>
    <col min="2291" max="2291" width="3" style="238" customWidth="1"/>
    <col min="2292" max="2292" width="4.140625" style="238" customWidth="1"/>
    <col min="2293" max="2293" width="21.5703125" style="238" customWidth="1"/>
    <col min="2294" max="2294" width="4.7109375" style="238" customWidth="1"/>
    <col min="2295" max="2295" width="2.5703125" style="238" customWidth="1"/>
    <col min="2296" max="2296" width="3" style="238" customWidth="1"/>
    <col min="2297" max="2297" width="0" style="238" hidden="1" customWidth="1"/>
    <col min="2298" max="2298" width="7.28515625" style="238" customWidth="1"/>
    <col min="2299" max="2304" width="0" style="238" hidden="1" customWidth="1"/>
    <col min="2305" max="2305" width="15.28515625" style="238" customWidth="1"/>
    <col min="2306" max="2306" width="2.28515625" style="238" customWidth="1"/>
    <col min="2307" max="2307" width="15.28515625" style="238" customWidth="1"/>
    <col min="2308" max="2308" width="2.7109375" style="238" customWidth="1"/>
    <col min="2309" max="2309" width="15.28515625" style="238" customWidth="1"/>
    <col min="2310" max="2310" width="2.28515625" style="238" customWidth="1"/>
    <col min="2311" max="2311" width="15.28515625" style="238" customWidth="1"/>
    <col min="2312" max="2312" width="2.28515625" style="238" customWidth="1"/>
    <col min="2313" max="2313" width="15.28515625" style="238" customWidth="1"/>
    <col min="2314" max="2314" width="3.140625" style="238" customWidth="1"/>
    <col min="2315" max="2315" width="9.85546875" style="238" bestFit="1" customWidth="1"/>
    <col min="2316" max="2316" width="27.7109375" style="238" customWidth="1"/>
    <col min="2317" max="2317" width="9.5703125" style="238" bestFit="1" customWidth="1"/>
    <col min="2318" max="2318" width="11.42578125" style="238" customWidth="1"/>
    <col min="2319" max="2319" width="11.42578125" style="238" bestFit="1" customWidth="1"/>
    <col min="2320" max="2320" width="9.140625" style="238"/>
    <col min="2321" max="2321" width="10.7109375" style="238" bestFit="1" customWidth="1"/>
    <col min="2322" max="2545" width="9.140625" style="238"/>
    <col min="2546" max="2546" width="3.28515625" style="238" customWidth="1"/>
    <col min="2547" max="2547" width="3" style="238" customWidth="1"/>
    <col min="2548" max="2548" width="4.140625" style="238" customWidth="1"/>
    <col min="2549" max="2549" width="21.5703125" style="238" customWidth="1"/>
    <col min="2550" max="2550" width="4.7109375" style="238" customWidth="1"/>
    <col min="2551" max="2551" width="2.5703125" style="238" customWidth="1"/>
    <col min="2552" max="2552" width="3" style="238" customWidth="1"/>
    <col min="2553" max="2553" width="0" style="238" hidden="1" customWidth="1"/>
    <col min="2554" max="2554" width="7.28515625" style="238" customWidth="1"/>
    <col min="2555" max="2560" width="0" style="238" hidden="1" customWidth="1"/>
    <col min="2561" max="2561" width="15.28515625" style="238" customWidth="1"/>
    <col min="2562" max="2562" width="2.28515625" style="238" customWidth="1"/>
    <col min="2563" max="2563" width="15.28515625" style="238" customWidth="1"/>
    <col min="2564" max="2564" width="2.7109375" style="238" customWidth="1"/>
    <col min="2565" max="2565" width="15.28515625" style="238" customWidth="1"/>
    <col min="2566" max="2566" width="2.28515625" style="238" customWidth="1"/>
    <col min="2567" max="2567" width="15.28515625" style="238" customWidth="1"/>
    <col min="2568" max="2568" width="2.28515625" style="238" customWidth="1"/>
    <col min="2569" max="2569" width="15.28515625" style="238" customWidth="1"/>
    <col min="2570" max="2570" width="3.140625" style="238" customWidth="1"/>
    <col min="2571" max="2571" width="9.85546875" style="238" bestFit="1" customWidth="1"/>
    <col min="2572" max="2572" width="27.7109375" style="238" customWidth="1"/>
    <col min="2573" max="2573" width="9.5703125" style="238" bestFit="1" customWidth="1"/>
    <col min="2574" max="2574" width="11.42578125" style="238" customWidth="1"/>
    <col min="2575" max="2575" width="11.42578125" style="238" bestFit="1" customWidth="1"/>
    <col min="2576" max="2576" width="9.140625" style="238"/>
    <col min="2577" max="2577" width="10.7109375" style="238" bestFit="1" customWidth="1"/>
    <col min="2578" max="2801" width="9.140625" style="238"/>
    <col min="2802" max="2802" width="3.28515625" style="238" customWidth="1"/>
    <col min="2803" max="2803" width="3" style="238" customWidth="1"/>
    <col min="2804" max="2804" width="4.140625" style="238" customWidth="1"/>
    <col min="2805" max="2805" width="21.5703125" style="238" customWidth="1"/>
    <col min="2806" max="2806" width="4.7109375" style="238" customWidth="1"/>
    <col min="2807" max="2807" width="2.5703125" style="238" customWidth="1"/>
    <col min="2808" max="2808" width="3" style="238" customWidth="1"/>
    <col min="2809" max="2809" width="0" style="238" hidden="1" customWidth="1"/>
    <col min="2810" max="2810" width="7.28515625" style="238" customWidth="1"/>
    <col min="2811" max="2816" width="0" style="238" hidden="1" customWidth="1"/>
    <col min="2817" max="2817" width="15.28515625" style="238" customWidth="1"/>
    <col min="2818" max="2818" width="2.28515625" style="238" customWidth="1"/>
    <col min="2819" max="2819" width="15.28515625" style="238" customWidth="1"/>
    <col min="2820" max="2820" width="2.7109375" style="238" customWidth="1"/>
    <col min="2821" max="2821" width="15.28515625" style="238" customWidth="1"/>
    <col min="2822" max="2822" width="2.28515625" style="238" customWidth="1"/>
    <col min="2823" max="2823" width="15.28515625" style="238" customWidth="1"/>
    <col min="2824" max="2824" width="2.28515625" style="238" customWidth="1"/>
    <col min="2825" max="2825" width="15.28515625" style="238" customWidth="1"/>
    <col min="2826" max="2826" width="3.140625" style="238" customWidth="1"/>
    <col min="2827" max="2827" width="9.85546875" style="238" bestFit="1" customWidth="1"/>
    <col min="2828" max="2828" width="27.7109375" style="238" customWidth="1"/>
    <col min="2829" max="2829" width="9.5703125" style="238" bestFit="1" customWidth="1"/>
    <col min="2830" max="2830" width="11.42578125" style="238" customWidth="1"/>
    <col min="2831" max="2831" width="11.42578125" style="238" bestFit="1" customWidth="1"/>
    <col min="2832" max="2832" width="9.140625" style="238"/>
    <col min="2833" max="2833" width="10.7109375" style="238" bestFit="1" customWidth="1"/>
    <col min="2834" max="3057" width="9.140625" style="238"/>
    <col min="3058" max="3058" width="3.28515625" style="238" customWidth="1"/>
    <col min="3059" max="3059" width="3" style="238" customWidth="1"/>
    <col min="3060" max="3060" width="4.140625" style="238" customWidth="1"/>
    <col min="3061" max="3061" width="21.5703125" style="238" customWidth="1"/>
    <col min="3062" max="3062" width="4.7109375" style="238" customWidth="1"/>
    <col min="3063" max="3063" width="2.5703125" style="238" customWidth="1"/>
    <col min="3064" max="3064" width="3" style="238" customWidth="1"/>
    <col min="3065" max="3065" width="0" style="238" hidden="1" customWidth="1"/>
    <col min="3066" max="3066" width="7.28515625" style="238" customWidth="1"/>
    <col min="3067" max="3072" width="0" style="238" hidden="1" customWidth="1"/>
    <col min="3073" max="3073" width="15.28515625" style="238" customWidth="1"/>
    <col min="3074" max="3074" width="2.28515625" style="238" customWidth="1"/>
    <col min="3075" max="3075" width="15.28515625" style="238" customWidth="1"/>
    <col min="3076" max="3076" width="2.7109375" style="238" customWidth="1"/>
    <col min="3077" max="3077" width="15.28515625" style="238" customWidth="1"/>
    <col min="3078" max="3078" width="2.28515625" style="238" customWidth="1"/>
    <col min="3079" max="3079" width="15.28515625" style="238" customWidth="1"/>
    <col min="3080" max="3080" width="2.28515625" style="238" customWidth="1"/>
    <col min="3081" max="3081" width="15.28515625" style="238" customWidth="1"/>
    <col min="3082" max="3082" width="3.140625" style="238" customWidth="1"/>
    <col min="3083" max="3083" width="9.85546875" style="238" bestFit="1" customWidth="1"/>
    <col min="3084" max="3084" width="27.7109375" style="238" customWidth="1"/>
    <col min="3085" max="3085" width="9.5703125" style="238" bestFit="1" customWidth="1"/>
    <col min="3086" max="3086" width="11.42578125" style="238" customWidth="1"/>
    <col min="3087" max="3087" width="11.42578125" style="238" bestFit="1" customWidth="1"/>
    <col min="3088" max="3088" width="9.140625" style="238"/>
    <col min="3089" max="3089" width="10.7109375" style="238" bestFit="1" customWidth="1"/>
    <col min="3090" max="3313" width="9.140625" style="238"/>
    <col min="3314" max="3314" width="3.28515625" style="238" customWidth="1"/>
    <col min="3315" max="3315" width="3" style="238" customWidth="1"/>
    <col min="3316" max="3316" width="4.140625" style="238" customWidth="1"/>
    <col min="3317" max="3317" width="21.5703125" style="238" customWidth="1"/>
    <col min="3318" max="3318" width="4.7109375" style="238" customWidth="1"/>
    <col min="3319" max="3319" width="2.5703125" style="238" customWidth="1"/>
    <col min="3320" max="3320" width="3" style="238" customWidth="1"/>
    <col min="3321" max="3321" width="0" style="238" hidden="1" customWidth="1"/>
    <col min="3322" max="3322" width="7.28515625" style="238" customWidth="1"/>
    <col min="3323" max="3328" width="0" style="238" hidden="1" customWidth="1"/>
    <col min="3329" max="3329" width="15.28515625" style="238" customWidth="1"/>
    <col min="3330" max="3330" width="2.28515625" style="238" customWidth="1"/>
    <col min="3331" max="3331" width="15.28515625" style="238" customWidth="1"/>
    <col min="3332" max="3332" width="2.7109375" style="238" customWidth="1"/>
    <col min="3333" max="3333" width="15.28515625" style="238" customWidth="1"/>
    <col min="3334" max="3334" width="2.28515625" style="238" customWidth="1"/>
    <col min="3335" max="3335" width="15.28515625" style="238" customWidth="1"/>
    <col min="3336" max="3336" width="2.28515625" style="238" customWidth="1"/>
    <col min="3337" max="3337" width="15.28515625" style="238" customWidth="1"/>
    <col min="3338" max="3338" width="3.140625" style="238" customWidth="1"/>
    <col min="3339" max="3339" width="9.85546875" style="238" bestFit="1" customWidth="1"/>
    <col min="3340" max="3340" width="27.7109375" style="238" customWidth="1"/>
    <col min="3341" max="3341" width="9.5703125" style="238" bestFit="1" customWidth="1"/>
    <col min="3342" max="3342" width="11.42578125" style="238" customWidth="1"/>
    <col min="3343" max="3343" width="11.42578125" style="238" bestFit="1" customWidth="1"/>
    <col min="3344" max="3344" width="9.140625" style="238"/>
    <col min="3345" max="3345" width="10.7109375" style="238" bestFit="1" customWidth="1"/>
    <col min="3346" max="3569" width="9.140625" style="238"/>
    <col min="3570" max="3570" width="3.28515625" style="238" customWidth="1"/>
    <col min="3571" max="3571" width="3" style="238" customWidth="1"/>
    <col min="3572" max="3572" width="4.140625" style="238" customWidth="1"/>
    <col min="3573" max="3573" width="21.5703125" style="238" customWidth="1"/>
    <col min="3574" max="3574" width="4.7109375" style="238" customWidth="1"/>
    <col min="3575" max="3575" width="2.5703125" style="238" customWidth="1"/>
    <col min="3576" max="3576" width="3" style="238" customWidth="1"/>
    <col min="3577" max="3577" width="0" style="238" hidden="1" customWidth="1"/>
    <col min="3578" max="3578" width="7.28515625" style="238" customWidth="1"/>
    <col min="3579" max="3584" width="0" style="238" hidden="1" customWidth="1"/>
    <col min="3585" max="3585" width="15.28515625" style="238" customWidth="1"/>
    <col min="3586" max="3586" width="2.28515625" style="238" customWidth="1"/>
    <col min="3587" max="3587" width="15.28515625" style="238" customWidth="1"/>
    <col min="3588" max="3588" width="2.7109375" style="238" customWidth="1"/>
    <col min="3589" max="3589" width="15.28515625" style="238" customWidth="1"/>
    <col min="3590" max="3590" width="2.28515625" style="238" customWidth="1"/>
    <col min="3591" max="3591" width="15.28515625" style="238" customWidth="1"/>
    <col min="3592" max="3592" width="2.28515625" style="238" customWidth="1"/>
    <col min="3593" max="3593" width="15.28515625" style="238" customWidth="1"/>
    <col min="3594" max="3594" width="3.140625" style="238" customWidth="1"/>
    <col min="3595" max="3595" width="9.85546875" style="238" bestFit="1" customWidth="1"/>
    <col min="3596" max="3596" width="27.7109375" style="238" customWidth="1"/>
    <col min="3597" max="3597" width="9.5703125" style="238" bestFit="1" customWidth="1"/>
    <col min="3598" max="3598" width="11.42578125" style="238" customWidth="1"/>
    <col min="3599" max="3599" width="11.42578125" style="238" bestFit="1" customWidth="1"/>
    <col min="3600" max="3600" width="9.140625" style="238"/>
    <col min="3601" max="3601" width="10.7109375" style="238" bestFit="1" customWidth="1"/>
    <col min="3602" max="3825" width="9.140625" style="238"/>
    <col min="3826" max="3826" width="3.28515625" style="238" customWidth="1"/>
    <col min="3827" max="3827" width="3" style="238" customWidth="1"/>
    <col min="3828" max="3828" width="4.140625" style="238" customWidth="1"/>
    <col min="3829" max="3829" width="21.5703125" style="238" customWidth="1"/>
    <col min="3830" max="3830" width="4.7109375" style="238" customWidth="1"/>
    <col min="3831" max="3831" width="2.5703125" style="238" customWidth="1"/>
    <col min="3832" max="3832" width="3" style="238" customWidth="1"/>
    <col min="3833" max="3833" width="0" style="238" hidden="1" customWidth="1"/>
    <col min="3834" max="3834" width="7.28515625" style="238" customWidth="1"/>
    <col min="3835" max="3840" width="0" style="238" hidden="1" customWidth="1"/>
    <col min="3841" max="3841" width="15.28515625" style="238" customWidth="1"/>
    <col min="3842" max="3842" width="2.28515625" style="238" customWidth="1"/>
    <col min="3843" max="3843" width="15.28515625" style="238" customWidth="1"/>
    <col min="3844" max="3844" width="2.7109375" style="238" customWidth="1"/>
    <col min="3845" max="3845" width="15.28515625" style="238" customWidth="1"/>
    <col min="3846" max="3846" width="2.28515625" style="238" customWidth="1"/>
    <col min="3847" max="3847" width="15.28515625" style="238" customWidth="1"/>
    <col min="3848" max="3848" width="2.28515625" style="238" customWidth="1"/>
    <col min="3849" max="3849" width="15.28515625" style="238" customWidth="1"/>
    <col min="3850" max="3850" width="3.140625" style="238" customWidth="1"/>
    <col min="3851" max="3851" width="9.85546875" style="238" bestFit="1" customWidth="1"/>
    <col min="3852" max="3852" width="27.7109375" style="238" customWidth="1"/>
    <col min="3853" max="3853" width="9.5703125" style="238" bestFit="1" customWidth="1"/>
    <col min="3854" max="3854" width="11.42578125" style="238" customWidth="1"/>
    <col min="3855" max="3855" width="11.42578125" style="238" bestFit="1" customWidth="1"/>
    <col min="3856" max="3856" width="9.140625" style="238"/>
    <col min="3857" max="3857" width="10.7109375" style="238" bestFit="1" customWidth="1"/>
    <col min="3858" max="4081" width="9.140625" style="238"/>
    <col min="4082" max="4082" width="3.28515625" style="238" customWidth="1"/>
    <col min="4083" max="4083" width="3" style="238" customWidth="1"/>
    <col min="4084" max="4084" width="4.140625" style="238" customWidth="1"/>
    <col min="4085" max="4085" width="21.5703125" style="238" customWidth="1"/>
    <col min="4086" max="4086" width="4.7109375" style="238" customWidth="1"/>
    <col min="4087" max="4087" width="2.5703125" style="238" customWidth="1"/>
    <col min="4088" max="4088" width="3" style="238" customWidth="1"/>
    <col min="4089" max="4089" width="0" style="238" hidden="1" customWidth="1"/>
    <col min="4090" max="4090" width="7.28515625" style="238" customWidth="1"/>
    <col min="4091" max="4096" width="0" style="238" hidden="1" customWidth="1"/>
    <col min="4097" max="4097" width="15.28515625" style="238" customWidth="1"/>
    <col min="4098" max="4098" width="2.28515625" style="238" customWidth="1"/>
    <col min="4099" max="4099" width="15.28515625" style="238" customWidth="1"/>
    <col min="4100" max="4100" width="2.7109375" style="238" customWidth="1"/>
    <col min="4101" max="4101" width="15.28515625" style="238" customWidth="1"/>
    <col min="4102" max="4102" width="2.28515625" style="238" customWidth="1"/>
    <col min="4103" max="4103" width="15.28515625" style="238" customWidth="1"/>
    <col min="4104" max="4104" width="2.28515625" style="238" customWidth="1"/>
    <col min="4105" max="4105" width="15.28515625" style="238" customWidth="1"/>
    <col min="4106" max="4106" width="3.140625" style="238" customWidth="1"/>
    <col min="4107" max="4107" width="9.85546875" style="238" bestFit="1" customWidth="1"/>
    <col min="4108" max="4108" width="27.7109375" style="238" customWidth="1"/>
    <col min="4109" max="4109" width="9.5703125" style="238" bestFit="1" customWidth="1"/>
    <col min="4110" max="4110" width="11.42578125" style="238" customWidth="1"/>
    <col min="4111" max="4111" width="11.42578125" style="238" bestFit="1" customWidth="1"/>
    <col min="4112" max="4112" width="9.140625" style="238"/>
    <col min="4113" max="4113" width="10.7109375" style="238" bestFit="1" customWidth="1"/>
    <col min="4114" max="4337" width="9.140625" style="238"/>
    <col min="4338" max="4338" width="3.28515625" style="238" customWidth="1"/>
    <col min="4339" max="4339" width="3" style="238" customWidth="1"/>
    <col min="4340" max="4340" width="4.140625" style="238" customWidth="1"/>
    <col min="4341" max="4341" width="21.5703125" style="238" customWidth="1"/>
    <col min="4342" max="4342" width="4.7109375" style="238" customWidth="1"/>
    <col min="4343" max="4343" width="2.5703125" style="238" customWidth="1"/>
    <col min="4344" max="4344" width="3" style="238" customWidth="1"/>
    <col min="4345" max="4345" width="0" style="238" hidden="1" customWidth="1"/>
    <col min="4346" max="4346" width="7.28515625" style="238" customWidth="1"/>
    <col min="4347" max="4352" width="0" style="238" hidden="1" customWidth="1"/>
    <col min="4353" max="4353" width="15.28515625" style="238" customWidth="1"/>
    <col min="4354" max="4354" width="2.28515625" style="238" customWidth="1"/>
    <col min="4355" max="4355" width="15.28515625" style="238" customWidth="1"/>
    <col min="4356" max="4356" width="2.7109375" style="238" customWidth="1"/>
    <col min="4357" max="4357" width="15.28515625" style="238" customWidth="1"/>
    <col min="4358" max="4358" width="2.28515625" style="238" customWidth="1"/>
    <col min="4359" max="4359" width="15.28515625" style="238" customWidth="1"/>
    <col min="4360" max="4360" width="2.28515625" style="238" customWidth="1"/>
    <col min="4361" max="4361" width="15.28515625" style="238" customWidth="1"/>
    <col min="4362" max="4362" width="3.140625" style="238" customWidth="1"/>
    <col min="4363" max="4363" width="9.85546875" style="238" bestFit="1" customWidth="1"/>
    <col min="4364" max="4364" width="27.7109375" style="238" customWidth="1"/>
    <col min="4365" max="4365" width="9.5703125" style="238" bestFit="1" customWidth="1"/>
    <col min="4366" max="4366" width="11.42578125" style="238" customWidth="1"/>
    <col min="4367" max="4367" width="11.42578125" style="238" bestFit="1" customWidth="1"/>
    <col min="4368" max="4368" width="9.140625" style="238"/>
    <col min="4369" max="4369" width="10.7109375" style="238" bestFit="1" customWidth="1"/>
    <col min="4370" max="4593" width="9.140625" style="238"/>
    <col min="4594" max="4594" width="3.28515625" style="238" customWidth="1"/>
    <col min="4595" max="4595" width="3" style="238" customWidth="1"/>
    <col min="4596" max="4596" width="4.140625" style="238" customWidth="1"/>
    <col min="4597" max="4597" width="21.5703125" style="238" customWidth="1"/>
    <col min="4598" max="4598" width="4.7109375" style="238" customWidth="1"/>
    <col min="4599" max="4599" width="2.5703125" style="238" customWidth="1"/>
    <col min="4600" max="4600" width="3" style="238" customWidth="1"/>
    <col min="4601" max="4601" width="0" style="238" hidden="1" customWidth="1"/>
    <col min="4602" max="4602" width="7.28515625" style="238" customWidth="1"/>
    <col min="4603" max="4608" width="0" style="238" hidden="1" customWidth="1"/>
    <col min="4609" max="4609" width="15.28515625" style="238" customWidth="1"/>
    <col min="4610" max="4610" width="2.28515625" style="238" customWidth="1"/>
    <col min="4611" max="4611" width="15.28515625" style="238" customWidth="1"/>
    <col min="4612" max="4612" width="2.7109375" style="238" customWidth="1"/>
    <col min="4613" max="4613" width="15.28515625" style="238" customWidth="1"/>
    <col min="4614" max="4614" width="2.28515625" style="238" customWidth="1"/>
    <col min="4615" max="4615" width="15.28515625" style="238" customWidth="1"/>
    <col min="4616" max="4616" width="2.28515625" style="238" customWidth="1"/>
    <col min="4617" max="4617" width="15.28515625" style="238" customWidth="1"/>
    <col min="4618" max="4618" width="3.140625" style="238" customWidth="1"/>
    <col min="4619" max="4619" width="9.85546875" style="238" bestFit="1" customWidth="1"/>
    <col min="4620" max="4620" width="27.7109375" style="238" customWidth="1"/>
    <col min="4621" max="4621" width="9.5703125" style="238" bestFit="1" customWidth="1"/>
    <col min="4622" max="4622" width="11.42578125" style="238" customWidth="1"/>
    <col min="4623" max="4623" width="11.42578125" style="238" bestFit="1" customWidth="1"/>
    <col min="4624" max="4624" width="9.140625" style="238"/>
    <col min="4625" max="4625" width="10.7109375" style="238" bestFit="1" customWidth="1"/>
    <col min="4626" max="4849" width="9.140625" style="238"/>
    <col min="4850" max="4850" width="3.28515625" style="238" customWidth="1"/>
    <col min="4851" max="4851" width="3" style="238" customWidth="1"/>
    <col min="4852" max="4852" width="4.140625" style="238" customWidth="1"/>
    <col min="4853" max="4853" width="21.5703125" style="238" customWidth="1"/>
    <col min="4854" max="4854" width="4.7109375" style="238" customWidth="1"/>
    <col min="4855" max="4855" width="2.5703125" style="238" customWidth="1"/>
    <col min="4856" max="4856" width="3" style="238" customWidth="1"/>
    <col min="4857" max="4857" width="0" style="238" hidden="1" customWidth="1"/>
    <col min="4858" max="4858" width="7.28515625" style="238" customWidth="1"/>
    <col min="4859" max="4864" width="0" style="238" hidden="1" customWidth="1"/>
    <col min="4865" max="4865" width="15.28515625" style="238" customWidth="1"/>
    <col min="4866" max="4866" width="2.28515625" style="238" customWidth="1"/>
    <col min="4867" max="4867" width="15.28515625" style="238" customWidth="1"/>
    <col min="4868" max="4868" width="2.7109375" style="238" customWidth="1"/>
    <col min="4869" max="4869" width="15.28515625" style="238" customWidth="1"/>
    <col min="4870" max="4870" width="2.28515625" style="238" customWidth="1"/>
    <col min="4871" max="4871" width="15.28515625" style="238" customWidth="1"/>
    <col min="4872" max="4872" width="2.28515625" style="238" customWidth="1"/>
    <col min="4873" max="4873" width="15.28515625" style="238" customWidth="1"/>
    <col min="4874" max="4874" width="3.140625" style="238" customWidth="1"/>
    <col min="4875" max="4875" width="9.85546875" style="238" bestFit="1" customWidth="1"/>
    <col min="4876" max="4876" width="27.7109375" style="238" customWidth="1"/>
    <col min="4877" max="4877" width="9.5703125" style="238" bestFit="1" customWidth="1"/>
    <col min="4878" max="4878" width="11.42578125" style="238" customWidth="1"/>
    <col min="4879" max="4879" width="11.42578125" style="238" bestFit="1" customWidth="1"/>
    <col min="4880" max="4880" width="9.140625" style="238"/>
    <col min="4881" max="4881" width="10.7109375" style="238" bestFit="1" customWidth="1"/>
    <col min="4882" max="5105" width="9.140625" style="238"/>
    <col min="5106" max="5106" width="3.28515625" style="238" customWidth="1"/>
    <col min="5107" max="5107" width="3" style="238" customWidth="1"/>
    <col min="5108" max="5108" width="4.140625" style="238" customWidth="1"/>
    <col min="5109" max="5109" width="21.5703125" style="238" customWidth="1"/>
    <col min="5110" max="5110" width="4.7109375" style="238" customWidth="1"/>
    <col min="5111" max="5111" width="2.5703125" style="238" customWidth="1"/>
    <col min="5112" max="5112" width="3" style="238" customWidth="1"/>
    <col min="5113" max="5113" width="0" style="238" hidden="1" customWidth="1"/>
    <col min="5114" max="5114" width="7.28515625" style="238" customWidth="1"/>
    <col min="5115" max="5120" width="0" style="238" hidden="1" customWidth="1"/>
    <col min="5121" max="5121" width="15.28515625" style="238" customWidth="1"/>
    <col min="5122" max="5122" width="2.28515625" style="238" customWidth="1"/>
    <col min="5123" max="5123" width="15.28515625" style="238" customWidth="1"/>
    <col min="5124" max="5124" width="2.7109375" style="238" customWidth="1"/>
    <col min="5125" max="5125" width="15.28515625" style="238" customWidth="1"/>
    <col min="5126" max="5126" width="2.28515625" style="238" customWidth="1"/>
    <col min="5127" max="5127" width="15.28515625" style="238" customWidth="1"/>
    <col min="5128" max="5128" width="2.28515625" style="238" customWidth="1"/>
    <col min="5129" max="5129" width="15.28515625" style="238" customWidth="1"/>
    <col min="5130" max="5130" width="3.140625" style="238" customWidth="1"/>
    <col min="5131" max="5131" width="9.85546875" style="238" bestFit="1" customWidth="1"/>
    <col min="5132" max="5132" width="27.7109375" style="238" customWidth="1"/>
    <col min="5133" max="5133" width="9.5703125" style="238" bestFit="1" customWidth="1"/>
    <col min="5134" max="5134" width="11.42578125" style="238" customWidth="1"/>
    <col min="5135" max="5135" width="11.42578125" style="238" bestFit="1" customWidth="1"/>
    <col min="5136" max="5136" width="9.140625" style="238"/>
    <col min="5137" max="5137" width="10.7109375" style="238" bestFit="1" customWidth="1"/>
    <col min="5138" max="5361" width="9.140625" style="238"/>
    <col min="5362" max="5362" width="3.28515625" style="238" customWidth="1"/>
    <col min="5363" max="5363" width="3" style="238" customWidth="1"/>
    <col min="5364" max="5364" width="4.140625" style="238" customWidth="1"/>
    <col min="5365" max="5365" width="21.5703125" style="238" customWidth="1"/>
    <col min="5366" max="5366" width="4.7109375" style="238" customWidth="1"/>
    <col min="5367" max="5367" width="2.5703125" style="238" customWidth="1"/>
    <col min="5368" max="5368" width="3" style="238" customWidth="1"/>
    <col min="5369" max="5369" width="0" style="238" hidden="1" customWidth="1"/>
    <col min="5370" max="5370" width="7.28515625" style="238" customWidth="1"/>
    <col min="5371" max="5376" width="0" style="238" hidden="1" customWidth="1"/>
    <col min="5377" max="5377" width="15.28515625" style="238" customWidth="1"/>
    <col min="5378" max="5378" width="2.28515625" style="238" customWidth="1"/>
    <col min="5379" max="5379" width="15.28515625" style="238" customWidth="1"/>
    <col min="5380" max="5380" width="2.7109375" style="238" customWidth="1"/>
    <col min="5381" max="5381" width="15.28515625" style="238" customWidth="1"/>
    <col min="5382" max="5382" width="2.28515625" style="238" customWidth="1"/>
    <col min="5383" max="5383" width="15.28515625" style="238" customWidth="1"/>
    <col min="5384" max="5384" width="2.28515625" style="238" customWidth="1"/>
    <col min="5385" max="5385" width="15.28515625" style="238" customWidth="1"/>
    <col min="5386" max="5386" width="3.140625" style="238" customWidth="1"/>
    <col min="5387" max="5387" width="9.85546875" style="238" bestFit="1" customWidth="1"/>
    <col min="5388" max="5388" width="27.7109375" style="238" customWidth="1"/>
    <col min="5389" max="5389" width="9.5703125" style="238" bestFit="1" customWidth="1"/>
    <col min="5390" max="5390" width="11.42578125" style="238" customWidth="1"/>
    <col min="5391" max="5391" width="11.42578125" style="238" bestFit="1" customWidth="1"/>
    <col min="5392" max="5392" width="9.140625" style="238"/>
    <col min="5393" max="5393" width="10.7109375" style="238" bestFit="1" customWidth="1"/>
    <col min="5394" max="5617" width="9.140625" style="238"/>
    <col min="5618" max="5618" width="3.28515625" style="238" customWidth="1"/>
    <col min="5619" max="5619" width="3" style="238" customWidth="1"/>
    <col min="5620" max="5620" width="4.140625" style="238" customWidth="1"/>
    <col min="5621" max="5621" width="21.5703125" style="238" customWidth="1"/>
    <col min="5622" max="5622" width="4.7109375" style="238" customWidth="1"/>
    <col min="5623" max="5623" width="2.5703125" style="238" customWidth="1"/>
    <col min="5624" max="5624" width="3" style="238" customWidth="1"/>
    <col min="5625" max="5625" width="0" style="238" hidden="1" customWidth="1"/>
    <col min="5626" max="5626" width="7.28515625" style="238" customWidth="1"/>
    <col min="5627" max="5632" width="0" style="238" hidden="1" customWidth="1"/>
    <col min="5633" max="5633" width="15.28515625" style="238" customWidth="1"/>
    <col min="5634" max="5634" width="2.28515625" style="238" customWidth="1"/>
    <col min="5635" max="5635" width="15.28515625" style="238" customWidth="1"/>
    <col min="5636" max="5636" width="2.7109375" style="238" customWidth="1"/>
    <col min="5637" max="5637" width="15.28515625" style="238" customWidth="1"/>
    <col min="5638" max="5638" width="2.28515625" style="238" customWidth="1"/>
    <col min="5639" max="5639" width="15.28515625" style="238" customWidth="1"/>
    <col min="5640" max="5640" width="2.28515625" style="238" customWidth="1"/>
    <col min="5641" max="5641" width="15.28515625" style="238" customWidth="1"/>
    <col min="5642" max="5642" width="3.140625" style="238" customWidth="1"/>
    <col min="5643" max="5643" width="9.85546875" style="238" bestFit="1" customWidth="1"/>
    <col min="5644" max="5644" width="27.7109375" style="238" customWidth="1"/>
    <col min="5645" max="5645" width="9.5703125" style="238" bestFit="1" customWidth="1"/>
    <col min="5646" max="5646" width="11.42578125" style="238" customWidth="1"/>
    <col min="5647" max="5647" width="11.42578125" style="238" bestFit="1" customWidth="1"/>
    <col min="5648" max="5648" width="9.140625" style="238"/>
    <col min="5649" max="5649" width="10.7109375" style="238" bestFit="1" customWidth="1"/>
    <col min="5650" max="5873" width="9.140625" style="238"/>
    <col min="5874" max="5874" width="3.28515625" style="238" customWidth="1"/>
    <col min="5875" max="5875" width="3" style="238" customWidth="1"/>
    <col min="5876" max="5876" width="4.140625" style="238" customWidth="1"/>
    <col min="5877" max="5877" width="21.5703125" style="238" customWidth="1"/>
    <col min="5878" max="5878" width="4.7109375" style="238" customWidth="1"/>
    <col min="5879" max="5879" width="2.5703125" style="238" customWidth="1"/>
    <col min="5880" max="5880" width="3" style="238" customWidth="1"/>
    <col min="5881" max="5881" width="0" style="238" hidden="1" customWidth="1"/>
    <col min="5882" max="5882" width="7.28515625" style="238" customWidth="1"/>
    <col min="5883" max="5888" width="0" style="238" hidden="1" customWidth="1"/>
    <col min="5889" max="5889" width="15.28515625" style="238" customWidth="1"/>
    <col min="5890" max="5890" width="2.28515625" style="238" customWidth="1"/>
    <col min="5891" max="5891" width="15.28515625" style="238" customWidth="1"/>
    <col min="5892" max="5892" width="2.7109375" style="238" customWidth="1"/>
    <col min="5893" max="5893" width="15.28515625" style="238" customWidth="1"/>
    <col min="5894" max="5894" width="2.28515625" style="238" customWidth="1"/>
    <col min="5895" max="5895" width="15.28515625" style="238" customWidth="1"/>
    <col min="5896" max="5896" width="2.28515625" style="238" customWidth="1"/>
    <col min="5897" max="5897" width="15.28515625" style="238" customWidth="1"/>
    <col min="5898" max="5898" width="3.140625" style="238" customWidth="1"/>
    <col min="5899" max="5899" width="9.85546875" style="238" bestFit="1" customWidth="1"/>
    <col min="5900" max="5900" width="27.7109375" style="238" customWidth="1"/>
    <col min="5901" max="5901" width="9.5703125" style="238" bestFit="1" customWidth="1"/>
    <col min="5902" max="5902" width="11.42578125" style="238" customWidth="1"/>
    <col min="5903" max="5903" width="11.42578125" style="238" bestFit="1" customWidth="1"/>
    <col min="5904" max="5904" width="9.140625" style="238"/>
    <col min="5905" max="5905" width="10.7109375" style="238" bestFit="1" customWidth="1"/>
    <col min="5906" max="6129" width="9.140625" style="238"/>
    <col min="6130" max="6130" width="3.28515625" style="238" customWidth="1"/>
    <col min="6131" max="6131" width="3" style="238" customWidth="1"/>
    <col min="6132" max="6132" width="4.140625" style="238" customWidth="1"/>
    <col min="6133" max="6133" width="21.5703125" style="238" customWidth="1"/>
    <col min="6134" max="6134" width="4.7109375" style="238" customWidth="1"/>
    <col min="6135" max="6135" width="2.5703125" style="238" customWidth="1"/>
    <col min="6136" max="6136" width="3" style="238" customWidth="1"/>
    <col min="6137" max="6137" width="0" style="238" hidden="1" customWidth="1"/>
    <col min="6138" max="6138" width="7.28515625" style="238" customWidth="1"/>
    <col min="6139" max="6144" width="0" style="238" hidden="1" customWidth="1"/>
    <col min="6145" max="6145" width="15.28515625" style="238" customWidth="1"/>
    <col min="6146" max="6146" width="2.28515625" style="238" customWidth="1"/>
    <col min="6147" max="6147" width="15.28515625" style="238" customWidth="1"/>
    <col min="6148" max="6148" width="2.7109375" style="238" customWidth="1"/>
    <col min="6149" max="6149" width="15.28515625" style="238" customWidth="1"/>
    <col min="6150" max="6150" width="2.28515625" style="238" customWidth="1"/>
    <col min="6151" max="6151" width="15.28515625" style="238" customWidth="1"/>
    <col min="6152" max="6152" width="2.28515625" style="238" customWidth="1"/>
    <col min="6153" max="6153" width="15.28515625" style="238" customWidth="1"/>
    <col min="6154" max="6154" width="3.140625" style="238" customWidth="1"/>
    <col min="6155" max="6155" width="9.85546875" style="238" bestFit="1" customWidth="1"/>
    <col min="6156" max="6156" width="27.7109375" style="238" customWidth="1"/>
    <col min="6157" max="6157" width="9.5703125" style="238" bestFit="1" customWidth="1"/>
    <col min="6158" max="6158" width="11.42578125" style="238" customWidth="1"/>
    <col min="6159" max="6159" width="11.42578125" style="238" bestFit="1" customWidth="1"/>
    <col min="6160" max="6160" width="9.140625" style="238"/>
    <col min="6161" max="6161" width="10.7109375" style="238" bestFit="1" customWidth="1"/>
    <col min="6162" max="6385" width="9.140625" style="238"/>
    <col min="6386" max="6386" width="3.28515625" style="238" customWidth="1"/>
    <col min="6387" max="6387" width="3" style="238" customWidth="1"/>
    <col min="6388" max="6388" width="4.140625" style="238" customWidth="1"/>
    <col min="6389" max="6389" width="21.5703125" style="238" customWidth="1"/>
    <col min="6390" max="6390" width="4.7109375" style="238" customWidth="1"/>
    <col min="6391" max="6391" width="2.5703125" style="238" customWidth="1"/>
    <col min="6392" max="6392" width="3" style="238" customWidth="1"/>
    <col min="6393" max="6393" width="0" style="238" hidden="1" customWidth="1"/>
    <col min="6394" max="6394" width="7.28515625" style="238" customWidth="1"/>
    <col min="6395" max="6400" width="0" style="238" hidden="1" customWidth="1"/>
    <col min="6401" max="6401" width="15.28515625" style="238" customWidth="1"/>
    <col min="6402" max="6402" width="2.28515625" style="238" customWidth="1"/>
    <col min="6403" max="6403" width="15.28515625" style="238" customWidth="1"/>
    <col min="6404" max="6404" width="2.7109375" style="238" customWidth="1"/>
    <col min="6405" max="6405" width="15.28515625" style="238" customWidth="1"/>
    <col min="6406" max="6406" width="2.28515625" style="238" customWidth="1"/>
    <col min="6407" max="6407" width="15.28515625" style="238" customWidth="1"/>
    <col min="6408" max="6408" width="2.28515625" style="238" customWidth="1"/>
    <col min="6409" max="6409" width="15.28515625" style="238" customWidth="1"/>
    <col min="6410" max="6410" width="3.140625" style="238" customWidth="1"/>
    <col min="6411" max="6411" width="9.85546875" style="238" bestFit="1" customWidth="1"/>
    <col min="6412" max="6412" width="27.7109375" style="238" customWidth="1"/>
    <col min="6413" max="6413" width="9.5703125" style="238" bestFit="1" customWidth="1"/>
    <col min="6414" max="6414" width="11.42578125" style="238" customWidth="1"/>
    <col min="6415" max="6415" width="11.42578125" style="238" bestFit="1" customWidth="1"/>
    <col min="6416" max="6416" width="9.140625" style="238"/>
    <col min="6417" max="6417" width="10.7109375" style="238" bestFit="1" customWidth="1"/>
    <col min="6418" max="6641" width="9.140625" style="238"/>
    <col min="6642" max="6642" width="3.28515625" style="238" customWidth="1"/>
    <col min="6643" max="6643" width="3" style="238" customWidth="1"/>
    <col min="6644" max="6644" width="4.140625" style="238" customWidth="1"/>
    <col min="6645" max="6645" width="21.5703125" style="238" customWidth="1"/>
    <col min="6646" max="6646" width="4.7109375" style="238" customWidth="1"/>
    <col min="6647" max="6647" width="2.5703125" style="238" customWidth="1"/>
    <col min="6648" max="6648" width="3" style="238" customWidth="1"/>
    <col min="6649" max="6649" width="0" style="238" hidden="1" customWidth="1"/>
    <col min="6650" max="6650" width="7.28515625" style="238" customWidth="1"/>
    <col min="6651" max="6656" width="0" style="238" hidden="1" customWidth="1"/>
    <col min="6657" max="6657" width="15.28515625" style="238" customWidth="1"/>
    <col min="6658" max="6658" width="2.28515625" style="238" customWidth="1"/>
    <col min="6659" max="6659" width="15.28515625" style="238" customWidth="1"/>
    <col min="6660" max="6660" width="2.7109375" style="238" customWidth="1"/>
    <col min="6661" max="6661" width="15.28515625" style="238" customWidth="1"/>
    <col min="6662" max="6662" width="2.28515625" style="238" customWidth="1"/>
    <col min="6663" max="6663" width="15.28515625" style="238" customWidth="1"/>
    <col min="6664" max="6664" width="2.28515625" style="238" customWidth="1"/>
    <col min="6665" max="6665" width="15.28515625" style="238" customWidth="1"/>
    <col min="6666" max="6666" width="3.140625" style="238" customWidth="1"/>
    <col min="6667" max="6667" width="9.85546875" style="238" bestFit="1" customWidth="1"/>
    <col min="6668" max="6668" width="27.7109375" style="238" customWidth="1"/>
    <col min="6669" max="6669" width="9.5703125" style="238" bestFit="1" customWidth="1"/>
    <col min="6670" max="6670" width="11.42578125" style="238" customWidth="1"/>
    <col min="6671" max="6671" width="11.42578125" style="238" bestFit="1" customWidth="1"/>
    <col min="6672" max="6672" width="9.140625" style="238"/>
    <col min="6673" max="6673" width="10.7109375" style="238" bestFit="1" customWidth="1"/>
    <col min="6674" max="6897" width="9.140625" style="238"/>
    <col min="6898" max="6898" width="3.28515625" style="238" customWidth="1"/>
    <col min="6899" max="6899" width="3" style="238" customWidth="1"/>
    <col min="6900" max="6900" width="4.140625" style="238" customWidth="1"/>
    <col min="6901" max="6901" width="21.5703125" style="238" customWidth="1"/>
    <col min="6902" max="6902" width="4.7109375" style="238" customWidth="1"/>
    <col min="6903" max="6903" width="2.5703125" style="238" customWidth="1"/>
    <col min="6904" max="6904" width="3" style="238" customWidth="1"/>
    <col min="6905" max="6905" width="0" style="238" hidden="1" customWidth="1"/>
    <col min="6906" max="6906" width="7.28515625" style="238" customWidth="1"/>
    <col min="6907" max="6912" width="0" style="238" hidden="1" customWidth="1"/>
    <col min="6913" max="6913" width="15.28515625" style="238" customWidth="1"/>
    <col min="6914" max="6914" width="2.28515625" style="238" customWidth="1"/>
    <col min="6915" max="6915" width="15.28515625" style="238" customWidth="1"/>
    <col min="6916" max="6916" width="2.7109375" style="238" customWidth="1"/>
    <col min="6917" max="6917" width="15.28515625" style="238" customWidth="1"/>
    <col min="6918" max="6918" width="2.28515625" style="238" customWidth="1"/>
    <col min="6919" max="6919" width="15.28515625" style="238" customWidth="1"/>
    <col min="6920" max="6920" width="2.28515625" style="238" customWidth="1"/>
    <col min="6921" max="6921" width="15.28515625" style="238" customWidth="1"/>
    <col min="6922" max="6922" width="3.140625" style="238" customWidth="1"/>
    <col min="6923" max="6923" width="9.85546875" style="238" bestFit="1" customWidth="1"/>
    <col min="6924" max="6924" width="27.7109375" style="238" customWidth="1"/>
    <col min="6925" max="6925" width="9.5703125" style="238" bestFit="1" customWidth="1"/>
    <col min="6926" max="6926" width="11.42578125" style="238" customWidth="1"/>
    <col min="6927" max="6927" width="11.42578125" style="238" bestFit="1" customWidth="1"/>
    <col min="6928" max="6928" width="9.140625" style="238"/>
    <col min="6929" max="6929" width="10.7109375" style="238" bestFit="1" customWidth="1"/>
    <col min="6930" max="7153" width="9.140625" style="238"/>
    <col min="7154" max="7154" width="3.28515625" style="238" customWidth="1"/>
    <col min="7155" max="7155" width="3" style="238" customWidth="1"/>
    <col min="7156" max="7156" width="4.140625" style="238" customWidth="1"/>
    <col min="7157" max="7157" width="21.5703125" style="238" customWidth="1"/>
    <col min="7158" max="7158" width="4.7109375" style="238" customWidth="1"/>
    <col min="7159" max="7159" width="2.5703125" style="238" customWidth="1"/>
    <col min="7160" max="7160" width="3" style="238" customWidth="1"/>
    <col min="7161" max="7161" width="0" style="238" hidden="1" customWidth="1"/>
    <col min="7162" max="7162" width="7.28515625" style="238" customWidth="1"/>
    <col min="7163" max="7168" width="0" style="238" hidden="1" customWidth="1"/>
    <col min="7169" max="7169" width="15.28515625" style="238" customWidth="1"/>
    <col min="7170" max="7170" width="2.28515625" style="238" customWidth="1"/>
    <col min="7171" max="7171" width="15.28515625" style="238" customWidth="1"/>
    <col min="7172" max="7172" width="2.7109375" style="238" customWidth="1"/>
    <col min="7173" max="7173" width="15.28515625" style="238" customWidth="1"/>
    <col min="7174" max="7174" width="2.28515625" style="238" customWidth="1"/>
    <col min="7175" max="7175" width="15.28515625" style="238" customWidth="1"/>
    <col min="7176" max="7176" width="2.28515625" style="238" customWidth="1"/>
    <col min="7177" max="7177" width="15.28515625" style="238" customWidth="1"/>
    <col min="7178" max="7178" width="3.140625" style="238" customWidth="1"/>
    <col min="7179" max="7179" width="9.85546875" style="238" bestFit="1" customWidth="1"/>
    <col min="7180" max="7180" width="27.7109375" style="238" customWidth="1"/>
    <col min="7181" max="7181" width="9.5703125" style="238" bestFit="1" customWidth="1"/>
    <col min="7182" max="7182" width="11.42578125" style="238" customWidth="1"/>
    <col min="7183" max="7183" width="11.42578125" style="238" bestFit="1" customWidth="1"/>
    <col min="7184" max="7184" width="9.140625" style="238"/>
    <col min="7185" max="7185" width="10.7109375" style="238" bestFit="1" customWidth="1"/>
    <col min="7186" max="7409" width="9.140625" style="238"/>
    <col min="7410" max="7410" width="3.28515625" style="238" customWidth="1"/>
    <col min="7411" max="7411" width="3" style="238" customWidth="1"/>
    <col min="7412" max="7412" width="4.140625" style="238" customWidth="1"/>
    <col min="7413" max="7413" width="21.5703125" style="238" customWidth="1"/>
    <col min="7414" max="7414" width="4.7109375" style="238" customWidth="1"/>
    <col min="7415" max="7415" width="2.5703125" style="238" customWidth="1"/>
    <col min="7416" max="7416" width="3" style="238" customWidth="1"/>
    <col min="7417" max="7417" width="0" style="238" hidden="1" customWidth="1"/>
    <col min="7418" max="7418" width="7.28515625" style="238" customWidth="1"/>
    <col min="7419" max="7424" width="0" style="238" hidden="1" customWidth="1"/>
    <col min="7425" max="7425" width="15.28515625" style="238" customWidth="1"/>
    <col min="7426" max="7426" width="2.28515625" style="238" customWidth="1"/>
    <col min="7427" max="7427" width="15.28515625" style="238" customWidth="1"/>
    <col min="7428" max="7428" width="2.7109375" style="238" customWidth="1"/>
    <col min="7429" max="7429" width="15.28515625" style="238" customWidth="1"/>
    <col min="7430" max="7430" width="2.28515625" style="238" customWidth="1"/>
    <col min="7431" max="7431" width="15.28515625" style="238" customWidth="1"/>
    <col min="7432" max="7432" width="2.28515625" style="238" customWidth="1"/>
    <col min="7433" max="7433" width="15.28515625" style="238" customWidth="1"/>
    <col min="7434" max="7434" width="3.140625" style="238" customWidth="1"/>
    <col min="7435" max="7435" width="9.85546875" style="238" bestFit="1" customWidth="1"/>
    <col min="7436" max="7436" width="27.7109375" style="238" customWidth="1"/>
    <col min="7437" max="7437" width="9.5703125" style="238" bestFit="1" customWidth="1"/>
    <col min="7438" max="7438" width="11.42578125" style="238" customWidth="1"/>
    <col min="7439" max="7439" width="11.42578125" style="238" bestFit="1" customWidth="1"/>
    <col min="7440" max="7440" width="9.140625" style="238"/>
    <col min="7441" max="7441" width="10.7109375" style="238" bestFit="1" customWidth="1"/>
    <col min="7442" max="7665" width="9.140625" style="238"/>
    <col min="7666" max="7666" width="3.28515625" style="238" customWidth="1"/>
    <col min="7667" max="7667" width="3" style="238" customWidth="1"/>
    <col min="7668" max="7668" width="4.140625" style="238" customWidth="1"/>
    <col min="7669" max="7669" width="21.5703125" style="238" customWidth="1"/>
    <col min="7670" max="7670" width="4.7109375" style="238" customWidth="1"/>
    <col min="7671" max="7671" width="2.5703125" style="238" customWidth="1"/>
    <col min="7672" max="7672" width="3" style="238" customWidth="1"/>
    <col min="7673" max="7673" width="0" style="238" hidden="1" customWidth="1"/>
    <col min="7674" max="7674" width="7.28515625" style="238" customWidth="1"/>
    <col min="7675" max="7680" width="0" style="238" hidden="1" customWidth="1"/>
    <col min="7681" max="7681" width="15.28515625" style="238" customWidth="1"/>
    <col min="7682" max="7682" width="2.28515625" style="238" customWidth="1"/>
    <col min="7683" max="7683" width="15.28515625" style="238" customWidth="1"/>
    <col min="7684" max="7684" width="2.7109375" style="238" customWidth="1"/>
    <col min="7685" max="7685" width="15.28515625" style="238" customWidth="1"/>
    <col min="7686" max="7686" width="2.28515625" style="238" customWidth="1"/>
    <col min="7687" max="7687" width="15.28515625" style="238" customWidth="1"/>
    <col min="7688" max="7688" width="2.28515625" style="238" customWidth="1"/>
    <col min="7689" max="7689" width="15.28515625" style="238" customWidth="1"/>
    <col min="7690" max="7690" width="3.140625" style="238" customWidth="1"/>
    <col min="7691" max="7691" width="9.85546875" style="238" bestFit="1" customWidth="1"/>
    <col min="7692" max="7692" width="27.7109375" style="238" customWidth="1"/>
    <col min="7693" max="7693" width="9.5703125" style="238" bestFit="1" customWidth="1"/>
    <col min="7694" max="7694" width="11.42578125" style="238" customWidth="1"/>
    <col min="7695" max="7695" width="11.42578125" style="238" bestFit="1" customWidth="1"/>
    <col min="7696" max="7696" width="9.140625" style="238"/>
    <col min="7697" max="7697" width="10.7109375" style="238" bestFit="1" customWidth="1"/>
    <col min="7698" max="7921" width="9.140625" style="238"/>
    <col min="7922" max="7922" width="3.28515625" style="238" customWidth="1"/>
    <col min="7923" max="7923" width="3" style="238" customWidth="1"/>
    <col min="7924" max="7924" width="4.140625" style="238" customWidth="1"/>
    <col min="7925" max="7925" width="21.5703125" style="238" customWidth="1"/>
    <col min="7926" max="7926" width="4.7109375" style="238" customWidth="1"/>
    <col min="7927" max="7927" width="2.5703125" style="238" customWidth="1"/>
    <col min="7928" max="7928" width="3" style="238" customWidth="1"/>
    <col min="7929" max="7929" width="0" style="238" hidden="1" customWidth="1"/>
    <col min="7930" max="7930" width="7.28515625" style="238" customWidth="1"/>
    <col min="7931" max="7936" width="0" style="238" hidden="1" customWidth="1"/>
    <col min="7937" max="7937" width="15.28515625" style="238" customWidth="1"/>
    <col min="7938" max="7938" width="2.28515625" style="238" customWidth="1"/>
    <col min="7939" max="7939" width="15.28515625" style="238" customWidth="1"/>
    <col min="7940" max="7940" width="2.7109375" style="238" customWidth="1"/>
    <col min="7941" max="7941" width="15.28515625" style="238" customWidth="1"/>
    <col min="7942" max="7942" width="2.28515625" style="238" customWidth="1"/>
    <col min="7943" max="7943" width="15.28515625" style="238" customWidth="1"/>
    <col min="7944" max="7944" width="2.28515625" style="238" customWidth="1"/>
    <col min="7945" max="7945" width="15.28515625" style="238" customWidth="1"/>
    <col min="7946" max="7946" width="3.140625" style="238" customWidth="1"/>
    <col min="7947" max="7947" width="9.85546875" style="238" bestFit="1" customWidth="1"/>
    <col min="7948" max="7948" width="27.7109375" style="238" customWidth="1"/>
    <col min="7949" max="7949" width="9.5703125" style="238" bestFit="1" customWidth="1"/>
    <col min="7950" max="7950" width="11.42578125" style="238" customWidth="1"/>
    <col min="7951" max="7951" width="11.42578125" style="238" bestFit="1" customWidth="1"/>
    <col min="7952" max="7952" width="9.140625" style="238"/>
    <col min="7953" max="7953" width="10.7109375" style="238" bestFit="1" customWidth="1"/>
    <col min="7954" max="8177" width="9.140625" style="238"/>
    <col min="8178" max="8178" width="3.28515625" style="238" customWidth="1"/>
    <col min="8179" max="8179" width="3" style="238" customWidth="1"/>
    <col min="8180" max="8180" width="4.140625" style="238" customWidth="1"/>
    <col min="8181" max="8181" width="21.5703125" style="238" customWidth="1"/>
    <col min="8182" max="8182" width="4.7109375" style="238" customWidth="1"/>
    <col min="8183" max="8183" width="2.5703125" style="238" customWidth="1"/>
    <col min="8184" max="8184" width="3" style="238" customWidth="1"/>
    <col min="8185" max="8185" width="0" style="238" hidden="1" customWidth="1"/>
    <col min="8186" max="8186" width="7.28515625" style="238" customWidth="1"/>
    <col min="8187" max="8192" width="0" style="238" hidden="1" customWidth="1"/>
    <col min="8193" max="8193" width="15.28515625" style="238" customWidth="1"/>
    <col min="8194" max="8194" width="2.28515625" style="238" customWidth="1"/>
    <col min="8195" max="8195" width="15.28515625" style="238" customWidth="1"/>
    <col min="8196" max="8196" width="2.7109375" style="238" customWidth="1"/>
    <col min="8197" max="8197" width="15.28515625" style="238" customWidth="1"/>
    <col min="8198" max="8198" width="2.28515625" style="238" customWidth="1"/>
    <col min="8199" max="8199" width="15.28515625" style="238" customWidth="1"/>
    <col min="8200" max="8200" width="2.28515625" style="238" customWidth="1"/>
    <col min="8201" max="8201" width="15.28515625" style="238" customWidth="1"/>
    <col min="8202" max="8202" width="3.140625" style="238" customWidth="1"/>
    <col min="8203" max="8203" width="9.85546875" style="238" bestFit="1" customWidth="1"/>
    <col min="8204" max="8204" width="27.7109375" style="238" customWidth="1"/>
    <col min="8205" max="8205" width="9.5703125" style="238" bestFit="1" customWidth="1"/>
    <col min="8206" max="8206" width="11.42578125" style="238" customWidth="1"/>
    <col min="8207" max="8207" width="11.42578125" style="238" bestFit="1" customWidth="1"/>
    <col min="8208" max="8208" width="9.140625" style="238"/>
    <col min="8209" max="8209" width="10.7109375" style="238" bestFit="1" customWidth="1"/>
    <col min="8210" max="8433" width="9.140625" style="238"/>
    <col min="8434" max="8434" width="3.28515625" style="238" customWidth="1"/>
    <col min="8435" max="8435" width="3" style="238" customWidth="1"/>
    <col min="8436" max="8436" width="4.140625" style="238" customWidth="1"/>
    <col min="8437" max="8437" width="21.5703125" style="238" customWidth="1"/>
    <col min="8438" max="8438" width="4.7109375" style="238" customWidth="1"/>
    <col min="8439" max="8439" width="2.5703125" style="238" customWidth="1"/>
    <col min="8440" max="8440" width="3" style="238" customWidth="1"/>
    <col min="8441" max="8441" width="0" style="238" hidden="1" customWidth="1"/>
    <col min="8442" max="8442" width="7.28515625" style="238" customWidth="1"/>
    <col min="8443" max="8448" width="0" style="238" hidden="1" customWidth="1"/>
    <col min="8449" max="8449" width="15.28515625" style="238" customWidth="1"/>
    <col min="8450" max="8450" width="2.28515625" style="238" customWidth="1"/>
    <col min="8451" max="8451" width="15.28515625" style="238" customWidth="1"/>
    <col min="8452" max="8452" width="2.7109375" style="238" customWidth="1"/>
    <col min="8453" max="8453" width="15.28515625" style="238" customWidth="1"/>
    <col min="8454" max="8454" width="2.28515625" style="238" customWidth="1"/>
    <col min="8455" max="8455" width="15.28515625" style="238" customWidth="1"/>
    <col min="8456" max="8456" width="2.28515625" style="238" customWidth="1"/>
    <col min="8457" max="8457" width="15.28515625" style="238" customWidth="1"/>
    <col min="8458" max="8458" width="3.140625" style="238" customWidth="1"/>
    <col min="8459" max="8459" width="9.85546875" style="238" bestFit="1" customWidth="1"/>
    <col min="8460" max="8460" width="27.7109375" style="238" customWidth="1"/>
    <col min="8461" max="8461" width="9.5703125" style="238" bestFit="1" customWidth="1"/>
    <col min="8462" max="8462" width="11.42578125" style="238" customWidth="1"/>
    <col min="8463" max="8463" width="11.42578125" style="238" bestFit="1" customWidth="1"/>
    <col min="8464" max="8464" width="9.140625" style="238"/>
    <col min="8465" max="8465" width="10.7109375" style="238" bestFit="1" customWidth="1"/>
    <col min="8466" max="8689" width="9.140625" style="238"/>
    <col min="8690" max="8690" width="3.28515625" style="238" customWidth="1"/>
    <col min="8691" max="8691" width="3" style="238" customWidth="1"/>
    <col min="8692" max="8692" width="4.140625" style="238" customWidth="1"/>
    <col min="8693" max="8693" width="21.5703125" style="238" customWidth="1"/>
    <col min="8694" max="8694" width="4.7109375" style="238" customWidth="1"/>
    <col min="8695" max="8695" width="2.5703125" style="238" customWidth="1"/>
    <col min="8696" max="8696" width="3" style="238" customWidth="1"/>
    <col min="8697" max="8697" width="0" style="238" hidden="1" customWidth="1"/>
    <col min="8698" max="8698" width="7.28515625" style="238" customWidth="1"/>
    <col min="8699" max="8704" width="0" style="238" hidden="1" customWidth="1"/>
    <col min="8705" max="8705" width="15.28515625" style="238" customWidth="1"/>
    <col min="8706" max="8706" width="2.28515625" style="238" customWidth="1"/>
    <col min="8707" max="8707" width="15.28515625" style="238" customWidth="1"/>
    <col min="8708" max="8708" width="2.7109375" style="238" customWidth="1"/>
    <col min="8709" max="8709" width="15.28515625" style="238" customWidth="1"/>
    <col min="8710" max="8710" width="2.28515625" style="238" customWidth="1"/>
    <col min="8711" max="8711" width="15.28515625" style="238" customWidth="1"/>
    <col min="8712" max="8712" width="2.28515625" style="238" customWidth="1"/>
    <col min="8713" max="8713" width="15.28515625" style="238" customWidth="1"/>
    <col min="8714" max="8714" width="3.140625" style="238" customWidth="1"/>
    <col min="8715" max="8715" width="9.85546875" style="238" bestFit="1" customWidth="1"/>
    <col min="8716" max="8716" width="27.7109375" style="238" customWidth="1"/>
    <col min="8717" max="8717" width="9.5703125" style="238" bestFit="1" customWidth="1"/>
    <col min="8718" max="8718" width="11.42578125" style="238" customWidth="1"/>
    <col min="8719" max="8719" width="11.42578125" style="238" bestFit="1" customWidth="1"/>
    <col min="8720" max="8720" width="9.140625" style="238"/>
    <col min="8721" max="8721" width="10.7109375" style="238" bestFit="1" customWidth="1"/>
    <col min="8722" max="8945" width="9.140625" style="238"/>
    <col min="8946" max="8946" width="3.28515625" style="238" customWidth="1"/>
    <col min="8947" max="8947" width="3" style="238" customWidth="1"/>
    <col min="8948" max="8948" width="4.140625" style="238" customWidth="1"/>
    <col min="8949" max="8949" width="21.5703125" style="238" customWidth="1"/>
    <col min="8950" max="8950" width="4.7109375" style="238" customWidth="1"/>
    <col min="8951" max="8951" width="2.5703125" style="238" customWidth="1"/>
    <col min="8952" max="8952" width="3" style="238" customWidth="1"/>
    <col min="8953" max="8953" width="0" style="238" hidden="1" customWidth="1"/>
    <col min="8954" max="8954" width="7.28515625" style="238" customWidth="1"/>
    <col min="8955" max="8960" width="0" style="238" hidden="1" customWidth="1"/>
    <col min="8961" max="8961" width="15.28515625" style="238" customWidth="1"/>
    <col min="8962" max="8962" width="2.28515625" style="238" customWidth="1"/>
    <col min="8963" max="8963" width="15.28515625" style="238" customWidth="1"/>
    <col min="8964" max="8964" width="2.7109375" style="238" customWidth="1"/>
    <col min="8965" max="8965" width="15.28515625" style="238" customWidth="1"/>
    <col min="8966" max="8966" width="2.28515625" style="238" customWidth="1"/>
    <col min="8967" max="8967" width="15.28515625" style="238" customWidth="1"/>
    <col min="8968" max="8968" width="2.28515625" style="238" customWidth="1"/>
    <col min="8969" max="8969" width="15.28515625" style="238" customWidth="1"/>
    <col min="8970" max="8970" width="3.140625" style="238" customWidth="1"/>
    <col min="8971" max="8971" width="9.85546875" style="238" bestFit="1" customWidth="1"/>
    <col min="8972" max="8972" width="27.7109375" style="238" customWidth="1"/>
    <col min="8973" max="8973" width="9.5703125" style="238" bestFit="1" customWidth="1"/>
    <col min="8974" max="8974" width="11.42578125" style="238" customWidth="1"/>
    <col min="8975" max="8975" width="11.42578125" style="238" bestFit="1" customWidth="1"/>
    <col min="8976" max="8976" width="9.140625" style="238"/>
    <col min="8977" max="8977" width="10.7109375" style="238" bestFit="1" customWidth="1"/>
    <col min="8978" max="9201" width="9.140625" style="238"/>
    <col min="9202" max="9202" width="3.28515625" style="238" customWidth="1"/>
    <col min="9203" max="9203" width="3" style="238" customWidth="1"/>
    <col min="9204" max="9204" width="4.140625" style="238" customWidth="1"/>
    <col min="9205" max="9205" width="21.5703125" style="238" customWidth="1"/>
    <col min="9206" max="9206" width="4.7109375" style="238" customWidth="1"/>
    <col min="9207" max="9207" width="2.5703125" style="238" customWidth="1"/>
    <col min="9208" max="9208" width="3" style="238" customWidth="1"/>
    <col min="9209" max="9209" width="0" style="238" hidden="1" customWidth="1"/>
    <col min="9210" max="9210" width="7.28515625" style="238" customWidth="1"/>
    <col min="9211" max="9216" width="0" style="238" hidden="1" customWidth="1"/>
    <col min="9217" max="9217" width="15.28515625" style="238" customWidth="1"/>
    <col min="9218" max="9218" width="2.28515625" style="238" customWidth="1"/>
    <col min="9219" max="9219" width="15.28515625" style="238" customWidth="1"/>
    <col min="9220" max="9220" width="2.7109375" style="238" customWidth="1"/>
    <col min="9221" max="9221" width="15.28515625" style="238" customWidth="1"/>
    <col min="9222" max="9222" width="2.28515625" style="238" customWidth="1"/>
    <col min="9223" max="9223" width="15.28515625" style="238" customWidth="1"/>
    <col min="9224" max="9224" width="2.28515625" style="238" customWidth="1"/>
    <col min="9225" max="9225" width="15.28515625" style="238" customWidth="1"/>
    <col min="9226" max="9226" width="3.140625" style="238" customWidth="1"/>
    <col min="9227" max="9227" width="9.85546875" style="238" bestFit="1" customWidth="1"/>
    <col min="9228" max="9228" width="27.7109375" style="238" customWidth="1"/>
    <col min="9229" max="9229" width="9.5703125" style="238" bestFit="1" customWidth="1"/>
    <col min="9230" max="9230" width="11.42578125" style="238" customWidth="1"/>
    <col min="9231" max="9231" width="11.42578125" style="238" bestFit="1" customWidth="1"/>
    <col min="9232" max="9232" width="9.140625" style="238"/>
    <col min="9233" max="9233" width="10.7109375" style="238" bestFit="1" customWidth="1"/>
    <col min="9234" max="9457" width="9.140625" style="238"/>
    <col min="9458" max="9458" width="3.28515625" style="238" customWidth="1"/>
    <col min="9459" max="9459" width="3" style="238" customWidth="1"/>
    <col min="9460" max="9460" width="4.140625" style="238" customWidth="1"/>
    <col min="9461" max="9461" width="21.5703125" style="238" customWidth="1"/>
    <col min="9462" max="9462" width="4.7109375" style="238" customWidth="1"/>
    <col min="9463" max="9463" width="2.5703125" style="238" customWidth="1"/>
    <col min="9464" max="9464" width="3" style="238" customWidth="1"/>
    <col min="9465" max="9465" width="0" style="238" hidden="1" customWidth="1"/>
    <col min="9466" max="9466" width="7.28515625" style="238" customWidth="1"/>
    <col min="9467" max="9472" width="0" style="238" hidden="1" customWidth="1"/>
    <col min="9473" max="9473" width="15.28515625" style="238" customWidth="1"/>
    <col min="9474" max="9474" width="2.28515625" style="238" customWidth="1"/>
    <col min="9475" max="9475" width="15.28515625" style="238" customWidth="1"/>
    <col min="9476" max="9476" width="2.7109375" style="238" customWidth="1"/>
    <col min="9477" max="9477" width="15.28515625" style="238" customWidth="1"/>
    <col min="9478" max="9478" width="2.28515625" style="238" customWidth="1"/>
    <col min="9479" max="9479" width="15.28515625" style="238" customWidth="1"/>
    <col min="9480" max="9480" width="2.28515625" style="238" customWidth="1"/>
    <col min="9481" max="9481" width="15.28515625" style="238" customWidth="1"/>
    <col min="9482" max="9482" width="3.140625" style="238" customWidth="1"/>
    <col min="9483" max="9483" width="9.85546875" style="238" bestFit="1" customWidth="1"/>
    <col min="9484" max="9484" width="27.7109375" style="238" customWidth="1"/>
    <col min="9485" max="9485" width="9.5703125" style="238" bestFit="1" customWidth="1"/>
    <col min="9486" max="9486" width="11.42578125" style="238" customWidth="1"/>
    <col min="9487" max="9487" width="11.42578125" style="238" bestFit="1" customWidth="1"/>
    <col min="9488" max="9488" width="9.140625" style="238"/>
    <col min="9489" max="9489" width="10.7109375" style="238" bestFit="1" customWidth="1"/>
    <col min="9490" max="9713" width="9.140625" style="238"/>
    <col min="9714" max="9714" width="3.28515625" style="238" customWidth="1"/>
    <col min="9715" max="9715" width="3" style="238" customWidth="1"/>
    <col min="9716" max="9716" width="4.140625" style="238" customWidth="1"/>
    <col min="9717" max="9717" width="21.5703125" style="238" customWidth="1"/>
    <col min="9718" max="9718" width="4.7109375" style="238" customWidth="1"/>
    <col min="9719" max="9719" width="2.5703125" style="238" customWidth="1"/>
    <col min="9720" max="9720" width="3" style="238" customWidth="1"/>
    <col min="9721" max="9721" width="0" style="238" hidden="1" customWidth="1"/>
    <col min="9722" max="9722" width="7.28515625" style="238" customWidth="1"/>
    <col min="9723" max="9728" width="0" style="238" hidden="1" customWidth="1"/>
    <col min="9729" max="9729" width="15.28515625" style="238" customWidth="1"/>
    <col min="9730" max="9730" width="2.28515625" style="238" customWidth="1"/>
    <col min="9731" max="9731" width="15.28515625" style="238" customWidth="1"/>
    <col min="9732" max="9732" width="2.7109375" style="238" customWidth="1"/>
    <col min="9733" max="9733" width="15.28515625" style="238" customWidth="1"/>
    <col min="9734" max="9734" width="2.28515625" style="238" customWidth="1"/>
    <col min="9735" max="9735" width="15.28515625" style="238" customWidth="1"/>
    <col min="9736" max="9736" width="2.28515625" style="238" customWidth="1"/>
    <col min="9737" max="9737" width="15.28515625" style="238" customWidth="1"/>
    <col min="9738" max="9738" width="3.140625" style="238" customWidth="1"/>
    <col min="9739" max="9739" width="9.85546875" style="238" bestFit="1" customWidth="1"/>
    <col min="9740" max="9740" width="27.7109375" style="238" customWidth="1"/>
    <col min="9741" max="9741" width="9.5703125" style="238" bestFit="1" customWidth="1"/>
    <col min="9742" max="9742" width="11.42578125" style="238" customWidth="1"/>
    <col min="9743" max="9743" width="11.42578125" style="238" bestFit="1" customWidth="1"/>
    <col min="9744" max="9744" width="9.140625" style="238"/>
    <col min="9745" max="9745" width="10.7109375" style="238" bestFit="1" customWidth="1"/>
    <col min="9746" max="9969" width="9.140625" style="238"/>
    <col min="9970" max="9970" width="3.28515625" style="238" customWidth="1"/>
    <col min="9971" max="9971" width="3" style="238" customWidth="1"/>
    <col min="9972" max="9972" width="4.140625" style="238" customWidth="1"/>
    <col min="9973" max="9973" width="21.5703125" style="238" customWidth="1"/>
    <col min="9974" max="9974" width="4.7109375" style="238" customWidth="1"/>
    <col min="9975" max="9975" width="2.5703125" style="238" customWidth="1"/>
    <col min="9976" max="9976" width="3" style="238" customWidth="1"/>
    <col min="9977" max="9977" width="0" style="238" hidden="1" customWidth="1"/>
    <col min="9978" max="9978" width="7.28515625" style="238" customWidth="1"/>
    <col min="9979" max="9984" width="0" style="238" hidden="1" customWidth="1"/>
    <col min="9985" max="9985" width="15.28515625" style="238" customWidth="1"/>
    <col min="9986" max="9986" width="2.28515625" style="238" customWidth="1"/>
    <col min="9987" max="9987" width="15.28515625" style="238" customWidth="1"/>
    <col min="9988" max="9988" width="2.7109375" style="238" customWidth="1"/>
    <col min="9989" max="9989" width="15.28515625" style="238" customWidth="1"/>
    <col min="9990" max="9990" width="2.28515625" style="238" customWidth="1"/>
    <col min="9991" max="9991" width="15.28515625" style="238" customWidth="1"/>
    <col min="9992" max="9992" width="2.28515625" style="238" customWidth="1"/>
    <col min="9993" max="9993" width="15.28515625" style="238" customWidth="1"/>
    <col min="9994" max="9994" width="3.140625" style="238" customWidth="1"/>
    <col min="9995" max="9995" width="9.85546875" style="238" bestFit="1" customWidth="1"/>
    <col min="9996" max="9996" width="27.7109375" style="238" customWidth="1"/>
    <col min="9997" max="9997" width="9.5703125" style="238" bestFit="1" customWidth="1"/>
    <col min="9998" max="9998" width="11.42578125" style="238" customWidth="1"/>
    <col min="9999" max="9999" width="11.42578125" style="238" bestFit="1" customWidth="1"/>
    <col min="10000" max="10000" width="9.140625" style="238"/>
    <col min="10001" max="10001" width="10.7109375" style="238" bestFit="1" customWidth="1"/>
    <col min="10002" max="10225" width="9.140625" style="238"/>
    <col min="10226" max="10226" width="3.28515625" style="238" customWidth="1"/>
    <col min="10227" max="10227" width="3" style="238" customWidth="1"/>
    <col min="10228" max="10228" width="4.140625" style="238" customWidth="1"/>
    <col min="10229" max="10229" width="21.5703125" style="238" customWidth="1"/>
    <col min="10230" max="10230" width="4.7109375" style="238" customWidth="1"/>
    <col min="10231" max="10231" width="2.5703125" style="238" customWidth="1"/>
    <col min="10232" max="10232" width="3" style="238" customWidth="1"/>
    <col min="10233" max="10233" width="0" style="238" hidden="1" customWidth="1"/>
    <col min="10234" max="10234" width="7.28515625" style="238" customWidth="1"/>
    <col min="10235" max="10240" width="0" style="238" hidden="1" customWidth="1"/>
    <col min="10241" max="10241" width="15.28515625" style="238" customWidth="1"/>
    <col min="10242" max="10242" width="2.28515625" style="238" customWidth="1"/>
    <col min="10243" max="10243" width="15.28515625" style="238" customWidth="1"/>
    <col min="10244" max="10244" width="2.7109375" style="238" customWidth="1"/>
    <col min="10245" max="10245" width="15.28515625" style="238" customWidth="1"/>
    <col min="10246" max="10246" width="2.28515625" style="238" customWidth="1"/>
    <col min="10247" max="10247" width="15.28515625" style="238" customWidth="1"/>
    <col min="10248" max="10248" width="2.28515625" style="238" customWidth="1"/>
    <col min="10249" max="10249" width="15.28515625" style="238" customWidth="1"/>
    <col min="10250" max="10250" width="3.140625" style="238" customWidth="1"/>
    <col min="10251" max="10251" width="9.85546875" style="238" bestFit="1" customWidth="1"/>
    <col min="10252" max="10252" width="27.7109375" style="238" customWidth="1"/>
    <col min="10253" max="10253" width="9.5703125" style="238" bestFit="1" customWidth="1"/>
    <col min="10254" max="10254" width="11.42578125" style="238" customWidth="1"/>
    <col min="10255" max="10255" width="11.42578125" style="238" bestFit="1" customWidth="1"/>
    <col min="10256" max="10256" width="9.140625" style="238"/>
    <col min="10257" max="10257" width="10.7109375" style="238" bestFit="1" customWidth="1"/>
    <col min="10258" max="10481" width="9.140625" style="238"/>
    <col min="10482" max="10482" width="3.28515625" style="238" customWidth="1"/>
    <col min="10483" max="10483" width="3" style="238" customWidth="1"/>
    <col min="10484" max="10484" width="4.140625" style="238" customWidth="1"/>
    <col min="10485" max="10485" width="21.5703125" style="238" customWidth="1"/>
    <col min="10486" max="10486" width="4.7109375" style="238" customWidth="1"/>
    <col min="10487" max="10487" width="2.5703125" style="238" customWidth="1"/>
    <col min="10488" max="10488" width="3" style="238" customWidth="1"/>
    <col min="10489" max="10489" width="0" style="238" hidden="1" customWidth="1"/>
    <col min="10490" max="10490" width="7.28515625" style="238" customWidth="1"/>
    <col min="10491" max="10496" width="0" style="238" hidden="1" customWidth="1"/>
    <col min="10497" max="10497" width="15.28515625" style="238" customWidth="1"/>
    <col min="10498" max="10498" width="2.28515625" style="238" customWidth="1"/>
    <col min="10499" max="10499" width="15.28515625" style="238" customWidth="1"/>
    <col min="10500" max="10500" width="2.7109375" style="238" customWidth="1"/>
    <col min="10501" max="10501" width="15.28515625" style="238" customWidth="1"/>
    <col min="10502" max="10502" width="2.28515625" style="238" customWidth="1"/>
    <col min="10503" max="10503" width="15.28515625" style="238" customWidth="1"/>
    <col min="10504" max="10504" width="2.28515625" style="238" customWidth="1"/>
    <col min="10505" max="10505" width="15.28515625" style="238" customWidth="1"/>
    <col min="10506" max="10506" width="3.140625" style="238" customWidth="1"/>
    <col min="10507" max="10507" width="9.85546875" style="238" bestFit="1" customWidth="1"/>
    <col min="10508" max="10508" width="27.7109375" style="238" customWidth="1"/>
    <col min="10509" max="10509" width="9.5703125" style="238" bestFit="1" customWidth="1"/>
    <col min="10510" max="10510" width="11.42578125" style="238" customWidth="1"/>
    <col min="10511" max="10511" width="11.42578125" style="238" bestFit="1" customWidth="1"/>
    <col min="10512" max="10512" width="9.140625" style="238"/>
    <col min="10513" max="10513" width="10.7109375" style="238" bestFit="1" customWidth="1"/>
    <col min="10514" max="10737" width="9.140625" style="238"/>
    <col min="10738" max="10738" width="3.28515625" style="238" customWidth="1"/>
    <col min="10739" max="10739" width="3" style="238" customWidth="1"/>
    <col min="10740" max="10740" width="4.140625" style="238" customWidth="1"/>
    <col min="10741" max="10741" width="21.5703125" style="238" customWidth="1"/>
    <col min="10742" max="10742" width="4.7109375" style="238" customWidth="1"/>
    <col min="10743" max="10743" width="2.5703125" style="238" customWidth="1"/>
    <col min="10744" max="10744" width="3" style="238" customWidth="1"/>
    <col min="10745" max="10745" width="0" style="238" hidden="1" customWidth="1"/>
    <col min="10746" max="10746" width="7.28515625" style="238" customWidth="1"/>
    <col min="10747" max="10752" width="0" style="238" hidden="1" customWidth="1"/>
    <col min="10753" max="10753" width="15.28515625" style="238" customWidth="1"/>
    <col min="10754" max="10754" width="2.28515625" style="238" customWidth="1"/>
    <col min="10755" max="10755" width="15.28515625" style="238" customWidth="1"/>
    <col min="10756" max="10756" width="2.7109375" style="238" customWidth="1"/>
    <col min="10757" max="10757" width="15.28515625" style="238" customWidth="1"/>
    <col min="10758" max="10758" width="2.28515625" style="238" customWidth="1"/>
    <col min="10759" max="10759" width="15.28515625" style="238" customWidth="1"/>
    <col min="10760" max="10760" width="2.28515625" style="238" customWidth="1"/>
    <col min="10761" max="10761" width="15.28515625" style="238" customWidth="1"/>
    <col min="10762" max="10762" width="3.140625" style="238" customWidth="1"/>
    <col min="10763" max="10763" width="9.85546875" style="238" bestFit="1" customWidth="1"/>
    <col min="10764" max="10764" width="27.7109375" style="238" customWidth="1"/>
    <col min="10765" max="10765" width="9.5703125" style="238" bestFit="1" customWidth="1"/>
    <col min="10766" max="10766" width="11.42578125" style="238" customWidth="1"/>
    <col min="10767" max="10767" width="11.42578125" style="238" bestFit="1" customWidth="1"/>
    <col min="10768" max="10768" width="9.140625" style="238"/>
    <col min="10769" max="10769" width="10.7109375" style="238" bestFit="1" customWidth="1"/>
    <col min="10770" max="10993" width="9.140625" style="238"/>
    <col min="10994" max="10994" width="3.28515625" style="238" customWidth="1"/>
    <col min="10995" max="10995" width="3" style="238" customWidth="1"/>
    <col min="10996" max="10996" width="4.140625" style="238" customWidth="1"/>
    <col min="10997" max="10997" width="21.5703125" style="238" customWidth="1"/>
    <col min="10998" max="10998" width="4.7109375" style="238" customWidth="1"/>
    <col min="10999" max="10999" width="2.5703125" style="238" customWidth="1"/>
    <col min="11000" max="11000" width="3" style="238" customWidth="1"/>
    <col min="11001" max="11001" width="0" style="238" hidden="1" customWidth="1"/>
    <col min="11002" max="11002" width="7.28515625" style="238" customWidth="1"/>
    <col min="11003" max="11008" width="0" style="238" hidden="1" customWidth="1"/>
    <col min="11009" max="11009" width="15.28515625" style="238" customWidth="1"/>
    <col min="11010" max="11010" width="2.28515625" style="238" customWidth="1"/>
    <col min="11011" max="11011" width="15.28515625" style="238" customWidth="1"/>
    <col min="11012" max="11012" width="2.7109375" style="238" customWidth="1"/>
    <col min="11013" max="11013" width="15.28515625" style="238" customWidth="1"/>
    <col min="11014" max="11014" width="2.28515625" style="238" customWidth="1"/>
    <col min="11015" max="11015" width="15.28515625" style="238" customWidth="1"/>
    <col min="11016" max="11016" width="2.28515625" style="238" customWidth="1"/>
    <col min="11017" max="11017" width="15.28515625" style="238" customWidth="1"/>
    <col min="11018" max="11018" width="3.140625" style="238" customWidth="1"/>
    <col min="11019" max="11019" width="9.85546875" style="238" bestFit="1" customWidth="1"/>
    <col min="11020" max="11020" width="27.7109375" style="238" customWidth="1"/>
    <col min="11021" max="11021" width="9.5703125" style="238" bestFit="1" customWidth="1"/>
    <col min="11022" max="11022" width="11.42578125" style="238" customWidth="1"/>
    <col min="11023" max="11023" width="11.42578125" style="238" bestFit="1" customWidth="1"/>
    <col min="11024" max="11024" width="9.140625" style="238"/>
    <col min="11025" max="11025" width="10.7109375" style="238" bestFit="1" customWidth="1"/>
    <col min="11026" max="11249" width="9.140625" style="238"/>
    <col min="11250" max="11250" width="3.28515625" style="238" customWidth="1"/>
    <col min="11251" max="11251" width="3" style="238" customWidth="1"/>
    <col min="11252" max="11252" width="4.140625" style="238" customWidth="1"/>
    <col min="11253" max="11253" width="21.5703125" style="238" customWidth="1"/>
    <col min="11254" max="11254" width="4.7109375" style="238" customWidth="1"/>
    <col min="11255" max="11255" width="2.5703125" style="238" customWidth="1"/>
    <col min="11256" max="11256" width="3" style="238" customWidth="1"/>
    <col min="11257" max="11257" width="0" style="238" hidden="1" customWidth="1"/>
    <col min="11258" max="11258" width="7.28515625" style="238" customWidth="1"/>
    <col min="11259" max="11264" width="0" style="238" hidden="1" customWidth="1"/>
    <col min="11265" max="11265" width="15.28515625" style="238" customWidth="1"/>
    <col min="11266" max="11266" width="2.28515625" style="238" customWidth="1"/>
    <col min="11267" max="11267" width="15.28515625" style="238" customWidth="1"/>
    <col min="11268" max="11268" width="2.7109375" style="238" customWidth="1"/>
    <col min="11269" max="11269" width="15.28515625" style="238" customWidth="1"/>
    <col min="11270" max="11270" width="2.28515625" style="238" customWidth="1"/>
    <col min="11271" max="11271" width="15.28515625" style="238" customWidth="1"/>
    <col min="11272" max="11272" width="2.28515625" style="238" customWidth="1"/>
    <col min="11273" max="11273" width="15.28515625" style="238" customWidth="1"/>
    <col min="11274" max="11274" width="3.140625" style="238" customWidth="1"/>
    <col min="11275" max="11275" width="9.85546875" style="238" bestFit="1" customWidth="1"/>
    <col min="11276" max="11276" width="27.7109375" style="238" customWidth="1"/>
    <col min="11277" max="11277" width="9.5703125" style="238" bestFit="1" customWidth="1"/>
    <col min="11278" max="11278" width="11.42578125" style="238" customWidth="1"/>
    <col min="11279" max="11279" width="11.42578125" style="238" bestFit="1" customWidth="1"/>
    <col min="11280" max="11280" width="9.140625" style="238"/>
    <col min="11281" max="11281" width="10.7109375" style="238" bestFit="1" customWidth="1"/>
    <col min="11282" max="11505" width="9.140625" style="238"/>
    <col min="11506" max="11506" width="3.28515625" style="238" customWidth="1"/>
    <col min="11507" max="11507" width="3" style="238" customWidth="1"/>
    <col min="11508" max="11508" width="4.140625" style="238" customWidth="1"/>
    <col min="11509" max="11509" width="21.5703125" style="238" customWidth="1"/>
    <col min="11510" max="11510" width="4.7109375" style="238" customWidth="1"/>
    <col min="11511" max="11511" width="2.5703125" style="238" customWidth="1"/>
    <col min="11512" max="11512" width="3" style="238" customWidth="1"/>
    <col min="11513" max="11513" width="0" style="238" hidden="1" customWidth="1"/>
    <col min="11514" max="11514" width="7.28515625" style="238" customWidth="1"/>
    <col min="11515" max="11520" width="0" style="238" hidden="1" customWidth="1"/>
    <col min="11521" max="11521" width="15.28515625" style="238" customWidth="1"/>
    <col min="11522" max="11522" width="2.28515625" style="238" customWidth="1"/>
    <col min="11523" max="11523" width="15.28515625" style="238" customWidth="1"/>
    <col min="11524" max="11524" width="2.7109375" style="238" customWidth="1"/>
    <col min="11525" max="11525" width="15.28515625" style="238" customWidth="1"/>
    <col min="11526" max="11526" width="2.28515625" style="238" customWidth="1"/>
    <col min="11527" max="11527" width="15.28515625" style="238" customWidth="1"/>
    <col min="11528" max="11528" width="2.28515625" style="238" customWidth="1"/>
    <col min="11529" max="11529" width="15.28515625" style="238" customWidth="1"/>
    <col min="11530" max="11530" width="3.140625" style="238" customWidth="1"/>
    <col min="11531" max="11531" width="9.85546875" style="238" bestFit="1" customWidth="1"/>
    <col min="11532" max="11532" width="27.7109375" style="238" customWidth="1"/>
    <col min="11533" max="11533" width="9.5703125" style="238" bestFit="1" customWidth="1"/>
    <col min="11534" max="11534" width="11.42578125" style="238" customWidth="1"/>
    <col min="11535" max="11535" width="11.42578125" style="238" bestFit="1" customWidth="1"/>
    <col min="11536" max="11536" width="9.140625" style="238"/>
    <col min="11537" max="11537" width="10.7109375" style="238" bestFit="1" customWidth="1"/>
    <col min="11538" max="11761" width="9.140625" style="238"/>
    <col min="11762" max="11762" width="3.28515625" style="238" customWidth="1"/>
    <col min="11763" max="11763" width="3" style="238" customWidth="1"/>
    <col min="11764" max="11764" width="4.140625" style="238" customWidth="1"/>
    <col min="11765" max="11765" width="21.5703125" style="238" customWidth="1"/>
    <col min="11766" max="11766" width="4.7109375" style="238" customWidth="1"/>
    <col min="11767" max="11767" width="2.5703125" style="238" customWidth="1"/>
    <col min="11768" max="11768" width="3" style="238" customWidth="1"/>
    <col min="11769" max="11769" width="0" style="238" hidden="1" customWidth="1"/>
    <col min="11770" max="11770" width="7.28515625" style="238" customWidth="1"/>
    <col min="11771" max="11776" width="0" style="238" hidden="1" customWidth="1"/>
    <col min="11777" max="11777" width="15.28515625" style="238" customWidth="1"/>
    <col min="11778" max="11778" width="2.28515625" style="238" customWidth="1"/>
    <col min="11779" max="11779" width="15.28515625" style="238" customWidth="1"/>
    <col min="11780" max="11780" width="2.7109375" style="238" customWidth="1"/>
    <col min="11781" max="11781" width="15.28515625" style="238" customWidth="1"/>
    <col min="11782" max="11782" width="2.28515625" style="238" customWidth="1"/>
    <col min="11783" max="11783" width="15.28515625" style="238" customWidth="1"/>
    <col min="11784" max="11784" width="2.28515625" style="238" customWidth="1"/>
    <col min="11785" max="11785" width="15.28515625" style="238" customWidth="1"/>
    <col min="11786" max="11786" width="3.140625" style="238" customWidth="1"/>
    <col min="11787" max="11787" width="9.85546875" style="238" bestFit="1" customWidth="1"/>
    <col min="11788" max="11788" width="27.7109375" style="238" customWidth="1"/>
    <col min="11789" max="11789" width="9.5703125" style="238" bestFit="1" customWidth="1"/>
    <col min="11790" max="11790" width="11.42578125" style="238" customWidth="1"/>
    <col min="11791" max="11791" width="11.42578125" style="238" bestFit="1" customWidth="1"/>
    <col min="11792" max="11792" width="9.140625" style="238"/>
    <col min="11793" max="11793" width="10.7109375" style="238" bestFit="1" customWidth="1"/>
    <col min="11794" max="12017" width="9.140625" style="238"/>
    <col min="12018" max="12018" width="3.28515625" style="238" customWidth="1"/>
    <col min="12019" max="12019" width="3" style="238" customWidth="1"/>
    <col min="12020" max="12020" width="4.140625" style="238" customWidth="1"/>
    <col min="12021" max="12021" width="21.5703125" style="238" customWidth="1"/>
    <col min="12022" max="12022" width="4.7109375" style="238" customWidth="1"/>
    <col min="12023" max="12023" width="2.5703125" style="238" customWidth="1"/>
    <col min="12024" max="12024" width="3" style="238" customWidth="1"/>
    <col min="12025" max="12025" width="0" style="238" hidden="1" customWidth="1"/>
    <col min="12026" max="12026" width="7.28515625" style="238" customWidth="1"/>
    <col min="12027" max="12032" width="0" style="238" hidden="1" customWidth="1"/>
    <col min="12033" max="12033" width="15.28515625" style="238" customWidth="1"/>
    <col min="12034" max="12034" width="2.28515625" style="238" customWidth="1"/>
    <col min="12035" max="12035" width="15.28515625" style="238" customWidth="1"/>
    <col min="12036" max="12036" width="2.7109375" style="238" customWidth="1"/>
    <col min="12037" max="12037" width="15.28515625" style="238" customWidth="1"/>
    <col min="12038" max="12038" width="2.28515625" style="238" customWidth="1"/>
    <col min="12039" max="12039" width="15.28515625" style="238" customWidth="1"/>
    <col min="12040" max="12040" width="2.28515625" style="238" customWidth="1"/>
    <col min="12041" max="12041" width="15.28515625" style="238" customWidth="1"/>
    <col min="12042" max="12042" width="3.140625" style="238" customWidth="1"/>
    <col min="12043" max="12043" width="9.85546875" style="238" bestFit="1" customWidth="1"/>
    <col min="12044" max="12044" width="27.7109375" style="238" customWidth="1"/>
    <col min="12045" max="12045" width="9.5703125" style="238" bestFit="1" customWidth="1"/>
    <col min="12046" max="12046" width="11.42578125" style="238" customWidth="1"/>
    <col min="12047" max="12047" width="11.42578125" style="238" bestFit="1" customWidth="1"/>
    <col min="12048" max="12048" width="9.140625" style="238"/>
    <col min="12049" max="12049" width="10.7109375" style="238" bestFit="1" customWidth="1"/>
    <col min="12050" max="12273" width="9.140625" style="238"/>
    <col min="12274" max="12274" width="3.28515625" style="238" customWidth="1"/>
    <col min="12275" max="12275" width="3" style="238" customWidth="1"/>
    <col min="12276" max="12276" width="4.140625" style="238" customWidth="1"/>
    <col min="12277" max="12277" width="21.5703125" style="238" customWidth="1"/>
    <col min="12278" max="12278" width="4.7109375" style="238" customWidth="1"/>
    <col min="12279" max="12279" width="2.5703125" style="238" customWidth="1"/>
    <col min="12280" max="12280" width="3" style="238" customWidth="1"/>
    <col min="12281" max="12281" width="0" style="238" hidden="1" customWidth="1"/>
    <col min="12282" max="12282" width="7.28515625" style="238" customWidth="1"/>
    <col min="12283" max="12288" width="0" style="238" hidden="1" customWidth="1"/>
    <col min="12289" max="12289" width="15.28515625" style="238" customWidth="1"/>
    <col min="12290" max="12290" width="2.28515625" style="238" customWidth="1"/>
    <col min="12291" max="12291" width="15.28515625" style="238" customWidth="1"/>
    <col min="12292" max="12292" width="2.7109375" style="238" customWidth="1"/>
    <col min="12293" max="12293" width="15.28515625" style="238" customWidth="1"/>
    <col min="12294" max="12294" width="2.28515625" style="238" customWidth="1"/>
    <col min="12295" max="12295" width="15.28515625" style="238" customWidth="1"/>
    <col min="12296" max="12296" width="2.28515625" style="238" customWidth="1"/>
    <col min="12297" max="12297" width="15.28515625" style="238" customWidth="1"/>
    <col min="12298" max="12298" width="3.140625" style="238" customWidth="1"/>
    <col min="12299" max="12299" width="9.85546875" style="238" bestFit="1" customWidth="1"/>
    <col min="12300" max="12300" width="27.7109375" style="238" customWidth="1"/>
    <col min="12301" max="12301" width="9.5703125" style="238" bestFit="1" customWidth="1"/>
    <col min="12302" max="12302" width="11.42578125" style="238" customWidth="1"/>
    <col min="12303" max="12303" width="11.42578125" style="238" bestFit="1" customWidth="1"/>
    <col min="12304" max="12304" width="9.140625" style="238"/>
    <col min="12305" max="12305" width="10.7109375" style="238" bestFit="1" customWidth="1"/>
    <col min="12306" max="12529" width="9.140625" style="238"/>
    <col min="12530" max="12530" width="3.28515625" style="238" customWidth="1"/>
    <col min="12531" max="12531" width="3" style="238" customWidth="1"/>
    <col min="12532" max="12532" width="4.140625" style="238" customWidth="1"/>
    <col min="12533" max="12533" width="21.5703125" style="238" customWidth="1"/>
    <col min="12534" max="12534" width="4.7109375" style="238" customWidth="1"/>
    <col min="12535" max="12535" width="2.5703125" style="238" customWidth="1"/>
    <col min="12536" max="12536" width="3" style="238" customWidth="1"/>
    <col min="12537" max="12537" width="0" style="238" hidden="1" customWidth="1"/>
    <col min="12538" max="12538" width="7.28515625" style="238" customWidth="1"/>
    <col min="12539" max="12544" width="0" style="238" hidden="1" customWidth="1"/>
    <col min="12545" max="12545" width="15.28515625" style="238" customWidth="1"/>
    <col min="12546" max="12546" width="2.28515625" style="238" customWidth="1"/>
    <col min="12547" max="12547" width="15.28515625" style="238" customWidth="1"/>
    <col min="12548" max="12548" width="2.7109375" style="238" customWidth="1"/>
    <col min="12549" max="12549" width="15.28515625" style="238" customWidth="1"/>
    <col min="12550" max="12550" width="2.28515625" style="238" customWidth="1"/>
    <col min="12551" max="12551" width="15.28515625" style="238" customWidth="1"/>
    <col min="12552" max="12552" width="2.28515625" style="238" customWidth="1"/>
    <col min="12553" max="12553" width="15.28515625" style="238" customWidth="1"/>
    <col min="12554" max="12554" width="3.140625" style="238" customWidth="1"/>
    <col min="12555" max="12555" width="9.85546875" style="238" bestFit="1" customWidth="1"/>
    <col min="12556" max="12556" width="27.7109375" style="238" customWidth="1"/>
    <col min="12557" max="12557" width="9.5703125" style="238" bestFit="1" customWidth="1"/>
    <col min="12558" max="12558" width="11.42578125" style="238" customWidth="1"/>
    <col min="12559" max="12559" width="11.42578125" style="238" bestFit="1" customWidth="1"/>
    <col min="12560" max="12560" width="9.140625" style="238"/>
    <col min="12561" max="12561" width="10.7109375" style="238" bestFit="1" customWidth="1"/>
    <col min="12562" max="12785" width="9.140625" style="238"/>
    <col min="12786" max="12786" width="3.28515625" style="238" customWidth="1"/>
    <col min="12787" max="12787" width="3" style="238" customWidth="1"/>
    <col min="12788" max="12788" width="4.140625" style="238" customWidth="1"/>
    <col min="12789" max="12789" width="21.5703125" style="238" customWidth="1"/>
    <col min="12790" max="12790" width="4.7109375" style="238" customWidth="1"/>
    <col min="12791" max="12791" width="2.5703125" style="238" customWidth="1"/>
    <col min="12792" max="12792" width="3" style="238" customWidth="1"/>
    <col min="12793" max="12793" width="0" style="238" hidden="1" customWidth="1"/>
    <col min="12794" max="12794" width="7.28515625" style="238" customWidth="1"/>
    <col min="12795" max="12800" width="0" style="238" hidden="1" customWidth="1"/>
    <col min="12801" max="12801" width="15.28515625" style="238" customWidth="1"/>
    <col min="12802" max="12802" width="2.28515625" style="238" customWidth="1"/>
    <col min="12803" max="12803" width="15.28515625" style="238" customWidth="1"/>
    <col min="12804" max="12804" width="2.7109375" style="238" customWidth="1"/>
    <col min="12805" max="12805" width="15.28515625" style="238" customWidth="1"/>
    <col min="12806" max="12806" width="2.28515625" style="238" customWidth="1"/>
    <col min="12807" max="12807" width="15.28515625" style="238" customWidth="1"/>
    <col min="12808" max="12808" width="2.28515625" style="238" customWidth="1"/>
    <col min="12809" max="12809" width="15.28515625" style="238" customWidth="1"/>
    <col min="12810" max="12810" width="3.140625" style="238" customWidth="1"/>
    <col min="12811" max="12811" width="9.85546875" style="238" bestFit="1" customWidth="1"/>
    <col min="12812" max="12812" width="27.7109375" style="238" customWidth="1"/>
    <col min="12813" max="12813" width="9.5703125" style="238" bestFit="1" customWidth="1"/>
    <col min="12814" max="12814" width="11.42578125" style="238" customWidth="1"/>
    <col min="12815" max="12815" width="11.42578125" style="238" bestFit="1" customWidth="1"/>
    <col min="12816" max="12816" width="9.140625" style="238"/>
    <col min="12817" max="12817" width="10.7109375" style="238" bestFit="1" customWidth="1"/>
    <col min="12818" max="13041" width="9.140625" style="238"/>
    <col min="13042" max="13042" width="3.28515625" style="238" customWidth="1"/>
    <col min="13043" max="13043" width="3" style="238" customWidth="1"/>
    <col min="13044" max="13044" width="4.140625" style="238" customWidth="1"/>
    <col min="13045" max="13045" width="21.5703125" style="238" customWidth="1"/>
    <col min="13046" max="13046" width="4.7109375" style="238" customWidth="1"/>
    <col min="13047" max="13047" width="2.5703125" style="238" customWidth="1"/>
    <col min="13048" max="13048" width="3" style="238" customWidth="1"/>
    <col min="13049" max="13049" width="0" style="238" hidden="1" customWidth="1"/>
    <col min="13050" max="13050" width="7.28515625" style="238" customWidth="1"/>
    <col min="13051" max="13056" width="0" style="238" hidden="1" customWidth="1"/>
    <col min="13057" max="13057" width="15.28515625" style="238" customWidth="1"/>
    <col min="13058" max="13058" width="2.28515625" style="238" customWidth="1"/>
    <col min="13059" max="13059" width="15.28515625" style="238" customWidth="1"/>
    <col min="13060" max="13060" width="2.7109375" style="238" customWidth="1"/>
    <col min="13061" max="13061" width="15.28515625" style="238" customWidth="1"/>
    <col min="13062" max="13062" width="2.28515625" style="238" customWidth="1"/>
    <col min="13063" max="13063" width="15.28515625" style="238" customWidth="1"/>
    <col min="13064" max="13064" width="2.28515625" style="238" customWidth="1"/>
    <col min="13065" max="13065" width="15.28515625" style="238" customWidth="1"/>
    <col min="13066" max="13066" width="3.140625" style="238" customWidth="1"/>
    <col min="13067" max="13067" width="9.85546875" style="238" bestFit="1" customWidth="1"/>
    <col min="13068" max="13068" width="27.7109375" style="238" customWidth="1"/>
    <col min="13069" max="13069" width="9.5703125" style="238" bestFit="1" customWidth="1"/>
    <col min="13070" max="13070" width="11.42578125" style="238" customWidth="1"/>
    <col min="13071" max="13071" width="11.42578125" style="238" bestFit="1" customWidth="1"/>
    <col min="13072" max="13072" width="9.140625" style="238"/>
    <col min="13073" max="13073" width="10.7109375" style="238" bestFit="1" customWidth="1"/>
    <col min="13074" max="13297" width="9.140625" style="238"/>
    <col min="13298" max="13298" width="3.28515625" style="238" customWidth="1"/>
    <col min="13299" max="13299" width="3" style="238" customWidth="1"/>
    <col min="13300" max="13300" width="4.140625" style="238" customWidth="1"/>
    <col min="13301" max="13301" width="21.5703125" style="238" customWidth="1"/>
    <col min="13302" max="13302" width="4.7109375" style="238" customWidth="1"/>
    <col min="13303" max="13303" width="2.5703125" style="238" customWidth="1"/>
    <col min="13304" max="13304" width="3" style="238" customWidth="1"/>
    <col min="13305" max="13305" width="0" style="238" hidden="1" customWidth="1"/>
    <col min="13306" max="13306" width="7.28515625" style="238" customWidth="1"/>
    <col min="13307" max="13312" width="0" style="238" hidden="1" customWidth="1"/>
    <col min="13313" max="13313" width="15.28515625" style="238" customWidth="1"/>
    <col min="13314" max="13314" width="2.28515625" style="238" customWidth="1"/>
    <col min="13315" max="13315" width="15.28515625" style="238" customWidth="1"/>
    <col min="13316" max="13316" width="2.7109375" style="238" customWidth="1"/>
    <col min="13317" max="13317" width="15.28515625" style="238" customWidth="1"/>
    <col min="13318" max="13318" width="2.28515625" style="238" customWidth="1"/>
    <col min="13319" max="13319" width="15.28515625" style="238" customWidth="1"/>
    <col min="13320" max="13320" width="2.28515625" style="238" customWidth="1"/>
    <col min="13321" max="13321" width="15.28515625" style="238" customWidth="1"/>
    <col min="13322" max="13322" width="3.140625" style="238" customWidth="1"/>
    <col min="13323" max="13323" width="9.85546875" style="238" bestFit="1" customWidth="1"/>
    <col min="13324" max="13324" width="27.7109375" style="238" customWidth="1"/>
    <col min="13325" max="13325" width="9.5703125" style="238" bestFit="1" customWidth="1"/>
    <col min="13326" max="13326" width="11.42578125" style="238" customWidth="1"/>
    <col min="13327" max="13327" width="11.42578125" style="238" bestFit="1" customWidth="1"/>
    <col min="13328" max="13328" width="9.140625" style="238"/>
    <col min="13329" max="13329" width="10.7109375" style="238" bestFit="1" customWidth="1"/>
    <col min="13330" max="13553" width="9.140625" style="238"/>
    <col min="13554" max="13554" width="3.28515625" style="238" customWidth="1"/>
    <col min="13555" max="13555" width="3" style="238" customWidth="1"/>
    <col min="13556" max="13556" width="4.140625" style="238" customWidth="1"/>
    <col min="13557" max="13557" width="21.5703125" style="238" customWidth="1"/>
    <col min="13558" max="13558" width="4.7109375" style="238" customWidth="1"/>
    <col min="13559" max="13559" width="2.5703125" style="238" customWidth="1"/>
    <col min="13560" max="13560" width="3" style="238" customWidth="1"/>
    <col min="13561" max="13561" width="0" style="238" hidden="1" customWidth="1"/>
    <col min="13562" max="13562" width="7.28515625" style="238" customWidth="1"/>
    <col min="13563" max="13568" width="0" style="238" hidden="1" customWidth="1"/>
    <col min="13569" max="13569" width="15.28515625" style="238" customWidth="1"/>
    <col min="13570" max="13570" width="2.28515625" style="238" customWidth="1"/>
    <col min="13571" max="13571" width="15.28515625" style="238" customWidth="1"/>
    <col min="13572" max="13572" width="2.7109375" style="238" customWidth="1"/>
    <col min="13573" max="13573" width="15.28515625" style="238" customWidth="1"/>
    <col min="13574" max="13574" width="2.28515625" style="238" customWidth="1"/>
    <col min="13575" max="13575" width="15.28515625" style="238" customWidth="1"/>
    <col min="13576" max="13576" width="2.28515625" style="238" customWidth="1"/>
    <col min="13577" max="13577" width="15.28515625" style="238" customWidth="1"/>
    <col min="13578" max="13578" width="3.140625" style="238" customWidth="1"/>
    <col min="13579" max="13579" width="9.85546875" style="238" bestFit="1" customWidth="1"/>
    <col min="13580" max="13580" width="27.7109375" style="238" customWidth="1"/>
    <col min="13581" max="13581" width="9.5703125" style="238" bestFit="1" customWidth="1"/>
    <col min="13582" max="13582" width="11.42578125" style="238" customWidth="1"/>
    <col min="13583" max="13583" width="11.42578125" style="238" bestFit="1" customWidth="1"/>
    <col min="13584" max="13584" width="9.140625" style="238"/>
    <col min="13585" max="13585" width="10.7109375" style="238" bestFit="1" customWidth="1"/>
    <col min="13586" max="13809" width="9.140625" style="238"/>
    <col min="13810" max="13810" width="3.28515625" style="238" customWidth="1"/>
    <col min="13811" max="13811" width="3" style="238" customWidth="1"/>
    <col min="13812" max="13812" width="4.140625" style="238" customWidth="1"/>
    <col min="13813" max="13813" width="21.5703125" style="238" customWidth="1"/>
    <col min="13814" max="13814" width="4.7109375" style="238" customWidth="1"/>
    <col min="13815" max="13815" width="2.5703125" style="238" customWidth="1"/>
    <col min="13816" max="13816" width="3" style="238" customWidth="1"/>
    <col min="13817" max="13817" width="0" style="238" hidden="1" customWidth="1"/>
    <col min="13818" max="13818" width="7.28515625" style="238" customWidth="1"/>
    <col min="13819" max="13824" width="0" style="238" hidden="1" customWidth="1"/>
    <col min="13825" max="13825" width="15.28515625" style="238" customWidth="1"/>
    <col min="13826" max="13826" width="2.28515625" style="238" customWidth="1"/>
    <col min="13827" max="13827" width="15.28515625" style="238" customWidth="1"/>
    <col min="13828" max="13828" width="2.7109375" style="238" customWidth="1"/>
    <col min="13829" max="13829" width="15.28515625" style="238" customWidth="1"/>
    <col min="13830" max="13830" width="2.28515625" style="238" customWidth="1"/>
    <col min="13831" max="13831" width="15.28515625" style="238" customWidth="1"/>
    <col min="13832" max="13832" width="2.28515625" style="238" customWidth="1"/>
    <col min="13833" max="13833" width="15.28515625" style="238" customWidth="1"/>
    <col min="13834" max="13834" width="3.140625" style="238" customWidth="1"/>
    <col min="13835" max="13835" width="9.85546875" style="238" bestFit="1" customWidth="1"/>
    <col min="13836" max="13836" width="27.7109375" style="238" customWidth="1"/>
    <col min="13837" max="13837" width="9.5703125" style="238" bestFit="1" customWidth="1"/>
    <col min="13838" max="13838" width="11.42578125" style="238" customWidth="1"/>
    <col min="13839" max="13839" width="11.42578125" style="238" bestFit="1" customWidth="1"/>
    <col min="13840" max="13840" width="9.140625" style="238"/>
    <col min="13841" max="13841" width="10.7109375" style="238" bestFit="1" customWidth="1"/>
    <col min="13842" max="14065" width="9.140625" style="238"/>
    <col min="14066" max="14066" width="3.28515625" style="238" customWidth="1"/>
    <col min="14067" max="14067" width="3" style="238" customWidth="1"/>
    <col min="14068" max="14068" width="4.140625" style="238" customWidth="1"/>
    <col min="14069" max="14069" width="21.5703125" style="238" customWidth="1"/>
    <col min="14070" max="14070" width="4.7109375" style="238" customWidth="1"/>
    <col min="14071" max="14071" width="2.5703125" style="238" customWidth="1"/>
    <col min="14072" max="14072" width="3" style="238" customWidth="1"/>
    <col min="14073" max="14073" width="0" style="238" hidden="1" customWidth="1"/>
    <col min="14074" max="14074" width="7.28515625" style="238" customWidth="1"/>
    <col min="14075" max="14080" width="0" style="238" hidden="1" customWidth="1"/>
    <col min="14081" max="14081" width="15.28515625" style="238" customWidth="1"/>
    <col min="14082" max="14082" width="2.28515625" style="238" customWidth="1"/>
    <col min="14083" max="14083" width="15.28515625" style="238" customWidth="1"/>
    <col min="14084" max="14084" width="2.7109375" style="238" customWidth="1"/>
    <col min="14085" max="14085" width="15.28515625" style="238" customWidth="1"/>
    <col min="14086" max="14086" width="2.28515625" style="238" customWidth="1"/>
    <col min="14087" max="14087" width="15.28515625" style="238" customWidth="1"/>
    <col min="14088" max="14088" width="2.28515625" style="238" customWidth="1"/>
    <col min="14089" max="14089" width="15.28515625" style="238" customWidth="1"/>
    <col min="14090" max="14090" width="3.140625" style="238" customWidth="1"/>
    <col min="14091" max="14091" width="9.85546875" style="238" bestFit="1" customWidth="1"/>
    <col min="14092" max="14092" width="27.7109375" style="238" customWidth="1"/>
    <col min="14093" max="14093" width="9.5703125" style="238" bestFit="1" customWidth="1"/>
    <col min="14094" max="14094" width="11.42578125" style="238" customWidth="1"/>
    <col min="14095" max="14095" width="11.42578125" style="238" bestFit="1" customWidth="1"/>
    <col min="14096" max="14096" width="9.140625" style="238"/>
    <col min="14097" max="14097" width="10.7109375" style="238" bestFit="1" customWidth="1"/>
    <col min="14098" max="14321" width="9.140625" style="238"/>
    <col min="14322" max="14322" width="3.28515625" style="238" customWidth="1"/>
    <col min="14323" max="14323" width="3" style="238" customWidth="1"/>
    <col min="14324" max="14324" width="4.140625" style="238" customWidth="1"/>
    <col min="14325" max="14325" width="21.5703125" style="238" customWidth="1"/>
    <col min="14326" max="14326" width="4.7109375" style="238" customWidth="1"/>
    <col min="14327" max="14327" width="2.5703125" style="238" customWidth="1"/>
    <col min="14328" max="14328" width="3" style="238" customWidth="1"/>
    <col min="14329" max="14329" width="0" style="238" hidden="1" customWidth="1"/>
    <col min="14330" max="14330" width="7.28515625" style="238" customWidth="1"/>
    <col min="14331" max="14336" width="0" style="238" hidden="1" customWidth="1"/>
    <col min="14337" max="14337" width="15.28515625" style="238" customWidth="1"/>
    <col min="14338" max="14338" width="2.28515625" style="238" customWidth="1"/>
    <col min="14339" max="14339" width="15.28515625" style="238" customWidth="1"/>
    <col min="14340" max="14340" width="2.7109375" style="238" customWidth="1"/>
    <col min="14341" max="14341" width="15.28515625" style="238" customWidth="1"/>
    <col min="14342" max="14342" width="2.28515625" style="238" customWidth="1"/>
    <col min="14343" max="14343" width="15.28515625" style="238" customWidth="1"/>
    <col min="14344" max="14344" width="2.28515625" style="238" customWidth="1"/>
    <col min="14345" max="14345" width="15.28515625" style="238" customWidth="1"/>
    <col min="14346" max="14346" width="3.140625" style="238" customWidth="1"/>
    <col min="14347" max="14347" width="9.85546875" style="238" bestFit="1" customWidth="1"/>
    <col min="14348" max="14348" width="27.7109375" style="238" customWidth="1"/>
    <col min="14349" max="14349" width="9.5703125" style="238" bestFit="1" customWidth="1"/>
    <col min="14350" max="14350" width="11.42578125" style="238" customWidth="1"/>
    <col min="14351" max="14351" width="11.42578125" style="238" bestFit="1" customWidth="1"/>
    <col min="14352" max="14352" width="9.140625" style="238"/>
    <col min="14353" max="14353" width="10.7109375" style="238" bestFit="1" customWidth="1"/>
    <col min="14354" max="14577" width="9.140625" style="238"/>
    <col min="14578" max="14578" width="3.28515625" style="238" customWidth="1"/>
    <col min="14579" max="14579" width="3" style="238" customWidth="1"/>
    <col min="14580" max="14580" width="4.140625" style="238" customWidth="1"/>
    <col min="14581" max="14581" width="21.5703125" style="238" customWidth="1"/>
    <col min="14582" max="14582" width="4.7109375" style="238" customWidth="1"/>
    <col min="14583" max="14583" width="2.5703125" style="238" customWidth="1"/>
    <col min="14584" max="14584" width="3" style="238" customWidth="1"/>
    <col min="14585" max="14585" width="0" style="238" hidden="1" customWidth="1"/>
    <col min="14586" max="14586" width="7.28515625" style="238" customWidth="1"/>
    <col min="14587" max="14592" width="0" style="238" hidden="1" customWidth="1"/>
    <col min="14593" max="14593" width="15.28515625" style="238" customWidth="1"/>
    <col min="14594" max="14594" width="2.28515625" style="238" customWidth="1"/>
    <col min="14595" max="14595" width="15.28515625" style="238" customWidth="1"/>
    <col min="14596" max="14596" width="2.7109375" style="238" customWidth="1"/>
    <col min="14597" max="14597" width="15.28515625" style="238" customWidth="1"/>
    <col min="14598" max="14598" width="2.28515625" style="238" customWidth="1"/>
    <col min="14599" max="14599" width="15.28515625" style="238" customWidth="1"/>
    <col min="14600" max="14600" width="2.28515625" style="238" customWidth="1"/>
    <col min="14601" max="14601" width="15.28515625" style="238" customWidth="1"/>
    <col min="14602" max="14602" width="3.140625" style="238" customWidth="1"/>
    <col min="14603" max="14603" width="9.85546875" style="238" bestFit="1" customWidth="1"/>
    <col min="14604" max="14604" width="27.7109375" style="238" customWidth="1"/>
    <col min="14605" max="14605" width="9.5703125" style="238" bestFit="1" customWidth="1"/>
    <col min="14606" max="14606" width="11.42578125" style="238" customWidth="1"/>
    <col min="14607" max="14607" width="11.42578125" style="238" bestFit="1" customWidth="1"/>
    <col min="14608" max="14608" width="9.140625" style="238"/>
    <col min="14609" max="14609" width="10.7109375" style="238" bestFit="1" customWidth="1"/>
    <col min="14610" max="14833" width="9.140625" style="238"/>
    <col min="14834" max="14834" width="3.28515625" style="238" customWidth="1"/>
    <col min="14835" max="14835" width="3" style="238" customWidth="1"/>
    <col min="14836" max="14836" width="4.140625" style="238" customWidth="1"/>
    <col min="14837" max="14837" width="21.5703125" style="238" customWidth="1"/>
    <col min="14838" max="14838" width="4.7109375" style="238" customWidth="1"/>
    <col min="14839" max="14839" width="2.5703125" style="238" customWidth="1"/>
    <col min="14840" max="14840" width="3" style="238" customWidth="1"/>
    <col min="14841" max="14841" width="0" style="238" hidden="1" customWidth="1"/>
    <col min="14842" max="14842" width="7.28515625" style="238" customWidth="1"/>
    <col min="14843" max="14848" width="0" style="238" hidden="1" customWidth="1"/>
    <col min="14849" max="14849" width="15.28515625" style="238" customWidth="1"/>
    <col min="14850" max="14850" width="2.28515625" style="238" customWidth="1"/>
    <col min="14851" max="14851" width="15.28515625" style="238" customWidth="1"/>
    <col min="14852" max="14852" width="2.7109375" style="238" customWidth="1"/>
    <col min="14853" max="14853" width="15.28515625" style="238" customWidth="1"/>
    <col min="14854" max="14854" width="2.28515625" style="238" customWidth="1"/>
    <col min="14855" max="14855" width="15.28515625" style="238" customWidth="1"/>
    <col min="14856" max="14856" width="2.28515625" style="238" customWidth="1"/>
    <col min="14857" max="14857" width="15.28515625" style="238" customWidth="1"/>
    <col min="14858" max="14858" width="3.140625" style="238" customWidth="1"/>
    <col min="14859" max="14859" width="9.85546875" style="238" bestFit="1" customWidth="1"/>
    <col min="14860" max="14860" width="27.7109375" style="238" customWidth="1"/>
    <col min="14861" max="14861" width="9.5703125" style="238" bestFit="1" customWidth="1"/>
    <col min="14862" max="14862" width="11.42578125" style="238" customWidth="1"/>
    <col min="14863" max="14863" width="11.42578125" style="238" bestFit="1" customWidth="1"/>
    <col min="14864" max="14864" width="9.140625" style="238"/>
    <col min="14865" max="14865" width="10.7109375" style="238" bestFit="1" customWidth="1"/>
    <col min="14866" max="15089" width="9.140625" style="238"/>
    <col min="15090" max="15090" width="3.28515625" style="238" customWidth="1"/>
    <col min="15091" max="15091" width="3" style="238" customWidth="1"/>
    <col min="15092" max="15092" width="4.140625" style="238" customWidth="1"/>
    <col min="15093" max="15093" width="21.5703125" style="238" customWidth="1"/>
    <col min="15094" max="15094" width="4.7109375" style="238" customWidth="1"/>
    <col min="15095" max="15095" width="2.5703125" style="238" customWidth="1"/>
    <col min="15096" max="15096" width="3" style="238" customWidth="1"/>
    <col min="15097" max="15097" width="0" style="238" hidden="1" customWidth="1"/>
    <col min="15098" max="15098" width="7.28515625" style="238" customWidth="1"/>
    <col min="15099" max="15104" width="0" style="238" hidden="1" customWidth="1"/>
    <col min="15105" max="15105" width="15.28515625" style="238" customWidth="1"/>
    <col min="15106" max="15106" width="2.28515625" style="238" customWidth="1"/>
    <col min="15107" max="15107" width="15.28515625" style="238" customWidth="1"/>
    <col min="15108" max="15108" width="2.7109375" style="238" customWidth="1"/>
    <col min="15109" max="15109" width="15.28515625" style="238" customWidth="1"/>
    <col min="15110" max="15110" width="2.28515625" style="238" customWidth="1"/>
    <col min="15111" max="15111" width="15.28515625" style="238" customWidth="1"/>
    <col min="15112" max="15112" width="2.28515625" style="238" customWidth="1"/>
    <col min="15113" max="15113" width="15.28515625" style="238" customWidth="1"/>
    <col min="15114" max="15114" width="3.140625" style="238" customWidth="1"/>
    <col min="15115" max="15115" width="9.85546875" style="238" bestFit="1" customWidth="1"/>
    <col min="15116" max="15116" width="27.7109375" style="238" customWidth="1"/>
    <col min="15117" max="15117" width="9.5703125" style="238" bestFit="1" customWidth="1"/>
    <col min="15118" max="15118" width="11.42578125" style="238" customWidth="1"/>
    <col min="15119" max="15119" width="11.42578125" style="238" bestFit="1" customWidth="1"/>
    <col min="15120" max="15120" width="9.140625" style="238"/>
    <col min="15121" max="15121" width="10.7109375" style="238" bestFit="1" customWidth="1"/>
    <col min="15122" max="15345" width="9.140625" style="238"/>
    <col min="15346" max="15346" width="3.28515625" style="238" customWidth="1"/>
    <col min="15347" max="15347" width="3" style="238" customWidth="1"/>
    <col min="15348" max="15348" width="4.140625" style="238" customWidth="1"/>
    <col min="15349" max="15349" width="21.5703125" style="238" customWidth="1"/>
    <col min="15350" max="15350" width="4.7109375" style="238" customWidth="1"/>
    <col min="15351" max="15351" width="2.5703125" style="238" customWidth="1"/>
    <col min="15352" max="15352" width="3" style="238" customWidth="1"/>
    <col min="15353" max="15353" width="0" style="238" hidden="1" customWidth="1"/>
    <col min="15354" max="15354" width="7.28515625" style="238" customWidth="1"/>
    <col min="15355" max="15360" width="0" style="238" hidden="1" customWidth="1"/>
    <col min="15361" max="15361" width="15.28515625" style="238" customWidth="1"/>
    <col min="15362" max="15362" width="2.28515625" style="238" customWidth="1"/>
    <col min="15363" max="15363" width="15.28515625" style="238" customWidth="1"/>
    <col min="15364" max="15364" width="2.7109375" style="238" customWidth="1"/>
    <col min="15365" max="15365" width="15.28515625" style="238" customWidth="1"/>
    <col min="15366" max="15366" width="2.28515625" style="238" customWidth="1"/>
    <col min="15367" max="15367" width="15.28515625" style="238" customWidth="1"/>
    <col min="15368" max="15368" width="2.28515625" style="238" customWidth="1"/>
    <col min="15369" max="15369" width="15.28515625" style="238" customWidth="1"/>
    <col min="15370" max="15370" width="3.140625" style="238" customWidth="1"/>
    <col min="15371" max="15371" width="9.85546875" style="238" bestFit="1" customWidth="1"/>
    <col min="15372" max="15372" width="27.7109375" style="238" customWidth="1"/>
    <col min="15373" max="15373" width="9.5703125" style="238" bestFit="1" customWidth="1"/>
    <col min="15374" max="15374" width="11.42578125" style="238" customWidth="1"/>
    <col min="15375" max="15375" width="11.42578125" style="238" bestFit="1" customWidth="1"/>
    <col min="15376" max="15376" width="9.140625" style="238"/>
    <col min="15377" max="15377" width="10.7109375" style="238" bestFit="1" customWidth="1"/>
    <col min="15378" max="15601" width="9.140625" style="238"/>
    <col min="15602" max="15602" width="3.28515625" style="238" customWidth="1"/>
    <col min="15603" max="15603" width="3" style="238" customWidth="1"/>
    <col min="15604" max="15604" width="4.140625" style="238" customWidth="1"/>
    <col min="15605" max="15605" width="21.5703125" style="238" customWidth="1"/>
    <col min="15606" max="15606" width="4.7109375" style="238" customWidth="1"/>
    <col min="15607" max="15607" width="2.5703125" style="238" customWidth="1"/>
    <col min="15608" max="15608" width="3" style="238" customWidth="1"/>
    <col min="15609" max="15609" width="0" style="238" hidden="1" customWidth="1"/>
    <col min="15610" max="15610" width="7.28515625" style="238" customWidth="1"/>
    <col min="15611" max="15616" width="0" style="238" hidden="1" customWidth="1"/>
    <col min="15617" max="15617" width="15.28515625" style="238" customWidth="1"/>
    <col min="15618" max="15618" width="2.28515625" style="238" customWidth="1"/>
    <col min="15619" max="15619" width="15.28515625" style="238" customWidth="1"/>
    <col min="15620" max="15620" width="2.7109375" style="238" customWidth="1"/>
    <col min="15621" max="15621" width="15.28515625" style="238" customWidth="1"/>
    <col min="15622" max="15622" width="2.28515625" style="238" customWidth="1"/>
    <col min="15623" max="15623" width="15.28515625" style="238" customWidth="1"/>
    <col min="15624" max="15624" width="2.28515625" style="238" customWidth="1"/>
    <col min="15625" max="15625" width="15.28515625" style="238" customWidth="1"/>
    <col min="15626" max="15626" width="3.140625" style="238" customWidth="1"/>
    <col min="15627" max="15627" width="9.85546875" style="238" bestFit="1" customWidth="1"/>
    <col min="15628" max="15628" width="27.7109375" style="238" customWidth="1"/>
    <col min="15629" max="15629" width="9.5703125" style="238" bestFit="1" customWidth="1"/>
    <col min="15630" max="15630" width="11.42578125" style="238" customWidth="1"/>
    <col min="15631" max="15631" width="11.42578125" style="238" bestFit="1" customWidth="1"/>
    <col min="15632" max="15632" width="9.140625" style="238"/>
    <col min="15633" max="15633" width="10.7109375" style="238" bestFit="1" customWidth="1"/>
    <col min="15634" max="15857" width="9.140625" style="238"/>
    <col min="15858" max="15858" width="3.28515625" style="238" customWidth="1"/>
    <col min="15859" max="15859" width="3" style="238" customWidth="1"/>
    <col min="15860" max="15860" width="4.140625" style="238" customWidth="1"/>
    <col min="15861" max="15861" width="21.5703125" style="238" customWidth="1"/>
    <col min="15862" max="15862" width="4.7109375" style="238" customWidth="1"/>
    <col min="15863" max="15863" width="2.5703125" style="238" customWidth="1"/>
    <col min="15864" max="15864" width="3" style="238" customWidth="1"/>
    <col min="15865" max="15865" width="0" style="238" hidden="1" customWidth="1"/>
    <col min="15866" max="15866" width="7.28515625" style="238" customWidth="1"/>
    <col min="15867" max="15872" width="0" style="238" hidden="1" customWidth="1"/>
    <col min="15873" max="15873" width="15.28515625" style="238" customWidth="1"/>
    <col min="15874" max="15874" width="2.28515625" style="238" customWidth="1"/>
    <col min="15875" max="15875" width="15.28515625" style="238" customWidth="1"/>
    <col min="15876" max="15876" width="2.7109375" style="238" customWidth="1"/>
    <col min="15877" max="15877" width="15.28515625" style="238" customWidth="1"/>
    <col min="15878" max="15878" width="2.28515625" style="238" customWidth="1"/>
    <col min="15879" max="15879" width="15.28515625" style="238" customWidth="1"/>
    <col min="15880" max="15880" width="2.28515625" style="238" customWidth="1"/>
    <col min="15881" max="15881" width="15.28515625" style="238" customWidth="1"/>
    <col min="15882" max="15882" width="3.140625" style="238" customWidth="1"/>
    <col min="15883" max="15883" width="9.85546875" style="238" bestFit="1" customWidth="1"/>
    <col min="15884" max="15884" width="27.7109375" style="238" customWidth="1"/>
    <col min="15885" max="15885" width="9.5703125" style="238" bestFit="1" customWidth="1"/>
    <col min="15886" max="15886" width="11.42578125" style="238" customWidth="1"/>
    <col min="15887" max="15887" width="11.42578125" style="238" bestFit="1" customWidth="1"/>
    <col min="15888" max="15888" width="9.140625" style="238"/>
    <col min="15889" max="15889" width="10.7109375" style="238" bestFit="1" customWidth="1"/>
    <col min="15890" max="16113" width="9.140625" style="238"/>
    <col min="16114" max="16114" width="3.28515625" style="238" customWidth="1"/>
    <col min="16115" max="16115" width="3" style="238" customWidth="1"/>
    <col min="16116" max="16116" width="4.140625" style="238" customWidth="1"/>
    <col min="16117" max="16117" width="21.5703125" style="238" customWidth="1"/>
    <col min="16118" max="16118" width="4.7109375" style="238" customWidth="1"/>
    <col min="16119" max="16119" width="2.5703125" style="238" customWidth="1"/>
    <col min="16120" max="16120" width="3" style="238" customWidth="1"/>
    <col min="16121" max="16121" width="0" style="238" hidden="1" customWidth="1"/>
    <col min="16122" max="16122" width="7.28515625" style="238" customWidth="1"/>
    <col min="16123" max="16128" width="0" style="238" hidden="1" customWidth="1"/>
    <col min="16129" max="16129" width="15.28515625" style="238" customWidth="1"/>
    <col min="16130" max="16130" width="2.28515625" style="238" customWidth="1"/>
    <col min="16131" max="16131" width="15.28515625" style="238" customWidth="1"/>
    <col min="16132" max="16132" width="2.7109375" style="238" customWidth="1"/>
    <col min="16133" max="16133" width="15.28515625" style="238" customWidth="1"/>
    <col min="16134" max="16134" width="2.28515625" style="238" customWidth="1"/>
    <col min="16135" max="16135" width="15.28515625" style="238" customWidth="1"/>
    <col min="16136" max="16136" width="2.28515625" style="238" customWidth="1"/>
    <col min="16137" max="16137" width="15.28515625" style="238" customWidth="1"/>
    <col min="16138" max="16138" width="3.140625" style="238" customWidth="1"/>
    <col min="16139" max="16139" width="9.85546875" style="238" bestFit="1" customWidth="1"/>
    <col min="16140" max="16140" width="27.7109375" style="238" customWidth="1"/>
    <col min="16141" max="16141" width="9.5703125" style="238" bestFit="1" customWidth="1"/>
    <col min="16142" max="16142" width="11.42578125" style="238" customWidth="1"/>
    <col min="16143" max="16143" width="11.42578125" style="238" bestFit="1" customWidth="1"/>
    <col min="16144" max="16144" width="9.140625" style="238"/>
    <col min="16145" max="16145" width="10.7109375" style="238" bestFit="1" customWidth="1"/>
    <col min="16146" max="16376" width="9.140625" style="238"/>
    <col min="16377" max="16384" width="9.140625" style="238" customWidth="1"/>
  </cols>
  <sheetData>
    <row r="1" spans="1:22" ht="15" customHeight="1" x14ac:dyDescent="0.25">
      <c r="A1" s="1461" t="str">
        <f>INFO!B1</f>
        <v>EVANSVILLE (INDIANA) WATERWORKS DISTRICT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  <c r="M1" s="1461"/>
      <c r="N1" s="1461"/>
    </row>
    <row r="2" spans="1:22" ht="15" customHeight="1" x14ac:dyDescent="0.25">
      <c r="A2" s="270"/>
      <c r="B2" s="270"/>
      <c r="C2" s="270"/>
      <c r="D2" s="270"/>
      <c r="E2" s="270"/>
      <c r="F2" s="270"/>
      <c r="G2" s="270"/>
      <c r="H2" s="247"/>
      <c r="I2" s="247"/>
      <c r="J2" s="247"/>
      <c r="O2" s="1419"/>
      <c r="P2" s="1420">
        <f>K10/$O$3</f>
        <v>0.54521211737250952</v>
      </c>
      <c r="Q2" s="1419" t="s">
        <v>73</v>
      </c>
      <c r="R2" s="1419"/>
    </row>
    <row r="3" spans="1:22" ht="15" customHeight="1" x14ac:dyDescent="0.25">
      <c r="A3" s="1460" t="s">
        <v>267</v>
      </c>
      <c r="B3" s="1460"/>
      <c r="C3" s="1460"/>
      <c r="D3" s="1460"/>
      <c r="E3" s="1460"/>
      <c r="F3" s="1460"/>
      <c r="G3" s="1460"/>
      <c r="H3" s="1460"/>
      <c r="I3" s="1460"/>
      <c r="J3" s="1460"/>
      <c r="K3" s="1460"/>
      <c r="L3" s="1460"/>
      <c r="M3" s="1460"/>
      <c r="N3" s="1460"/>
      <c r="O3" s="1421">
        <f>SUM(K10:K13)</f>
        <v>32263364</v>
      </c>
      <c r="P3" s="1420">
        <f>K11/$O$3</f>
        <v>0.16676999335841111</v>
      </c>
      <c r="Q3" s="1419" t="s">
        <v>499</v>
      </c>
      <c r="R3" s="1419"/>
    </row>
    <row r="4" spans="1:22" ht="15" customHeight="1" x14ac:dyDescent="0.25">
      <c r="A4" s="1460" t="s">
        <v>447</v>
      </c>
      <c r="B4" s="1460"/>
      <c r="C4" s="1460"/>
      <c r="D4" s="1460"/>
      <c r="E4" s="1460"/>
      <c r="F4" s="1460"/>
      <c r="G4" s="1460"/>
      <c r="H4" s="1460"/>
      <c r="I4" s="1460"/>
      <c r="J4" s="1460"/>
      <c r="K4" s="1460"/>
      <c r="L4" s="1460"/>
      <c r="M4" s="1460"/>
      <c r="N4" s="1460"/>
      <c r="O4" s="1419"/>
      <c r="P4" s="1420">
        <f>K12/$O$3</f>
        <v>0.24941745070352861</v>
      </c>
      <c r="Q4" s="1419" t="s">
        <v>270</v>
      </c>
      <c r="R4" s="1419"/>
    </row>
    <row r="5" spans="1:22" ht="15" customHeight="1" x14ac:dyDescent="0.25">
      <c r="A5" s="270"/>
      <c r="B5" s="270"/>
      <c r="C5" s="270"/>
      <c r="D5" s="270"/>
      <c r="E5" s="270"/>
      <c r="F5" s="270"/>
      <c r="G5" s="270"/>
      <c r="O5" s="1419"/>
      <c r="P5" s="1420">
        <f>K13/$O$3</f>
        <v>3.8600438565550697E-2</v>
      </c>
      <c r="Q5" s="1419" t="s">
        <v>514</v>
      </c>
      <c r="R5" s="1419"/>
    </row>
    <row r="6" spans="1:22" ht="15" customHeight="1" x14ac:dyDescent="0.25">
      <c r="A6" s="276"/>
      <c r="B6" s="236"/>
      <c r="C6" s="236"/>
      <c r="D6" s="236"/>
      <c r="E6" s="236"/>
      <c r="F6" s="236"/>
      <c r="G6" s="339"/>
      <c r="I6" s="278"/>
      <c r="M6" s="524" t="s">
        <v>618</v>
      </c>
      <c r="N6" s="1216"/>
      <c r="O6" s="1419"/>
      <c r="P6" s="1419"/>
      <c r="Q6" s="1419"/>
      <c r="R6" s="1419"/>
      <c r="T6" s="258"/>
      <c r="U6" s="258"/>
      <c r="V6" s="258"/>
    </row>
    <row r="7" spans="1:22" ht="15" customHeight="1" x14ac:dyDescent="0.25">
      <c r="A7" s="276"/>
      <c r="B7" s="236"/>
      <c r="C7" s="236"/>
      <c r="D7" s="236"/>
      <c r="E7" s="236"/>
      <c r="F7" s="236"/>
      <c r="G7" s="1458" t="s">
        <v>4</v>
      </c>
      <c r="H7" s="1458"/>
      <c r="I7" s="1458"/>
      <c r="J7" s="1458"/>
      <c r="K7" s="1458"/>
      <c r="M7" s="524" t="s">
        <v>80</v>
      </c>
      <c r="N7" s="1216"/>
      <c r="O7" s="1419"/>
      <c r="P7" s="1419"/>
      <c r="Q7" s="1419"/>
      <c r="R7" s="1419"/>
      <c r="T7" s="258"/>
      <c r="U7" s="258"/>
      <c r="V7" s="258"/>
    </row>
    <row r="8" spans="1:22" ht="15" customHeight="1" x14ac:dyDescent="0.25">
      <c r="A8" s="236"/>
      <c r="B8" s="236"/>
      <c r="C8" s="236"/>
      <c r="D8" s="236"/>
      <c r="E8" s="236"/>
      <c r="F8" s="236"/>
      <c r="G8" s="519">
        <v>2017</v>
      </c>
      <c r="I8" s="519">
        <v>2018</v>
      </c>
      <c r="K8" s="519">
        <v>2019</v>
      </c>
      <c r="M8" s="38">
        <v>44104</v>
      </c>
      <c r="N8" s="279"/>
      <c r="T8" s="281"/>
      <c r="U8" s="281"/>
      <c r="V8" s="281"/>
    </row>
    <row r="9" spans="1:22" ht="15" customHeight="1" x14ac:dyDescent="0.25">
      <c r="A9" s="236" t="s">
        <v>72</v>
      </c>
      <c r="B9" s="236"/>
      <c r="C9" s="236"/>
      <c r="D9" s="236"/>
      <c r="E9" s="236"/>
      <c r="F9" s="236"/>
      <c r="G9" s="283"/>
      <c r="I9" s="283"/>
      <c r="T9" s="258"/>
      <c r="U9" s="258"/>
      <c r="V9" s="258"/>
    </row>
    <row r="10" spans="1:22" ht="15.75" x14ac:dyDescent="0.25">
      <c r="A10" s="236"/>
      <c r="B10" s="236" t="s">
        <v>73</v>
      </c>
      <c r="C10" s="236"/>
      <c r="D10" s="236"/>
      <c r="E10" s="236"/>
      <c r="F10" s="282"/>
      <c r="G10" s="446">
        <v>14049944</v>
      </c>
      <c r="H10" s="430"/>
      <c r="I10" s="360">
        <v>15515452</v>
      </c>
      <c r="J10" s="430"/>
      <c r="K10" s="448">
        <v>17590377</v>
      </c>
      <c r="L10" s="471"/>
      <c r="M10" s="454">
        <v>19390251</v>
      </c>
      <c r="N10" s="454"/>
      <c r="O10" s="259"/>
      <c r="P10" s="259"/>
      <c r="Q10" s="259"/>
      <c r="T10" s="286"/>
      <c r="U10" s="286"/>
      <c r="V10" s="286"/>
    </row>
    <row r="11" spans="1:22" ht="15" customHeight="1" x14ac:dyDescent="0.25">
      <c r="A11" s="236"/>
      <c r="B11" s="236" t="s">
        <v>499</v>
      </c>
      <c r="C11" s="236"/>
      <c r="D11" s="236"/>
      <c r="E11" s="236"/>
      <c r="F11" s="276"/>
      <c r="G11" s="22">
        <v>3841400</v>
      </c>
      <c r="H11" s="946"/>
      <c r="I11" s="22">
        <v>4919223</v>
      </c>
      <c r="J11" s="946"/>
      <c r="K11" s="22">
        <v>5380561</v>
      </c>
      <c r="L11" s="947"/>
      <c r="M11" s="87">
        <v>5779922</v>
      </c>
      <c r="N11" s="87"/>
      <c r="O11" s="259"/>
      <c r="P11" s="240"/>
      <c r="Q11" s="244"/>
      <c r="T11" s="289"/>
      <c r="U11" s="286"/>
      <c r="V11" s="286"/>
    </row>
    <row r="12" spans="1:22" ht="15" customHeight="1" x14ac:dyDescent="0.25">
      <c r="A12" s="236"/>
      <c r="B12" s="236" t="s">
        <v>270</v>
      </c>
      <c r="C12" s="236"/>
      <c r="D12" s="236"/>
      <c r="E12" s="236"/>
      <c r="F12" s="276"/>
      <c r="G12" s="22">
        <v>6321110</v>
      </c>
      <c r="H12" s="946"/>
      <c r="I12" s="22">
        <v>7093897</v>
      </c>
      <c r="J12" s="946"/>
      <c r="K12" s="22">
        <v>8047046</v>
      </c>
      <c r="L12" s="947"/>
      <c r="M12" s="87">
        <v>8257024</v>
      </c>
      <c r="N12" s="87"/>
      <c r="O12" s="259"/>
      <c r="P12" s="240"/>
      <c r="T12" s="289"/>
      <c r="U12" s="286"/>
      <c r="V12" s="286"/>
    </row>
    <row r="13" spans="1:22" ht="15" customHeight="1" x14ac:dyDescent="0.25">
      <c r="A13" s="236"/>
      <c r="B13" s="236" t="s">
        <v>500</v>
      </c>
      <c r="C13" s="236"/>
      <c r="D13" s="236"/>
      <c r="E13" s="236"/>
      <c r="F13" s="276"/>
      <c r="G13" s="22">
        <v>949658</v>
      </c>
      <c r="H13" s="946"/>
      <c r="I13" s="22">
        <v>1090342</v>
      </c>
      <c r="J13" s="946"/>
      <c r="K13" s="22">
        <v>1245380</v>
      </c>
      <c r="L13" s="947"/>
      <c r="M13" s="87">
        <v>1194300</v>
      </c>
      <c r="N13" s="87"/>
      <c r="P13" s="240"/>
      <c r="Q13" s="240"/>
      <c r="T13" s="289"/>
      <c r="U13" s="286"/>
      <c r="V13" s="286"/>
    </row>
    <row r="14" spans="1:22" s="243" customFormat="1" ht="15" customHeight="1" x14ac:dyDescent="0.25">
      <c r="A14" s="290"/>
      <c r="B14" s="290" t="s">
        <v>244</v>
      </c>
      <c r="C14" s="290"/>
      <c r="D14" s="290"/>
      <c r="E14" s="290"/>
      <c r="F14" s="287"/>
      <c r="G14" s="22">
        <v>4108875</v>
      </c>
      <c r="H14" s="948"/>
      <c r="I14" s="22">
        <v>4692883</v>
      </c>
      <c r="J14" s="948"/>
      <c r="K14" s="22">
        <v>5482235</v>
      </c>
      <c r="L14" s="22"/>
      <c r="M14" s="87">
        <v>6033846</v>
      </c>
      <c r="N14" s="87"/>
      <c r="O14" s="520"/>
      <c r="P14" s="242"/>
      <c r="T14" s="292"/>
      <c r="U14" s="293"/>
      <c r="V14" s="293"/>
    </row>
    <row r="15" spans="1:22" ht="15" customHeight="1" x14ac:dyDescent="0.25">
      <c r="A15" s="236"/>
      <c r="B15" s="236" t="s">
        <v>245</v>
      </c>
      <c r="C15" s="236"/>
      <c r="D15" s="236"/>
      <c r="E15" s="236"/>
      <c r="F15" s="276"/>
      <c r="G15" s="22">
        <v>157166</v>
      </c>
      <c r="H15" s="949"/>
      <c r="I15" s="22">
        <v>150919</v>
      </c>
      <c r="J15" s="949"/>
      <c r="K15" s="22">
        <v>168044</v>
      </c>
      <c r="L15" s="947"/>
      <c r="M15" s="87">
        <v>92791</v>
      </c>
      <c r="N15" s="87"/>
      <c r="O15" s="522"/>
      <c r="P15" s="274"/>
      <c r="T15" s="289"/>
      <c r="U15" s="286"/>
      <c r="V15" s="286"/>
    </row>
    <row r="16" spans="1:22" ht="15" customHeight="1" x14ac:dyDescent="0.25">
      <c r="A16" s="236"/>
      <c r="B16" s="236" t="s">
        <v>18</v>
      </c>
      <c r="C16" s="236"/>
      <c r="D16" s="236"/>
      <c r="E16" s="236"/>
      <c r="F16" s="276"/>
      <c r="G16" s="22">
        <v>330330</v>
      </c>
      <c r="H16" s="949"/>
      <c r="I16" s="22">
        <v>413666</v>
      </c>
      <c r="J16" s="949"/>
      <c r="K16" s="22">
        <v>439636</v>
      </c>
      <c r="L16" s="22"/>
      <c r="M16" s="87">
        <v>210143</v>
      </c>
      <c r="N16" s="87"/>
      <c r="O16" s="274"/>
      <c r="P16" s="244"/>
      <c r="R16" s="244"/>
      <c r="T16" s="289"/>
      <c r="U16" s="286"/>
      <c r="V16" s="286"/>
    </row>
    <row r="17" spans="1:22" ht="15" customHeight="1" x14ac:dyDescent="0.25">
      <c r="A17" s="236"/>
      <c r="B17" s="236" t="s">
        <v>246</v>
      </c>
      <c r="C17" s="236"/>
      <c r="D17" s="236"/>
      <c r="E17" s="236"/>
      <c r="F17" s="276"/>
      <c r="G17" s="22">
        <v>5383983</v>
      </c>
      <c r="H17" s="949"/>
      <c r="I17" s="22">
        <v>7242492</v>
      </c>
      <c r="J17" s="949"/>
      <c r="K17" s="22">
        <v>9735550</v>
      </c>
      <c r="L17" s="1226" t="s">
        <v>83</v>
      </c>
      <c r="M17" s="87">
        <v>11662997</v>
      </c>
      <c r="N17" s="1226" t="s">
        <v>83</v>
      </c>
      <c r="T17" s="289"/>
      <c r="U17" s="286"/>
      <c r="V17" s="286"/>
    </row>
    <row r="18" spans="1:22" ht="15" customHeight="1" x14ac:dyDescent="0.25">
      <c r="A18" s="236"/>
      <c r="B18" s="236"/>
      <c r="C18" s="236"/>
      <c r="D18" s="236"/>
      <c r="E18" s="236"/>
      <c r="F18" s="276"/>
      <c r="G18" s="295"/>
      <c r="I18" s="295"/>
      <c r="K18" s="295"/>
      <c r="L18" s="521"/>
      <c r="M18" s="295"/>
      <c r="N18" s="444"/>
      <c r="T18" s="289"/>
      <c r="U18" s="286"/>
      <c r="V18" s="286"/>
    </row>
    <row r="19" spans="1:22" ht="15" customHeight="1" x14ac:dyDescent="0.25">
      <c r="A19" s="236"/>
      <c r="B19" s="236"/>
      <c r="C19" s="236"/>
      <c r="D19" s="236" t="s">
        <v>74</v>
      </c>
      <c r="E19" s="236"/>
      <c r="F19" s="276"/>
      <c r="G19" s="294">
        <f>SUM(G10:G18)</f>
        <v>35142466</v>
      </c>
      <c r="I19" s="294">
        <f>SUM(I10:I18)</f>
        <v>41118874</v>
      </c>
      <c r="K19" s="294">
        <f>SUM(K10:K18)</f>
        <v>48088829</v>
      </c>
      <c r="L19" s="471"/>
      <c r="M19" s="294">
        <f>SUM(M10:M18)</f>
        <v>52621274</v>
      </c>
      <c r="N19" s="444"/>
      <c r="O19" s="285"/>
      <c r="P19" s="285"/>
      <c r="Q19" s="259"/>
      <c r="R19" s="244"/>
      <c r="T19" s="289"/>
      <c r="U19" s="286"/>
      <c r="V19" s="286"/>
    </row>
    <row r="20" spans="1:22" ht="15" customHeight="1" x14ac:dyDescent="0.25">
      <c r="A20" s="236"/>
      <c r="B20" s="236"/>
      <c r="C20" s="236"/>
      <c r="D20" s="236"/>
      <c r="E20" s="236"/>
      <c r="F20" s="276"/>
      <c r="G20" s="287"/>
      <c r="I20" s="287"/>
      <c r="K20" s="287"/>
      <c r="L20" s="471"/>
      <c r="M20" s="287"/>
      <c r="N20" s="287"/>
      <c r="O20" s="285"/>
      <c r="P20" s="285"/>
      <c r="T20" s="289"/>
      <c r="U20" s="286"/>
      <c r="V20" s="286"/>
    </row>
    <row r="21" spans="1:22" ht="15" customHeight="1" x14ac:dyDescent="0.25">
      <c r="A21" s="236" t="s">
        <v>272</v>
      </c>
      <c r="B21" s="236"/>
      <c r="C21" s="236"/>
      <c r="D21" s="236"/>
      <c r="E21" s="236"/>
      <c r="F21" s="276"/>
      <c r="G21" s="287"/>
      <c r="I21" s="287"/>
      <c r="K21" s="287"/>
      <c r="L21" s="471"/>
      <c r="M21" s="287"/>
      <c r="N21" s="287"/>
      <c r="O21" s="285"/>
      <c r="P21" s="285"/>
      <c r="T21" s="289"/>
      <c r="U21" s="286"/>
      <c r="V21" s="286"/>
    </row>
    <row r="22" spans="1:22" ht="15" customHeight="1" x14ac:dyDescent="0.25">
      <c r="A22" s="236"/>
      <c r="B22" s="236" t="s">
        <v>311</v>
      </c>
      <c r="C22" s="236"/>
      <c r="D22" s="236"/>
      <c r="E22" s="236"/>
      <c r="F22" s="276"/>
      <c r="G22" s="338">
        <v>1650592</v>
      </c>
      <c r="I22" s="338">
        <v>1899888</v>
      </c>
      <c r="J22" s="398"/>
      <c r="K22" s="466">
        <v>1684737</v>
      </c>
      <c r="L22" s="471"/>
      <c r="M22" s="466">
        <v>1636370</v>
      </c>
      <c r="N22" s="466"/>
      <c r="O22" s="285"/>
      <c r="P22" s="285"/>
      <c r="T22" s="289"/>
      <c r="U22" s="286"/>
      <c r="V22" s="286"/>
    </row>
    <row r="23" spans="1:22" ht="15" customHeight="1" x14ac:dyDescent="0.25">
      <c r="A23" s="236"/>
      <c r="B23" s="236" t="s">
        <v>319</v>
      </c>
      <c r="C23" s="236"/>
      <c r="D23" s="236"/>
      <c r="E23" s="236"/>
      <c r="F23" s="276"/>
      <c r="G23" s="466">
        <v>3479311</v>
      </c>
      <c r="I23" s="466">
        <v>4500227</v>
      </c>
      <c r="J23" s="725"/>
      <c r="K23" s="466">
        <v>3338570</v>
      </c>
      <c r="L23" s="471"/>
      <c r="M23" s="466">
        <v>3409245</v>
      </c>
      <c r="N23" s="466"/>
      <c r="O23" s="285"/>
      <c r="P23" s="285"/>
      <c r="T23" s="289"/>
      <c r="U23" s="286"/>
      <c r="V23" s="286"/>
    </row>
    <row r="24" spans="1:22" ht="15" customHeight="1" x14ac:dyDescent="0.25">
      <c r="A24" s="236"/>
      <c r="B24" s="236" t="s">
        <v>247</v>
      </c>
      <c r="C24" s="236"/>
      <c r="D24" s="236"/>
      <c r="E24" s="236"/>
      <c r="F24" s="276"/>
      <c r="G24" s="466">
        <v>4960777</v>
      </c>
      <c r="I24" s="466">
        <v>5207164</v>
      </c>
      <c r="J24" s="725"/>
      <c r="K24" s="466">
        <v>4706466</v>
      </c>
      <c r="L24" s="471"/>
      <c r="M24" s="466">
        <v>4681890</v>
      </c>
      <c r="N24" s="466"/>
      <c r="O24" s="285"/>
      <c r="P24" s="285"/>
      <c r="T24" s="289"/>
      <c r="U24" s="286"/>
      <c r="V24" s="286"/>
    </row>
    <row r="25" spans="1:22" ht="15" customHeight="1" x14ac:dyDescent="0.25">
      <c r="A25" s="236"/>
      <c r="B25" s="236" t="s">
        <v>248</v>
      </c>
      <c r="C25" s="236"/>
      <c r="D25" s="236"/>
      <c r="E25" s="236"/>
      <c r="F25" s="276"/>
      <c r="G25" s="466">
        <v>3481490</v>
      </c>
      <c r="I25" s="466">
        <v>3198059</v>
      </c>
      <c r="J25" s="725"/>
      <c r="K25" s="466">
        <v>3592514</v>
      </c>
      <c r="L25" s="471"/>
      <c r="M25" s="466">
        <v>3639682</v>
      </c>
      <c r="N25" s="466"/>
      <c r="O25" s="285"/>
      <c r="P25" s="285"/>
      <c r="T25" s="289"/>
      <c r="U25" s="286"/>
      <c r="V25" s="286"/>
    </row>
    <row r="26" spans="1:22" ht="15" customHeight="1" x14ac:dyDescent="0.25">
      <c r="A26" s="236"/>
      <c r="B26" s="236" t="s">
        <v>249</v>
      </c>
      <c r="C26" s="236"/>
      <c r="D26" s="236"/>
      <c r="E26" s="236"/>
      <c r="F26" s="276"/>
      <c r="G26" s="458">
        <v>7296224</v>
      </c>
      <c r="I26" s="466">
        <v>8828459</v>
      </c>
      <c r="J26" s="725"/>
      <c r="K26" s="466">
        <v>14543097</v>
      </c>
      <c r="L26" s="471"/>
      <c r="M26" s="466">
        <v>15033417</v>
      </c>
      <c r="N26" s="466"/>
      <c r="O26" s="285"/>
      <c r="P26" s="285"/>
      <c r="T26" s="289"/>
      <c r="U26" s="286"/>
      <c r="V26" s="286"/>
    </row>
    <row r="27" spans="1:22" ht="15" customHeight="1" x14ac:dyDescent="0.25">
      <c r="A27" s="236"/>
      <c r="B27" s="236"/>
      <c r="C27" s="236"/>
      <c r="D27" s="236"/>
      <c r="E27" s="236"/>
      <c r="F27" s="276"/>
      <c r="G27" s="287"/>
      <c r="I27" s="295"/>
      <c r="K27" s="295"/>
      <c r="L27" s="471"/>
      <c r="M27" s="295"/>
      <c r="N27" s="444"/>
      <c r="O27" s="285"/>
      <c r="P27" s="285"/>
      <c r="T27" s="289"/>
      <c r="U27" s="286"/>
      <c r="V27" s="286"/>
    </row>
    <row r="28" spans="1:22" ht="15" customHeight="1" x14ac:dyDescent="0.25">
      <c r="A28" s="236"/>
      <c r="B28" s="236"/>
      <c r="C28" s="236"/>
      <c r="D28" s="236" t="s">
        <v>19</v>
      </c>
      <c r="E28" s="236"/>
      <c r="F28" s="276"/>
      <c r="G28" s="338">
        <f>SUM(G22:G27)</f>
        <v>20868394</v>
      </c>
      <c r="I28" s="338">
        <f>SUM(I22:I27)</f>
        <v>23633797</v>
      </c>
      <c r="K28" s="466">
        <f>SUM(K22:K27)</f>
        <v>27865384</v>
      </c>
      <c r="L28" s="471"/>
      <c r="M28" s="466">
        <v>28400613</v>
      </c>
      <c r="N28" s="466"/>
      <c r="O28" s="285"/>
      <c r="P28" s="285"/>
      <c r="T28" s="289"/>
      <c r="U28" s="286"/>
      <c r="V28" s="286"/>
    </row>
    <row r="29" spans="1:22" ht="15" customHeight="1" x14ac:dyDescent="0.25">
      <c r="A29" s="236"/>
      <c r="B29" s="236" t="s">
        <v>250</v>
      </c>
      <c r="C29" s="236"/>
      <c r="D29" s="236"/>
      <c r="E29" s="236"/>
      <c r="F29" s="276"/>
      <c r="G29" s="338">
        <v>3892231</v>
      </c>
      <c r="I29" s="338">
        <v>5677032</v>
      </c>
      <c r="K29" s="466">
        <v>5863681</v>
      </c>
      <c r="L29" s="471"/>
      <c r="M29" s="466">
        <v>5970013</v>
      </c>
      <c r="N29" s="466"/>
      <c r="O29" s="285"/>
      <c r="P29" s="259"/>
      <c r="Q29" s="259"/>
      <c r="R29" s="259"/>
      <c r="T29" s="289"/>
      <c r="U29" s="286"/>
      <c r="V29" s="286"/>
    </row>
    <row r="30" spans="1:22" s="789" customFormat="1" ht="15" customHeight="1" x14ac:dyDescent="0.25">
      <c r="A30" s="322"/>
      <c r="B30" s="322" t="s">
        <v>705</v>
      </c>
      <c r="C30" s="322"/>
      <c r="D30" s="322"/>
      <c r="E30" s="322"/>
      <c r="F30" s="276"/>
      <c r="G30" s="453">
        <v>0</v>
      </c>
      <c r="I30" s="466">
        <v>1237</v>
      </c>
      <c r="K30" s="466">
        <v>182759</v>
      </c>
      <c r="L30" s="471"/>
      <c r="M30" s="466">
        <v>235488</v>
      </c>
      <c r="N30" s="466"/>
      <c r="O30" s="471"/>
      <c r="P30" s="259"/>
      <c r="Q30" s="259"/>
      <c r="R30" s="259"/>
      <c r="T30" s="298"/>
      <c r="U30" s="299"/>
      <c r="V30" s="299"/>
    </row>
    <row r="31" spans="1:22" ht="15" customHeight="1" x14ac:dyDescent="0.25">
      <c r="A31" s="236"/>
      <c r="B31" s="236"/>
      <c r="C31" s="236"/>
      <c r="D31" s="236"/>
      <c r="E31" s="236"/>
      <c r="F31" s="276"/>
      <c r="G31" s="295"/>
      <c r="I31" s="295"/>
      <c r="K31" s="295"/>
      <c r="L31" s="471"/>
      <c r="M31" s="295"/>
      <c r="N31" s="444"/>
      <c r="O31" s="285"/>
      <c r="P31" s="259"/>
      <c r="Q31" s="259"/>
      <c r="R31" s="259"/>
      <c r="T31" s="289"/>
      <c r="U31" s="286"/>
      <c r="V31" s="286"/>
    </row>
    <row r="32" spans="1:22" ht="15" customHeight="1" x14ac:dyDescent="0.25">
      <c r="A32" s="236" t="s">
        <v>20</v>
      </c>
      <c r="B32" s="236"/>
      <c r="C32" s="236"/>
      <c r="D32" s="236"/>
      <c r="E32" s="236"/>
      <c r="F32" s="276"/>
      <c r="G32" s="350">
        <f>SUM(G28:G31)</f>
        <v>24760625</v>
      </c>
      <c r="I32" s="350">
        <f>SUM(I28:I31)</f>
        <v>29312066</v>
      </c>
      <c r="K32" s="458">
        <f>SUM(K28:K31)</f>
        <v>33911824</v>
      </c>
      <c r="L32" s="471"/>
      <c r="M32" s="458">
        <f>SUM(M28:M31)</f>
        <v>34606114</v>
      </c>
      <c r="N32" s="466"/>
      <c r="O32" s="285"/>
      <c r="P32" s="259"/>
      <c r="Q32" s="259"/>
      <c r="R32" s="259"/>
      <c r="T32" s="289"/>
      <c r="U32" s="286"/>
      <c r="V32" s="286"/>
    </row>
    <row r="33" spans="1:28" ht="15" customHeight="1" x14ac:dyDescent="0.25">
      <c r="A33" s="236"/>
      <c r="B33" s="236"/>
      <c r="C33" s="236"/>
      <c r="D33" s="236"/>
      <c r="E33" s="236"/>
      <c r="F33" s="276"/>
      <c r="G33" s="287"/>
      <c r="I33" s="287"/>
      <c r="K33" s="287"/>
      <c r="L33" s="471"/>
      <c r="M33" s="287"/>
      <c r="N33" s="287"/>
      <c r="O33" s="285"/>
      <c r="P33" s="259"/>
      <c r="Q33" s="259"/>
      <c r="R33" s="259"/>
      <c r="T33" s="289"/>
      <c r="U33" s="286"/>
      <c r="V33" s="286"/>
    </row>
    <row r="34" spans="1:28" ht="15" customHeight="1" x14ac:dyDescent="0.25">
      <c r="A34" s="236" t="s">
        <v>227</v>
      </c>
      <c r="B34" s="236"/>
      <c r="C34" s="236"/>
      <c r="D34" s="236"/>
      <c r="E34" s="236"/>
      <c r="F34" s="276"/>
      <c r="G34" s="350">
        <f>+G19-G32</f>
        <v>10381841</v>
      </c>
      <c r="I34" s="350">
        <f>+I19-I32</f>
        <v>11806808</v>
      </c>
      <c r="K34" s="458">
        <f>+K19-K32</f>
        <v>14177005</v>
      </c>
      <c r="L34" s="471"/>
      <c r="M34" s="458">
        <f>+M19-M32</f>
        <v>18015160</v>
      </c>
      <c r="N34" s="466"/>
      <c r="O34" s="285"/>
      <c r="P34" s="259"/>
      <c r="Q34" s="259"/>
      <c r="R34" s="259"/>
      <c r="T34" s="289"/>
      <c r="U34" s="286"/>
      <c r="V34" s="286"/>
      <c r="Y34" s="261"/>
    </row>
    <row r="35" spans="1:28" ht="15" customHeight="1" x14ac:dyDescent="0.25">
      <c r="A35" s="236"/>
      <c r="B35" s="236"/>
      <c r="C35" s="236"/>
      <c r="D35" s="236"/>
      <c r="E35" s="236"/>
      <c r="F35" s="276"/>
      <c r="G35" s="287"/>
      <c r="I35" s="287"/>
      <c r="K35" s="287"/>
      <c r="L35" s="471"/>
      <c r="M35" s="287"/>
      <c r="N35" s="287"/>
      <c r="O35" s="285"/>
      <c r="P35" s="259"/>
      <c r="Q35" s="259"/>
      <c r="R35" s="259"/>
      <c r="T35" s="289"/>
      <c r="U35" s="286"/>
      <c r="V35" s="286"/>
    </row>
    <row r="36" spans="1:28" ht="15" customHeight="1" x14ac:dyDescent="0.25">
      <c r="A36" s="236" t="s">
        <v>251</v>
      </c>
      <c r="B36" s="236"/>
      <c r="C36" s="236"/>
      <c r="D36" s="236"/>
      <c r="E36" s="236"/>
      <c r="F36" s="276"/>
      <c r="G36" s="287"/>
      <c r="I36" s="287"/>
      <c r="K36" s="287"/>
      <c r="L36" s="471"/>
      <c r="M36" s="287"/>
      <c r="N36" s="287"/>
      <c r="O36" s="285"/>
      <c r="P36" s="285"/>
      <c r="T36" s="289"/>
      <c r="U36" s="286"/>
      <c r="V36" s="286"/>
    </row>
    <row r="37" spans="1:28" ht="15" customHeight="1" x14ac:dyDescent="0.25">
      <c r="A37" s="236"/>
      <c r="B37" s="297" t="s">
        <v>310</v>
      </c>
      <c r="C37" s="236"/>
      <c r="D37" s="236"/>
      <c r="E37" s="236"/>
      <c r="F37" s="276"/>
      <c r="G37" s="338">
        <v>139958</v>
      </c>
      <c r="I37" s="338">
        <v>518910</v>
      </c>
      <c r="K37" s="466">
        <v>3073676</v>
      </c>
      <c r="L37" s="1228" t="s">
        <v>84</v>
      </c>
      <c r="M37" s="466">
        <v>1920480</v>
      </c>
      <c r="N37" s="206" t="s">
        <v>84</v>
      </c>
      <c r="O37" s="285"/>
      <c r="P37" s="285"/>
      <c r="T37" s="298"/>
      <c r="U37" s="299"/>
      <c r="V37" s="299"/>
    </row>
    <row r="38" spans="1:28" ht="15" customHeight="1" x14ac:dyDescent="0.25">
      <c r="A38" s="236"/>
      <c r="B38" s="236" t="s">
        <v>18</v>
      </c>
      <c r="C38" s="236"/>
      <c r="D38" s="236"/>
      <c r="E38" s="236"/>
      <c r="F38" s="276"/>
      <c r="G38" s="466">
        <v>115467</v>
      </c>
      <c r="I38" s="466">
        <v>154017</v>
      </c>
      <c r="K38" s="466">
        <v>830890</v>
      </c>
      <c r="L38" s="1228" t="s">
        <v>100</v>
      </c>
      <c r="M38" s="466">
        <v>1182318</v>
      </c>
      <c r="N38" s="206" t="s">
        <v>100</v>
      </c>
      <c r="O38" s="285"/>
      <c r="P38" s="285"/>
      <c r="Q38" s="254"/>
      <c r="T38" s="289"/>
      <c r="U38" s="286"/>
      <c r="V38" s="286"/>
    </row>
    <row r="39" spans="1:28" ht="15" customHeight="1" x14ac:dyDescent="0.25">
      <c r="A39" s="236"/>
      <c r="B39" s="236"/>
      <c r="C39" s="236"/>
      <c r="D39" s="236"/>
      <c r="E39" s="236"/>
      <c r="F39" s="276"/>
      <c r="G39" s="295"/>
      <c r="I39" s="295"/>
      <c r="K39" s="295"/>
      <c r="L39" s="521"/>
      <c r="M39" s="295"/>
      <c r="N39" s="444"/>
      <c r="P39" s="259"/>
      <c r="Q39" s="259"/>
      <c r="R39" s="259"/>
      <c r="S39" s="259"/>
      <c r="U39" s="286"/>
      <c r="V39" s="286"/>
      <c r="X39" s="259"/>
      <c r="Z39" s="259"/>
      <c r="AB39" s="259"/>
    </row>
    <row r="40" spans="1:28" ht="15" customHeight="1" x14ac:dyDescent="0.25">
      <c r="A40" s="236"/>
      <c r="B40" s="236"/>
      <c r="C40" s="236"/>
      <c r="D40" s="280" t="s">
        <v>27</v>
      </c>
      <c r="E40" s="236"/>
      <c r="F40" s="276"/>
      <c r="G40" s="350">
        <f>SUM(G37:G39)</f>
        <v>255425</v>
      </c>
      <c r="I40" s="350">
        <f>SUM(I37:I39)</f>
        <v>672927</v>
      </c>
      <c r="K40" s="458">
        <f>SUM(K37:K39)</f>
        <v>3904566</v>
      </c>
      <c r="L40" s="521"/>
      <c r="M40" s="458">
        <f>SUM(M37:M39)</f>
        <v>3102798</v>
      </c>
      <c r="N40" s="466"/>
      <c r="T40" s="289"/>
      <c r="U40" s="286"/>
      <c r="V40" s="286"/>
    </row>
    <row r="41" spans="1:28" ht="15" customHeight="1" x14ac:dyDescent="0.25">
      <c r="A41" s="236"/>
      <c r="B41" s="236"/>
      <c r="C41" s="236"/>
      <c r="D41" s="236"/>
      <c r="E41" s="236"/>
      <c r="F41" s="276"/>
      <c r="G41" s="287"/>
      <c r="I41" s="287"/>
      <c r="K41" s="287"/>
      <c r="L41" s="521"/>
      <c r="M41" s="287"/>
      <c r="N41" s="287"/>
      <c r="Q41" s="516"/>
      <c r="R41" s="516"/>
      <c r="S41" s="516"/>
      <c r="T41" s="289"/>
      <c r="U41" s="286"/>
      <c r="V41" s="286"/>
    </row>
    <row r="42" spans="1:28" ht="15" customHeight="1" x14ac:dyDescent="0.25">
      <c r="A42" s="236" t="s">
        <v>3</v>
      </c>
      <c r="B42" s="236"/>
      <c r="C42" s="236"/>
      <c r="D42" s="236"/>
      <c r="E42" s="236"/>
      <c r="F42" s="276"/>
      <c r="G42" s="287"/>
      <c r="I42" s="287"/>
      <c r="K42" s="287"/>
      <c r="L42" s="521"/>
      <c r="M42" s="287"/>
      <c r="N42" s="287"/>
      <c r="R42" s="516"/>
      <c r="S42" s="516"/>
      <c r="T42" s="289"/>
      <c r="U42" s="286"/>
      <c r="V42" s="286"/>
    </row>
    <row r="43" spans="1:28" ht="15" customHeight="1" x14ac:dyDescent="0.25">
      <c r="A43" s="236"/>
      <c r="B43" s="236" t="s">
        <v>309</v>
      </c>
      <c r="C43" s="236"/>
      <c r="D43" s="236"/>
      <c r="E43" s="236"/>
      <c r="F43" s="276"/>
      <c r="G43" s="338">
        <v>3579771</v>
      </c>
      <c r="I43" s="338">
        <v>4097184</v>
      </c>
      <c r="K43" s="466">
        <v>8359571</v>
      </c>
      <c r="L43" s="727" t="s">
        <v>84</v>
      </c>
      <c r="M43" s="466">
        <v>8215505</v>
      </c>
      <c r="N43" s="727" t="s">
        <v>84</v>
      </c>
      <c r="R43" s="516"/>
      <c r="S43" s="516"/>
      <c r="T43" s="289"/>
      <c r="U43" s="286"/>
      <c r="V43" s="286"/>
    </row>
    <row r="44" spans="1:28" ht="15" customHeight="1" x14ac:dyDescent="0.25">
      <c r="A44" s="236"/>
      <c r="B44" s="236" t="s">
        <v>498</v>
      </c>
      <c r="C44" s="236"/>
      <c r="D44" s="236"/>
      <c r="E44" s="236"/>
      <c r="F44" s="276"/>
      <c r="G44" s="466">
        <v>261265</v>
      </c>
      <c r="I44" s="466">
        <v>286837</v>
      </c>
      <c r="K44" s="466">
        <v>475250</v>
      </c>
      <c r="L44" s="521"/>
      <c r="M44" s="466">
        <v>408323</v>
      </c>
      <c r="N44" s="466"/>
      <c r="R44" s="516"/>
      <c r="S44" s="516"/>
      <c r="T44" s="289"/>
      <c r="U44" s="286"/>
      <c r="V44" s="286"/>
    </row>
    <row r="45" spans="1:28" ht="15" customHeight="1" x14ac:dyDescent="0.25">
      <c r="A45" s="236"/>
      <c r="B45" s="236" t="s">
        <v>18</v>
      </c>
      <c r="C45" s="236"/>
      <c r="D45" s="236"/>
      <c r="E45" s="236"/>
      <c r="F45" s="276"/>
      <c r="G45" s="466">
        <v>250</v>
      </c>
      <c r="I45" s="453">
        <v>0</v>
      </c>
      <c r="K45" s="464">
        <v>1000</v>
      </c>
      <c r="L45" s="521"/>
      <c r="M45" s="466">
        <v>1000</v>
      </c>
      <c r="N45" s="466"/>
      <c r="T45" s="288"/>
      <c r="U45" s="286"/>
      <c r="V45" s="286"/>
    </row>
    <row r="46" spans="1:28" ht="15" customHeight="1" x14ac:dyDescent="0.25">
      <c r="A46" s="236"/>
      <c r="B46" s="236"/>
      <c r="C46" s="236"/>
      <c r="D46" s="236"/>
      <c r="E46" s="236"/>
      <c r="F46" s="276"/>
      <c r="G46" s="300"/>
      <c r="I46" s="300"/>
      <c r="K46" s="300"/>
      <c r="L46" s="521"/>
      <c r="M46" s="300"/>
      <c r="N46" s="256"/>
      <c r="T46" s="301"/>
      <c r="U46" s="286"/>
      <c r="V46" s="286"/>
    </row>
    <row r="47" spans="1:28" ht="15" customHeight="1" x14ac:dyDescent="0.25">
      <c r="A47" s="236"/>
      <c r="B47" s="236"/>
      <c r="C47" s="236"/>
      <c r="D47" s="280" t="s">
        <v>27</v>
      </c>
      <c r="E47" s="236"/>
      <c r="F47" s="276"/>
      <c r="G47" s="294">
        <f>SUM(G43:G46)</f>
        <v>3841286</v>
      </c>
      <c r="I47" s="294">
        <f>SUM(I43:I46)</f>
        <v>4384021</v>
      </c>
      <c r="K47" s="294">
        <f>SUM(K43:K46)</f>
        <v>8835821</v>
      </c>
      <c r="L47" s="521"/>
      <c r="M47" s="294">
        <f>SUM(M43:M46)</f>
        <v>8624828</v>
      </c>
      <c r="N47" s="444"/>
      <c r="T47" s="289"/>
      <c r="U47" s="286"/>
      <c r="V47" s="286"/>
    </row>
    <row r="48" spans="1:28" ht="15" customHeight="1" x14ac:dyDescent="0.25">
      <c r="A48" s="236"/>
      <c r="B48" s="236"/>
      <c r="C48" s="236"/>
      <c r="D48" s="236"/>
      <c r="E48" s="236"/>
      <c r="F48" s="276"/>
      <c r="G48" s="337"/>
      <c r="I48" s="337"/>
      <c r="K48" s="337"/>
      <c r="L48" s="521"/>
      <c r="M48" s="337"/>
      <c r="N48" s="337"/>
      <c r="T48" s="301"/>
      <c r="U48" s="286"/>
      <c r="V48" s="286"/>
    </row>
    <row r="49" spans="1:22" ht="15" customHeight="1" x14ac:dyDescent="0.25">
      <c r="A49" s="302" t="s">
        <v>516</v>
      </c>
      <c r="B49" s="236"/>
      <c r="C49" s="236"/>
      <c r="D49" s="236"/>
      <c r="E49" s="236"/>
      <c r="F49" s="276"/>
      <c r="G49" s="303">
        <f>G34+G40-G47</f>
        <v>6795980</v>
      </c>
      <c r="I49" s="303">
        <f>I34+I40-I47</f>
        <v>8095714</v>
      </c>
      <c r="K49" s="294">
        <f>K34+K40-K47</f>
        <v>9245750</v>
      </c>
      <c r="L49" s="521"/>
      <c r="M49" s="294">
        <f>M34+M40-M47</f>
        <v>12493130</v>
      </c>
      <c r="N49" s="444"/>
      <c r="T49" s="289"/>
      <c r="U49" s="286"/>
      <c r="V49" s="286"/>
    </row>
    <row r="50" spans="1:22" ht="15" customHeight="1" x14ac:dyDescent="0.25">
      <c r="A50" s="236"/>
      <c r="B50" s="236"/>
      <c r="C50" s="236"/>
      <c r="D50" s="236"/>
      <c r="E50" s="236"/>
      <c r="F50" s="276"/>
      <c r="G50" s="337"/>
      <c r="I50" s="337"/>
      <c r="K50" s="337"/>
      <c r="L50" s="521"/>
      <c r="M50" s="337"/>
      <c r="N50" s="337"/>
      <c r="T50" s="301"/>
      <c r="U50" s="286"/>
      <c r="V50" s="286"/>
    </row>
    <row r="51" spans="1:22" ht="15" customHeight="1" x14ac:dyDescent="0.25">
      <c r="A51" s="304" t="s">
        <v>286</v>
      </c>
      <c r="B51" s="236"/>
      <c r="C51" s="236"/>
      <c r="D51" s="236"/>
      <c r="E51" s="236"/>
      <c r="F51" s="276"/>
      <c r="G51" s="337"/>
      <c r="I51" s="337"/>
      <c r="K51" s="337"/>
      <c r="L51" s="521"/>
      <c r="M51" s="337"/>
      <c r="N51" s="337"/>
      <c r="T51" s="301"/>
      <c r="U51" s="286"/>
      <c r="V51" s="286"/>
    </row>
    <row r="52" spans="1:22" ht="15" customHeight="1" x14ac:dyDescent="0.25">
      <c r="A52" s="236"/>
      <c r="B52" s="236" t="s">
        <v>75</v>
      </c>
      <c r="C52" s="236"/>
      <c r="D52" s="236"/>
      <c r="E52" s="236"/>
      <c r="F52" s="276"/>
      <c r="G52" s="338">
        <v>3250857</v>
      </c>
      <c r="I52" s="338">
        <v>2414387</v>
      </c>
      <c r="K52" s="466">
        <v>1278663</v>
      </c>
      <c r="L52" s="521"/>
      <c r="M52" s="466">
        <v>1253103</v>
      </c>
      <c r="N52" s="466"/>
      <c r="T52" s="289"/>
      <c r="U52" s="286"/>
      <c r="V52" s="286"/>
    </row>
    <row r="53" spans="1:22" s="243" customFormat="1" ht="15" hidden="1" customHeight="1" x14ac:dyDescent="0.25">
      <c r="A53" s="943"/>
      <c r="B53" s="943" t="s">
        <v>626</v>
      </c>
      <c r="C53" s="943"/>
      <c r="D53" s="943"/>
      <c r="E53" s="943"/>
      <c r="F53" s="312"/>
      <c r="G53" s="291">
        <v>0</v>
      </c>
      <c r="I53" s="291">
        <v>0</v>
      </c>
      <c r="K53" s="291">
        <v>0</v>
      </c>
      <c r="L53" s="950"/>
      <c r="M53" s="291"/>
      <c r="N53" s="291"/>
      <c r="T53" s="292"/>
      <c r="U53" s="293"/>
      <c r="V53" s="293"/>
    </row>
    <row r="54" spans="1:22" ht="15" customHeight="1" x14ac:dyDescent="0.25">
      <c r="A54" s="236"/>
      <c r="B54" s="236" t="s">
        <v>473</v>
      </c>
      <c r="C54" s="236"/>
      <c r="D54" s="236"/>
      <c r="E54" s="236"/>
      <c r="F54" s="276"/>
      <c r="G54" s="466">
        <v>-1677172</v>
      </c>
      <c r="I54" s="466">
        <v>-1873600</v>
      </c>
      <c r="K54" s="466">
        <v>-1882300</v>
      </c>
      <c r="L54" s="521"/>
      <c r="M54" s="466">
        <v>-2353750</v>
      </c>
      <c r="N54" s="466"/>
      <c r="O54" s="244"/>
      <c r="P54" s="240"/>
      <c r="T54" s="289"/>
      <c r="U54" s="286"/>
      <c r="V54" s="286"/>
    </row>
    <row r="55" spans="1:22" ht="15" hidden="1" customHeight="1" x14ac:dyDescent="0.25">
      <c r="A55" s="236"/>
      <c r="B55" s="236" t="s">
        <v>435</v>
      </c>
      <c r="C55" s="236"/>
      <c r="D55" s="236"/>
      <c r="E55" s="236"/>
      <c r="F55" s="276"/>
      <c r="G55" s="306">
        <v>0</v>
      </c>
      <c r="I55" s="351">
        <v>0</v>
      </c>
      <c r="K55" s="464"/>
      <c r="L55" s="521"/>
      <c r="M55" s="464"/>
      <c r="N55" s="464"/>
      <c r="T55" s="288"/>
      <c r="U55" s="286"/>
      <c r="V55" s="286"/>
    </row>
    <row r="56" spans="1:22" ht="15" customHeight="1" x14ac:dyDescent="0.25">
      <c r="A56" s="236"/>
      <c r="B56" s="236"/>
      <c r="C56" s="236"/>
      <c r="D56" s="236"/>
      <c r="E56" s="236"/>
      <c r="F56" s="276"/>
      <c r="G56" s="307"/>
      <c r="I56" s="307"/>
      <c r="K56" s="529"/>
      <c r="L56" s="521"/>
      <c r="M56" s="529"/>
      <c r="N56" s="1225"/>
      <c r="T56" s="288"/>
      <c r="U56" s="286"/>
      <c r="V56" s="286"/>
    </row>
    <row r="57" spans="1:22" ht="15" customHeight="1" x14ac:dyDescent="0.25">
      <c r="A57" s="236"/>
      <c r="B57" s="236"/>
      <c r="C57" s="236"/>
      <c r="D57" s="236" t="s">
        <v>27</v>
      </c>
      <c r="E57" s="236"/>
      <c r="F57" s="276"/>
      <c r="G57" s="294">
        <f>SUM(G52:G55)</f>
        <v>1573685</v>
      </c>
      <c r="I57" s="294">
        <f>SUM(I52:I55)</f>
        <v>540787</v>
      </c>
      <c r="K57" s="294">
        <f>SUM(K52:K55)</f>
        <v>-603637</v>
      </c>
      <c r="L57" s="521"/>
      <c r="M57" s="294">
        <f>SUM(M52:M55)</f>
        <v>-1100647</v>
      </c>
      <c r="N57" s="444"/>
      <c r="O57" s="244"/>
      <c r="T57" s="289"/>
      <c r="U57" s="286"/>
      <c r="V57" s="286"/>
    </row>
    <row r="58" spans="1:22" ht="15" customHeight="1" x14ac:dyDescent="0.25">
      <c r="A58" s="236"/>
      <c r="B58" s="236"/>
      <c r="C58" s="236"/>
      <c r="D58" s="236"/>
      <c r="E58" s="236"/>
      <c r="F58" s="236"/>
      <c r="G58" s="322"/>
      <c r="I58" s="322"/>
      <c r="K58" s="337"/>
      <c r="L58" s="521"/>
      <c r="M58" s="337"/>
      <c r="N58" s="337"/>
      <c r="P58" s="244"/>
      <c r="T58" s="301"/>
      <c r="U58" s="286"/>
      <c r="V58" s="286"/>
    </row>
    <row r="59" spans="1:22" ht="15" customHeight="1" x14ac:dyDescent="0.25">
      <c r="A59" s="236" t="s">
        <v>448</v>
      </c>
      <c r="B59" s="236"/>
      <c r="C59" s="236"/>
      <c r="D59" s="236"/>
      <c r="E59" s="236"/>
      <c r="F59" s="276"/>
      <c r="G59" s="276">
        <f>G49+G57</f>
        <v>8369665</v>
      </c>
      <c r="I59" s="276">
        <f>I49+I57</f>
        <v>8636501</v>
      </c>
      <c r="K59" s="287">
        <f>K49+K57</f>
        <v>8642113</v>
      </c>
      <c r="L59" s="521"/>
      <c r="M59" s="287">
        <f>M49+M57</f>
        <v>11392483</v>
      </c>
      <c r="N59" s="287"/>
      <c r="P59" s="259"/>
      <c r="T59" s="289"/>
      <c r="U59" s="286"/>
      <c r="V59" s="286"/>
    </row>
    <row r="60" spans="1:22" ht="15" customHeight="1" x14ac:dyDescent="0.25">
      <c r="A60" s="236" t="s">
        <v>474</v>
      </c>
      <c r="B60" s="236"/>
      <c r="C60" s="236"/>
      <c r="D60" s="236"/>
      <c r="E60" s="236"/>
      <c r="F60" s="276"/>
      <c r="G60" s="275">
        <v>64466889</v>
      </c>
      <c r="H60" s="258"/>
      <c r="I60" s="444">
        <v>72836554</v>
      </c>
      <c r="K60" s="444">
        <v>123008196</v>
      </c>
      <c r="L60" s="521"/>
      <c r="M60" s="444">
        <v>130005917</v>
      </c>
      <c r="N60" s="444"/>
      <c r="P60" s="244"/>
      <c r="T60" s="289"/>
      <c r="U60" s="286"/>
      <c r="V60" s="286"/>
    </row>
    <row r="61" spans="1:22" s="518" customFormat="1" ht="15" customHeight="1" x14ac:dyDescent="0.25">
      <c r="A61" s="322" t="s">
        <v>1005</v>
      </c>
      <c r="B61" s="322"/>
      <c r="C61" s="322"/>
      <c r="D61" s="322"/>
      <c r="E61" s="322"/>
      <c r="F61" s="276"/>
      <c r="G61" s="452">
        <v>0</v>
      </c>
      <c r="I61" s="444">
        <v>41535141</v>
      </c>
      <c r="K61" s="464">
        <v>0</v>
      </c>
      <c r="L61" s="521"/>
      <c r="M61" s="464">
        <v>0</v>
      </c>
      <c r="N61" s="464"/>
      <c r="P61" s="244"/>
      <c r="T61" s="298"/>
      <c r="U61" s="299"/>
      <c r="V61" s="299"/>
    </row>
    <row r="62" spans="1:22" ht="15" customHeight="1" x14ac:dyDescent="0.25">
      <c r="B62" s="236"/>
      <c r="C62" s="236"/>
      <c r="D62" s="236"/>
      <c r="E62" s="236"/>
      <c r="F62" s="276"/>
      <c r="G62" s="255"/>
      <c r="I62" s="255"/>
      <c r="K62" s="295"/>
      <c r="L62" s="521"/>
      <c r="M62" s="295"/>
      <c r="N62" s="444"/>
      <c r="T62" s="289"/>
      <c r="U62" s="286"/>
      <c r="V62" s="286"/>
    </row>
    <row r="63" spans="1:22" ht="15" customHeight="1" thickBot="1" x14ac:dyDescent="0.3">
      <c r="A63" s="236" t="s">
        <v>475</v>
      </c>
      <c r="B63" s="236"/>
      <c r="C63" s="236"/>
      <c r="D63" s="236"/>
      <c r="E63" s="236"/>
      <c r="F63" s="282"/>
      <c r="G63" s="309">
        <f>SUM(G59:G62)</f>
        <v>72836554</v>
      </c>
      <c r="I63" s="309">
        <f>SUM(I59:I62)</f>
        <v>123008196</v>
      </c>
      <c r="K63" s="260">
        <f>SUM(K59:K62)</f>
        <v>131650309</v>
      </c>
      <c r="L63" s="521"/>
      <c r="M63" s="260">
        <f>SUM(M59:M62)</f>
        <v>141398400</v>
      </c>
      <c r="N63" s="181"/>
      <c r="T63" s="286"/>
      <c r="U63" s="286"/>
      <c r="V63" s="286"/>
    </row>
    <row r="64" spans="1:22" ht="15" customHeight="1" thickTop="1" x14ac:dyDescent="0.25">
      <c r="A64" s="236"/>
      <c r="B64" s="236"/>
      <c r="C64" s="236"/>
      <c r="D64" s="236"/>
      <c r="E64" s="236"/>
      <c r="F64" s="236"/>
      <c r="G64" s="322"/>
      <c r="I64" s="322"/>
      <c r="K64" s="322"/>
      <c r="T64" s="301"/>
      <c r="U64" s="286"/>
      <c r="V64" s="286"/>
    </row>
    <row r="65" spans="1:22" s="435" customFormat="1" ht="15" customHeight="1" x14ac:dyDescent="0.25">
      <c r="A65" s="726" t="s">
        <v>83</v>
      </c>
      <c r="B65" s="1229" t="s">
        <v>998</v>
      </c>
      <c r="C65" s="322"/>
      <c r="D65" s="322"/>
      <c r="E65" s="322"/>
      <c r="F65" s="322"/>
      <c r="G65" s="322"/>
      <c r="I65" s="322"/>
      <c r="L65" s="257"/>
      <c r="M65" s="239"/>
      <c r="N65" s="239"/>
      <c r="T65" s="301"/>
      <c r="U65" s="299"/>
      <c r="V65" s="299"/>
    </row>
    <row r="66" spans="1:22" ht="15" customHeight="1" x14ac:dyDescent="0.25">
      <c r="A66" s="726" t="s">
        <v>84</v>
      </c>
      <c r="B66" s="1229" t="s">
        <v>987</v>
      </c>
      <c r="C66" s="236"/>
      <c r="D66" s="236"/>
      <c r="E66" s="236"/>
      <c r="F66" s="236"/>
      <c r="G66" s="322"/>
      <c r="T66" s="258"/>
      <c r="U66" s="258"/>
      <c r="V66" s="258"/>
    </row>
    <row r="67" spans="1:22" s="1215" customFormat="1" ht="15" customHeight="1" x14ac:dyDescent="0.25">
      <c r="A67" s="726"/>
      <c r="B67" s="1229" t="s">
        <v>988</v>
      </c>
      <c r="C67" s="322"/>
      <c r="D67" s="322"/>
      <c r="E67" s="322"/>
      <c r="F67" s="322"/>
      <c r="G67" s="322"/>
      <c r="L67" s="257"/>
      <c r="M67" s="239"/>
      <c r="N67" s="239"/>
      <c r="T67" s="258"/>
      <c r="U67" s="258"/>
      <c r="V67" s="258"/>
    </row>
    <row r="68" spans="1:22" ht="15.75" x14ac:dyDescent="0.25">
      <c r="A68" s="726" t="s">
        <v>100</v>
      </c>
      <c r="B68" s="322" t="s">
        <v>1006</v>
      </c>
      <c r="C68" s="236"/>
      <c r="D68" s="236"/>
      <c r="E68" s="236"/>
      <c r="F68" s="236"/>
      <c r="G68" s="322"/>
      <c r="T68" s="258"/>
      <c r="U68" s="258"/>
      <c r="V68" s="258"/>
    </row>
    <row r="69" spans="1:22" s="1215" customFormat="1" ht="15.75" x14ac:dyDescent="0.25">
      <c r="A69" s="726"/>
      <c r="B69" s="322" t="s">
        <v>989</v>
      </c>
      <c r="C69" s="322"/>
      <c r="D69" s="322"/>
      <c r="E69" s="322"/>
      <c r="F69" s="322"/>
      <c r="G69" s="322"/>
      <c r="L69" s="257"/>
      <c r="M69" s="239"/>
      <c r="N69" s="239"/>
      <c r="T69" s="258"/>
      <c r="U69" s="258"/>
      <c r="V69" s="258"/>
    </row>
    <row r="70" spans="1:22" ht="15" customHeight="1" x14ac:dyDescent="0.25">
      <c r="A70" s="1227" t="s">
        <v>101</v>
      </c>
      <c r="B70" s="236" t="s">
        <v>728</v>
      </c>
      <c r="C70" s="236"/>
      <c r="D70" s="236"/>
      <c r="E70" s="236"/>
      <c r="F70" s="236"/>
      <c r="G70" s="322"/>
      <c r="T70" s="258"/>
      <c r="U70" s="258"/>
      <c r="V70" s="258"/>
    </row>
    <row r="71" spans="1:22" ht="15" customHeight="1" x14ac:dyDescent="0.25">
      <c r="B71" s="236" t="s">
        <v>729</v>
      </c>
      <c r="T71" s="258"/>
      <c r="U71" s="258"/>
      <c r="V71" s="258"/>
    </row>
    <row r="72" spans="1:22" s="701" customFormat="1" ht="15" customHeight="1" x14ac:dyDescent="0.25">
      <c r="A72" s="726"/>
      <c r="B72" s="322" t="s">
        <v>730</v>
      </c>
      <c r="L72" s="257"/>
      <c r="M72" s="239"/>
      <c r="N72" s="239"/>
      <c r="T72" s="258"/>
      <c r="U72" s="258"/>
      <c r="V72" s="258"/>
    </row>
    <row r="73" spans="1:22" s="941" customFormat="1" ht="15" customHeight="1" x14ac:dyDescent="0.25">
      <c r="L73" s="257"/>
      <c r="M73" s="239"/>
      <c r="N73" s="239"/>
      <c r="T73" s="258"/>
      <c r="U73" s="258"/>
      <c r="V73" s="258"/>
    </row>
    <row r="74" spans="1:22" ht="15" customHeight="1" x14ac:dyDescent="0.25">
      <c r="A74" s="420"/>
      <c r="B74" s="420"/>
      <c r="C74" s="420"/>
      <c r="D74" s="420"/>
      <c r="E74" s="420"/>
      <c r="F74" s="420"/>
      <c r="G74" s="420"/>
      <c r="H74" s="420"/>
      <c r="I74" s="420"/>
      <c r="J74" s="420"/>
      <c r="K74" s="247"/>
      <c r="L74" s="591"/>
      <c r="M74" s="592"/>
      <c r="N74" s="592"/>
      <c r="T74" s="258"/>
      <c r="U74" s="258"/>
      <c r="V74" s="258"/>
    </row>
    <row r="75" spans="1:22" ht="15" customHeight="1" x14ac:dyDescent="0.25">
      <c r="A75" s="420"/>
      <c r="B75" s="420"/>
      <c r="C75" s="420"/>
      <c r="D75" s="420"/>
      <c r="E75" s="420"/>
      <c r="F75" s="420"/>
      <c r="G75" s="420"/>
      <c r="H75" s="420"/>
      <c r="I75" s="420"/>
      <c r="J75" s="420"/>
      <c r="K75" s="247"/>
      <c r="L75" s="591"/>
      <c r="M75" s="245"/>
      <c r="N75" s="245"/>
      <c r="T75" s="258"/>
      <c r="U75" s="258"/>
      <c r="V75" s="258"/>
    </row>
    <row r="76" spans="1:22" s="311" customFormat="1" ht="15" customHeight="1" x14ac:dyDescent="0.25">
      <c r="A76" s="420" t="str">
        <f>SNP!A160</f>
        <v>(See Accountants' Report)</v>
      </c>
      <c r="B76" s="420"/>
      <c r="C76" s="420"/>
      <c r="D76" s="420"/>
      <c r="E76" s="420"/>
      <c r="F76" s="420"/>
      <c r="G76" s="420"/>
      <c r="H76" s="420"/>
      <c r="I76" s="420"/>
      <c r="J76" s="420"/>
      <c r="K76" s="420"/>
      <c r="L76" s="420"/>
      <c r="M76" s="420"/>
      <c r="N76" s="420"/>
      <c r="T76" s="258"/>
      <c r="U76" s="258"/>
      <c r="V76" s="258"/>
    </row>
    <row r="77" spans="1:22" ht="15" customHeight="1" x14ac:dyDescent="0.25">
      <c r="A77" s="266"/>
      <c r="B77" s="266"/>
      <c r="C77" s="266"/>
      <c r="D77" s="266"/>
      <c r="E77" s="266"/>
      <c r="F77" s="266"/>
      <c r="G77" s="420"/>
      <c r="H77" s="266"/>
      <c r="I77" s="420"/>
      <c r="J77" s="420"/>
      <c r="T77" s="258"/>
      <c r="U77" s="258"/>
      <c r="V77" s="258"/>
    </row>
    <row r="78" spans="1:22" ht="15" customHeight="1" x14ac:dyDescent="0.25">
      <c r="A78" s="1464">
        <f>SNP!A162+1</f>
        <v>35</v>
      </c>
      <c r="B78" s="1464"/>
      <c r="C78" s="1464"/>
      <c r="D78" s="1464"/>
      <c r="E78" s="1464"/>
      <c r="F78" s="1464"/>
      <c r="G78" s="1464"/>
      <c r="H78" s="1464"/>
      <c r="I78" s="1464"/>
      <c r="J78" s="1464"/>
      <c r="K78" s="1464"/>
      <c r="L78" s="1464"/>
      <c r="M78" s="1464"/>
      <c r="N78" s="1464"/>
      <c r="T78" s="258"/>
      <c r="U78" s="258"/>
      <c r="V78" s="258"/>
    </row>
    <row r="79" spans="1:22" ht="15" customHeight="1" x14ac:dyDescent="0.25">
      <c r="T79" s="258"/>
      <c r="U79" s="258"/>
      <c r="V79" s="258"/>
    </row>
    <row r="80" spans="1:22" ht="15" customHeight="1" x14ac:dyDescent="0.25">
      <c r="A80" s="1463"/>
      <c r="B80" s="1463"/>
      <c r="C80" s="1463"/>
      <c r="D80" s="1463"/>
      <c r="E80" s="1463"/>
      <c r="F80" s="1463"/>
      <c r="T80" s="258"/>
      <c r="U80" s="258"/>
      <c r="V80" s="258"/>
    </row>
    <row r="81" spans="1:22" ht="15" customHeight="1" x14ac:dyDescent="0.25">
      <c r="G81" s="282">
        <f>SNP!G139</f>
        <v>72836554</v>
      </c>
      <c r="I81" s="282">
        <f>SNP!I139</f>
        <v>123008196</v>
      </c>
      <c r="K81" s="282">
        <f>SNP!K139</f>
        <v>131650309</v>
      </c>
      <c r="M81" s="282">
        <f>SNP!M139</f>
        <v>141398400</v>
      </c>
      <c r="N81" s="282"/>
      <c r="T81" s="258"/>
      <c r="U81" s="258"/>
      <c r="V81" s="258"/>
    </row>
    <row r="82" spans="1:22" ht="15" customHeight="1" x14ac:dyDescent="0.25">
      <c r="G82" s="276"/>
      <c r="I82" s="276"/>
      <c r="T82" s="258"/>
      <c r="U82" s="258"/>
      <c r="V82" s="258"/>
    </row>
    <row r="83" spans="1:22" ht="15" customHeight="1" x14ac:dyDescent="0.25">
      <c r="G83" s="312">
        <f>+G63-G81</f>
        <v>0</v>
      </c>
      <c r="I83" s="312">
        <f>+I63-I81</f>
        <v>0</v>
      </c>
      <c r="K83" s="312">
        <f>+K63-K81</f>
        <v>0</v>
      </c>
      <c r="M83" s="312">
        <f>+M63-M81</f>
        <v>0</v>
      </c>
      <c r="N83" s="312"/>
      <c r="P83" s="312"/>
      <c r="T83" s="258"/>
      <c r="U83" s="258"/>
      <c r="V83" s="258"/>
    </row>
    <row r="84" spans="1:22" ht="15" customHeight="1" x14ac:dyDescent="0.25">
      <c r="T84" s="258"/>
      <c r="U84" s="258"/>
      <c r="V84" s="258"/>
    </row>
    <row r="85" spans="1:22" ht="15" customHeight="1" x14ac:dyDescent="0.25">
      <c r="I85" s="312"/>
      <c r="T85" s="258"/>
      <c r="U85" s="258"/>
      <c r="V85" s="258"/>
    </row>
    <row r="86" spans="1:22" ht="15" customHeight="1" x14ac:dyDescent="0.25">
      <c r="T86" s="258"/>
      <c r="U86" s="258"/>
      <c r="V86" s="258"/>
    </row>
    <row r="87" spans="1:22" ht="17.45" customHeight="1" x14ac:dyDescent="0.25">
      <c r="T87" s="258"/>
      <c r="U87" s="258"/>
      <c r="V87" s="258"/>
    </row>
    <row r="88" spans="1:22" ht="15" customHeight="1" x14ac:dyDescent="0.25">
      <c r="A88" s="236"/>
      <c r="I88" s="312"/>
      <c r="T88" s="258"/>
      <c r="U88" s="258"/>
      <c r="V88" s="258"/>
    </row>
    <row r="89" spans="1:22" ht="15" customHeight="1" x14ac:dyDescent="0.25">
      <c r="T89" s="258"/>
      <c r="U89" s="258"/>
      <c r="V89" s="258"/>
    </row>
    <row r="90" spans="1:22" ht="15" customHeight="1" x14ac:dyDescent="0.25">
      <c r="I90" s="259"/>
      <c r="T90" s="258"/>
      <c r="U90" s="258"/>
      <c r="V90" s="258"/>
    </row>
    <row r="91" spans="1:22" ht="15" customHeight="1" x14ac:dyDescent="0.25">
      <c r="I91" s="312"/>
      <c r="T91" s="258"/>
      <c r="U91" s="258"/>
      <c r="V91" s="258"/>
    </row>
    <row r="92" spans="1:22" ht="15" customHeight="1" x14ac:dyDescent="0.25">
      <c r="I92" s="259"/>
      <c r="T92" s="258"/>
      <c r="U92" s="258"/>
      <c r="V92" s="258"/>
    </row>
    <row r="93" spans="1:22" ht="15" customHeight="1" x14ac:dyDescent="0.25">
      <c r="I93" s="259"/>
      <c r="T93" s="258"/>
      <c r="U93" s="258"/>
      <c r="V93" s="258"/>
    </row>
    <row r="94" spans="1:22" ht="15" customHeight="1" x14ac:dyDescent="0.25">
      <c r="T94" s="258"/>
      <c r="U94" s="258"/>
      <c r="V94" s="258"/>
    </row>
    <row r="95" spans="1:22" ht="15" customHeight="1" x14ac:dyDescent="0.25">
      <c r="T95" s="258"/>
      <c r="U95" s="258"/>
      <c r="V95" s="258"/>
    </row>
    <row r="96" spans="1:22" ht="15" customHeight="1" x14ac:dyDescent="0.25">
      <c r="T96" s="258"/>
      <c r="U96" s="258"/>
      <c r="V96" s="258"/>
    </row>
    <row r="97" spans="20:22" ht="15" customHeight="1" x14ac:dyDescent="0.25">
      <c r="T97" s="258"/>
      <c r="U97" s="258"/>
      <c r="V97" s="258"/>
    </row>
    <row r="98" spans="20:22" ht="15" customHeight="1" x14ac:dyDescent="0.25">
      <c r="T98" s="258"/>
      <c r="U98" s="258"/>
      <c r="V98" s="258"/>
    </row>
    <row r="99" spans="20:22" ht="15" customHeight="1" x14ac:dyDescent="0.25">
      <c r="T99" s="258"/>
      <c r="U99" s="258"/>
      <c r="V99" s="258"/>
    </row>
    <row r="100" spans="20:22" ht="15" customHeight="1" x14ac:dyDescent="0.25">
      <c r="T100" s="258"/>
      <c r="U100" s="258"/>
      <c r="V100" s="258"/>
    </row>
    <row r="101" spans="20:22" ht="15" customHeight="1" x14ac:dyDescent="0.25">
      <c r="T101" s="258"/>
      <c r="U101" s="258"/>
      <c r="V101" s="258"/>
    </row>
    <row r="102" spans="20:22" ht="15" customHeight="1" x14ac:dyDescent="0.25">
      <c r="T102" s="258"/>
      <c r="U102" s="258"/>
      <c r="V102" s="258"/>
    </row>
    <row r="103" spans="20:22" ht="15" customHeight="1" x14ac:dyDescent="0.25">
      <c r="T103" s="258"/>
      <c r="U103" s="258"/>
      <c r="V103" s="258"/>
    </row>
    <row r="104" spans="20:22" ht="15" customHeight="1" x14ac:dyDescent="0.25">
      <c r="T104" s="258"/>
      <c r="U104" s="258"/>
      <c r="V104" s="258"/>
    </row>
    <row r="105" spans="20:22" ht="15" customHeight="1" x14ac:dyDescent="0.25">
      <c r="T105" s="258"/>
      <c r="U105" s="258"/>
      <c r="V105" s="258"/>
    </row>
    <row r="106" spans="20:22" ht="15" customHeight="1" x14ac:dyDescent="0.25">
      <c r="T106" s="258"/>
      <c r="U106" s="258"/>
      <c r="V106" s="258"/>
    </row>
    <row r="107" spans="20:22" ht="15" customHeight="1" x14ac:dyDescent="0.25">
      <c r="T107" s="258"/>
      <c r="U107" s="258"/>
      <c r="V107" s="258"/>
    </row>
    <row r="108" spans="20:22" ht="15" customHeight="1" x14ac:dyDescent="0.25">
      <c r="T108" s="258"/>
      <c r="U108" s="258"/>
      <c r="V108" s="258"/>
    </row>
    <row r="109" spans="20:22" ht="15" customHeight="1" x14ac:dyDescent="0.25">
      <c r="T109" s="258"/>
      <c r="U109" s="258"/>
      <c r="V109" s="258"/>
    </row>
    <row r="110" spans="20:22" ht="15" customHeight="1" x14ac:dyDescent="0.25">
      <c r="T110" s="258"/>
      <c r="U110" s="258"/>
      <c r="V110" s="258"/>
    </row>
    <row r="111" spans="20:22" ht="15" customHeight="1" x14ac:dyDescent="0.25">
      <c r="T111" s="258"/>
      <c r="U111" s="258"/>
      <c r="V111" s="258"/>
    </row>
    <row r="112" spans="20:22" ht="15" customHeight="1" x14ac:dyDescent="0.25">
      <c r="T112" s="258"/>
      <c r="U112" s="258"/>
      <c r="V112" s="258"/>
    </row>
    <row r="113" spans="20:22" ht="15" customHeight="1" x14ac:dyDescent="0.25">
      <c r="T113" s="258"/>
      <c r="U113" s="258"/>
      <c r="V113" s="258"/>
    </row>
    <row r="114" spans="20:22" ht="15" customHeight="1" x14ac:dyDescent="0.25">
      <c r="T114" s="258"/>
      <c r="U114" s="258"/>
      <c r="V114" s="258"/>
    </row>
    <row r="115" spans="20:22" ht="15" customHeight="1" x14ac:dyDescent="0.25">
      <c r="T115" s="258"/>
      <c r="U115" s="258"/>
      <c r="V115" s="258"/>
    </row>
    <row r="116" spans="20:22" ht="15" customHeight="1" x14ac:dyDescent="0.25">
      <c r="T116" s="258"/>
      <c r="U116" s="258"/>
      <c r="V116" s="258"/>
    </row>
    <row r="117" spans="20:22" ht="15" customHeight="1" x14ac:dyDescent="0.25">
      <c r="T117" s="258"/>
      <c r="U117" s="258"/>
      <c r="V117" s="258"/>
    </row>
    <row r="118" spans="20:22" ht="15" customHeight="1" x14ac:dyDescent="0.25">
      <c r="T118" s="258"/>
      <c r="U118" s="258"/>
      <c r="V118" s="258"/>
    </row>
    <row r="119" spans="20:22" ht="15" customHeight="1" x14ac:dyDescent="0.25">
      <c r="T119" s="258"/>
      <c r="U119" s="258"/>
      <c r="V119" s="258"/>
    </row>
    <row r="120" spans="20:22" ht="15" customHeight="1" x14ac:dyDescent="0.25">
      <c r="T120" s="258"/>
      <c r="U120" s="258"/>
      <c r="V120" s="258"/>
    </row>
    <row r="121" spans="20:22" ht="15" customHeight="1" x14ac:dyDescent="0.25">
      <c r="T121" s="258"/>
      <c r="U121" s="258"/>
      <c r="V121" s="258"/>
    </row>
    <row r="122" spans="20:22" ht="15" customHeight="1" x14ac:dyDescent="0.25">
      <c r="T122" s="258"/>
      <c r="U122" s="258"/>
      <c r="V122" s="258"/>
    </row>
    <row r="123" spans="20:22" ht="15" customHeight="1" x14ac:dyDescent="0.25">
      <c r="T123" s="258"/>
      <c r="U123" s="258"/>
      <c r="V123" s="258"/>
    </row>
    <row r="124" spans="20:22" ht="15" customHeight="1" x14ac:dyDescent="0.25">
      <c r="T124" s="258"/>
      <c r="U124" s="258"/>
      <c r="V124" s="258"/>
    </row>
    <row r="125" spans="20:22" ht="15" customHeight="1" x14ac:dyDescent="0.25">
      <c r="T125" s="258"/>
      <c r="U125" s="258"/>
      <c r="V125" s="258"/>
    </row>
    <row r="126" spans="20:22" ht="15" customHeight="1" x14ac:dyDescent="0.25">
      <c r="T126" s="258"/>
      <c r="U126" s="258"/>
      <c r="V126" s="258"/>
    </row>
    <row r="127" spans="20:22" ht="15" customHeight="1" x14ac:dyDescent="0.25">
      <c r="T127" s="258"/>
      <c r="U127" s="258"/>
      <c r="V127" s="258"/>
    </row>
    <row r="128" spans="20:22" ht="15" customHeight="1" x14ac:dyDescent="0.25">
      <c r="T128" s="258"/>
      <c r="U128" s="258"/>
      <c r="V128" s="258"/>
    </row>
    <row r="129" spans="20:22" ht="15" customHeight="1" x14ac:dyDescent="0.25">
      <c r="T129" s="258"/>
      <c r="U129" s="258"/>
      <c r="V129" s="258"/>
    </row>
    <row r="130" spans="20:22" ht="15" customHeight="1" x14ac:dyDescent="0.25">
      <c r="T130" s="258"/>
      <c r="U130" s="258"/>
      <c r="V130" s="258"/>
    </row>
    <row r="131" spans="20:22" ht="15" customHeight="1" x14ac:dyDescent="0.25">
      <c r="T131" s="258"/>
      <c r="U131" s="258"/>
      <c r="V131" s="258"/>
    </row>
    <row r="132" spans="20:22" ht="15" customHeight="1" x14ac:dyDescent="0.25">
      <c r="T132" s="258"/>
      <c r="U132" s="258"/>
      <c r="V132" s="258"/>
    </row>
    <row r="133" spans="20:22" ht="15" customHeight="1" x14ac:dyDescent="0.25">
      <c r="T133" s="258"/>
      <c r="U133" s="258"/>
      <c r="V133" s="258"/>
    </row>
    <row r="134" spans="20:22" ht="15" customHeight="1" x14ac:dyDescent="0.25">
      <c r="T134" s="258"/>
      <c r="U134" s="258"/>
      <c r="V134" s="258"/>
    </row>
    <row r="135" spans="20:22" ht="15" customHeight="1" x14ac:dyDescent="0.25">
      <c r="T135" s="258"/>
      <c r="U135" s="258"/>
      <c r="V135" s="258"/>
    </row>
    <row r="136" spans="20:22" ht="15" customHeight="1" x14ac:dyDescent="0.25">
      <c r="T136" s="258"/>
      <c r="U136" s="258"/>
      <c r="V136" s="258"/>
    </row>
    <row r="137" spans="20:22" ht="15" customHeight="1" x14ac:dyDescent="0.25">
      <c r="T137" s="258"/>
      <c r="U137" s="258"/>
      <c r="V137" s="258"/>
    </row>
    <row r="138" spans="20:22" ht="15" customHeight="1" x14ac:dyDescent="0.25">
      <c r="T138" s="258"/>
      <c r="U138" s="258"/>
      <c r="V138" s="258"/>
    </row>
    <row r="139" spans="20:22" ht="15" customHeight="1" x14ac:dyDescent="0.25">
      <c r="T139" s="258"/>
      <c r="U139" s="258"/>
      <c r="V139" s="258"/>
    </row>
    <row r="140" spans="20:22" ht="15" customHeight="1" x14ac:dyDescent="0.25">
      <c r="T140" s="258"/>
      <c r="U140" s="258"/>
      <c r="V140" s="258"/>
    </row>
    <row r="141" spans="20:22" ht="15" customHeight="1" x14ac:dyDescent="0.25">
      <c r="T141" s="258"/>
      <c r="U141" s="258"/>
      <c r="V141" s="258"/>
    </row>
    <row r="142" spans="20:22" ht="15" customHeight="1" x14ac:dyDescent="0.25">
      <c r="T142" s="258"/>
      <c r="U142" s="258"/>
      <c r="V142" s="258"/>
    </row>
    <row r="143" spans="20:22" ht="15" customHeight="1" x14ac:dyDescent="0.25">
      <c r="T143" s="258"/>
      <c r="U143" s="258"/>
      <c r="V143" s="258"/>
    </row>
    <row r="144" spans="20:22" ht="15" customHeight="1" x14ac:dyDescent="0.25">
      <c r="T144" s="258"/>
      <c r="U144" s="258"/>
      <c r="V144" s="258"/>
    </row>
    <row r="145" spans="20:22" ht="15" customHeight="1" x14ac:dyDescent="0.25">
      <c r="T145" s="258"/>
      <c r="U145" s="258"/>
      <c r="V145" s="258"/>
    </row>
    <row r="146" spans="20:22" ht="15" customHeight="1" x14ac:dyDescent="0.25">
      <c r="T146" s="258"/>
      <c r="U146" s="258"/>
      <c r="V146" s="258"/>
    </row>
    <row r="147" spans="20:22" ht="15" customHeight="1" x14ac:dyDescent="0.25">
      <c r="T147" s="258"/>
      <c r="U147" s="258"/>
      <c r="V147" s="258"/>
    </row>
    <row r="148" spans="20:22" ht="15" customHeight="1" x14ac:dyDescent="0.25">
      <c r="T148" s="258"/>
      <c r="U148" s="258"/>
      <c r="V148" s="258"/>
    </row>
    <row r="149" spans="20:22" ht="15" customHeight="1" x14ac:dyDescent="0.25">
      <c r="T149" s="258"/>
      <c r="U149" s="258"/>
      <c r="V149" s="258"/>
    </row>
    <row r="150" spans="20:22" ht="15" customHeight="1" x14ac:dyDescent="0.25">
      <c r="T150" s="258"/>
      <c r="U150" s="258"/>
      <c r="V150" s="258"/>
    </row>
    <row r="151" spans="20:22" ht="15" customHeight="1" x14ac:dyDescent="0.25">
      <c r="T151" s="258"/>
      <c r="U151" s="258"/>
      <c r="V151" s="258"/>
    </row>
    <row r="152" spans="20:22" ht="15" customHeight="1" x14ac:dyDescent="0.25">
      <c r="T152" s="258"/>
      <c r="U152" s="258"/>
      <c r="V152" s="258"/>
    </row>
    <row r="153" spans="20:22" ht="15" customHeight="1" x14ac:dyDescent="0.25">
      <c r="T153" s="258"/>
      <c r="U153" s="258"/>
      <c r="V153" s="258"/>
    </row>
    <row r="154" spans="20:22" ht="15" customHeight="1" x14ac:dyDescent="0.25">
      <c r="T154" s="258"/>
      <c r="U154" s="258"/>
      <c r="V154" s="258"/>
    </row>
    <row r="155" spans="20:22" ht="15" customHeight="1" x14ac:dyDescent="0.25">
      <c r="T155" s="258"/>
      <c r="U155" s="258"/>
      <c r="V155" s="258"/>
    </row>
    <row r="156" spans="20:22" ht="15" customHeight="1" x14ac:dyDescent="0.25">
      <c r="T156" s="258"/>
      <c r="U156" s="258"/>
      <c r="V156" s="258"/>
    </row>
    <row r="157" spans="20:22" ht="15" customHeight="1" x14ac:dyDescent="0.25">
      <c r="T157" s="258"/>
      <c r="U157" s="258"/>
      <c r="V157" s="258"/>
    </row>
    <row r="158" spans="20:22" ht="15" customHeight="1" x14ac:dyDescent="0.25"/>
    <row r="159" spans="20:22" ht="15" customHeight="1" x14ac:dyDescent="0.25"/>
    <row r="160" spans="20:22" ht="15" customHeight="1" x14ac:dyDescent="0.25"/>
    <row r="161" ht="15" customHeight="1" x14ac:dyDescent="0.25"/>
  </sheetData>
  <mergeCells count="6">
    <mergeCell ref="A80:F80"/>
    <mergeCell ref="G7:K7"/>
    <mergeCell ref="A1:N1"/>
    <mergeCell ref="A3:N3"/>
    <mergeCell ref="A4:N4"/>
    <mergeCell ref="A78:N78"/>
  </mergeCells>
  <printOptions horizontalCentered="1"/>
  <pageMargins left="0.75" right="0.75" top="0.75" bottom="0.25" header="0.3" footer="0.3"/>
  <pageSetup scale="64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43">
    <pageSetUpPr fitToPage="1"/>
  </sheetPr>
  <dimension ref="A1:XEO152"/>
  <sheetViews>
    <sheetView view="pageBreakPreview" topLeftCell="A18" zoomScale="80" zoomScaleNormal="100" zoomScaleSheetLayoutView="80" workbookViewId="0">
      <selection activeCell="Q42" sqref="Q42"/>
    </sheetView>
  </sheetViews>
  <sheetFormatPr defaultRowHeight="15.75" x14ac:dyDescent="0.25"/>
  <cols>
    <col min="1" max="2" width="2.7109375" style="268" customWidth="1"/>
    <col min="3" max="3" width="12.7109375" style="268" customWidth="1"/>
    <col min="4" max="4" width="28" style="268" customWidth="1"/>
    <col min="5" max="5" width="3" style="268" customWidth="1"/>
    <col min="6" max="6" width="15.140625" style="421" customWidth="1"/>
    <col min="7" max="7" width="2.140625" style="421" customWidth="1"/>
    <col min="8" max="8" width="15.140625" style="421" customWidth="1"/>
    <col min="9" max="9" width="1.7109375" style="421" customWidth="1"/>
    <col min="10" max="10" width="15.140625" style="421" customWidth="1"/>
    <col min="11" max="11" width="2.140625" style="421" customWidth="1"/>
    <col min="12" max="12" width="16.140625" style="59" bestFit="1" customWidth="1"/>
    <col min="13" max="13" width="14.85546875" style="268" bestFit="1" customWidth="1"/>
    <col min="14" max="14" width="16.140625" style="268" customWidth="1"/>
    <col min="15" max="15" width="17.28515625" style="268" bestFit="1" customWidth="1"/>
    <col min="16" max="16" width="14.85546875" style="268" bestFit="1" customWidth="1"/>
    <col min="17" max="27" width="17" style="268" customWidth="1"/>
    <col min="28" max="28" width="15.5703125" style="268" customWidth="1"/>
    <col min="29" max="30" width="9.140625" style="268"/>
    <col min="31" max="31" width="18.140625" style="268" bestFit="1" customWidth="1"/>
    <col min="32" max="32" width="9.140625" style="268"/>
    <col min="33" max="33" width="18.140625" style="268" customWidth="1"/>
    <col min="34" max="34" width="9.140625" style="268" customWidth="1"/>
    <col min="35" max="35" width="20.85546875" style="268" customWidth="1"/>
    <col min="36" max="247" width="9.140625" style="268"/>
    <col min="248" max="249" width="4.7109375" style="268" customWidth="1"/>
    <col min="250" max="250" width="12.7109375" style="268" customWidth="1"/>
    <col min="251" max="251" width="33.42578125" style="268" customWidth="1"/>
    <col min="252" max="258" width="0" style="268" hidden="1" customWidth="1"/>
    <col min="259" max="259" width="2.5703125" style="268" customWidth="1"/>
    <col min="260" max="260" width="18" style="268" customWidth="1"/>
    <col min="261" max="261" width="2.5703125" style="268" customWidth="1"/>
    <col min="262" max="263" width="0" style="268" hidden="1" customWidth="1"/>
    <col min="264" max="264" width="18" style="268" customWidth="1"/>
    <col min="265" max="265" width="2.28515625" style="268" customWidth="1"/>
    <col min="266" max="266" width="18" style="268" customWidth="1"/>
    <col min="267" max="267" width="12.7109375" style="268" customWidth="1"/>
    <col min="268" max="268" width="15.42578125" style="268" bestFit="1" customWidth="1"/>
    <col min="269" max="269" width="14.85546875" style="268" bestFit="1" customWidth="1"/>
    <col min="270" max="270" width="14" style="268" bestFit="1" customWidth="1"/>
    <col min="271" max="271" width="17.28515625" style="268" bestFit="1" customWidth="1"/>
    <col min="272" max="272" width="14.85546875" style="268" bestFit="1" customWidth="1"/>
    <col min="273" max="273" width="17" style="268" customWidth="1"/>
    <col min="274" max="274" width="13.7109375" style="268" customWidth="1"/>
    <col min="275" max="275" width="14.85546875" style="268" customWidth="1"/>
    <col min="276" max="276" width="16.140625" style="268" bestFit="1" customWidth="1"/>
    <col min="277" max="277" width="12.7109375" style="268" bestFit="1" customWidth="1"/>
    <col min="278" max="278" width="11.5703125" style="268" bestFit="1" customWidth="1"/>
    <col min="279" max="503" width="9.140625" style="268"/>
    <col min="504" max="505" width="4.7109375" style="268" customWidth="1"/>
    <col min="506" max="506" width="12.7109375" style="268" customWidth="1"/>
    <col min="507" max="507" width="33.42578125" style="268" customWidth="1"/>
    <col min="508" max="514" width="0" style="268" hidden="1" customWidth="1"/>
    <col min="515" max="515" width="2.5703125" style="268" customWidth="1"/>
    <col min="516" max="516" width="18" style="268" customWidth="1"/>
    <col min="517" max="517" width="2.5703125" style="268" customWidth="1"/>
    <col min="518" max="519" width="0" style="268" hidden="1" customWidth="1"/>
    <col min="520" max="520" width="18" style="268" customWidth="1"/>
    <col min="521" max="521" width="2.28515625" style="268" customWidth="1"/>
    <col min="522" max="522" width="18" style="268" customWidth="1"/>
    <col min="523" max="523" width="12.7109375" style="268" customWidth="1"/>
    <col min="524" max="524" width="15.42578125" style="268" bestFit="1" customWidth="1"/>
    <col min="525" max="525" width="14.85546875" style="268" bestFit="1" customWidth="1"/>
    <col min="526" max="526" width="14" style="268" bestFit="1" customWidth="1"/>
    <col min="527" max="527" width="17.28515625" style="268" bestFit="1" customWidth="1"/>
    <col min="528" max="528" width="14.85546875" style="268" bestFit="1" customWidth="1"/>
    <col min="529" max="529" width="17" style="268" customWidth="1"/>
    <col min="530" max="530" width="13.7109375" style="268" customWidth="1"/>
    <col min="531" max="531" width="14.85546875" style="268" customWidth="1"/>
    <col min="532" max="532" width="16.140625" style="268" bestFit="1" customWidth="1"/>
    <col min="533" max="533" width="12.7109375" style="268" bestFit="1" customWidth="1"/>
    <col min="534" max="534" width="11.5703125" style="268" bestFit="1" customWidth="1"/>
    <col min="535" max="759" width="9.140625" style="268"/>
    <col min="760" max="761" width="4.7109375" style="268" customWidth="1"/>
    <col min="762" max="762" width="12.7109375" style="268" customWidth="1"/>
    <col min="763" max="763" width="33.42578125" style="268" customWidth="1"/>
    <col min="764" max="770" width="0" style="268" hidden="1" customWidth="1"/>
    <col min="771" max="771" width="2.5703125" style="268" customWidth="1"/>
    <col min="772" max="772" width="18" style="268" customWidth="1"/>
    <col min="773" max="773" width="2.5703125" style="268" customWidth="1"/>
    <col min="774" max="775" width="0" style="268" hidden="1" customWidth="1"/>
    <col min="776" max="776" width="18" style="268" customWidth="1"/>
    <col min="777" max="777" width="2.28515625" style="268" customWidth="1"/>
    <col min="778" max="778" width="18" style="268" customWidth="1"/>
    <col min="779" max="779" width="12.7109375" style="268" customWidth="1"/>
    <col min="780" max="780" width="15.42578125" style="268" bestFit="1" customWidth="1"/>
    <col min="781" max="781" width="14.85546875" style="268" bestFit="1" customWidth="1"/>
    <col min="782" max="782" width="14" style="268" bestFit="1" customWidth="1"/>
    <col min="783" max="783" width="17.28515625" style="268" bestFit="1" customWidth="1"/>
    <col min="784" max="784" width="14.85546875" style="268" bestFit="1" customWidth="1"/>
    <col min="785" max="785" width="17" style="268" customWidth="1"/>
    <col min="786" max="786" width="13.7109375" style="268" customWidth="1"/>
    <col min="787" max="787" width="14.85546875" style="268" customWidth="1"/>
    <col min="788" max="788" width="16.140625" style="268" bestFit="1" customWidth="1"/>
    <col min="789" max="789" width="12.7109375" style="268" bestFit="1" customWidth="1"/>
    <col min="790" max="790" width="11.5703125" style="268" bestFit="1" customWidth="1"/>
    <col min="791" max="1015" width="9.140625" style="268"/>
    <col min="1016" max="1017" width="4.7109375" style="268" customWidth="1"/>
    <col min="1018" max="1018" width="12.7109375" style="268" customWidth="1"/>
    <col min="1019" max="1019" width="33.42578125" style="268" customWidth="1"/>
    <col min="1020" max="1026" width="0" style="268" hidden="1" customWidth="1"/>
    <col min="1027" max="1027" width="2.5703125" style="268" customWidth="1"/>
    <col min="1028" max="1028" width="18" style="268" customWidth="1"/>
    <col min="1029" max="1029" width="2.5703125" style="268" customWidth="1"/>
    <col min="1030" max="1031" width="0" style="268" hidden="1" customWidth="1"/>
    <col min="1032" max="1032" width="18" style="268" customWidth="1"/>
    <col min="1033" max="1033" width="2.28515625" style="268" customWidth="1"/>
    <col min="1034" max="1034" width="18" style="268" customWidth="1"/>
    <col min="1035" max="1035" width="12.7109375" style="268" customWidth="1"/>
    <col min="1036" max="1036" width="15.42578125" style="268" bestFit="1" customWidth="1"/>
    <col min="1037" max="1037" width="14.85546875" style="268" bestFit="1" customWidth="1"/>
    <col min="1038" max="1038" width="14" style="268" bestFit="1" customWidth="1"/>
    <col min="1039" max="1039" width="17.28515625" style="268" bestFit="1" customWidth="1"/>
    <col min="1040" max="1040" width="14.85546875" style="268" bestFit="1" customWidth="1"/>
    <col min="1041" max="1041" width="17" style="268" customWidth="1"/>
    <col min="1042" max="1042" width="13.7109375" style="268" customWidth="1"/>
    <col min="1043" max="1043" width="14.85546875" style="268" customWidth="1"/>
    <col min="1044" max="1044" width="16.140625" style="268" bestFit="1" customWidth="1"/>
    <col min="1045" max="1045" width="12.7109375" style="268" bestFit="1" customWidth="1"/>
    <col min="1046" max="1046" width="11.5703125" style="268" bestFit="1" customWidth="1"/>
    <col min="1047" max="1271" width="9.140625" style="268"/>
    <col min="1272" max="1273" width="4.7109375" style="268" customWidth="1"/>
    <col min="1274" max="1274" width="12.7109375" style="268" customWidth="1"/>
    <col min="1275" max="1275" width="33.42578125" style="268" customWidth="1"/>
    <col min="1276" max="1282" width="0" style="268" hidden="1" customWidth="1"/>
    <col min="1283" max="1283" width="2.5703125" style="268" customWidth="1"/>
    <col min="1284" max="1284" width="18" style="268" customWidth="1"/>
    <col min="1285" max="1285" width="2.5703125" style="268" customWidth="1"/>
    <col min="1286" max="1287" width="0" style="268" hidden="1" customWidth="1"/>
    <col min="1288" max="1288" width="18" style="268" customWidth="1"/>
    <col min="1289" max="1289" width="2.28515625" style="268" customWidth="1"/>
    <col min="1290" max="1290" width="18" style="268" customWidth="1"/>
    <col min="1291" max="1291" width="12.7109375" style="268" customWidth="1"/>
    <col min="1292" max="1292" width="15.42578125" style="268" bestFit="1" customWidth="1"/>
    <col min="1293" max="1293" width="14.85546875" style="268" bestFit="1" customWidth="1"/>
    <col min="1294" max="1294" width="14" style="268" bestFit="1" customWidth="1"/>
    <col min="1295" max="1295" width="17.28515625" style="268" bestFit="1" customWidth="1"/>
    <col min="1296" max="1296" width="14.85546875" style="268" bestFit="1" customWidth="1"/>
    <col min="1297" max="1297" width="17" style="268" customWidth="1"/>
    <col min="1298" max="1298" width="13.7109375" style="268" customWidth="1"/>
    <col min="1299" max="1299" width="14.85546875" style="268" customWidth="1"/>
    <col min="1300" max="1300" width="16.140625" style="268" bestFit="1" customWidth="1"/>
    <col min="1301" max="1301" width="12.7109375" style="268" bestFit="1" customWidth="1"/>
    <col min="1302" max="1302" width="11.5703125" style="268" bestFit="1" customWidth="1"/>
    <col min="1303" max="1527" width="9.140625" style="268"/>
    <col min="1528" max="1529" width="4.7109375" style="268" customWidth="1"/>
    <col min="1530" max="1530" width="12.7109375" style="268" customWidth="1"/>
    <col min="1531" max="1531" width="33.42578125" style="268" customWidth="1"/>
    <col min="1532" max="1538" width="0" style="268" hidden="1" customWidth="1"/>
    <col min="1539" max="1539" width="2.5703125" style="268" customWidth="1"/>
    <col min="1540" max="1540" width="18" style="268" customWidth="1"/>
    <col min="1541" max="1541" width="2.5703125" style="268" customWidth="1"/>
    <col min="1542" max="1543" width="0" style="268" hidden="1" customWidth="1"/>
    <col min="1544" max="1544" width="18" style="268" customWidth="1"/>
    <col min="1545" max="1545" width="2.28515625" style="268" customWidth="1"/>
    <col min="1546" max="1546" width="18" style="268" customWidth="1"/>
    <col min="1547" max="1547" width="12.7109375" style="268" customWidth="1"/>
    <col min="1548" max="1548" width="15.42578125" style="268" bestFit="1" customWidth="1"/>
    <col min="1549" max="1549" width="14.85546875" style="268" bestFit="1" customWidth="1"/>
    <col min="1550" max="1550" width="14" style="268" bestFit="1" customWidth="1"/>
    <col min="1551" max="1551" width="17.28515625" style="268" bestFit="1" customWidth="1"/>
    <col min="1552" max="1552" width="14.85546875" style="268" bestFit="1" customWidth="1"/>
    <col min="1553" max="1553" width="17" style="268" customWidth="1"/>
    <col min="1554" max="1554" width="13.7109375" style="268" customWidth="1"/>
    <col min="1555" max="1555" width="14.85546875" style="268" customWidth="1"/>
    <col min="1556" max="1556" width="16.140625" style="268" bestFit="1" customWidth="1"/>
    <col min="1557" max="1557" width="12.7109375" style="268" bestFit="1" customWidth="1"/>
    <col min="1558" max="1558" width="11.5703125" style="268" bestFit="1" customWidth="1"/>
    <col min="1559" max="1783" width="9.140625" style="268"/>
    <col min="1784" max="1785" width="4.7109375" style="268" customWidth="1"/>
    <col min="1786" max="1786" width="12.7109375" style="268" customWidth="1"/>
    <col min="1787" max="1787" width="33.42578125" style="268" customWidth="1"/>
    <col min="1788" max="1794" width="0" style="268" hidden="1" customWidth="1"/>
    <col min="1795" max="1795" width="2.5703125" style="268" customWidth="1"/>
    <col min="1796" max="1796" width="18" style="268" customWidth="1"/>
    <col min="1797" max="1797" width="2.5703125" style="268" customWidth="1"/>
    <col min="1798" max="1799" width="0" style="268" hidden="1" customWidth="1"/>
    <col min="1800" max="1800" width="18" style="268" customWidth="1"/>
    <col min="1801" max="1801" width="2.28515625" style="268" customWidth="1"/>
    <col min="1802" max="1802" width="18" style="268" customWidth="1"/>
    <col min="1803" max="1803" width="12.7109375" style="268" customWidth="1"/>
    <col min="1804" max="1804" width="15.42578125" style="268" bestFit="1" customWidth="1"/>
    <col min="1805" max="1805" width="14.85546875" style="268" bestFit="1" customWidth="1"/>
    <col min="1806" max="1806" width="14" style="268" bestFit="1" customWidth="1"/>
    <col min="1807" max="1807" width="17.28515625" style="268" bestFit="1" customWidth="1"/>
    <col min="1808" max="1808" width="14.85546875" style="268" bestFit="1" customWidth="1"/>
    <col min="1809" max="1809" width="17" style="268" customWidth="1"/>
    <col min="1810" max="1810" width="13.7109375" style="268" customWidth="1"/>
    <col min="1811" max="1811" width="14.85546875" style="268" customWidth="1"/>
    <col min="1812" max="1812" width="16.140625" style="268" bestFit="1" customWidth="1"/>
    <col min="1813" max="1813" width="12.7109375" style="268" bestFit="1" customWidth="1"/>
    <col min="1814" max="1814" width="11.5703125" style="268" bestFit="1" customWidth="1"/>
    <col min="1815" max="2039" width="9.140625" style="268"/>
    <col min="2040" max="2041" width="4.7109375" style="268" customWidth="1"/>
    <col min="2042" max="2042" width="12.7109375" style="268" customWidth="1"/>
    <col min="2043" max="2043" width="33.42578125" style="268" customWidth="1"/>
    <col min="2044" max="2050" width="0" style="268" hidden="1" customWidth="1"/>
    <col min="2051" max="2051" width="2.5703125" style="268" customWidth="1"/>
    <col min="2052" max="2052" width="18" style="268" customWidth="1"/>
    <col min="2053" max="2053" width="2.5703125" style="268" customWidth="1"/>
    <col min="2054" max="2055" width="0" style="268" hidden="1" customWidth="1"/>
    <col min="2056" max="2056" width="18" style="268" customWidth="1"/>
    <col min="2057" max="2057" width="2.28515625" style="268" customWidth="1"/>
    <col min="2058" max="2058" width="18" style="268" customWidth="1"/>
    <col min="2059" max="2059" width="12.7109375" style="268" customWidth="1"/>
    <col min="2060" max="2060" width="15.42578125" style="268" bestFit="1" customWidth="1"/>
    <col min="2061" max="2061" width="14.85546875" style="268" bestFit="1" customWidth="1"/>
    <col min="2062" max="2062" width="14" style="268" bestFit="1" customWidth="1"/>
    <col min="2063" max="2063" width="17.28515625" style="268" bestFit="1" customWidth="1"/>
    <col min="2064" max="2064" width="14.85546875" style="268" bestFit="1" customWidth="1"/>
    <col min="2065" max="2065" width="17" style="268" customWidth="1"/>
    <col min="2066" max="2066" width="13.7109375" style="268" customWidth="1"/>
    <col min="2067" max="2067" width="14.85546875" style="268" customWidth="1"/>
    <col min="2068" max="2068" width="16.140625" style="268" bestFit="1" customWidth="1"/>
    <col min="2069" max="2069" width="12.7109375" style="268" bestFit="1" customWidth="1"/>
    <col min="2070" max="2070" width="11.5703125" style="268" bestFit="1" customWidth="1"/>
    <col min="2071" max="2295" width="9.140625" style="268"/>
    <col min="2296" max="2297" width="4.7109375" style="268" customWidth="1"/>
    <col min="2298" max="2298" width="12.7109375" style="268" customWidth="1"/>
    <col min="2299" max="2299" width="33.42578125" style="268" customWidth="1"/>
    <col min="2300" max="2306" width="0" style="268" hidden="1" customWidth="1"/>
    <col min="2307" max="2307" width="2.5703125" style="268" customWidth="1"/>
    <col min="2308" max="2308" width="18" style="268" customWidth="1"/>
    <col min="2309" max="2309" width="2.5703125" style="268" customWidth="1"/>
    <col min="2310" max="2311" width="0" style="268" hidden="1" customWidth="1"/>
    <col min="2312" max="2312" width="18" style="268" customWidth="1"/>
    <col min="2313" max="2313" width="2.28515625" style="268" customWidth="1"/>
    <col min="2314" max="2314" width="18" style="268" customWidth="1"/>
    <col min="2315" max="2315" width="12.7109375" style="268" customWidth="1"/>
    <col min="2316" max="2316" width="15.42578125" style="268" bestFit="1" customWidth="1"/>
    <col min="2317" max="2317" width="14.85546875" style="268" bestFit="1" customWidth="1"/>
    <col min="2318" max="2318" width="14" style="268" bestFit="1" customWidth="1"/>
    <col min="2319" max="2319" width="17.28515625" style="268" bestFit="1" customWidth="1"/>
    <col min="2320" max="2320" width="14.85546875" style="268" bestFit="1" customWidth="1"/>
    <col min="2321" max="2321" width="17" style="268" customWidth="1"/>
    <col min="2322" max="2322" width="13.7109375" style="268" customWidth="1"/>
    <col min="2323" max="2323" width="14.85546875" style="268" customWidth="1"/>
    <col min="2324" max="2324" width="16.140625" style="268" bestFit="1" customWidth="1"/>
    <col min="2325" max="2325" width="12.7109375" style="268" bestFit="1" customWidth="1"/>
    <col min="2326" max="2326" width="11.5703125" style="268" bestFit="1" customWidth="1"/>
    <col min="2327" max="2551" width="9.140625" style="268"/>
    <col min="2552" max="2553" width="4.7109375" style="268" customWidth="1"/>
    <col min="2554" max="2554" width="12.7109375" style="268" customWidth="1"/>
    <col min="2555" max="2555" width="33.42578125" style="268" customWidth="1"/>
    <col min="2556" max="2562" width="0" style="268" hidden="1" customWidth="1"/>
    <col min="2563" max="2563" width="2.5703125" style="268" customWidth="1"/>
    <col min="2564" max="2564" width="18" style="268" customWidth="1"/>
    <col min="2565" max="2565" width="2.5703125" style="268" customWidth="1"/>
    <col min="2566" max="2567" width="0" style="268" hidden="1" customWidth="1"/>
    <col min="2568" max="2568" width="18" style="268" customWidth="1"/>
    <col min="2569" max="2569" width="2.28515625" style="268" customWidth="1"/>
    <col min="2570" max="2570" width="18" style="268" customWidth="1"/>
    <col min="2571" max="2571" width="12.7109375" style="268" customWidth="1"/>
    <col min="2572" max="2572" width="15.42578125" style="268" bestFit="1" customWidth="1"/>
    <col min="2573" max="2573" width="14.85546875" style="268" bestFit="1" customWidth="1"/>
    <col min="2574" max="2574" width="14" style="268" bestFit="1" customWidth="1"/>
    <col min="2575" max="2575" width="17.28515625" style="268" bestFit="1" customWidth="1"/>
    <col min="2576" max="2576" width="14.85546875" style="268" bestFit="1" customWidth="1"/>
    <col min="2577" max="2577" width="17" style="268" customWidth="1"/>
    <col min="2578" max="2578" width="13.7109375" style="268" customWidth="1"/>
    <col min="2579" max="2579" width="14.85546875" style="268" customWidth="1"/>
    <col min="2580" max="2580" width="16.140625" style="268" bestFit="1" customWidth="1"/>
    <col min="2581" max="2581" width="12.7109375" style="268" bestFit="1" customWidth="1"/>
    <col min="2582" max="2582" width="11.5703125" style="268" bestFit="1" customWidth="1"/>
    <col min="2583" max="2807" width="9.140625" style="268"/>
    <col min="2808" max="2809" width="4.7109375" style="268" customWidth="1"/>
    <col min="2810" max="2810" width="12.7109375" style="268" customWidth="1"/>
    <col min="2811" max="2811" width="33.42578125" style="268" customWidth="1"/>
    <col min="2812" max="2818" width="0" style="268" hidden="1" customWidth="1"/>
    <col min="2819" max="2819" width="2.5703125" style="268" customWidth="1"/>
    <col min="2820" max="2820" width="18" style="268" customWidth="1"/>
    <col min="2821" max="2821" width="2.5703125" style="268" customWidth="1"/>
    <col min="2822" max="2823" width="0" style="268" hidden="1" customWidth="1"/>
    <col min="2824" max="2824" width="18" style="268" customWidth="1"/>
    <col min="2825" max="2825" width="2.28515625" style="268" customWidth="1"/>
    <col min="2826" max="2826" width="18" style="268" customWidth="1"/>
    <col min="2827" max="2827" width="12.7109375" style="268" customWidth="1"/>
    <col min="2828" max="2828" width="15.42578125" style="268" bestFit="1" customWidth="1"/>
    <col min="2829" max="2829" width="14.85546875" style="268" bestFit="1" customWidth="1"/>
    <col min="2830" max="2830" width="14" style="268" bestFit="1" customWidth="1"/>
    <col min="2831" max="2831" width="17.28515625" style="268" bestFit="1" customWidth="1"/>
    <col min="2832" max="2832" width="14.85546875" style="268" bestFit="1" customWidth="1"/>
    <col min="2833" max="2833" width="17" style="268" customWidth="1"/>
    <col min="2834" max="2834" width="13.7109375" style="268" customWidth="1"/>
    <col min="2835" max="2835" width="14.85546875" style="268" customWidth="1"/>
    <col min="2836" max="2836" width="16.140625" style="268" bestFit="1" customWidth="1"/>
    <col min="2837" max="2837" width="12.7109375" style="268" bestFit="1" customWidth="1"/>
    <col min="2838" max="2838" width="11.5703125" style="268" bestFit="1" customWidth="1"/>
    <col min="2839" max="3063" width="9.140625" style="268"/>
    <col min="3064" max="3065" width="4.7109375" style="268" customWidth="1"/>
    <col min="3066" max="3066" width="12.7109375" style="268" customWidth="1"/>
    <col min="3067" max="3067" width="33.42578125" style="268" customWidth="1"/>
    <col min="3068" max="3074" width="0" style="268" hidden="1" customWidth="1"/>
    <col min="3075" max="3075" width="2.5703125" style="268" customWidth="1"/>
    <col min="3076" max="3076" width="18" style="268" customWidth="1"/>
    <col min="3077" max="3077" width="2.5703125" style="268" customWidth="1"/>
    <col min="3078" max="3079" width="0" style="268" hidden="1" customWidth="1"/>
    <col min="3080" max="3080" width="18" style="268" customWidth="1"/>
    <col min="3081" max="3081" width="2.28515625" style="268" customWidth="1"/>
    <col min="3082" max="3082" width="18" style="268" customWidth="1"/>
    <col min="3083" max="3083" width="12.7109375" style="268" customWidth="1"/>
    <col min="3084" max="3084" width="15.42578125" style="268" bestFit="1" customWidth="1"/>
    <col min="3085" max="3085" width="14.85546875" style="268" bestFit="1" customWidth="1"/>
    <col min="3086" max="3086" width="14" style="268" bestFit="1" customWidth="1"/>
    <col min="3087" max="3087" width="17.28515625" style="268" bestFit="1" customWidth="1"/>
    <col min="3088" max="3088" width="14.85546875" style="268" bestFit="1" customWidth="1"/>
    <col min="3089" max="3089" width="17" style="268" customWidth="1"/>
    <col min="3090" max="3090" width="13.7109375" style="268" customWidth="1"/>
    <col min="3091" max="3091" width="14.85546875" style="268" customWidth="1"/>
    <col min="3092" max="3092" width="16.140625" style="268" bestFit="1" customWidth="1"/>
    <col min="3093" max="3093" width="12.7109375" style="268" bestFit="1" customWidth="1"/>
    <col min="3094" max="3094" width="11.5703125" style="268" bestFit="1" customWidth="1"/>
    <col min="3095" max="3319" width="9.140625" style="268"/>
    <col min="3320" max="3321" width="4.7109375" style="268" customWidth="1"/>
    <col min="3322" max="3322" width="12.7109375" style="268" customWidth="1"/>
    <col min="3323" max="3323" width="33.42578125" style="268" customWidth="1"/>
    <col min="3324" max="3330" width="0" style="268" hidden="1" customWidth="1"/>
    <col min="3331" max="3331" width="2.5703125" style="268" customWidth="1"/>
    <col min="3332" max="3332" width="18" style="268" customWidth="1"/>
    <col min="3333" max="3333" width="2.5703125" style="268" customWidth="1"/>
    <col min="3334" max="3335" width="0" style="268" hidden="1" customWidth="1"/>
    <col min="3336" max="3336" width="18" style="268" customWidth="1"/>
    <col min="3337" max="3337" width="2.28515625" style="268" customWidth="1"/>
    <col min="3338" max="3338" width="18" style="268" customWidth="1"/>
    <col min="3339" max="3339" width="12.7109375" style="268" customWidth="1"/>
    <col min="3340" max="3340" width="15.42578125" style="268" bestFit="1" customWidth="1"/>
    <col min="3341" max="3341" width="14.85546875" style="268" bestFit="1" customWidth="1"/>
    <col min="3342" max="3342" width="14" style="268" bestFit="1" customWidth="1"/>
    <col min="3343" max="3343" width="17.28515625" style="268" bestFit="1" customWidth="1"/>
    <col min="3344" max="3344" width="14.85546875" style="268" bestFit="1" customWidth="1"/>
    <col min="3345" max="3345" width="17" style="268" customWidth="1"/>
    <col min="3346" max="3346" width="13.7109375" style="268" customWidth="1"/>
    <col min="3347" max="3347" width="14.85546875" style="268" customWidth="1"/>
    <col min="3348" max="3348" width="16.140625" style="268" bestFit="1" customWidth="1"/>
    <col min="3349" max="3349" width="12.7109375" style="268" bestFit="1" customWidth="1"/>
    <col min="3350" max="3350" width="11.5703125" style="268" bestFit="1" customWidth="1"/>
    <col min="3351" max="3575" width="9.140625" style="268"/>
    <col min="3576" max="3577" width="4.7109375" style="268" customWidth="1"/>
    <col min="3578" max="3578" width="12.7109375" style="268" customWidth="1"/>
    <col min="3579" max="3579" width="33.42578125" style="268" customWidth="1"/>
    <col min="3580" max="3586" width="0" style="268" hidden="1" customWidth="1"/>
    <col min="3587" max="3587" width="2.5703125" style="268" customWidth="1"/>
    <col min="3588" max="3588" width="18" style="268" customWidth="1"/>
    <col min="3589" max="3589" width="2.5703125" style="268" customWidth="1"/>
    <col min="3590" max="3591" width="0" style="268" hidden="1" customWidth="1"/>
    <col min="3592" max="3592" width="18" style="268" customWidth="1"/>
    <col min="3593" max="3593" width="2.28515625" style="268" customWidth="1"/>
    <col min="3594" max="3594" width="18" style="268" customWidth="1"/>
    <col min="3595" max="3595" width="12.7109375" style="268" customWidth="1"/>
    <col min="3596" max="3596" width="15.42578125" style="268" bestFit="1" customWidth="1"/>
    <col min="3597" max="3597" width="14.85546875" style="268" bestFit="1" customWidth="1"/>
    <col min="3598" max="3598" width="14" style="268" bestFit="1" customWidth="1"/>
    <col min="3599" max="3599" width="17.28515625" style="268" bestFit="1" customWidth="1"/>
    <col min="3600" max="3600" width="14.85546875" style="268" bestFit="1" customWidth="1"/>
    <col min="3601" max="3601" width="17" style="268" customWidth="1"/>
    <col min="3602" max="3602" width="13.7109375" style="268" customWidth="1"/>
    <col min="3603" max="3603" width="14.85546875" style="268" customWidth="1"/>
    <col min="3604" max="3604" width="16.140625" style="268" bestFit="1" customWidth="1"/>
    <col min="3605" max="3605" width="12.7109375" style="268" bestFit="1" customWidth="1"/>
    <col min="3606" max="3606" width="11.5703125" style="268" bestFit="1" customWidth="1"/>
    <col min="3607" max="3831" width="9.140625" style="268"/>
    <col min="3832" max="3833" width="4.7109375" style="268" customWidth="1"/>
    <col min="3834" max="3834" width="12.7109375" style="268" customWidth="1"/>
    <col min="3835" max="3835" width="33.42578125" style="268" customWidth="1"/>
    <col min="3836" max="3842" width="0" style="268" hidden="1" customWidth="1"/>
    <col min="3843" max="3843" width="2.5703125" style="268" customWidth="1"/>
    <col min="3844" max="3844" width="18" style="268" customWidth="1"/>
    <col min="3845" max="3845" width="2.5703125" style="268" customWidth="1"/>
    <col min="3846" max="3847" width="0" style="268" hidden="1" customWidth="1"/>
    <col min="3848" max="3848" width="18" style="268" customWidth="1"/>
    <col min="3849" max="3849" width="2.28515625" style="268" customWidth="1"/>
    <col min="3850" max="3850" width="18" style="268" customWidth="1"/>
    <col min="3851" max="3851" width="12.7109375" style="268" customWidth="1"/>
    <col min="3852" max="3852" width="15.42578125" style="268" bestFit="1" customWidth="1"/>
    <col min="3853" max="3853" width="14.85546875" style="268" bestFit="1" customWidth="1"/>
    <col min="3854" max="3854" width="14" style="268" bestFit="1" customWidth="1"/>
    <col min="3855" max="3855" width="17.28515625" style="268" bestFit="1" customWidth="1"/>
    <col min="3856" max="3856" width="14.85546875" style="268" bestFit="1" customWidth="1"/>
    <col min="3857" max="3857" width="17" style="268" customWidth="1"/>
    <col min="3858" max="3858" width="13.7109375" style="268" customWidth="1"/>
    <col min="3859" max="3859" width="14.85546875" style="268" customWidth="1"/>
    <col min="3860" max="3860" width="16.140625" style="268" bestFit="1" customWidth="1"/>
    <col min="3861" max="3861" width="12.7109375" style="268" bestFit="1" customWidth="1"/>
    <col min="3862" max="3862" width="11.5703125" style="268" bestFit="1" customWidth="1"/>
    <col min="3863" max="4087" width="9.140625" style="268"/>
    <col min="4088" max="4089" width="4.7109375" style="268" customWidth="1"/>
    <col min="4090" max="4090" width="12.7109375" style="268" customWidth="1"/>
    <col min="4091" max="4091" width="33.42578125" style="268" customWidth="1"/>
    <col min="4092" max="4098" width="0" style="268" hidden="1" customWidth="1"/>
    <col min="4099" max="4099" width="2.5703125" style="268" customWidth="1"/>
    <col min="4100" max="4100" width="18" style="268" customWidth="1"/>
    <col min="4101" max="4101" width="2.5703125" style="268" customWidth="1"/>
    <col min="4102" max="4103" width="0" style="268" hidden="1" customWidth="1"/>
    <col min="4104" max="4104" width="18" style="268" customWidth="1"/>
    <col min="4105" max="4105" width="2.28515625" style="268" customWidth="1"/>
    <col min="4106" max="4106" width="18" style="268" customWidth="1"/>
    <col min="4107" max="4107" width="12.7109375" style="268" customWidth="1"/>
    <col min="4108" max="4108" width="15.42578125" style="268" bestFit="1" customWidth="1"/>
    <col min="4109" max="4109" width="14.85546875" style="268" bestFit="1" customWidth="1"/>
    <col min="4110" max="4110" width="14" style="268" bestFit="1" customWidth="1"/>
    <col min="4111" max="4111" width="17.28515625" style="268" bestFit="1" customWidth="1"/>
    <col min="4112" max="4112" width="14.85546875" style="268" bestFit="1" customWidth="1"/>
    <col min="4113" max="4113" width="17" style="268" customWidth="1"/>
    <col min="4114" max="4114" width="13.7109375" style="268" customWidth="1"/>
    <col min="4115" max="4115" width="14.85546875" style="268" customWidth="1"/>
    <col min="4116" max="4116" width="16.140625" style="268" bestFit="1" customWidth="1"/>
    <col min="4117" max="4117" width="12.7109375" style="268" bestFit="1" customWidth="1"/>
    <col min="4118" max="4118" width="11.5703125" style="268" bestFit="1" customWidth="1"/>
    <col min="4119" max="4343" width="9.140625" style="268"/>
    <col min="4344" max="4345" width="4.7109375" style="268" customWidth="1"/>
    <col min="4346" max="4346" width="12.7109375" style="268" customWidth="1"/>
    <col min="4347" max="4347" width="33.42578125" style="268" customWidth="1"/>
    <col min="4348" max="4354" width="0" style="268" hidden="1" customWidth="1"/>
    <col min="4355" max="4355" width="2.5703125" style="268" customWidth="1"/>
    <col min="4356" max="4356" width="18" style="268" customWidth="1"/>
    <col min="4357" max="4357" width="2.5703125" style="268" customWidth="1"/>
    <col min="4358" max="4359" width="0" style="268" hidden="1" customWidth="1"/>
    <col min="4360" max="4360" width="18" style="268" customWidth="1"/>
    <col min="4361" max="4361" width="2.28515625" style="268" customWidth="1"/>
    <col min="4362" max="4362" width="18" style="268" customWidth="1"/>
    <col min="4363" max="4363" width="12.7109375" style="268" customWidth="1"/>
    <col min="4364" max="4364" width="15.42578125" style="268" bestFit="1" customWidth="1"/>
    <col min="4365" max="4365" width="14.85546875" style="268" bestFit="1" customWidth="1"/>
    <col min="4366" max="4366" width="14" style="268" bestFit="1" customWidth="1"/>
    <col min="4367" max="4367" width="17.28515625" style="268" bestFit="1" customWidth="1"/>
    <col min="4368" max="4368" width="14.85546875" style="268" bestFit="1" customWidth="1"/>
    <col min="4369" max="4369" width="17" style="268" customWidth="1"/>
    <col min="4370" max="4370" width="13.7109375" style="268" customWidth="1"/>
    <col min="4371" max="4371" width="14.85546875" style="268" customWidth="1"/>
    <col min="4372" max="4372" width="16.140625" style="268" bestFit="1" customWidth="1"/>
    <col min="4373" max="4373" width="12.7109375" style="268" bestFit="1" customWidth="1"/>
    <col min="4374" max="4374" width="11.5703125" style="268" bestFit="1" customWidth="1"/>
    <col min="4375" max="4599" width="9.140625" style="268"/>
    <col min="4600" max="4601" width="4.7109375" style="268" customWidth="1"/>
    <col min="4602" max="4602" width="12.7109375" style="268" customWidth="1"/>
    <col min="4603" max="4603" width="33.42578125" style="268" customWidth="1"/>
    <col min="4604" max="4610" width="0" style="268" hidden="1" customWidth="1"/>
    <col min="4611" max="4611" width="2.5703125" style="268" customWidth="1"/>
    <col min="4612" max="4612" width="18" style="268" customWidth="1"/>
    <col min="4613" max="4613" width="2.5703125" style="268" customWidth="1"/>
    <col min="4614" max="4615" width="0" style="268" hidden="1" customWidth="1"/>
    <col min="4616" max="4616" width="18" style="268" customWidth="1"/>
    <col min="4617" max="4617" width="2.28515625" style="268" customWidth="1"/>
    <col min="4618" max="4618" width="18" style="268" customWidth="1"/>
    <col min="4619" max="4619" width="12.7109375" style="268" customWidth="1"/>
    <col min="4620" max="4620" width="15.42578125" style="268" bestFit="1" customWidth="1"/>
    <col min="4621" max="4621" width="14.85546875" style="268" bestFit="1" customWidth="1"/>
    <col min="4622" max="4622" width="14" style="268" bestFit="1" customWidth="1"/>
    <col min="4623" max="4623" width="17.28515625" style="268" bestFit="1" customWidth="1"/>
    <col min="4624" max="4624" width="14.85546875" style="268" bestFit="1" customWidth="1"/>
    <col min="4625" max="4625" width="17" style="268" customWidth="1"/>
    <col min="4626" max="4626" width="13.7109375" style="268" customWidth="1"/>
    <col min="4627" max="4627" width="14.85546875" style="268" customWidth="1"/>
    <col min="4628" max="4628" width="16.140625" style="268" bestFit="1" customWidth="1"/>
    <col min="4629" max="4629" width="12.7109375" style="268" bestFit="1" customWidth="1"/>
    <col min="4630" max="4630" width="11.5703125" style="268" bestFit="1" customWidth="1"/>
    <col min="4631" max="4855" width="9.140625" style="268"/>
    <col min="4856" max="4857" width="4.7109375" style="268" customWidth="1"/>
    <col min="4858" max="4858" width="12.7109375" style="268" customWidth="1"/>
    <col min="4859" max="4859" width="33.42578125" style="268" customWidth="1"/>
    <col min="4860" max="4866" width="0" style="268" hidden="1" customWidth="1"/>
    <col min="4867" max="4867" width="2.5703125" style="268" customWidth="1"/>
    <col min="4868" max="4868" width="18" style="268" customWidth="1"/>
    <col min="4869" max="4869" width="2.5703125" style="268" customWidth="1"/>
    <col min="4870" max="4871" width="0" style="268" hidden="1" customWidth="1"/>
    <col min="4872" max="4872" width="18" style="268" customWidth="1"/>
    <col min="4873" max="4873" width="2.28515625" style="268" customWidth="1"/>
    <col min="4874" max="4874" width="18" style="268" customWidth="1"/>
    <col min="4875" max="4875" width="12.7109375" style="268" customWidth="1"/>
    <col min="4876" max="4876" width="15.42578125" style="268" bestFit="1" customWidth="1"/>
    <col min="4877" max="4877" width="14.85546875" style="268" bestFit="1" customWidth="1"/>
    <col min="4878" max="4878" width="14" style="268" bestFit="1" customWidth="1"/>
    <col min="4879" max="4879" width="17.28515625" style="268" bestFit="1" customWidth="1"/>
    <col min="4880" max="4880" width="14.85546875" style="268" bestFit="1" customWidth="1"/>
    <col min="4881" max="4881" width="17" style="268" customWidth="1"/>
    <col min="4882" max="4882" width="13.7109375" style="268" customWidth="1"/>
    <col min="4883" max="4883" width="14.85546875" style="268" customWidth="1"/>
    <col min="4884" max="4884" width="16.140625" style="268" bestFit="1" customWidth="1"/>
    <col min="4885" max="4885" width="12.7109375" style="268" bestFit="1" customWidth="1"/>
    <col min="4886" max="4886" width="11.5703125" style="268" bestFit="1" customWidth="1"/>
    <col min="4887" max="5111" width="9.140625" style="268"/>
    <col min="5112" max="5113" width="4.7109375" style="268" customWidth="1"/>
    <col min="5114" max="5114" width="12.7109375" style="268" customWidth="1"/>
    <col min="5115" max="5115" width="33.42578125" style="268" customWidth="1"/>
    <col min="5116" max="5122" width="0" style="268" hidden="1" customWidth="1"/>
    <col min="5123" max="5123" width="2.5703125" style="268" customWidth="1"/>
    <col min="5124" max="5124" width="18" style="268" customWidth="1"/>
    <col min="5125" max="5125" width="2.5703125" style="268" customWidth="1"/>
    <col min="5126" max="5127" width="0" style="268" hidden="1" customWidth="1"/>
    <col min="5128" max="5128" width="18" style="268" customWidth="1"/>
    <col min="5129" max="5129" width="2.28515625" style="268" customWidth="1"/>
    <col min="5130" max="5130" width="18" style="268" customWidth="1"/>
    <col min="5131" max="5131" width="12.7109375" style="268" customWidth="1"/>
    <col min="5132" max="5132" width="15.42578125" style="268" bestFit="1" customWidth="1"/>
    <col min="5133" max="5133" width="14.85546875" style="268" bestFit="1" customWidth="1"/>
    <col min="5134" max="5134" width="14" style="268" bestFit="1" customWidth="1"/>
    <col min="5135" max="5135" width="17.28515625" style="268" bestFit="1" customWidth="1"/>
    <col min="5136" max="5136" width="14.85546875" style="268" bestFit="1" customWidth="1"/>
    <col min="5137" max="5137" width="17" style="268" customWidth="1"/>
    <col min="5138" max="5138" width="13.7109375" style="268" customWidth="1"/>
    <col min="5139" max="5139" width="14.85546875" style="268" customWidth="1"/>
    <col min="5140" max="5140" width="16.140625" style="268" bestFit="1" customWidth="1"/>
    <col min="5141" max="5141" width="12.7109375" style="268" bestFit="1" customWidth="1"/>
    <col min="5142" max="5142" width="11.5703125" style="268" bestFit="1" customWidth="1"/>
    <col min="5143" max="5367" width="9.140625" style="268"/>
    <col min="5368" max="5369" width="4.7109375" style="268" customWidth="1"/>
    <col min="5370" max="5370" width="12.7109375" style="268" customWidth="1"/>
    <col min="5371" max="5371" width="33.42578125" style="268" customWidth="1"/>
    <col min="5372" max="5378" width="0" style="268" hidden="1" customWidth="1"/>
    <col min="5379" max="5379" width="2.5703125" style="268" customWidth="1"/>
    <col min="5380" max="5380" width="18" style="268" customWidth="1"/>
    <col min="5381" max="5381" width="2.5703125" style="268" customWidth="1"/>
    <col min="5382" max="5383" width="0" style="268" hidden="1" customWidth="1"/>
    <col min="5384" max="5384" width="18" style="268" customWidth="1"/>
    <col min="5385" max="5385" width="2.28515625" style="268" customWidth="1"/>
    <col min="5386" max="5386" width="18" style="268" customWidth="1"/>
    <col min="5387" max="5387" width="12.7109375" style="268" customWidth="1"/>
    <col min="5388" max="5388" width="15.42578125" style="268" bestFit="1" customWidth="1"/>
    <col min="5389" max="5389" width="14.85546875" style="268" bestFit="1" customWidth="1"/>
    <col min="5390" max="5390" width="14" style="268" bestFit="1" customWidth="1"/>
    <col min="5391" max="5391" width="17.28515625" style="268" bestFit="1" customWidth="1"/>
    <col min="5392" max="5392" width="14.85546875" style="268" bestFit="1" customWidth="1"/>
    <col min="5393" max="5393" width="17" style="268" customWidth="1"/>
    <col min="5394" max="5394" width="13.7109375" style="268" customWidth="1"/>
    <col min="5395" max="5395" width="14.85546875" style="268" customWidth="1"/>
    <col min="5396" max="5396" width="16.140625" style="268" bestFit="1" customWidth="1"/>
    <col min="5397" max="5397" width="12.7109375" style="268" bestFit="1" customWidth="1"/>
    <col min="5398" max="5398" width="11.5703125" style="268" bestFit="1" customWidth="1"/>
    <col min="5399" max="5623" width="9.140625" style="268"/>
    <col min="5624" max="5625" width="4.7109375" style="268" customWidth="1"/>
    <col min="5626" max="5626" width="12.7109375" style="268" customWidth="1"/>
    <col min="5627" max="5627" width="33.42578125" style="268" customWidth="1"/>
    <col min="5628" max="5634" width="0" style="268" hidden="1" customWidth="1"/>
    <col min="5635" max="5635" width="2.5703125" style="268" customWidth="1"/>
    <col min="5636" max="5636" width="18" style="268" customWidth="1"/>
    <col min="5637" max="5637" width="2.5703125" style="268" customWidth="1"/>
    <col min="5638" max="5639" width="0" style="268" hidden="1" customWidth="1"/>
    <col min="5640" max="5640" width="18" style="268" customWidth="1"/>
    <col min="5641" max="5641" width="2.28515625" style="268" customWidth="1"/>
    <col min="5642" max="5642" width="18" style="268" customWidth="1"/>
    <col min="5643" max="5643" width="12.7109375" style="268" customWidth="1"/>
    <col min="5644" max="5644" width="15.42578125" style="268" bestFit="1" customWidth="1"/>
    <col min="5645" max="5645" width="14.85546875" style="268" bestFit="1" customWidth="1"/>
    <col min="5646" max="5646" width="14" style="268" bestFit="1" customWidth="1"/>
    <col min="5647" max="5647" width="17.28515625" style="268" bestFit="1" customWidth="1"/>
    <col min="5648" max="5648" width="14.85546875" style="268" bestFit="1" customWidth="1"/>
    <col min="5649" max="5649" width="17" style="268" customWidth="1"/>
    <col min="5650" max="5650" width="13.7109375" style="268" customWidth="1"/>
    <col min="5651" max="5651" width="14.85546875" style="268" customWidth="1"/>
    <col min="5652" max="5652" width="16.140625" style="268" bestFit="1" customWidth="1"/>
    <col min="5653" max="5653" width="12.7109375" style="268" bestFit="1" customWidth="1"/>
    <col min="5654" max="5654" width="11.5703125" style="268" bestFit="1" customWidth="1"/>
    <col min="5655" max="5879" width="9.140625" style="268"/>
    <col min="5880" max="5881" width="4.7109375" style="268" customWidth="1"/>
    <col min="5882" max="5882" width="12.7109375" style="268" customWidth="1"/>
    <col min="5883" max="5883" width="33.42578125" style="268" customWidth="1"/>
    <col min="5884" max="5890" width="0" style="268" hidden="1" customWidth="1"/>
    <col min="5891" max="5891" width="2.5703125" style="268" customWidth="1"/>
    <col min="5892" max="5892" width="18" style="268" customWidth="1"/>
    <col min="5893" max="5893" width="2.5703125" style="268" customWidth="1"/>
    <col min="5894" max="5895" width="0" style="268" hidden="1" customWidth="1"/>
    <col min="5896" max="5896" width="18" style="268" customWidth="1"/>
    <col min="5897" max="5897" width="2.28515625" style="268" customWidth="1"/>
    <col min="5898" max="5898" width="18" style="268" customWidth="1"/>
    <col min="5899" max="5899" width="12.7109375" style="268" customWidth="1"/>
    <col min="5900" max="5900" width="15.42578125" style="268" bestFit="1" customWidth="1"/>
    <col min="5901" max="5901" width="14.85546875" style="268" bestFit="1" customWidth="1"/>
    <col min="5902" max="5902" width="14" style="268" bestFit="1" customWidth="1"/>
    <col min="5903" max="5903" width="17.28515625" style="268" bestFit="1" customWidth="1"/>
    <col min="5904" max="5904" width="14.85546875" style="268" bestFit="1" customWidth="1"/>
    <col min="5905" max="5905" width="17" style="268" customWidth="1"/>
    <col min="5906" max="5906" width="13.7109375" style="268" customWidth="1"/>
    <col min="5907" max="5907" width="14.85546875" style="268" customWidth="1"/>
    <col min="5908" max="5908" width="16.140625" style="268" bestFit="1" customWidth="1"/>
    <col min="5909" max="5909" width="12.7109375" style="268" bestFit="1" customWidth="1"/>
    <col min="5910" max="5910" width="11.5703125" style="268" bestFit="1" customWidth="1"/>
    <col min="5911" max="6135" width="9.140625" style="268"/>
    <col min="6136" max="6137" width="4.7109375" style="268" customWidth="1"/>
    <col min="6138" max="6138" width="12.7109375" style="268" customWidth="1"/>
    <col min="6139" max="6139" width="33.42578125" style="268" customWidth="1"/>
    <col min="6140" max="6146" width="0" style="268" hidden="1" customWidth="1"/>
    <col min="6147" max="6147" width="2.5703125" style="268" customWidth="1"/>
    <col min="6148" max="6148" width="18" style="268" customWidth="1"/>
    <col min="6149" max="6149" width="2.5703125" style="268" customWidth="1"/>
    <col min="6150" max="6151" width="0" style="268" hidden="1" customWidth="1"/>
    <col min="6152" max="6152" width="18" style="268" customWidth="1"/>
    <col min="6153" max="6153" width="2.28515625" style="268" customWidth="1"/>
    <col min="6154" max="6154" width="18" style="268" customWidth="1"/>
    <col min="6155" max="6155" width="12.7109375" style="268" customWidth="1"/>
    <col min="6156" max="6156" width="15.42578125" style="268" bestFit="1" customWidth="1"/>
    <col min="6157" max="6157" width="14.85546875" style="268" bestFit="1" customWidth="1"/>
    <col min="6158" max="6158" width="14" style="268" bestFit="1" customWidth="1"/>
    <col min="6159" max="6159" width="17.28515625" style="268" bestFit="1" customWidth="1"/>
    <col min="6160" max="6160" width="14.85546875" style="268" bestFit="1" customWidth="1"/>
    <col min="6161" max="6161" width="17" style="268" customWidth="1"/>
    <col min="6162" max="6162" width="13.7109375" style="268" customWidth="1"/>
    <col min="6163" max="6163" width="14.85546875" style="268" customWidth="1"/>
    <col min="6164" max="6164" width="16.140625" style="268" bestFit="1" customWidth="1"/>
    <col min="6165" max="6165" width="12.7109375" style="268" bestFit="1" customWidth="1"/>
    <col min="6166" max="6166" width="11.5703125" style="268" bestFit="1" customWidth="1"/>
    <col min="6167" max="6391" width="9.140625" style="268"/>
    <col min="6392" max="6393" width="4.7109375" style="268" customWidth="1"/>
    <col min="6394" max="6394" width="12.7109375" style="268" customWidth="1"/>
    <col min="6395" max="6395" width="33.42578125" style="268" customWidth="1"/>
    <col min="6396" max="6402" width="0" style="268" hidden="1" customWidth="1"/>
    <col min="6403" max="6403" width="2.5703125" style="268" customWidth="1"/>
    <col min="6404" max="6404" width="18" style="268" customWidth="1"/>
    <col min="6405" max="6405" width="2.5703125" style="268" customWidth="1"/>
    <col min="6406" max="6407" width="0" style="268" hidden="1" customWidth="1"/>
    <col min="6408" max="6408" width="18" style="268" customWidth="1"/>
    <col min="6409" max="6409" width="2.28515625" style="268" customWidth="1"/>
    <col min="6410" max="6410" width="18" style="268" customWidth="1"/>
    <col min="6411" max="6411" width="12.7109375" style="268" customWidth="1"/>
    <col min="6412" max="6412" width="15.42578125" style="268" bestFit="1" customWidth="1"/>
    <col min="6413" max="6413" width="14.85546875" style="268" bestFit="1" customWidth="1"/>
    <col min="6414" max="6414" width="14" style="268" bestFit="1" customWidth="1"/>
    <col min="6415" max="6415" width="17.28515625" style="268" bestFit="1" customWidth="1"/>
    <col min="6416" max="6416" width="14.85546875" style="268" bestFit="1" customWidth="1"/>
    <col min="6417" max="6417" width="17" style="268" customWidth="1"/>
    <col min="6418" max="6418" width="13.7109375" style="268" customWidth="1"/>
    <col min="6419" max="6419" width="14.85546875" style="268" customWidth="1"/>
    <col min="6420" max="6420" width="16.140625" style="268" bestFit="1" customWidth="1"/>
    <col min="6421" max="6421" width="12.7109375" style="268" bestFit="1" customWidth="1"/>
    <col min="6422" max="6422" width="11.5703125" style="268" bestFit="1" customWidth="1"/>
    <col min="6423" max="6647" width="9.140625" style="268"/>
    <col min="6648" max="6649" width="4.7109375" style="268" customWidth="1"/>
    <col min="6650" max="6650" width="12.7109375" style="268" customWidth="1"/>
    <col min="6651" max="6651" width="33.42578125" style="268" customWidth="1"/>
    <col min="6652" max="6658" width="0" style="268" hidden="1" customWidth="1"/>
    <col min="6659" max="6659" width="2.5703125" style="268" customWidth="1"/>
    <col min="6660" max="6660" width="18" style="268" customWidth="1"/>
    <col min="6661" max="6661" width="2.5703125" style="268" customWidth="1"/>
    <col min="6662" max="6663" width="0" style="268" hidden="1" customWidth="1"/>
    <col min="6664" max="6664" width="18" style="268" customWidth="1"/>
    <col min="6665" max="6665" width="2.28515625" style="268" customWidth="1"/>
    <col min="6666" max="6666" width="18" style="268" customWidth="1"/>
    <col min="6667" max="6667" width="12.7109375" style="268" customWidth="1"/>
    <col min="6668" max="6668" width="15.42578125" style="268" bestFit="1" customWidth="1"/>
    <col min="6669" max="6669" width="14.85546875" style="268" bestFit="1" customWidth="1"/>
    <col min="6670" max="6670" width="14" style="268" bestFit="1" customWidth="1"/>
    <col min="6671" max="6671" width="17.28515625" style="268" bestFit="1" customWidth="1"/>
    <col min="6672" max="6672" width="14.85546875" style="268" bestFit="1" customWidth="1"/>
    <col min="6673" max="6673" width="17" style="268" customWidth="1"/>
    <col min="6674" max="6674" width="13.7109375" style="268" customWidth="1"/>
    <col min="6675" max="6675" width="14.85546875" style="268" customWidth="1"/>
    <col min="6676" max="6676" width="16.140625" style="268" bestFit="1" customWidth="1"/>
    <col min="6677" max="6677" width="12.7109375" style="268" bestFit="1" customWidth="1"/>
    <col min="6678" max="6678" width="11.5703125" style="268" bestFit="1" customWidth="1"/>
    <col min="6679" max="6903" width="9.140625" style="268"/>
    <col min="6904" max="6905" width="4.7109375" style="268" customWidth="1"/>
    <col min="6906" max="6906" width="12.7109375" style="268" customWidth="1"/>
    <col min="6907" max="6907" width="33.42578125" style="268" customWidth="1"/>
    <col min="6908" max="6914" width="0" style="268" hidden="1" customWidth="1"/>
    <col min="6915" max="6915" width="2.5703125" style="268" customWidth="1"/>
    <col min="6916" max="6916" width="18" style="268" customWidth="1"/>
    <col min="6917" max="6917" width="2.5703125" style="268" customWidth="1"/>
    <col min="6918" max="6919" width="0" style="268" hidden="1" customWidth="1"/>
    <col min="6920" max="6920" width="18" style="268" customWidth="1"/>
    <col min="6921" max="6921" width="2.28515625" style="268" customWidth="1"/>
    <col min="6922" max="6922" width="18" style="268" customWidth="1"/>
    <col min="6923" max="6923" width="12.7109375" style="268" customWidth="1"/>
    <col min="6924" max="6924" width="15.42578125" style="268" bestFit="1" customWidth="1"/>
    <col min="6925" max="6925" width="14.85546875" style="268" bestFit="1" customWidth="1"/>
    <col min="6926" max="6926" width="14" style="268" bestFit="1" customWidth="1"/>
    <col min="6927" max="6927" width="17.28515625" style="268" bestFit="1" customWidth="1"/>
    <col min="6928" max="6928" width="14.85546875" style="268" bestFit="1" customWidth="1"/>
    <col min="6929" max="6929" width="17" style="268" customWidth="1"/>
    <col min="6930" max="6930" width="13.7109375" style="268" customWidth="1"/>
    <col min="6931" max="6931" width="14.85546875" style="268" customWidth="1"/>
    <col min="6932" max="6932" width="16.140625" style="268" bestFit="1" customWidth="1"/>
    <col min="6933" max="6933" width="12.7109375" style="268" bestFit="1" customWidth="1"/>
    <col min="6934" max="6934" width="11.5703125" style="268" bestFit="1" customWidth="1"/>
    <col min="6935" max="7159" width="9.140625" style="268"/>
    <col min="7160" max="7161" width="4.7109375" style="268" customWidth="1"/>
    <col min="7162" max="7162" width="12.7109375" style="268" customWidth="1"/>
    <col min="7163" max="7163" width="33.42578125" style="268" customWidth="1"/>
    <col min="7164" max="7170" width="0" style="268" hidden="1" customWidth="1"/>
    <col min="7171" max="7171" width="2.5703125" style="268" customWidth="1"/>
    <col min="7172" max="7172" width="18" style="268" customWidth="1"/>
    <col min="7173" max="7173" width="2.5703125" style="268" customWidth="1"/>
    <col min="7174" max="7175" width="0" style="268" hidden="1" customWidth="1"/>
    <col min="7176" max="7176" width="18" style="268" customWidth="1"/>
    <col min="7177" max="7177" width="2.28515625" style="268" customWidth="1"/>
    <col min="7178" max="7178" width="18" style="268" customWidth="1"/>
    <col min="7179" max="7179" width="12.7109375" style="268" customWidth="1"/>
    <col min="7180" max="7180" width="15.42578125" style="268" bestFit="1" customWidth="1"/>
    <col min="7181" max="7181" width="14.85546875" style="268" bestFit="1" customWidth="1"/>
    <col min="7182" max="7182" width="14" style="268" bestFit="1" customWidth="1"/>
    <col min="7183" max="7183" width="17.28515625" style="268" bestFit="1" customWidth="1"/>
    <col min="7184" max="7184" width="14.85546875" style="268" bestFit="1" customWidth="1"/>
    <col min="7185" max="7185" width="17" style="268" customWidth="1"/>
    <col min="7186" max="7186" width="13.7109375" style="268" customWidth="1"/>
    <col min="7187" max="7187" width="14.85546875" style="268" customWidth="1"/>
    <col min="7188" max="7188" width="16.140625" style="268" bestFit="1" customWidth="1"/>
    <col min="7189" max="7189" width="12.7109375" style="268" bestFit="1" customWidth="1"/>
    <col min="7190" max="7190" width="11.5703125" style="268" bestFit="1" customWidth="1"/>
    <col min="7191" max="7415" width="9.140625" style="268"/>
    <col min="7416" max="7417" width="4.7109375" style="268" customWidth="1"/>
    <col min="7418" max="7418" width="12.7109375" style="268" customWidth="1"/>
    <col min="7419" max="7419" width="33.42578125" style="268" customWidth="1"/>
    <col min="7420" max="7426" width="0" style="268" hidden="1" customWidth="1"/>
    <col min="7427" max="7427" width="2.5703125" style="268" customWidth="1"/>
    <col min="7428" max="7428" width="18" style="268" customWidth="1"/>
    <col min="7429" max="7429" width="2.5703125" style="268" customWidth="1"/>
    <col min="7430" max="7431" width="0" style="268" hidden="1" customWidth="1"/>
    <col min="7432" max="7432" width="18" style="268" customWidth="1"/>
    <col min="7433" max="7433" width="2.28515625" style="268" customWidth="1"/>
    <col min="7434" max="7434" width="18" style="268" customWidth="1"/>
    <col min="7435" max="7435" width="12.7109375" style="268" customWidth="1"/>
    <col min="7436" max="7436" width="15.42578125" style="268" bestFit="1" customWidth="1"/>
    <col min="7437" max="7437" width="14.85546875" style="268" bestFit="1" customWidth="1"/>
    <col min="7438" max="7438" width="14" style="268" bestFit="1" customWidth="1"/>
    <col min="7439" max="7439" width="17.28515625" style="268" bestFit="1" customWidth="1"/>
    <col min="7440" max="7440" width="14.85546875" style="268" bestFit="1" customWidth="1"/>
    <col min="7441" max="7441" width="17" style="268" customWidth="1"/>
    <col min="7442" max="7442" width="13.7109375" style="268" customWidth="1"/>
    <col min="7443" max="7443" width="14.85546875" style="268" customWidth="1"/>
    <col min="7444" max="7444" width="16.140625" style="268" bestFit="1" customWidth="1"/>
    <col min="7445" max="7445" width="12.7109375" style="268" bestFit="1" customWidth="1"/>
    <col min="7446" max="7446" width="11.5703125" style="268" bestFit="1" customWidth="1"/>
    <col min="7447" max="7671" width="9.140625" style="268"/>
    <col min="7672" max="7673" width="4.7109375" style="268" customWidth="1"/>
    <col min="7674" max="7674" width="12.7109375" style="268" customWidth="1"/>
    <col min="7675" max="7675" width="33.42578125" style="268" customWidth="1"/>
    <col min="7676" max="7682" width="0" style="268" hidden="1" customWidth="1"/>
    <col min="7683" max="7683" width="2.5703125" style="268" customWidth="1"/>
    <col min="7684" max="7684" width="18" style="268" customWidth="1"/>
    <col min="7685" max="7685" width="2.5703125" style="268" customWidth="1"/>
    <col min="7686" max="7687" width="0" style="268" hidden="1" customWidth="1"/>
    <col min="7688" max="7688" width="18" style="268" customWidth="1"/>
    <col min="7689" max="7689" width="2.28515625" style="268" customWidth="1"/>
    <col min="7690" max="7690" width="18" style="268" customWidth="1"/>
    <col min="7691" max="7691" width="12.7109375" style="268" customWidth="1"/>
    <col min="7692" max="7692" width="15.42578125" style="268" bestFit="1" customWidth="1"/>
    <col min="7693" max="7693" width="14.85546875" style="268" bestFit="1" customWidth="1"/>
    <col min="7694" max="7694" width="14" style="268" bestFit="1" customWidth="1"/>
    <col min="7695" max="7695" width="17.28515625" style="268" bestFit="1" customWidth="1"/>
    <col min="7696" max="7696" width="14.85546875" style="268" bestFit="1" customWidth="1"/>
    <col min="7697" max="7697" width="17" style="268" customWidth="1"/>
    <col min="7698" max="7698" width="13.7109375" style="268" customWidth="1"/>
    <col min="7699" max="7699" width="14.85546875" style="268" customWidth="1"/>
    <col min="7700" max="7700" width="16.140625" style="268" bestFit="1" customWidth="1"/>
    <col min="7701" max="7701" width="12.7109375" style="268" bestFit="1" customWidth="1"/>
    <col min="7702" max="7702" width="11.5703125" style="268" bestFit="1" customWidth="1"/>
    <col min="7703" max="7927" width="9.140625" style="268"/>
    <col min="7928" max="7929" width="4.7109375" style="268" customWidth="1"/>
    <col min="7930" max="7930" width="12.7109375" style="268" customWidth="1"/>
    <col min="7931" max="7931" width="33.42578125" style="268" customWidth="1"/>
    <col min="7932" max="7938" width="0" style="268" hidden="1" customWidth="1"/>
    <col min="7939" max="7939" width="2.5703125" style="268" customWidth="1"/>
    <col min="7940" max="7940" width="18" style="268" customWidth="1"/>
    <col min="7941" max="7941" width="2.5703125" style="268" customWidth="1"/>
    <col min="7942" max="7943" width="0" style="268" hidden="1" customWidth="1"/>
    <col min="7944" max="7944" width="18" style="268" customWidth="1"/>
    <col min="7945" max="7945" width="2.28515625" style="268" customWidth="1"/>
    <col min="7946" max="7946" width="18" style="268" customWidth="1"/>
    <col min="7947" max="7947" width="12.7109375" style="268" customWidth="1"/>
    <col min="7948" max="7948" width="15.42578125" style="268" bestFit="1" customWidth="1"/>
    <col min="7949" max="7949" width="14.85546875" style="268" bestFit="1" customWidth="1"/>
    <col min="7950" max="7950" width="14" style="268" bestFit="1" customWidth="1"/>
    <col min="7951" max="7951" width="17.28515625" style="268" bestFit="1" customWidth="1"/>
    <col min="7952" max="7952" width="14.85546875" style="268" bestFit="1" customWidth="1"/>
    <col min="7953" max="7953" width="17" style="268" customWidth="1"/>
    <col min="7954" max="7954" width="13.7109375" style="268" customWidth="1"/>
    <col min="7955" max="7955" width="14.85546875" style="268" customWidth="1"/>
    <col min="7956" max="7956" width="16.140625" style="268" bestFit="1" customWidth="1"/>
    <col min="7957" max="7957" width="12.7109375" style="268" bestFit="1" customWidth="1"/>
    <col min="7958" max="7958" width="11.5703125" style="268" bestFit="1" customWidth="1"/>
    <col min="7959" max="8183" width="9.140625" style="268"/>
    <col min="8184" max="8185" width="4.7109375" style="268" customWidth="1"/>
    <col min="8186" max="8186" width="12.7109375" style="268" customWidth="1"/>
    <col min="8187" max="8187" width="33.42578125" style="268" customWidth="1"/>
    <col min="8188" max="8194" width="0" style="268" hidden="1" customWidth="1"/>
    <col min="8195" max="8195" width="2.5703125" style="268" customWidth="1"/>
    <col min="8196" max="8196" width="18" style="268" customWidth="1"/>
    <col min="8197" max="8197" width="2.5703125" style="268" customWidth="1"/>
    <col min="8198" max="8199" width="0" style="268" hidden="1" customWidth="1"/>
    <col min="8200" max="8200" width="18" style="268" customWidth="1"/>
    <col min="8201" max="8201" width="2.28515625" style="268" customWidth="1"/>
    <col min="8202" max="8202" width="18" style="268" customWidth="1"/>
    <col min="8203" max="8203" width="12.7109375" style="268" customWidth="1"/>
    <col min="8204" max="8204" width="15.42578125" style="268" bestFit="1" customWidth="1"/>
    <col min="8205" max="8205" width="14.85546875" style="268" bestFit="1" customWidth="1"/>
    <col min="8206" max="8206" width="14" style="268" bestFit="1" customWidth="1"/>
    <col min="8207" max="8207" width="17.28515625" style="268" bestFit="1" customWidth="1"/>
    <col min="8208" max="8208" width="14.85546875" style="268" bestFit="1" customWidth="1"/>
    <col min="8209" max="8209" width="17" style="268" customWidth="1"/>
    <col min="8210" max="8210" width="13.7109375" style="268" customWidth="1"/>
    <col min="8211" max="8211" width="14.85546875" style="268" customWidth="1"/>
    <col min="8212" max="8212" width="16.140625" style="268" bestFit="1" customWidth="1"/>
    <col min="8213" max="8213" width="12.7109375" style="268" bestFit="1" customWidth="1"/>
    <col min="8214" max="8214" width="11.5703125" style="268" bestFit="1" customWidth="1"/>
    <col min="8215" max="8439" width="9.140625" style="268"/>
    <col min="8440" max="8441" width="4.7109375" style="268" customWidth="1"/>
    <col min="8442" max="8442" width="12.7109375" style="268" customWidth="1"/>
    <col min="8443" max="8443" width="33.42578125" style="268" customWidth="1"/>
    <col min="8444" max="8450" width="0" style="268" hidden="1" customWidth="1"/>
    <col min="8451" max="8451" width="2.5703125" style="268" customWidth="1"/>
    <col min="8452" max="8452" width="18" style="268" customWidth="1"/>
    <col min="8453" max="8453" width="2.5703125" style="268" customWidth="1"/>
    <col min="8454" max="8455" width="0" style="268" hidden="1" customWidth="1"/>
    <col min="8456" max="8456" width="18" style="268" customWidth="1"/>
    <col min="8457" max="8457" width="2.28515625" style="268" customWidth="1"/>
    <col min="8458" max="8458" width="18" style="268" customWidth="1"/>
    <col min="8459" max="8459" width="12.7109375" style="268" customWidth="1"/>
    <col min="8460" max="8460" width="15.42578125" style="268" bestFit="1" customWidth="1"/>
    <col min="8461" max="8461" width="14.85546875" style="268" bestFit="1" customWidth="1"/>
    <col min="8462" max="8462" width="14" style="268" bestFit="1" customWidth="1"/>
    <col min="8463" max="8463" width="17.28515625" style="268" bestFit="1" customWidth="1"/>
    <col min="8464" max="8464" width="14.85546875" style="268" bestFit="1" customWidth="1"/>
    <col min="8465" max="8465" width="17" style="268" customWidth="1"/>
    <col min="8466" max="8466" width="13.7109375" style="268" customWidth="1"/>
    <col min="8467" max="8467" width="14.85546875" style="268" customWidth="1"/>
    <col min="8468" max="8468" width="16.140625" style="268" bestFit="1" customWidth="1"/>
    <col min="8469" max="8469" width="12.7109375" style="268" bestFit="1" customWidth="1"/>
    <col min="8470" max="8470" width="11.5703125" style="268" bestFit="1" customWidth="1"/>
    <col min="8471" max="8695" width="9.140625" style="268"/>
    <col min="8696" max="8697" width="4.7109375" style="268" customWidth="1"/>
    <col min="8698" max="8698" width="12.7109375" style="268" customWidth="1"/>
    <col min="8699" max="8699" width="33.42578125" style="268" customWidth="1"/>
    <col min="8700" max="8706" width="0" style="268" hidden="1" customWidth="1"/>
    <col min="8707" max="8707" width="2.5703125" style="268" customWidth="1"/>
    <col min="8708" max="8708" width="18" style="268" customWidth="1"/>
    <col min="8709" max="8709" width="2.5703125" style="268" customWidth="1"/>
    <col min="8710" max="8711" width="0" style="268" hidden="1" customWidth="1"/>
    <col min="8712" max="8712" width="18" style="268" customWidth="1"/>
    <col min="8713" max="8713" width="2.28515625" style="268" customWidth="1"/>
    <col min="8714" max="8714" width="18" style="268" customWidth="1"/>
    <col min="8715" max="8715" width="12.7109375" style="268" customWidth="1"/>
    <col min="8716" max="8716" width="15.42578125" style="268" bestFit="1" customWidth="1"/>
    <col min="8717" max="8717" width="14.85546875" style="268" bestFit="1" customWidth="1"/>
    <col min="8718" max="8718" width="14" style="268" bestFit="1" customWidth="1"/>
    <col min="8719" max="8719" width="17.28515625" style="268" bestFit="1" customWidth="1"/>
    <col min="8720" max="8720" width="14.85546875" style="268" bestFit="1" customWidth="1"/>
    <col min="8721" max="8721" width="17" style="268" customWidth="1"/>
    <col min="8722" max="8722" width="13.7109375" style="268" customWidth="1"/>
    <col min="8723" max="8723" width="14.85546875" style="268" customWidth="1"/>
    <col min="8724" max="8724" width="16.140625" style="268" bestFit="1" customWidth="1"/>
    <col min="8725" max="8725" width="12.7109375" style="268" bestFit="1" customWidth="1"/>
    <col min="8726" max="8726" width="11.5703125" style="268" bestFit="1" customWidth="1"/>
    <col min="8727" max="8951" width="9.140625" style="268"/>
    <col min="8952" max="8953" width="4.7109375" style="268" customWidth="1"/>
    <col min="8954" max="8954" width="12.7109375" style="268" customWidth="1"/>
    <col min="8955" max="8955" width="33.42578125" style="268" customWidth="1"/>
    <col min="8956" max="8962" width="0" style="268" hidden="1" customWidth="1"/>
    <col min="8963" max="8963" width="2.5703125" style="268" customWidth="1"/>
    <col min="8964" max="8964" width="18" style="268" customWidth="1"/>
    <col min="8965" max="8965" width="2.5703125" style="268" customWidth="1"/>
    <col min="8966" max="8967" width="0" style="268" hidden="1" customWidth="1"/>
    <col min="8968" max="8968" width="18" style="268" customWidth="1"/>
    <col min="8969" max="8969" width="2.28515625" style="268" customWidth="1"/>
    <col min="8970" max="8970" width="18" style="268" customWidth="1"/>
    <col min="8971" max="8971" width="12.7109375" style="268" customWidth="1"/>
    <col min="8972" max="8972" width="15.42578125" style="268" bestFit="1" customWidth="1"/>
    <col min="8973" max="8973" width="14.85546875" style="268" bestFit="1" customWidth="1"/>
    <col min="8974" max="8974" width="14" style="268" bestFit="1" customWidth="1"/>
    <col min="8975" max="8975" width="17.28515625" style="268" bestFit="1" customWidth="1"/>
    <col min="8976" max="8976" width="14.85546875" style="268" bestFit="1" customWidth="1"/>
    <col min="8977" max="8977" width="17" style="268" customWidth="1"/>
    <col min="8978" max="8978" width="13.7109375" style="268" customWidth="1"/>
    <col min="8979" max="8979" width="14.85546875" style="268" customWidth="1"/>
    <col min="8980" max="8980" width="16.140625" style="268" bestFit="1" customWidth="1"/>
    <col min="8981" max="8981" width="12.7109375" style="268" bestFit="1" customWidth="1"/>
    <col min="8982" max="8982" width="11.5703125" style="268" bestFit="1" customWidth="1"/>
    <col min="8983" max="9207" width="9.140625" style="268"/>
    <col min="9208" max="9209" width="4.7109375" style="268" customWidth="1"/>
    <col min="9210" max="9210" width="12.7109375" style="268" customWidth="1"/>
    <col min="9211" max="9211" width="33.42578125" style="268" customWidth="1"/>
    <col min="9212" max="9218" width="0" style="268" hidden="1" customWidth="1"/>
    <col min="9219" max="9219" width="2.5703125" style="268" customWidth="1"/>
    <col min="9220" max="9220" width="18" style="268" customWidth="1"/>
    <col min="9221" max="9221" width="2.5703125" style="268" customWidth="1"/>
    <col min="9222" max="9223" width="0" style="268" hidden="1" customWidth="1"/>
    <col min="9224" max="9224" width="18" style="268" customWidth="1"/>
    <col min="9225" max="9225" width="2.28515625" style="268" customWidth="1"/>
    <col min="9226" max="9226" width="18" style="268" customWidth="1"/>
    <col min="9227" max="9227" width="12.7109375" style="268" customWidth="1"/>
    <col min="9228" max="9228" width="15.42578125" style="268" bestFit="1" customWidth="1"/>
    <col min="9229" max="9229" width="14.85546875" style="268" bestFit="1" customWidth="1"/>
    <col min="9230" max="9230" width="14" style="268" bestFit="1" customWidth="1"/>
    <col min="9231" max="9231" width="17.28515625" style="268" bestFit="1" customWidth="1"/>
    <col min="9232" max="9232" width="14.85546875" style="268" bestFit="1" customWidth="1"/>
    <col min="9233" max="9233" width="17" style="268" customWidth="1"/>
    <col min="9234" max="9234" width="13.7109375" style="268" customWidth="1"/>
    <col min="9235" max="9235" width="14.85546875" style="268" customWidth="1"/>
    <col min="9236" max="9236" width="16.140625" style="268" bestFit="1" customWidth="1"/>
    <col min="9237" max="9237" width="12.7109375" style="268" bestFit="1" customWidth="1"/>
    <col min="9238" max="9238" width="11.5703125" style="268" bestFit="1" customWidth="1"/>
    <col min="9239" max="9463" width="9.140625" style="268"/>
    <col min="9464" max="9465" width="4.7109375" style="268" customWidth="1"/>
    <col min="9466" max="9466" width="12.7109375" style="268" customWidth="1"/>
    <col min="9467" max="9467" width="33.42578125" style="268" customWidth="1"/>
    <col min="9468" max="9474" width="0" style="268" hidden="1" customWidth="1"/>
    <col min="9475" max="9475" width="2.5703125" style="268" customWidth="1"/>
    <col min="9476" max="9476" width="18" style="268" customWidth="1"/>
    <col min="9477" max="9477" width="2.5703125" style="268" customWidth="1"/>
    <col min="9478" max="9479" width="0" style="268" hidden="1" customWidth="1"/>
    <col min="9480" max="9480" width="18" style="268" customWidth="1"/>
    <col min="9481" max="9481" width="2.28515625" style="268" customWidth="1"/>
    <col min="9482" max="9482" width="18" style="268" customWidth="1"/>
    <col min="9483" max="9483" width="12.7109375" style="268" customWidth="1"/>
    <col min="9484" max="9484" width="15.42578125" style="268" bestFit="1" customWidth="1"/>
    <col min="9485" max="9485" width="14.85546875" style="268" bestFit="1" customWidth="1"/>
    <col min="9486" max="9486" width="14" style="268" bestFit="1" customWidth="1"/>
    <col min="9487" max="9487" width="17.28515625" style="268" bestFit="1" customWidth="1"/>
    <col min="9488" max="9488" width="14.85546875" style="268" bestFit="1" customWidth="1"/>
    <col min="9489" max="9489" width="17" style="268" customWidth="1"/>
    <col min="9490" max="9490" width="13.7109375" style="268" customWidth="1"/>
    <col min="9491" max="9491" width="14.85546875" style="268" customWidth="1"/>
    <col min="9492" max="9492" width="16.140625" style="268" bestFit="1" customWidth="1"/>
    <col min="9493" max="9493" width="12.7109375" style="268" bestFit="1" customWidth="1"/>
    <col min="9494" max="9494" width="11.5703125" style="268" bestFit="1" customWidth="1"/>
    <col min="9495" max="9719" width="9.140625" style="268"/>
    <col min="9720" max="9721" width="4.7109375" style="268" customWidth="1"/>
    <col min="9722" max="9722" width="12.7109375" style="268" customWidth="1"/>
    <col min="9723" max="9723" width="33.42578125" style="268" customWidth="1"/>
    <col min="9724" max="9730" width="0" style="268" hidden="1" customWidth="1"/>
    <col min="9731" max="9731" width="2.5703125" style="268" customWidth="1"/>
    <col min="9732" max="9732" width="18" style="268" customWidth="1"/>
    <col min="9733" max="9733" width="2.5703125" style="268" customWidth="1"/>
    <col min="9734" max="9735" width="0" style="268" hidden="1" customWidth="1"/>
    <col min="9736" max="9736" width="18" style="268" customWidth="1"/>
    <col min="9737" max="9737" width="2.28515625" style="268" customWidth="1"/>
    <col min="9738" max="9738" width="18" style="268" customWidth="1"/>
    <col min="9739" max="9739" width="12.7109375" style="268" customWidth="1"/>
    <col min="9740" max="9740" width="15.42578125" style="268" bestFit="1" customWidth="1"/>
    <col min="9741" max="9741" width="14.85546875" style="268" bestFit="1" customWidth="1"/>
    <col min="9742" max="9742" width="14" style="268" bestFit="1" customWidth="1"/>
    <col min="9743" max="9743" width="17.28515625" style="268" bestFit="1" customWidth="1"/>
    <col min="9744" max="9744" width="14.85546875" style="268" bestFit="1" customWidth="1"/>
    <col min="9745" max="9745" width="17" style="268" customWidth="1"/>
    <col min="9746" max="9746" width="13.7109375" style="268" customWidth="1"/>
    <col min="9747" max="9747" width="14.85546875" style="268" customWidth="1"/>
    <col min="9748" max="9748" width="16.140625" style="268" bestFit="1" customWidth="1"/>
    <col min="9749" max="9749" width="12.7109375" style="268" bestFit="1" customWidth="1"/>
    <col min="9750" max="9750" width="11.5703125" style="268" bestFit="1" customWidth="1"/>
    <col min="9751" max="9975" width="9.140625" style="268"/>
    <col min="9976" max="9977" width="4.7109375" style="268" customWidth="1"/>
    <col min="9978" max="9978" width="12.7109375" style="268" customWidth="1"/>
    <col min="9979" max="9979" width="33.42578125" style="268" customWidth="1"/>
    <col min="9980" max="9986" width="0" style="268" hidden="1" customWidth="1"/>
    <col min="9987" max="9987" width="2.5703125" style="268" customWidth="1"/>
    <col min="9988" max="9988" width="18" style="268" customWidth="1"/>
    <col min="9989" max="9989" width="2.5703125" style="268" customWidth="1"/>
    <col min="9990" max="9991" width="0" style="268" hidden="1" customWidth="1"/>
    <col min="9992" max="9992" width="18" style="268" customWidth="1"/>
    <col min="9993" max="9993" width="2.28515625" style="268" customWidth="1"/>
    <col min="9994" max="9994" width="18" style="268" customWidth="1"/>
    <col min="9995" max="9995" width="12.7109375" style="268" customWidth="1"/>
    <col min="9996" max="9996" width="15.42578125" style="268" bestFit="1" customWidth="1"/>
    <col min="9997" max="9997" width="14.85546875" style="268" bestFit="1" customWidth="1"/>
    <col min="9998" max="9998" width="14" style="268" bestFit="1" customWidth="1"/>
    <col min="9999" max="9999" width="17.28515625" style="268" bestFit="1" customWidth="1"/>
    <col min="10000" max="10000" width="14.85546875" style="268" bestFit="1" customWidth="1"/>
    <col min="10001" max="10001" width="17" style="268" customWidth="1"/>
    <col min="10002" max="10002" width="13.7109375" style="268" customWidth="1"/>
    <col min="10003" max="10003" width="14.85546875" style="268" customWidth="1"/>
    <col min="10004" max="10004" width="16.140625" style="268" bestFit="1" customWidth="1"/>
    <col min="10005" max="10005" width="12.7109375" style="268" bestFit="1" customWidth="1"/>
    <col min="10006" max="10006" width="11.5703125" style="268" bestFit="1" customWidth="1"/>
    <col min="10007" max="10231" width="9.140625" style="268"/>
    <col min="10232" max="10233" width="4.7109375" style="268" customWidth="1"/>
    <col min="10234" max="10234" width="12.7109375" style="268" customWidth="1"/>
    <col min="10235" max="10235" width="33.42578125" style="268" customWidth="1"/>
    <col min="10236" max="10242" width="0" style="268" hidden="1" customWidth="1"/>
    <col min="10243" max="10243" width="2.5703125" style="268" customWidth="1"/>
    <col min="10244" max="10244" width="18" style="268" customWidth="1"/>
    <col min="10245" max="10245" width="2.5703125" style="268" customWidth="1"/>
    <col min="10246" max="10247" width="0" style="268" hidden="1" customWidth="1"/>
    <col min="10248" max="10248" width="18" style="268" customWidth="1"/>
    <col min="10249" max="10249" width="2.28515625" style="268" customWidth="1"/>
    <col min="10250" max="10250" width="18" style="268" customWidth="1"/>
    <col min="10251" max="10251" width="12.7109375" style="268" customWidth="1"/>
    <col min="10252" max="10252" width="15.42578125" style="268" bestFit="1" customWidth="1"/>
    <col min="10253" max="10253" width="14.85546875" style="268" bestFit="1" customWidth="1"/>
    <col min="10254" max="10254" width="14" style="268" bestFit="1" customWidth="1"/>
    <col min="10255" max="10255" width="17.28515625" style="268" bestFit="1" customWidth="1"/>
    <col min="10256" max="10256" width="14.85546875" style="268" bestFit="1" customWidth="1"/>
    <col min="10257" max="10257" width="17" style="268" customWidth="1"/>
    <col min="10258" max="10258" width="13.7109375" style="268" customWidth="1"/>
    <col min="10259" max="10259" width="14.85546875" style="268" customWidth="1"/>
    <col min="10260" max="10260" width="16.140625" style="268" bestFit="1" customWidth="1"/>
    <col min="10261" max="10261" width="12.7109375" style="268" bestFit="1" customWidth="1"/>
    <col min="10262" max="10262" width="11.5703125" style="268" bestFit="1" customWidth="1"/>
    <col min="10263" max="10487" width="9.140625" style="268"/>
    <col min="10488" max="10489" width="4.7109375" style="268" customWidth="1"/>
    <col min="10490" max="10490" width="12.7109375" style="268" customWidth="1"/>
    <col min="10491" max="10491" width="33.42578125" style="268" customWidth="1"/>
    <col min="10492" max="10498" width="0" style="268" hidden="1" customWidth="1"/>
    <col min="10499" max="10499" width="2.5703125" style="268" customWidth="1"/>
    <col min="10500" max="10500" width="18" style="268" customWidth="1"/>
    <col min="10501" max="10501" width="2.5703125" style="268" customWidth="1"/>
    <col min="10502" max="10503" width="0" style="268" hidden="1" customWidth="1"/>
    <col min="10504" max="10504" width="18" style="268" customWidth="1"/>
    <col min="10505" max="10505" width="2.28515625" style="268" customWidth="1"/>
    <col min="10506" max="10506" width="18" style="268" customWidth="1"/>
    <col min="10507" max="10507" width="12.7109375" style="268" customWidth="1"/>
    <col min="10508" max="10508" width="15.42578125" style="268" bestFit="1" customWidth="1"/>
    <col min="10509" max="10509" width="14.85546875" style="268" bestFit="1" customWidth="1"/>
    <col min="10510" max="10510" width="14" style="268" bestFit="1" customWidth="1"/>
    <col min="10511" max="10511" width="17.28515625" style="268" bestFit="1" customWidth="1"/>
    <col min="10512" max="10512" width="14.85546875" style="268" bestFit="1" customWidth="1"/>
    <col min="10513" max="10513" width="17" style="268" customWidth="1"/>
    <col min="10514" max="10514" width="13.7109375" style="268" customWidth="1"/>
    <col min="10515" max="10515" width="14.85546875" style="268" customWidth="1"/>
    <col min="10516" max="10516" width="16.140625" style="268" bestFit="1" customWidth="1"/>
    <col min="10517" max="10517" width="12.7109375" style="268" bestFit="1" customWidth="1"/>
    <col min="10518" max="10518" width="11.5703125" style="268" bestFit="1" customWidth="1"/>
    <col min="10519" max="10743" width="9.140625" style="268"/>
    <col min="10744" max="10745" width="4.7109375" style="268" customWidth="1"/>
    <col min="10746" max="10746" width="12.7109375" style="268" customWidth="1"/>
    <col min="10747" max="10747" width="33.42578125" style="268" customWidth="1"/>
    <col min="10748" max="10754" width="0" style="268" hidden="1" customWidth="1"/>
    <col min="10755" max="10755" width="2.5703125" style="268" customWidth="1"/>
    <col min="10756" max="10756" width="18" style="268" customWidth="1"/>
    <col min="10757" max="10757" width="2.5703125" style="268" customWidth="1"/>
    <col min="10758" max="10759" width="0" style="268" hidden="1" customWidth="1"/>
    <col min="10760" max="10760" width="18" style="268" customWidth="1"/>
    <col min="10761" max="10761" width="2.28515625" style="268" customWidth="1"/>
    <col min="10762" max="10762" width="18" style="268" customWidth="1"/>
    <col min="10763" max="10763" width="12.7109375" style="268" customWidth="1"/>
    <col min="10764" max="10764" width="15.42578125" style="268" bestFit="1" customWidth="1"/>
    <col min="10765" max="10765" width="14.85546875" style="268" bestFit="1" customWidth="1"/>
    <col min="10766" max="10766" width="14" style="268" bestFit="1" customWidth="1"/>
    <col min="10767" max="10767" width="17.28515625" style="268" bestFit="1" customWidth="1"/>
    <col min="10768" max="10768" width="14.85546875" style="268" bestFit="1" customWidth="1"/>
    <col min="10769" max="10769" width="17" style="268" customWidth="1"/>
    <col min="10770" max="10770" width="13.7109375" style="268" customWidth="1"/>
    <col min="10771" max="10771" width="14.85546875" style="268" customWidth="1"/>
    <col min="10772" max="10772" width="16.140625" style="268" bestFit="1" customWidth="1"/>
    <col min="10773" max="10773" width="12.7109375" style="268" bestFit="1" customWidth="1"/>
    <col min="10774" max="10774" width="11.5703125" style="268" bestFit="1" customWidth="1"/>
    <col min="10775" max="10999" width="9.140625" style="268"/>
    <col min="11000" max="11001" width="4.7109375" style="268" customWidth="1"/>
    <col min="11002" max="11002" width="12.7109375" style="268" customWidth="1"/>
    <col min="11003" max="11003" width="33.42578125" style="268" customWidth="1"/>
    <col min="11004" max="11010" width="0" style="268" hidden="1" customWidth="1"/>
    <col min="11011" max="11011" width="2.5703125" style="268" customWidth="1"/>
    <col min="11012" max="11012" width="18" style="268" customWidth="1"/>
    <col min="11013" max="11013" width="2.5703125" style="268" customWidth="1"/>
    <col min="11014" max="11015" width="0" style="268" hidden="1" customWidth="1"/>
    <col min="11016" max="11016" width="18" style="268" customWidth="1"/>
    <col min="11017" max="11017" width="2.28515625" style="268" customWidth="1"/>
    <col min="11018" max="11018" width="18" style="268" customWidth="1"/>
    <col min="11019" max="11019" width="12.7109375" style="268" customWidth="1"/>
    <col min="11020" max="11020" width="15.42578125" style="268" bestFit="1" customWidth="1"/>
    <col min="11021" max="11021" width="14.85546875" style="268" bestFit="1" customWidth="1"/>
    <col min="11022" max="11022" width="14" style="268" bestFit="1" customWidth="1"/>
    <col min="11023" max="11023" width="17.28515625" style="268" bestFit="1" customWidth="1"/>
    <col min="11024" max="11024" width="14.85546875" style="268" bestFit="1" customWidth="1"/>
    <col min="11025" max="11025" width="17" style="268" customWidth="1"/>
    <col min="11026" max="11026" width="13.7109375" style="268" customWidth="1"/>
    <col min="11027" max="11027" width="14.85546875" style="268" customWidth="1"/>
    <col min="11028" max="11028" width="16.140625" style="268" bestFit="1" customWidth="1"/>
    <col min="11029" max="11029" width="12.7109375" style="268" bestFit="1" customWidth="1"/>
    <col min="11030" max="11030" width="11.5703125" style="268" bestFit="1" customWidth="1"/>
    <col min="11031" max="11255" width="9.140625" style="268"/>
    <col min="11256" max="11257" width="4.7109375" style="268" customWidth="1"/>
    <col min="11258" max="11258" width="12.7109375" style="268" customWidth="1"/>
    <col min="11259" max="11259" width="33.42578125" style="268" customWidth="1"/>
    <col min="11260" max="11266" width="0" style="268" hidden="1" customWidth="1"/>
    <col min="11267" max="11267" width="2.5703125" style="268" customWidth="1"/>
    <col min="11268" max="11268" width="18" style="268" customWidth="1"/>
    <col min="11269" max="11269" width="2.5703125" style="268" customWidth="1"/>
    <col min="11270" max="11271" width="0" style="268" hidden="1" customWidth="1"/>
    <col min="11272" max="11272" width="18" style="268" customWidth="1"/>
    <col min="11273" max="11273" width="2.28515625" style="268" customWidth="1"/>
    <col min="11274" max="11274" width="18" style="268" customWidth="1"/>
    <col min="11275" max="11275" width="12.7109375" style="268" customWidth="1"/>
    <col min="11276" max="11276" width="15.42578125" style="268" bestFit="1" customWidth="1"/>
    <col min="11277" max="11277" width="14.85546875" style="268" bestFit="1" customWidth="1"/>
    <col min="11278" max="11278" width="14" style="268" bestFit="1" customWidth="1"/>
    <col min="11279" max="11279" width="17.28515625" style="268" bestFit="1" customWidth="1"/>
    <col min="11280" max="11280" width="14.85546875" style="268" bestFit="1" customWidth="1"/>
    <col min="11281" max="11281" width="17" style="268" customWidth="1"/>
    <col min="11282" max="11282" width="13.7109375" style="268" customWidth="1"/>
    <col min="11283" max="11283" width="14.85546875" style="268" customWidth="1"/>
    <col min="11284" max="11284" width="16.140625" style="268" bestFit="1" customWidth="1"/>
    <col min="11285" max="11285" width="12.7109375" style="268" bestFit="1" customWidth="1"/>
    <col min="11286" max="11286" width="11.5703125" style="268" bestFit="1" customWidth="1"/>
    <col min="11287" max="11511" width="9.140625" style="268"/>
    <col min="11512" max="11513" width="4.7109375" style="268" customWidth="1"/>
    <col min="11514" max="11514" width="12.7109375" style="268" customWidth="1"/>
    <col min="11515" max="11515" width="33.42578125" style="268" customWidth="1"/>
    <col min="11516" max="11522" width="0" style="268" hidden="1" customWidth="1"/>
    <col min="11523" max="11523" width="2.5703125" style="268" customWidth="1"/>
    <col min="11524" max="11524" width="18" style="268" customWidth="1"/>
    <col min="11525" max="11525" width="2.5703125" style="268" customWidth="1"/>
    <col min="11526" max="11527" width="0" style="268" hidden="1" customWidth="1"/>
    <col min="11528" max="11528" width="18" style="268" customWidth="1"/>
    <col min="11529" max="11529" width="2.28515625" style="268" customWidth="1"/>
    <col min="11530" max="11530" width="18" style="268" customWidth="1"/>
    <col min="11531" max="11531" width="12.7109375" style="268" customWidth="1"/>
    <col min="11532" max="11532" width="15.42578125" style="268" bestFit="1" customWidth="1"/>
    <col min="11533" max="11533" width="14.85546875" style="268" bestFit="1" customWidth="1"/>
    <col min="11534" max="11534" width="14" style="268" bestFit="1" customWidth="1"/>
    <col min="11535" max="11535" width="17.28515625" style="268" bestFit="1" customWidth="1"/>
    <col min="11536" max="11536" width="14.85546875" style="268" bestFit="1" customWidth="1"/>
    <col min="11537" max="11537" width="17" style="268" customWidth="1"/>
    <col min="11538" max="11538" width="13.7109375" style="268" customWidth="1"/>
    <col min="11539" max="11539" width="14.85546875" style="268" customWidth="1"/>
    <col min="11540" max="11540" width="16.140625" style="268" bestFit="1" customWidth="1"/>
    <col min="11541" max="11541" width="12.7109375" style="268" bestFit="1" customWidth="1"/>
    <col min="11542" max="11542" width="11.5703125" style="268" bestFit="1" customWidth="1"/>
    <col min="11543" max="11767" width="9.140625" style="268"/>
    <col min="11768" max="11769" width="4.7109375" style="268" customWidth="1"/>
    <col min="11770" max="11770" width="12.7109375" style="268" customWidth="1"/>
    <col min="11771" max="11771" width="33.42578125" style="268" customWidth="1"/>
    <col min="11772" max="11778" width="0" style="268" hidden="1" customWidth="1"/>
    <col min="11779" max="11779" width="2.5703125" style="268" customWidth="1"/>
    <col min="11780" max="11780" width="18" style="268" customWidth="1"/>
    <col min="11781" max="11781" width="2.5703125" style="268" customWidth="1"/>
    <col min="11782" max="11783" width="0" style="268" hidden="1" customWidth="1"/>
    <col min="11784" max="11784" width="18" style="268" customWidth="1"/>
    <col min="11785" max="11785" width="2.28515625" style="268" customWidth="1"/>
    <col min="11786" max="11786" width="18" style="268" customWidth="1"/>
    <col min="11787" max="11787" width="12.7109375" style="268" customWidth="1"/>
    <col min="11788" max="11788" width="15.42578125" style="268" bestFit="1" customWidth="1"/>
    <col min="11789" max="11789" width="14.85546875" style="268" bestFit="1" customWidth="1"/>
    <col min="11790" max="11790" width="14" style="268" bestFit="1" customWidth="1"/>
    <col min="11791" max="11791" width="17.28515625" style="268" bestFit="1" customWidth="1"/>
    <col min="11792" max="11792" width="14.85546875" style="268" bestFit="1" customWidth="1"/>
    <col min="11793" max="11793" width="17" style="268" customWidth="1"/>
    <col min="11794" max="11794" width="13.7109375" style="268" customWidth="1"/>
    <col min="11795" max="11795" width="14.85546875" style="268" customWidth="1"/>
    <col min="11796" max="11796" width="16.140625" style="268" bestFit="1" customWidth="1"/>
    <col min="11797" max="11797" width="12.7109375" style="268" bestFit="1" customWidth="1"/>
    <col min="11798" max="11798" width="11.5703125" style="268" bestFit="1" customWidth="1"/>
    <col min="11799" max="12023" width="9.140625" style="268"/>
    <col min="12024" max="12025" width="4.7109375" style="268" customWidth="1"/>
    <col min="12026" max="12026" width="12.7109375" style="268" customWidth="1"/>
    <col min="12027" max="12027" width="33.42578125" style="268" customWidth="1"/>
    <col min="12028" max="12034" width="0" style="268" hidden="1" customWidth="1"/>
    <col min="12035" max="12035" width="2.5703125" style="268" customWidth="1"/>
    <col min="12036" max="12036" width="18" style="268" customWidth="1"/>
    <col min="12037" max="12037" width="2.5703125" style="268" customWidth="1"/>
    <col min="12038" max="12039" width="0" style="268" hidden="1" customWidth="1"/>
    <col min="12040" max="12040" width="18" style="268" customWidth="1"/>
    <col min="12041" max="12041" width="2.28515625" style="268" customWidth="1"/>
    <col min="12042" max="12042" width="18" style="268" customWidth="1"/>
    <col min="12043" max="12043" width="12.7109375" style="268" customWidth="1"/>
    <col min="12044" max="12044" width="15.42578125" style="268" bestFit="1" customWidth="1"/>
    <col min="12045" max="12045" width="14.85546875" style="268" bestFit="1" customWidth="1"/>
    <col min="12046" max="12046" width="14" style="268" bestFit="1" customWidth="1"/>
    <col min="12047" max="12047" width="17.28515625" style="268" bestFit="1" customWidth="1"/>
    <col min="12048" max="12048" width="14.85546875" style="268" bestFit="1" customWidth="1"/>
    <col min="12049" max="12049" width="17" style="268" customWidth="1"/>
    <col min="12050" max="12050" width="13.7109375" style="268" customWidth="1"/>
    <col min="12051" max="12051" width="14.85546875" style="268" customWidth="1"/>
    <col min="12052" max="12052" width="16.140625" style="268" bestFit="1" customWidth="1"/>
    <col min="12053" max="12053" width="12.7109375" style="268" bestFit="1" customWidth="1"/>
    <col min="12054" max="12054" width="11.5703125" style="268" bestFit="1" customWidth="1"/>
    <col min="12055" max="12279" width="9.140625" style="268"/>
    <col min="12280" max="12281" width="4.7109375" style="268" customWidth="1"/>
    <col min="12282" max="12282" width="12.7109375" style="268" customWidth="1"/>
    <col min="12283" max="12283" width="33.42578125" style="268" customWidth="1"/>
    <col min="12284" max="12290" width="0" style="268" hidden="1" customWidth="1"/>
    <col min="12291" max="12291" width="2.5703125" style="268" customWidth="1"/>
    <col min="12292" max="12292" width="18" style="268" customWidth="1"/>
    <col min="12293" max="12293" width="2.5703125" style="268" customWidth="1"/>
    <col min="12294" max="12295" width="0" style="268" hidden="1" customWidth="1"/>
    <col min="12296" max="12296" width="18" style="268" customWidth="1"/>
    <col min="12297" max="12297" width="2.28515625" style="268" customWidth="1"/>
    <col min="12298" max="12298" width="18" style="268" customWidth="1"/>
    <col min="12299" max="12299" width="12.7109375" style="268" customWidth="1"/>
    <col min="12300" max="12300" width="15.42578125" style="268" bestFit="1" customWidth="1"/>
    <col min="12301" max="12301" width="14.85546875" style="268" bestFit="1" customWidth="1"/>
    <col min="12302" max="12302" width="14" style="268" bestFit="1" customWidth="1"/>
    <col min="12303" max="12303" width="17.28515625" style="268" bestFit="1" customWidth="1"/>
    <col min="12304" max="12304" width="14.85546875" style="268" bestFit="1" customWidth="1"/>
    <col min="12305" max="12305" width="17" style="268" customWidth="1"/>
    <col min="12306" max="12306" width="13.7109375" style="268" customWidth="1"/>
    <col min="12307" max="12307" width="14.85546875" style="268" customWidth="1"/>
    <col min="12308" max="12308" width="16.140625" style="268" bestFit="1" customWidth="1"/>
    <col min="12309" max="12309" width="12.7109375" style="268" bestFit="1" customWidth="1"/>
    <col min="12310" max="12310" width="11.5703125" style="268" bestFit="1" customWidth="1"/>
    <col min="12311" max="12535" width="9.140625" style="268"/>
    <col min="12536" max="12537" width="4.7109375" style="268" customWidth="1"/>
    <col min="12538" max="12538" width="12.7109375" style="268" customWidth="1"/>
    <col min="12539" max="12539" width="33.42578125" style="268" customWidth="1"/>
    <col min="12540" max="12546" width="0" style="268" hidden="1" customWidth="1"/>
    <col min="12547" max="12547" width="2.5703125" style="268" customWidth="1"/>
    <col min="12548" max="12548" width="18" style="268" customWidth="1"/>
    <col min="12549" max="12549" width="2.5703125" style="268" customWidth="1"/>
    <col min="12550" max="12551" width="0" style="268" hidden="1" customWidth="1"/>
    <col min="12552" max="12552" width="18" style="268" customWidth="1"/>
    <col min="12553" max="12553" width="2.28515625" style="268" customWidth="1"/>
    <col min="12554" max="12554" width="18" style="268" customWidth="1"/>
    <col min="12555" max="12555" width="12.7109375" style="268" customWidth="1"/>
    <col min="12556" max="12556" width="15.42578125" style="268" bestFit="1" customWidth="1"/>
    <col min="12557" max="12557" width="14.85546875" style="268" bestFit="1" customWidth="1"/>
    <col min="12558" max="12558" width="14" style="268" bestFit="1" customWidth="1"/>
    <col min="12559" max="12559" width="17.28515625" style="268" bestFit="1" customWidth="1"/>
    <col min="12560" max="12560" width="14.85546875" style="268" bestFit="1" customWidth="1"/>
    <col min="12561" max="12561" width="17" style="268" customWidth="1"/>
    <col min="12562" max="12562" width="13.7109375" style="268" customWidth="1"/>
    <col min="12563" max="12563" width="14.85546875" style="268" customWidth="1"/>
    <col min="12564" max="12564" width="16.140625" style="268" bestFit="1" customWidth="1"/>
    <col min="12565" max="12565" width="12.7109375" style="268" bestFit="1" customWidth="1"/>
    <col min="12566" max="12566" width="11.5703125" style="268" bestFit="1" customWidth="1"/>
    <col min="12567" max="12791" width="9.140625" style="268"/>
    <col min="12792" max="12793" width="4.7109375" style="268" customWidth="1"/>
    <col min="12794" max="12794" width="12.7109375" style="268" customWidth="1"/>
    <col min="12795" max="12795" width="33.42578125" style="268" customWidth="1"/>
    <col min="12796" max="12802" width="0" style="268" hidden="1" customWidth="1"/>
    <col min="12803" max="12803" width="2.5703125" style="268" customWidth="1"/>
    <col min="12804" max="12804" width="18" style="268" customWidth="1"/>
    <col min="12805" max="12805" width="2.5703125" style="268" customWidth="1"/>
    <col min="12806" max="12807" width="0" style="268" hidden="1" customWidth="1"/>
    <col min="12808" max="12808" width="18" style="268" customWidth="1"/>
    <col min="12809" max="12809" width="2.28515625" style="268" customWidth="1"/>
    <col min="12810" max="12810" width="18" style="268" customWidth="1"/>
    <col min="12811" max="12811" width="12.7109375" style="268" customWidth="1"/>
    <col min="12812" max="12812" width="15.42578125" style="268" bestFit="1" customWidth="1"/>
    <col min="12813" max="12813" width="14.85546875" style="268" bestFit="1" customWidth="1"/>
    <col min="12814" max="12814" width="14" style="268" bestFit="1" customWidth="1"/>
    <col min="12815" max="12815" width="17.28515625" style="268" bestFit="1" customWidth="1"/>
    <col min="12816" max="12816" width="14.85546875" style="268" bestFit="1" customWidth="1"/>
    <col min="12817" max="12817" width="17" style="268" customWidth="1"/>
    <col min="12818" max="12818" width="13.7109375" style="268" customWidth="1"/>
    <col min="12819" max="12819" width="14.85546875" style="268" customWidth="1"/>
    <col min="12820" max="12820" width="16.140625" style="268" bestFit="1" customWidth="1"/>
    <col min="12821" max="12821" width="12.7109375" style="268" bestFit="1" customWidth="1"/>
    <col min="12822" max="12822" width="11.5703125" style="268" bestFit="1" customWidth="1"/>
    <col min="12823" max="13047" width="9.140625" style="268"/>
    <col min="13048" max="13049" width="4.7109375" style="268" customWidth="1"/>
    <col min="13050" max="13050" width="12.7109375" style="268" customWidth="1"/>
    <col min="13051" max="13051" width="33.42578125" style="268" customWidth="1"/>
    <col min="13052" max="13058" width="0" style="268" hidden="1" customWidth="1"/>
    <col min="13059" max="13059" width="2.5703125" style="268" customWidth="1"/>
    <col min="13060" max="13060" width="18" style="268" customWidth="1"/>
    <col min="13061" max="13061" width="2.5703125" style="268" customWidth="1"/>
    <col min="13062" max="13063" width="0" style="268" hidden="1" customWidth="1"/>
    <col min="13064" max="13064" width="18" style="268" customWidth="1"/>
    <col min="13065" max="13065" width="2.28515625" style="268" customWidth="1"/>
    <col min="13066" max="13066" width="18" style="268" customWidth="1"/>
    <col min="13067" max="13067" width="12.7109375" style="268" customWidth="1"/>
    <col min="13068" max="13068" width="15.42578125" style="268" bestFit="1" customWidth="1"/>
    <col min="13069" max="13069" width="14.85546875" style="268" bestFit="1" customWidth="1"/>
    <col min="13070" max="13070" width="14" style="268" bestFit="1" customWidth="1"/>
    <col min="13071" max="13071" width="17.28515625" style="268" bestFit="1" customWidth="1"/>
    <col min="13072" max="13072" width="14.85546875" style="268" bestFit="1" customWidth="1"/>
    <col min="13073" max="13073" width="17" style="268" customWidth="1"/>
    <col min="13074" max="13074" width="13.7109375" style="268" customWidth="1"/>
    <col min="13075" max="13075" width="14.85546875" style="268" customWidth="1"/>
    <col min="13076" max="13076" width="16.140625" style="268" bestFit="1" customWidth="1"/>
    <col min="13077" max="13077" width="12.7109375" style="268" bestFit="1" customWidth="1"/>
    <col min="13078" max="13078" width="11.5703125" style="268" bestFit="1" customWidth="1"/>
    <col min="13079" max="13303" width="9.140625" style="268"/>
    <col min="13304" max="13305" width="4.7109375" style="268" customWidth="1"/>
    <col min="13306" max="13306" width="12.7109375" style="268" customWidth="1"/>
    <col min="13307" max="13307" width="33.42578125" style="268" customWidth="1"/>
    <col min="13308" max="13314" width="0" style="268" hidden="1" customWidth="1"/>
    <col min="13315" max="13315" width="2.5703125" style="268" customWidth="1"/>
    <col min="13316" max="13316" width="18" style="268" customWidth="1"/>
    <col min="13317" max="13317" width="2.5703125" style="268" customWidth="1"/>
    <col min="13318" max="13319" width="0" style="268" hidden="1" customWidth="1"/>
    <col min="13320" max="13320" width="18" style="268" customWidth="1"/>
    <col min="13321" max="13321" width="2.28515625" style="268" customWidth="1"/>
    <col min="13322" max="13322" width="18" style="268" customWidth="1"/>
    <col min="13323" max="13323" width="12.7109375" style="268" customWidth="1"/>
    <col min="13324" max="13324" width="15.42578125" style="268" bestFit="1" customWidth="1"/>
    <col min="13325" max="13325" width="14.85546875" style="268" bestFit="1" customWidth="1"/>
    <col min="13326" max="13326" width="14" style="268" bestFit="1" customWidth="1"/>
    <col min="13327" max="13327" width="17.28515625" style="268" bestFit="1" customWidth="1"/>
    <col min="13328" max="13328" width="14.85546875" style="268" bestFit="1" customWidth="1"/>
    <col min="13329" max="13329" width="17" style="268" customWidth="1"/>
    <col min="13330" max="13330" width="13.7109375" style="268" customWidth="1"/>
    <col min="13331" max="13331" width="14.85546875" style="268" customWidth="1"/>
    <col min="13332" max="13332" width="16.140625" style="268" bestFit="1" customWidth="1"/>
    <col min="13333" max="13333" width="12.7109375" style="268" bestFit="1" customWidth="1"/>
    <col min="13334" max="13334" width="11.5703125" style="268" bestFit="1" customWidth="1"/>
    <col min="13335" max="13559" width="9.140625" style="268"/>
    <col min="13560" max="13561" width="4.7109375" style="268" customWidth="1"/>
    <col min="13562" max="13562" width="12.7109375" style="268" customWidth="1"/>
    <col min="13563" max="13563" width="33.42578125" style="268" customWidth="1"/>
    <col min="13564" max="13570" width="0" style="268" hidden="1" customWidth="1"/>
    <col min="13571" max="13571" width="2.5703125" style="268" customWidth="1"/>
    <col min="13572" max="13572" width="18" style="268" customWidth="1"/>
    <col min="13573" max="13573" width="2.5703125" style="268" customWidth="1"/>
    <col min="13574" max="13575" width="0" style="268" hidden="1" customWidth="1"/>
    <col min="13576" max="13576" width="18" style="268" customWidth="1"/>
    <col min="13577" max="13577" width="2.28515625" style="268" customWidth="1"/>
    <col min="13578" max="13578" width="18" style="268" customWidth="1"/>
    <col min="13579" max="13579" width="12.7109375" style="268" customWidth="1"/>
    <col min="13580" max="13580" width="15.42578125" style="268" bestFit="1" customWidth="1"/>
    <col min="13581" max="13581" width="14.85546875" style="268" bestFit="1" customWidth="1"/>
    <col min="13582" max="13582" width="14" style="268" bestFit="1" customWidth="1"/>
    <col min="13583" max="13583" width="17.28515625" style="268" bestFit="1" customWidth="1"/>
    <col min="13584" max="13584" width="14.85546875" style="268" bestFit="1" customWidth="1"/>
    <col min="13585" max="13585" width="17" style="268" customWidth="1"/>
    <col min="13586" max="13586" width="13.7109375" style="268" customWidth="1"/>
    <col min="13587" max="13587" width="14.85546875" style="268" customWidth="1"/>
    <col min="13588" max="13588" width="16.140625" style="268" bestFit="1" customWidth="1"/>
    <col min="13589" max="13589" width="12.7109375" style="268" bestFit="1" customWidth="1"/>
    <col min="13590" max="13590" width="11.5703125" style="268" bestFit="1" customWidth="1"/>
    <col min="13591" max="13815" width="9.140625" style="268"/>
    <col min="13816" max="13817" width="4.7109375" style="268" customWidth="1"/>
    <col min="13818" max="13818" width="12.7109375" style="268" customWidth="1"/>
    <col min="13819" max="13819" width="33.42578125" style="268" customWidth="1"/>
    <col min="13820" max="13826" width="0" style="268" hidden="1" customWidth="1"/>
    <col min="13827" max="13827" width="2.5703125" style="268" customWidth="1"/>
    <col min="13828" max="13828" width="18" style="268" customWidth="1"/>
    <col min="13829" max="13829" width="2.5703125" style="268" customWidth="1"/>
    <col min="13830" max="13831" width="0" style="268" hidden="1" customWidth="1"/>
    <col min="13832" max="13832" width="18" style="268" customWidth="1"/>
    <col min="13833" max="13833" width="2.28515625" style="268" customWidth="1"/>
    <col min="13834" max="13834" width="18" style="268" customWidth="1"/>
    <col min="13835" max="13835" width="12.7109375" style="268" customWidth="1"/>
    <col min="13836" max="13836" width="15.42578125" style="268" bestFit="1" customWidth="1"/>
    <col min="13837" max="13837" width="14.85546875" style="268" bestFit="1" customWidth="1"/>
    <col min="13838" max="13838" width="14" style="268" bestFit="1" customWidth="1"/>
    <col min="13839" max="13839" width="17.28515625" style="268" bestFit="1" customWidth="1"/>
    <col min="13840" max="13840" width="14.85546875" style="268" bestFit="1" customWidth="1"/>
    <col min="13841" max="13841" width="17" style="268" customWidth="1"/>
    <col min="13842" max="13842" width="13.7109375" style="268" customWidth="1"/>
    <col min="13843" max="13843" width="14.85546875" style="268" customWidth="1"/>
    <col min="13844" max="13844" width="16.140625" style="268" bestFit="1" customWidth="1"/>
    <col min="13845" max="13845" width="12.7109375" style="268" bestFit="1" customWidth="1"/>
    <col min="13846" max="13846" width="11.5703125" style="268" bestFit="1" customWidth="1"/>
    <col min="13847" max="14071" width="9.140625" style="268"/>
    <col min="14072" max="14073" width="4.7109375" style="268" customWidth="1"/>
    <col min="14074" max="14074" width="12.7109375" style="268" customWidth="1"/>
    <col min="14075" max="14075" width="33.42578125" style="268" customWidth="1"/>
    <col min="14076" max="14082" width="0" style="268" hidden="1" customWidth="1"/>
    <col min="14083" max="14083" width="2.5703125" style="268" customWidth="1"/>
    <col min="14084" max="14084" width="18" style="268" customWidth="1"/>
    <col min="14085" max="14085" width="2.5703125" style="268" customWidth="1"/>
    <col min="14086" max="14087" width="0" style="268" hidden="1" customWidth="1"/>
    <col min="14088" max="14088" width="18" style="268" customWidth="1"/>
    <col min="14089" max="14089" width="2.28515625" style="268" customWidth="1"/>
    <col min="14090" max="14090" width="18" style="268" customWidth="1"/>
    <col min="14091" max="14091" width="12.7109375" style="268" customWidth="1"/>
    <col min="14092" max="14092" width="15.42578125" style="268" bestFit="1" customWidth="1"/>
    <col min="14093" max="14093" width="14.85546875" style="268" bestFit="1" customWidth="1"/>
    <col min="14094" max="14094" width="14" style="268" bestFit="1" customWidth="1"/>
    <col min="14095" max="14095" width="17.28515625" style="268" bestFit="1" customWidth="1"/>
    <col min="14096" max="14096" width="14.85546875" style="268" bestFit="1" customWidth="1"/>
    <col min="14097" max="14097" width="17" style="268" customWidth="1"/>
    <col min="14098" max="14098" width="13.7109375" style="268" customWidth="1"/>
    <col min="14099" max="14099" width="14.85546875" style="268" customWidth="1"/>
    <col min="14100" max="14100" width="16.140625" style="268" bestFit="1" customWidth="1"/>
    <col min="14101" max="14101" width="12.7109375" style="268" bestFit="1" customWidth="1"/>
    <col min="14102" max="14102" width="11.5703125" style="268" bestFit="1" customWidth="1"/>
    <col min="14103" max="14327" width="9.140625" style="268"/>
    <col min="14328" max="14329" width="4.7109375" style="268" customWidth="1"/>
    <col min="14330" max="14330" width="12.7109375" style="268" customWidth="1"/>
    <col min="14331" max="14331" width="33.42578125" style="268" customWidth="1"/>
    <col min="14332" max="14338" width="0" style="268" hidden="1" customWidth="1"/>
    <col min="14339" max="14339" width="2.5703125" style="268" customWidth="1"/>
    <col min="14340" max="14340" width="18" style="268" customWidth="1"/>
    <col min="14341" max="14341" width="2.5703125" style="268" customWidth="1"/>
    <col min="14342" max="14343" width="0" style="268" hidden="1" customWidth="1"/>
    <col min="14344" max="14344" width="18" style="268" customWidth="1"/>
    <col min="14345" max="14345" width="2.28515625" style="268" customWidth="1"/>
    <col min="14346" max="14346" width="18" style="268" customWidth="1"/>
    <col min="14347" max="14347" width="12.7109375" style="268" customWidth="1"/>
    <col min="14348" max="14348" width="15.42578125" style="268" bestFit="1" customWidth="1"/>
    <col min="14349" max="14349" width="14.85546875" style="268" bestFit="1" customWidth="1"/>
    <col min="14350" max="14350" width="14" style="268" bestFit="1" customWidth="1"/>
    <col min="14351" max="14351" width="17.28515625" style="268" bestFit="1" customWidth="1"/>
    <col min="14352" max="14352" width="14.85546875" style="268" bestFit="1" customWidth="1"/>
    <col min="14353" max="14353" width="17" style="268" customWidth="1"/>
    <col min="14354" max="14354" width="13.7109375" style="268" customWidth="1"/>
    <col min="14355" max="14355" width="14.85546875" style="268" customWidth="1"/>
    <col min="14356" max="14356" width="16.140625" style="268" bestFit="1" customWidth="1"/>
    <col min="14357" max="14357" width="12.7109375" style="268" bestFit="1" customWidth="1"/>
    <col min="14358" max="14358" width="11.5703125" style="268" bestFit="1" customWidth="1"/>
    <col min="14359" max="14583" width="9.140625" style="268"/>
    <col min="14584" max="14585" width="4.7109375" style="268" customWidth="1"/>
    <col min="14586" max="14586" width="12.7109375" style="268" customWidth="1"/>
    <col min="14587" max="14587" width="33.42578125" style="268" customWidth="1"/>
    <col min="14588" max="14594" width="0" style="268" hidden="1" customWidth="1"/>
    <col min="14595" max="14595" width="2.5703125" style="268" customWidth="1"/>
    <col min="14596" max="14596" width="18" style="268" customWidth="1"/>
    <col min="14597" max="14597" width="2.5703125" style="268" customWidth="1"/>
    <col min="14598" max="14599" width="0" style="268" hidden="1" customWidth="1"/>
    <col min="14600" max="14600" width="18" style="268" customWidth="1"/>
    <col min="14601" max="14601" width="2.28515625" style="268" customWidth="1"/>
    <col min="14602" max="14602" width="18" style="268" customWidth="1"/>
    <col min="14603" max="14603" width="12.7109375" style="268" customWidth="1"/>
    <col min="14604" max="14604" width="15.42578125" style="268" bestFit="1" customWidth="1"/>
    <col min="14605" max="14605" width="14.85546875" style="268" bestFit="1" customWidth="1"/>
    <col min="14606" max="14606" width="14" style="268" bestFit="1" customWidth="1"/>
    <col min="14607" max="14607" width="17.28515625" style="268" bestFit="1" customWidth="1"/>
    <col min="14608" max="14608" width="14.85546875" style="268" bestFit="1" customWidth="1"/>
    <col min="14609" max="14609" width="17" style="268" customWidth="1"/>
    <col min="14610" max="14610" width="13.7109375" style="268" customWidth="1"/>
    <col min="14611" max="14611" width="14.85546875" style="268" customWidth="1"/>
    <col min="14612" max="14612" width="16.140625" style="268" bestFit="1" customWidth="1"/>
    <col min="14613" max="14613" width="12.7109375" style="268" bestFit="1" customWidth="1"/>
    <col min="14614" max="14614" width="11.5703125" style="268" bestFit="1" customWidth="1"/>
    <col min="14615" max="14839" width="9.140625" style="268"/>
    <col min="14840" max="14841" width="4.7109375" style="268" customWidth="1"/>
    <col min="14842" max="14842" width="12.7109375" style="268" customWidth="1"/>
    <col min="14843" max="14843" width="33.42578125" style="268" customWidth="1"/>
    <col min="14844" max="14850" width="0" style="268" hidden="1" customWidth="1"/>
    <col min="14851" max="14851" width="2.5703125" style="268" customWidth="1"/>
    <col min="14852" max="14852" width="18" style="268" customWidth="1"/>
    <col min="14853" max="14853" width="2.5703125" style="268" customWidth="1"/>
    <col min="14854" max="14855" width="0" style="268" hidden="1" customWidth="1"/>
    <col min="14856" max="14856" width="18" style="268" customWidth="1"/>
    <col min="14857" max="14857" width="2.28515625" style="268" customWidth="1"/>
    <col min="14858" max="14858" width="18" style="268" customWidth="1"/>
    <col min="14859" max="14859" width="12.7109375" style="268" customWidth="1"/>
    <col min="14860" max="14860" width="15.42578125" style="268" bestFit="1" customWidth="1"/>
    <col min="14861" max="14861" width="14.85546875" style="268" bestFit="1" customWidth="1"/>
    <col min="14862" max="14862" width="14" style="268" bestFit="1" customWidth="1"/>
    <col min="14863" max="14863" width="17.28515625" style="268" bestFit="1" customWidth="1"/>
    <col min="14864" max="14864" width="14.85546875" style="268" bestFit="1" customWidth="1"/>
    <col min="14865" max="14865" width="17" style="268" customWidth="1"/>
    <col min="14866" max="14866" width="13.7109375" style="268" customWidth="1"/>
    <col min="14867" max="14867" width="14.85546875" style="268" customWidth="1"/>
    <col min="14868" max="14868" width="16.140625" style="268" bestFit="1" customWidth="1"/>
    <col min="14869" max="14869" width="12.7109375" style="268" bestFit="1" customWidth="1"/>
    <col min="14870" max="14870" width="11.5703125" style="268" bestFit="1" customWidth="1"/>
    <col min="14871" max="15095" width="9.140625" style="268"/>
    <col min="15096" max="15097" width="4.7109375" style="268" customWidth="1"/>
    <col min="15098" max="15098" width="12.7109375" style="268" customWidth="1"/>
    <col min="15099" max="15099" width="33.42578125" style="268" customWidth="1"/>
    <col min="15100" max="15106" width="0" style="268" hidden="1" customWidth="1"/>
    <col min="15107" max="15107" width="2.5703125" style="268" customWidth="1"/>
    <col min="15108" max="15108" width="18" style="268" customWidth="1"/>
    <col min="15109" max="15109" width="2.5703125" style="268" customWidth="1"/>
    <col min="15110" max="15111" width="0" style="268" hidden="1" customWidth="1"/>
    <col min="15112" max="15112" width="18" style="268" customWidth="1"/>
    <col min="15113" max="15113" width="2.28515625" style="268" customWidth="1"/>
    <col min="15114" max="15114" width="18" style="268" customWidth="1"/>
    <col min="15115" max="15115" width="12.7109375" style="268" customWidth="1"/>
    <col min="15116" max="15116" width="15.42578125" style="268" bestFit="1" customWidth="1"/>
    <col min="15117" max="15117" width="14.85546875" style="268" bestFit="1" customWidth="1"/>
    <col min="15118" max="15118" width="14" style="268" bestFit="1" customWidth="1"/>
    <col min="15119" max="15119" width="17.28515625" style="268" bestFit="1" customWidth="1"/>
    <col min="15120" max="15120" width="14.85546875" style="268" bestFit="1" customWidth="1"/>
    <col min="15121" max="15121" width="17" style="268" customWidth="1"/>
    <col min="15122" max="15122" width="13.7109375" style="268" customWidth="1"/>
    <col min="15123" max="15123" width="14.85546875" style="268" customWidth="1"/>
    <col min="15124" max="15124" width="16.140625" style="268" bestFit="1" customWidth="1"/>
    <col min="15125" max="15125" width="12.7109375" style="268" bestFit="1" customWidth="1"/>
    <col min="15126" max="15126" width="11.5703125" style="268" bestFit="1" customWidth="1"/>
    <col min="15127" max="15351" width="9.140625" style="268"/>
    <col min="15352" max="15353" width="4.7109375" style="268" customWidth="1"/>
    <col min="15354" max="15354" width="12.7109375" style="268" customWidth="1"/>
    <col min="15355" max="15355" width="33.42578125" style="268" customWidth="1"/>
    <col min="15356" max="15362" width="0" style="268" hidden="1" customWidth="1"/>
    <col min="15363" max="15363" width="2.5703125" style="268" customWidth="1"/>
    <col min="15364" max="15364" width="18" style="268" customWidth="1"/>
    <col min="15365" max="15365" width="2.5703125" style="268" customWidth="1"/>
    <col min="15366" max="15367" width="0" style="268" hidden="1" customWidth="1"/>
    <col min="15368" max="15368" width="18" style="268" customWidth="1"/>
    <col min="15369" max="15369" width="2.28515625" style="268" customWidth="1"/>
    <col min="15370" max="15370" width="18" style="268" customWidth="1"/>
    <col min="15371" max="15371" width="12.7109375" style="268" customWidth="1"/>
    <col min="15372" max="15372" width="15.42578125" style="268" bestFit="1" customWidth="1"/>
    <col min="15373" max="15373" width="14.85546875" style="268" bestFit="1" customWidth="1"/>
    <col min="15374" max="15374" width="14" style="268" bestFit="1" customWidth="1"/>
    <col min="15375" max="15375" width="17.28515625" style="268" bestFit="1" customWidth="1"/>
    <col min="15376" max="15376" width="14.85546875" style="268" bestFit="1" customWidth="1"/>
    <col min="15377" max="15377" width="17" style="268" customWidth="1"/>
    <col min="15378" max="15378" width="13.7109375" style="268" customWidth="1"/>
    <col min="15379" max="15379" width="14.85546875" style="268" customWidth="1"/>
    <col min="15380" max="15380" width="16.140625" style="268" bestFit="1" customWidth="1"/>
    <col min="15381" max="15381" width="12.7109375" style="268" bestFit="1" customWidth="1"/>
    <col min="15382" max="15382" width="11.5703125" style="268" bestFit="1" customWidth="1"/>
    <col min="15383" max="15607" width="9.140625" style="268"/>
    <col min="15608" max="15609" width="4.7109375" style="268" customWidth="1"/>
    <col min="15610" max="15610" width="12.7109375" style="268" customWidth="1"/>
    <col min="15611" max="15611" width="33.42578125" style="268" customWidth="1"/>
    <col min="15612" max="15618" width="0" style="268" hidden="1" customWidth="1"/>
    <col min="15619" max="15619" width="2.5703125" style="268" customWidth="1"/>
    <col min="15620" max="15620" width="18" style="268" customWidth="1"/>
    <col min="15621" max="15621" width="2.5703125" style="268" customWidth="1"/>
    <col min="15622" max="15623" width="0" style="268" hidden="1" customWidth="1"/>
    <col min="15624" max="15624" width="18" style="268" customWidth="1"/>
    <col min="15625" max="15625" width="2.28515625" style="268" customWidth="1"/>
    <col min="15626" max="15626" width="18" style="268" customWidth="1"/>
    <col min="15627" max="15627" width="12.7109375" style="268" customWidth="1"/>
    <col min="15628" max="15628" width="15.42578125" style="268" bestFit="1" customWidth="1"/>
    <col min="15629" max="15629" width="14.85546875" style="268" bestFit="1" customWidth="1"/>
    <col min="15630" max="15630" width="14" style="268" bestFit="1" customWidth="1"/>
    <col min="15631" max="15631" width="17.28515625" style="268" bestFit="1" customWidth="1"/>
    <col min="15632" max="15632" width="14.85546875" style="268" bestFit="1" customWidth="1"/>
    <col min="15633" max="15633" width="17" style="268" customWidth="1"/>
    <col min="15634" max="15634" width="13.7109375" style="268" customWidth="1"/>
    <col min="15635" max="15635" width="14.85546875" style="268" customWidth="1"/>
    <col min="15636" max="15636" width="16.140625" style="268" bestFit="1" customWidth="1"/>
    <col min="15637" max="15637" width="12.7109375" style="268" bestFit="1" customWidth="1"/>
    <col min="15638" max="15638" width="11.5703125" style="268" bestFit="1" customWidth="1"/>
    <col min="15639" max="15863" width="9.140625" style="268"/>
    <col min="15864" max="15865" width="4.7109375" style="268" customWidth="1"/>
    <col min="15866" max="15866" width="12.7109375" style="268" customWidth="1"/>
    <col min="15867" max="15867" width="33.42578125" style="268" customWidth="1"/>
    <col min="15868" max="15874" width="0" style="268" hidden="1" customWidth="1"/>
    <col min="15875" max="15875" width="2.5703125" style="268" customWidth="1"/>
    <col min="15876" max="15876" width="18" style="268" customWidth="1"/>
    <col min="15877" max="15877" width="2.5703125" style="268" customWidth="1"/>
    <col min="15878" max="15879" width="0" style="268" hidden="1" customWidth="1"/>
    <col min="15880" max="15880" width="18" style="268" customWidth="1"/>
    <col min="15881" max="15881" width="2.28515625" style="268" customWidth="1"/>
    <col min="15882" max="15882" width="18" style="268" customWidth="1"/>
    <col min="15883" max="15883" width="12.7109375" style="268" customWidth="1"/>
    <col min="15884" max="15884" width="15.42578125" style="268" bestFit="1" customWidth="1"/>
    <col min="15885" max="15885" width="14.85546875" style="268" bestFit="1" customWidth="1"/>
    <col min="15886" max="15886" width="14" style="268" bestFit="1" customWidth="1"/>
    <col min="15887" max="15887" width="17.28515625" style="268" bestFit="1" customWidth="1"/>
    <col min="15888" max="15888" width="14.85546875" style="268" bestFit="1" customWidth="1"/>
    <col min="15889" max="15889" width="17" style="268" customWidth="1"/>
    <col min="15890" max="15890" width="13.7109375" style="268" customWidth="1"/>
    <col min="15891" max="15891" width="14.85546875" style="268" customWidth="1"/>
    <col min="15892" max="15892" width="16.140625" style="268" bestFit="1" customWidth="1"/>
    <col min="15893" max="15893" width="12.7109375" style="268" bestFit="1" customWidth="1"/>
    <col min="15894" max="15894" width="11.5703125" style="268" bestFit="1" customWidth="1"/>
    <col min="15895" max="16119" width="9.140625" style="268"/>
    <col min="16120" max="16121" width="4.7109375" style="268" customWidth="1"/>
    <col min="16122" max="16122" width="12.7109375" style="268" customWidth="1"/>
    <col min="16123" max="16123" width="33.42578125" style="268" customWidth="1"/>
    <col min="16124" max="16130" width="0" style="268" hidden="1" customWidth="1"/>
    <col min="16131" max="16131" width="2.5703125" style="268" customWidth="1"/>
    <col min="16132" max="16132" width="18" style="268" customWidth="1"/>
    <col min="16133" max="16133" width="2.5703125" style="268" customWidth="1"/>
    <col min="16134" max="16135" width="0" style="268" hidden="1" customWidth="1"/>
    <col min="16136" max="16136" width="18" style="268" customWidth="1"/>
    <col min="16137" max="16137" width="2.28515625" style="268" customWidth="1"/>
    <col min="16138" max="16138" width="18" style="268" customWidth="1"/>
    <col min="16139" max="16139" width="12.7109375" style="268" customWidth="1"/>
    <col min="16140" max="16140" width="15.42578125" style="268" bestFit="1" customWidth="1"/>
    <col min="16141" max="16141" width="14.85546875" style="268" bestFit="1" customWidth="1"/>
    <col min="16142" max="16142" width="14" style="268" bestFit="1" customWidth="1"/>
    <col min="16143" max="16143" width="17.28515625" style="268" bestFit="1" customWidth="1"/>
    <col min="16144" max="16144" width="14.85546875" style="268" bestFit="1" customWidth="1"/>
    <col min="16145" max="16145" width="17" style="268" customWidth="1"/>
    <col min="16146" max="16146" width="13.7109375" style="268" customWidth="1"/>
    <col min="16147" max="16147" width="14.85546875" style="268" customWidth="1"/>
    <col min="16148" max="16148" width="16.140625" style="268" bestFit="1" customWidth="1"/>
    <col min="16149" max="16149" width="12.7109375" style="268" bestFit="1" customWidth="1"/>
    <col min="16150" max="16150" width="11.5703125" style="268" bestFit="1" customWidth="1"/>
    <col min="16151" max="16384" width="9.140625" style="268"/>
  </cols>
  <sheetData>
    <row r="1" spans="1:69" x14ac:dyDescent="0.25">
      <c r="A1" s="1461" t="str">
        <f>INFO!B1</f>
        <v>EVANSVILLE (INDIANA) WATERWORKS DISTRICT</v>
      </c>
      <c r="B1" s="1461"/>
      <c r="C1" s="1461"/>
      <c r="D1" s="1461"/>
      <c r="E1" s="1461"/>
      <c r="F1" s="1461"/>
      <c r="G1" s="1461"/>
      <c r="H1" s="1461"/>
      <c r="I1" s="1461"/>
      <c r="J1" s="1461"/>
      <c r="K1" s="1461"/>
      <c r="L1" s="1461"/>
    </row>
    <row r="2" spans="1:69" x14ac:dyDescent="0.25">
      <c r="A2" s="332"/>
      <c r="B2" s="366"/>
      <c r="C2" s="366"/>
      <c r="D2" s="366"/>
      <c r="E2" s="366"/>
      <c r="F2" s="313"/>
      <c r="G2" s="313"/>
      <c r="H2" s="313"/>
      <c r="I2" s="313"/>
      <c r="J2" s="313"/>
      <c r="K2" s="313"/>
      <c r="L2" s="517"/>
    </row>
    <row r="3" spans="1:69" x14ac:dyDescent="0.25">
      <c r="A3" s="1467" t="s">
        <v>115</v>
      </c>
      <c r="B3" s="1467"/>
      <c r="C3" s="1467"/>
      <c r="D3" s="1467"/>
      <c r="E3" s="1467"/>
      <c r="F3" s="1467"/>
      <c r="G3" s="1467"/>
      <c r="H3" s="1467"/>
      <c r="I3" s="1467"/>
      <c r="J3" s="1467"/>
      <c r="K3" s="1467"/>
      <c r="L3" s="1467"/>
    </row>
    <row r="4" spans="1:69" x14ac:dyDescent="0.25">
      <c r="A4" s="1466" t="s">
        <v>449</v>
      </c>
      <c r="B4" s="1466"/>
      <c r="C4" s="1466"/>
      <c r="D4" s="1466"/>
      <c r="E4" s="1466"/>
      <c r="F4" s="1466"/>
      <c r="G4" s="1466"/>
      <c r="H4" s="1466"/>
      <c r="I4" s="1466"/>
      <c r="J4" s="1466"/>
      <c r="K4" s="1466"/>
      <c r="L4" s="1466"/>
    </row>
    <row r="5" spans="1:69" x14ac:dyDescent="0.25">
      <c r="A5" s="332"/>
      <c r="B5" s="366"/>
      <c r="C5" s="366"/>
      <c r="D5" s="366"/>
      <c r="E5" s="366"/>
      <c r="F5" s="313"/>
      <c r="G5" s="313"/>
      <c r="H5" s="313"/>
      <c r="I5" s="313"/>
      <c r="J5" s="313"/>
      <c r="K5" s="313"/>
      <c r="L5" s="517"/>
    </row>
    <row r="6" spans="1:69" x14ac:dyDescent="0.25">
      <c r="A6" s="314"/>
      <c r="B6" s="364"/>
      <c r="C6" s="364"/>
      <c r="D6" s="364"/>
      <c r="E6" s="364"/>
      <c r="F6" s="315"/>
      <c r="G6" s="517"/>
      <c r="H6" s="517"/>
      <c r="I6" s="517"/>
      <c r="J6" s="517" t="s">
        <v>708</v>
      </c>
      <c r="K6" s="517"/>
      <c r="L6" s="517"/>
    </row>
    <row r="7" spans="1:69" x14ac:dyDescent="0.25">
      <c r="A7" s="335"/>
      <c r="B7" s="364"/>
      <c r="C7" s="364"/>
      <c r="D7" s="364"/>
      <c r="E7" s="364"/>
      <c r="F7" s="339"/>
      <c r="G7" s="339"/>
      <c r="H7" s="339"/>
      <c r="I7" s="339"/>
      <c r="J7" s="339"/>
      <c r="K7" s="339"/>
      <c r="L7" s="339" t="s">
        <v>618</v>
      </c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  <c r="AO7" s="384"/>
      <c r="AP7" s="384"/>
      <c r="AQ7" s="384"/>
      <c r="AR7" s="384"/>
      <c r="AS7" s="384"/>
      <c r="AT7" s="384"/>
      <c r="AU7" s="384"/>
      <c r="AV7" s="384"/>
      <c r="AW7" s="384"/>
      <c r="AX7" s="384"/>
      <c r="AY7" s="384"/>
      <c r="AZ7" s="384"/>
      <c r="BA7" s="384"/>
      <c r="BB7" s="384"/>
      <c r="BC7" s="384"/>
      <c r="BD7" s="384"/>
      <c r="BE7" s="384"/>
      <c r="BF7" s="384"/>
      <c r="BG7" s="384"/>
      <c r="BH7" s="384"/>
      <c r="BI7" s="384"/>
      <c r="BJ7" s="384"/>
      <c r="BK7" s="384"/>
      <c r="BL7" s="384"/>
      <c r="BM7" s="384"/>
      <c r="BN7" s="384"/>
      <c r="BO7" s="384"/>
      <c r="BP7" s="384"/>
      <c r="BQ7" s="384"/>
    </row>
    <row r="8" spans="1:69" ht="18.75" customHeight="1" x14ac:dyDescent="0.25">
      <c r="A8" s="314"/>
      <c r="B8" s="364"/>
      <c r="C8" s="364"/>
      <c r="D8" s="364"/>
      <c r="E8" s="364"/>
      <c r="F8" s="1465" t="s">
        <v>4</v>
      </c>
      <c r="G8" s="1465"/>
      <c r="H8" s="1465"/>
      <c r="I8" s="1465"/>
      <c r="J8" s="1465"/>
      <c r="K8" s="378"/>
      <c r="L8" s="339" t="s">
        <v>80</v>
      </c>
      <c r="M8" s="384"/>
      <c r="N8" s="384"/>
      <c r="O8" s="316"/>
      <c r="P8" s="4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  <c r="AB8" s="426"/>
      <c r="AC8" s="426"/>
      <c r="AD8" s="426"/>
      <c r="AE8" s="339"/>
      <c r="AF8" s="340"/>
      <c r="AG8" s="339"/>
      <c r="AH8" s="340"/>
      <c r="AI8" s="339"/>
      <c r="AJ8" s="384"/>
      <c r="AK8" s="384"/>
      <c r="AL8" s="384"/>
      <c r="AM8" s="384"/>
      <c r="AN8" s="384"/>
      <c r="AO8" s="384"/>
      <c r="AP8" s="384"/>
      <c r="AQ8" s="384"/>
      <c r="AR8" s="384"/>
      <c r="AS8" s="384"/>
      <c r="AT8" s="384"/>
      <c r="AU8" s="384"/>
      <c r="AV8" s="384"/>
      <c r="AW8" s="384"/>
      <c r="AX8" s="384"/>
      <c r="AY8" s="384"/>
      <c r="AZ8" s="384"/>
      <c r="BA8" s="384"/>
      <c r="BB8" s="384"/>
      <c r="BC8" s="384"/>
      <c r="BD8" s="384"/>
      <c r="BE8" s="384"/>
      <c r="BF8" s="384"/>
      <c r="BG8" s="384"/>
      <c r="BH8" s="384"/>
      <c r="BI8" s="384"/>
      <c r="BJ8" s="384"/>
      <c r="BK8" s="384"/>
      <c r="BL8" s="384"/>
      <c r="BM8" s="384"/>
      <c r="BN8" s="384"/>
      <c r="BO8" s="384"/>
      <c r="BP8" s="384"/>
      <c r="BQ8" s="384"/>
    </row>
    <row r="9" spans="1:69" x14ac:dyDescent="0.25">
      <c r="A9" s="335"/>
      <c r="B9" s="335"/>
      <c r="C9" s="335"/>
      <c r="D9" s="335"/>
      <c r="E9" s="335"/>
      <c r="F9" s="436">
        <v>2017</v>
      </c>
      <c r="G9" s="317"/>
      <c r="H9" s="519">
        <v>2018</v>
      </c>
      <c r="I9" s="317"/>
      <c r="J9" s="519">
        <v>2019</v>
      </c>
      <c r="K9" s="317"/>
      <c r="L9" s="38">
        <v>44104</v>
      </c>
      <c r="M9" s="384"/>
      <c r="N9" s="384"/>
      <c r="O9" s="318"/>
      <c r="P9" s="426"/>
      <c r="Q9" s="426"/>
      <c r="R9" s="426"/>
      <c r="S9" s="426"/>
      <c r="T9" s="426"/>
      <c r="U9" s="426"/>
      <c r="V9" s="426"/>
      <c r="W9" s="426"/>
      <c r="X9" s="426"/>
      <c r="Y9" s="426"/>
      <c r="Z9" s="426"/>
      <c r="AA9" s="426"/>
      <c r="AB9" s="426"/>
      <c r="AC9" s="426"/>
      <c r="AD9" s="426"/>
      <c r="AE9" s="339"/>
      <c r="AF9" s="340"/>
      <c r="AG9" s="339"/>
      <c r="AH9" s="340"/>
      <c r="AI9" s="339"/>
      <c r="AJ9" s="384"/>
      <c r="AK9" s="384"/>
      <c r="AL9" s="384"/>
      <c r="AM9" s="384"/>
      <c r="AN9" s="384"/>
      <c r="AO9" s="384"/>
      <c r="AP9" s="384"/>
      <c r="AQ9" s="384"/>
      <c r="AR9" s="384"/>
      <c r="AS9" s="384"/>
      <c r="AT9" s="384"/>
      <c r="AU9" s="384"/>
      <c r="AV9" s="384"/>
      <c r="AW9" s="384"/>
      <c r="AX9" s="384"/>
      <c r="AY9" s="384"/>
      <c r="AZ9" s="384"/>
      <c r="BA9" s="384"/>
      <c r="BB9" s="384"/>
      <c r="BC9" s="384"/>
      <c r="BD9" s="384"/>
      <c r="BE9" s="384"/>
      <c r="BF9" s="384"/>
      <c r="BG9" s="384"/>
      <c r="BH9" s="384"/>
      <c r="BI9" s="384"/>
      <c r="BJ9" s="384"/>
      <c r="BK9" s="384"/>
      <c r="BL9" s="384"/>
      <c r="BM9" s="384"/>
      <c r="BN9" s="384"/>
      <c r="BO9" s="384"/>
      <c r="BP9" s="384"/>
      <c r="BQ9" s="384"/>
    </row>
    <row r="10" spans="1:69" x14ac:dyDescent="0.25">
      <c r="A10" s="335" t="s">
        <v>21</v>
      </c>
      <c r="B10" s="335"/>
      <c r="C10" s="335"/>
      <c r="D10" s="335"/>
      <c r="E10" s="335"/>
      <c r="F10" s="336"/>
      <c r="G10" s="467"/>
      <c r="H10" s="467"/>
      <c r="I10" s="467"/>
      <c r="J10" s="467"/>
      <c r="K10" s="467"/>
      <c r="L10" s="517"/>
      <c r="M10" s="384"/>
      <c r="N10" s="384"/>
      <c r="O10" s="319"/>
      <c r="P10" s="426"/>
      <c r="Q10" s="426"/>
      <c r="R10" s="426"/>
      <c r="S10" s="426"/>
      <c r="T10" s="426"/>
      <c r="U10" s="426"/>
      <c r="V10" s="426"/>
      <c r="W10" s="426"/>
      <c r="X10" s="426"/>
      <c r="Y10" s="340"/>
      <c r="Z10" s="340"/>
      <c r="AA10" s="340"/>
      <c r="AB10" s="426"/>
      <c r="AC10" s="426"/>
      <c r="AD10" s="426"/>
      <c r="AE10" s="339"/>
      <c r="AF10" s="340"/>
      <c r="AG10" s="339"/>
      <c r="AH10" s="340"/>
      <c r="AI10" s="339"/>
      <c r="AJ10" s="384"/>
      <c r="AK10" s="384"/>
      <c r="AL10" s="384"/>
      <c r="AM10" s="384"/>
      <c r="AN10" s="384"/>
      <c r="AO10" s="384"/>
      <c r="AP10" s="384"/>
      <c r="AQ10" s="384"/>
      <c r="AR10" s="384"/>
      <c r="AS10" s="384"/>
      <c r="AT10" s="384"/>
      <c r="AU10" s="384"/>
      <c r="AV10" s="384"/>
      <c r="AW10" s="384"/>
      <c r="AX10" s="384"/>
      <c r="AY10" s="384"/>
      <c r="AZ10" s="384"/>
      <c r="BA10" s="384"/>
      <c r="BB10" s="384"/>
      <c r="BC10" s="384"/>
      <c r="BD10" s="384"/>
      <c r="BE10" s="384"/>
      <c r="BF10" s="384"/>
      <c r="BG10" s="384"/>
      <c r="BH10" s="384"/>
      <c r="BI10" s="384"/>
      <c r="BJ10" s="384"/>
      <c r="BK10" s="384"/>
      <c r="BL10" s="384"/>
      <c r="BM10" s="384"/>
      <c r="BN10" s="384"/>
      <c r="BO10" s="384"/>
      <c r="BP10" s="384"/>
      <c r="BQ10" s="384"/>
    </row>
    <row r="11" spans="1:69" x14ac:dyDescent="0.25">
      <c r="A11" s="335"/>
      <c r="B11" s="335" t="s">
        <v>387</v>
      </c>
      <c r="C11" s="335"/>
      <c r="D11" s="335"/>
      <c r="E11" s="335"/>
      <c r="F11" s="320">
        <v>35274375</v>
      </c>
      <c r="G11" s="320"/>
      <c r="H11" s="320">
        <v>40381845</v>
      </c>
      <c r="I11" s="320"/>
      <c r="J11" s="320">
        <v>47916173</v>
      </c>
      <c r="K11" s="320"/>
      <c r="L11" s="320">
        <v>52756957</v>
      </c>
      <c r="M11" s="384"/>
      <c r="N11" s="384"/>
      <c r="O11" s="417"/>
      <c r="P11" s="339"/>
      <c r="Q11" s="339"/>
      <c r="R11" s="386"/>
      <c r="S11" s="386"/>
      <c r="T11" s="386"/>
      <c r="U11" s="386"/>
      <c r="V11" s="386"/>
      <c r="W11" s="386"/>
      <c r="X11" s="386"/>
      <c r="Y11" s="386"/>
      <c r="Z11" s="386"/>
      <c r="AA11" s="386"/>
      <c r="AB11" s="426"/>
      <c r="AC11" s="426"/>
      <c r="AD11" s="426"/>
      <c r="AE11" s="339"/>
      <c r="AF11" s="340"/>
      <c r="AG11" s="339"/>
      <c r="AH11" s="340"/>
      <c r="AI11" s="339"/>
      <c r="AJ11" s="384"/>
      <c r="AK11" s="384"/>
      <c r="AL11" s="384"/>
      <c r="AM11" s="384"/>
      <c r="AN11" s="384"/>
      <c r="AO11" s="384"/>
      <c r="AP11" s="384"/>
      <c r="AQ11" s="384"/>
      <c r="AR11" s="384"/>
      <c r="AS11" s="384"/>
      <c r="AT11" s="384"/>
      <c r="AU11" s="384"/>
      <c r="AV11" s="384"/>
      <c r="AW11" s="384"/>
      <c r="AX11" s="384"/>
      <c r="AY11" s="384"/>
      <c r="AZ11" s="384"/>
      <c r="BA11" s="384"/>
      <c r="BB11" s="384"/>
      <c r="BC11" s="384"/>
      <c r="BD11" s="384"/>
      <c r="BE11" s="384"/>
      <c r="BF11" s="384"/>
      <c r="BG11" s="384"/>
      <c r="BH11" s="384"/>
      <c r="BI11" s="384"/>
      <c r="BJ11" s="384"/>
      <c r="BK11" s="384"/>
      <c r="BL11" s="384"/>
      <c r="BM11" s="384"/>
      <c r="BN11" s="384"/>
      <c r="BO11" s="384"/>
      <c r="BP11" s="384"/>
      <c r="BQ11" s="384"/>
    </row>
    <row r="12" spans="1:69" x14ac:dyDescent="0.25">
      <c r="A12" s="335"/>
      <c r="B12" s="335" t="s">
        <v>388</v>
      </c>
      <c r="C12" s="335"/>
      <c r="D12" s="335"/>
      <c r="E12" s="335"/>
      <c r="F12" s="336"/>
      <c r="G12" s="467"/>
      <c r="I12" s="467"/>
      <c r="J12" s="467"/>
      <c r="K12" s="467"/>
      <c r="L12" s="525"/>
      <c r="M12" s="384"/>
      <c r="N12" s="384"/>
      <c r="O12" s="340"/>
      <c r="P12" s="340"/>
      <c r="Q12" s="340"/>
      <c r="R12" s="340"/>
      <c r="S12" s="340"/>
      <c r="T12" s="340"/>
      <c r="U12" s="340"/>
      <c r="V12" s="340"/>
      <c r="W12" s="340"/>
      <c r="X12" s="340"/>
      <c r="Y12" s="340"/>
      <c r="Z12" s="340"/>
      <c r="AA12" s="340"/>
      <c r="AB12" s="426"/>
      <c r="AC12" s="426"/>
      <c r="AD12" s="426"/>
      <c r="AE12" s="1322"/>
      <c r="AF12" s="340"/>
      <c r="AG12" s="1322"/>
      <c r="AH12" s="340"/>
      <c r="AI12" s="1322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4"/>
      <c r="BE12" s="384"/>
      <c r="BF12" s="384"/>
      <c r="BG12" s="384"/>
      <c r="BH12" s="384"/>
      <c r="BI12" s="384"/>
      <c r="BJ12" s="384"/>
      <c r="BK12" s="384"/>
      <c r="BL12" s="384"/>
      <c r="BM12" s="384"/>
      <c r="BN12" s="384"/>
      <c r="BO12" s="384"/>
      <c r="BP12" s="384"/>
      <c r="BQ12" s="384"/>
    </row>
    <row r="13" spans="1:69" x14ac:dyDescent="0.25">
      <c r="A13" s="335"/>
      <c r="B13" s="335"/>
      <c r="C13" s="335" t="s">
        <v>389</v>
      </c>
      <c r="D13" s="335"/>
      <c r="E13" s="335"/>
      <c r="F13" s="350">
        <v>-21079918</v>
      </c>
      <c r="G13" s="466"/>
      <c r="H13" s="458">
        <v>-25443294</v>
      </c>
      <c r="I13" s="466"/>
      <c r="J13" s="458">
        <v>-24561432</v>
      </c>
      <c r="K13" s="466"/>
      <c r="L13" s="458">
        <f>-CNP!M28+SUM(SCF!L94:L108)</f>
        <v>-27788949</v>
      </c>
      <c r="M13" s="384"/>
      <c r="N13" s="384"/>
      <c r="O13" s="426"/>
      <c r="P13" s="426"/>
      <c r="Q13" s="426"/>
      <c r="R13" s="426"/>
      <c r="S13" s="426"/>
      <c r="T13" s="426"/>
      <c r="U13" s="426"/>
      <c r="V13" s="426"/>
      <c r="W13" s="426"/>
      <c r="X13" s="426"/>
      <c r="Y13" s="426"/>
      <c r="Z13" s="389"/>
      <c r="AA13" s="389"/>
      <c r="AB13" s="426"/>
      <c r="AC13" s="426"/>
      <c r="AD13" s="426"/>
      <c r="AE13" s="340"/>
      <c r="AF13" s="340"/>
      <c r="AG13" s="340"/>
      <c r="AH13" s="340"/>
      <c r="AI13" s="340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</row>
    <row r="14" spans="1:69" x14ac:dyDescent="0.25">
      <c r="A14" s="335"/>
      <c r="B14" s="335"/>
      <c r="C14" s="335"/>
      <c r="D14" s="335"/>
      <c r="E14" s="335"/>
      <c r="F14" s="338"/>
      <c r="G14" s="466"/>
      <c r="H14" s="466"/>
      <c r="I14" s="466"/>
      <c r="J14" s="466"/>
      <c r="K14" s="466"/>
      <c r="L14" s="188"/>
      <c r="M14" s="384"/>
      <c r="N14" s="384"/>
      <c r="O14" s="426"/>
      <c r="P14" s="426"/>
      <c r="Q14" s="426"/>
      <c r="R14" s="426"/>
      <c r="S14" s="426"/>
      <c r="T14" s="426"/>
      <c r="U14" s="426"/>
      <c r="V14" s="426"/>
      <c r="W14" s="426"/>
      <c r="X14" s="426"/>
      <c r="Y14" s="426"/>
      <c r="Z14" s="389"/>
      <c r="AA14" s="389"/>
      <c r="AB14" s="426"/>
      <c r="AC14" s="426"/>
      <c r="AD14" s="426"/>
      <c r="AE14" s="426"/>
      <c r="AF14" s="340"/>
      <c r="AG14" s="426"/>
      <c r="AH14" s="340"/>
      <c r="AI14" s="426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4"/>
      <c r="BP14" s="384"/>
      <c r="BQ14" s="384"/>
    </row>
    <row r="15" spans="1:69" x14ac:dyDescent="0.25">
      <c r="A15" s="335"/>
      <c r="B15" s="335"/>
      <c r="C15" s="335" t="s">
        <v>390</v>
      </c>
      <c r="D15" s="335"/>
      <c r="E15" s="335"/>
      <c r="F15" s="350">
        <f>SUM(F11:F14)</f>
        <v>14194457</v>
      </c>
      <c r="G15" s="466"/>
      <c r="H15" s="458">
        <f>SUM(H11:H14)</f>
        <v>14938551</v>
      </c>
      <c r="I15" s="466"/>
      <c r="J15" s="458">
        <f>SUM(J11:J14)</f>
        <v>23354741</v>
      </c>
      <c r="K15" s="466"/>
      <c r="L15" s="458">
        <f>SUM(L11:L14)</f>
        <v>24968008</v>
      </c>
      <c r="M15" s="384"/>
      <c r="N15" s="384"/>
      <c r="O15" s="426"/>
      <c r="P15" s="426"/>
      <c r="Q15" s="426"/>
      <c r="R15" s="426"/>
      <c r="S15" s="426"/>
      <c r="T15" s="426"/>
      <c r="U15" s="426"/>
      <c r="V15" s="426"/>
      <c r="W15" s="426"/>
      <c r="X15" s="426"/>
      <c r="Y15" s="426"/>
      <c r="Z15" s="389"/>
      <c r="AA15" s="389"/>
      <c r="AB15" s="426"/>
      <c r="AC15" s="426"/>
      <c r="AD15" s="426"/>
      <c r="AE15" s="426"/>
      <c r="AF15" s="340"/>
      <c r="AG15" s="426"/>
      <c r="AH15" s="340"/>
      <c r="AI15" s="426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</row>
    <row r="16" spans="1:69" x14ac:dyDescent="0.25">
      <c r="A16" s="335"/>
      <c r="B16" s="335"/>
      <c r="C16" s="335"/>
      <c r="D16" s="335"/>
      <c r="E16" s="335"/>
      <c r="F16" s="338"/>
      <c r="G16" s="466"/>
      <c r="H16" s="466"/>
      <c r="I16" s="466"/>
      <c r="J16" s="466"/>
      <c r="K16" s="466"/>
      <c r="L16" s="188"/>
      <c r="M16" s="384"/>
      <c r="N16" s="384"/>
      <c r="O16" s="340"/>
      <c r="P16" s="340"/>
      <c r="Q16" s="340"/>
      <c r="R16" s="340"/>
      <c r="S16" s="340"/>
      <c r="T16" s="340"/>
      <c r="U16" s="340"/>
      <c r="V16" s="340"/>
      <c r="W16" s="340"/>
      <c r="X16" s="340"/>
      <c r="Y16" s="340"/>
      <c r="Z16" s="340"/>
      <c r="AA16" s="340"/>
      <c r="AB16" s="340"/>
      <c r="AC16" s="340"/>
      <c r="AD16" s="426"/>
      <c r="AE16" s="340"/>
      <c r="AF16" s="340"/>
      <c r="AG16" s="340"/>
      <c r="AH16" s="340"/>
      <c r="AI16" s="340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4"/>
      <c r="BM16" s="384"/>
      <c r="BN16" s="384"/>
      <c r="BO16" s="384"/>
      <c r="BP16" s="384"/>
      <c r="BQ16" s="384"/>
    </row>
    <row r="17" spans="1:69" x14ac:dyDescent="0.25">
      <c r="A17" s="373" t="s">
        <v>294</v>
      </c>
      <c r="B17" s="373"/>
      <c r="C17" s="373"/>
      <c r="D17" s="373"/>
      <c r="E17" s="373"/>
      <c r="F17" s="338"/>
      <c r="G17" s="466"/>
      <c r="H17" s="466"/>
      <c r="I17" s="466"/>
      <c r="J17" s="466"/>
      <c r="K17" s="466"/>
      <c r="L17" s="188"/>
      <c r="M17" s="384"/>
      <c r="N17" s="384"/>
      <c r="O17" s="340"/>
      <c r="P17" s="340"/>
      <c r="Q17" s="340"/>
      <c r="R17" s="340"/>
      <c r="S17" s="340"/>
      <c r="T17" s="340"/>
      <c r="U17" s="340"/>
      <c r="V17" s="340"/>
      <c r="W17" s="340"/>
      <c r="X17" s="340"/>
      <c r="Y17" s="340"/>
      <c r="Z17" s="340"/>
      <c r="AA17" s="340"/>
      <c r="AB17" s="340"/>
      <c r="AC17" s="340"/>
      <c r="AD17" s="426"/>
      <c r="AE17" s="340"/>
      <c r="AF17" s="340"/>
      <c r="AG17" s="426"/>
      <c r="AH17" s="340"/>
      <c r="AI17" s="340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4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  <c r="BP17" s="384"/>
      <c r="BQ17" s="384"/>
    </row>
    <row r="18" spans="1:69" x14ac:dyDescent="0.25">
      <c r="A18" s="373"/>
      <c r="B18" s="322" t="s">
        <v>473</v>
      </c>
      <c r="C18" s="373"/>
      <c r="D18" s="373"/>
      <c r="E18" s="373"/>
      <c r="F18" s="466">
        <v>-1677172</v>
      </c>
      <c r="G18" s="466"/>
      <c r="H18" s="466">
        <v>-1873600</v>
      </c>
      <c r="I18" s="466"/>
      <c r="J18" s="466">
        <v>-1882300</v>
      </c>
      <c r="K18" s="466"/>
      <c r="L18" s="466">
        <f>CNP!M54</f>
        <v>-2353750</v>
      </c>
      <c r="M18" s="466"/>
      <c r="N18" s="384"/>
      <c r="O18" s="340"/>
      <c r="P18" s="340"/>
      <c r="Q18" s="340"/>
      <c r="R18" s="340"/>
      <c r="S18" s="340"/>
      <c r="T18" s="340"/>
      <c r="U18" s="340"/>
      <c r="V18" s="340"/>
      <c r="W18" s="340"/>
      <c r="X18" s="340"/>
      <c r="Y18" s="340"/>
      <c r="Z18" s="340"/>
      <c r="AA18" s="340"/>
      <c r="AB18" s="340"/>
      <c r="AC18" s="340"/>
      <c r="AD18" s="426"/>
      <c r="AE18" s="340"/>
      <c r="AF18" s="340"/>
      <c r="AG18" s="340"/>
      <c r="AH18" s="340"/>
      <c r="AI18" s="340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</row>
    <row r="19" spans="1:69" s="421" customFormat="1" x14ac:dyDescent="0.25">
      <c r="A19" s="402"/>
      <c r="B19" s="322" t="s">
        <v>951</v>
      </c>
      <c r="C19" s="402"/>
      <c r="D19" s="402"/>
      <c r="E19" s="402"/>
      <c r="F19" s="502">
        <v>0</v>
      </c>
      <c r="G19" s="502"/>
      <c r="H19" s="502">
        <v>0</v>
      </c>
      <c r="I19" s="502"/>
      <c r="J19" s="502">
        <v>0</v>
      </c>
      <c r="K19" s="466"/>
      <c r="L19" s="466">
        <v>-28775000</v>
      </c>
      <c r="M19" s="466"/>
      <c r="N19" s="384"/>
      <c r="O19" s="340"/>
      <c r="P19" s="340"/>
      <c r="Q19" s="340"/>
      <c r="R19" s="340"/>
      <c r="S19" s="340"/>
      <c r="T19" s="340"/>
      <c r="U19" s="340"/>
      <c r="V19" s="340"/>
      <c r="W19" s="340"/>
      <c r="X19" s="340"/>
      <c r="Y19" s="340"/>
      <c r="Z19" s="340"/>
      <c r="AA19" s="340"/>
      <c r="AB19" s="340"/>
      <c r="AC19" s="340"/>
      <c r="AD19" s="426"/>
      <c r="AE19" s="340"/>
      <c r="AF19" s="340"/>
      <c r="AG19" s="340"/>
      <c r="AH19" s="340"/>
      <c r="AI19" s="340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</row>
    <row r="20" spans="1:69" s="421" customFormat="1" x14ac:dyDescent="0.25">
      <c r="A20" s="402"/>
      <c r="B20" s="322" t="s">
        <v>952</v>
      </c>
      <c r="C20" s="402"/>
      <c r="D20" s="402"/>
      <c r="E20" s="402"/>
      <c r="F20" s="501">
        <v>0</v>
      </c>
      <c r="G20" s="502"/>
      <c r="H20" s="501">
        <v>0</v>
      </c>
      <c r="I20" s="502"/>
      <c r="J20" s="501">
        <v>0</v>
      </c>
      <c r="K20" s="466"/>
      <c r="L20" s="994">
        <v>30670000</v>
      </c>
      <c r="M20" s="466"/>
      <c r="N20" s="384"/>
      <c r="O20" s="340"/>
      <c r="P20" s="340"/>
      <c r="Q20" s="340"/>
      <c r="R20" s="340"/>
      <c r="S20" s="340"/>
      <c r="T20" s="340"/>
      <c r="U20" s="340"/>
      <c r="V20" s="340"/>
      <c r="W20" s="340"/>
      <c r="X20" s="340"/>
      <c r="Y20" s="340"/>
      <c r="Z20" s="340"/>
      <c r="AA20" s="340"/>
      <c r="AB20" s="340"/>
      <c r="AC20" s="340"/>
      <c r="AD20" s="426"/>
      <c r="AE20" s="340"/>
      <c r="AF20" s="340"/>
      <c r="AG20" s="340"/>
      <c r="AH20" s="340"/>
      <c r="AI20" s="340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</row>
    <row r="21" spans="1:69" s="421" customFormat="1" x14ac:dyDescent="0.25">
      <c r="A21" s="402"/>
      <c r="B21" s="322"/>
      <c r="C21" s="402"/>
      <c r="D21" s="402"/>
      <c r="E21" s="402"/>
      <c r="F21" s="466"/>
      <c r="G21" s="466"/>
      <c r="H21" s="466"/>
      <c r="I21" s="466"/>
      <c r="J21" s="466"/>
      <c r="K21" s="466"/>
      <c r="L21" s="466"/>
      <c r="M21" s="466"/>
      <c r="N21" s="384"/>
      <c r="O21" s="340"/>
      <c r="P21" s="340"/>
      <c r="Q21" s="340"/>
      <c r="R21" s="340"/>
      <c r="S21" s="340"/>
      <c r="T21" s="340"/>
      <c r="U21" s="340"/>
      <c r="V21" s="340"/>
      <c r="W21" s="340"/>
      <c r="X21" s="340"/>
      <c r="Y21" s="340"/>
      <c r="Z21" s="340"/>
      <c r="AA21" s="340"/>
      <c r="AB21" s="340"/>
      <c r="AC21" s="340"/>
      <c r="AD21" s="426"/>
      <c r="AE21" s="340"/>
      <c r="AF21" s="340"/>
      <c r="AG21" s="340"/>
      <c r="AH21" s="340"/>
      <c r="AI21" s="340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</row>
    <row r="22" spans="1:69" s="421" customFormat="1" x14ac:dyDescent="0.25">
      <c r="A22" s="402"/>
      <c r="B22" s="322"/>
      <c r="C22" s="335" t="s">
        <v>953</v>
      </c>
      <c r="D22" s="402"/>
      <c r="E22" s="402"/>
      <c r="F22" s="994">
        <f>SUM(F18:F21)</f>
        <v>-1677172</v>
      </c>
      <c r="G22" s="466"/>
      <c r="H22" s="994">
        <f>SUM(H18:H21)</f>
        <v>-1873600</v>
      </c>
      <c r="I22" s="466">
        <f>SUM(I18:I21)</f>
        <v>0</v>
      </c>
      <c r="J22" s="994">
        <f>SUM(J18:J21)</f>
        <v>-1882300</v>
      </c>
      <c r="K22" s="466"/>
      <c r="L22" s="994">
        <f>SUM(L18:L21)</f>
        <v>-458750</v>
      </c>
      <c r="M22" s="466"/>
      <c r="N22" s="384"/>
      <c r="O22" s="340"/>
      <c r="P22" s="340"/>
      <c r="Q22" s="340"/>
      <c r="R22" s="340"/>
      <c r="S22" s="340"/>
      <c r="T22" s="340"/>
      <c r="U22" s="340"/>
      <c r="V22" s="340"/>
      <c r="W22" s="340"/>
      <c r="X22" s="340"/>
      <c r="Y22" s="340"/>
      <c r="Z22" s="340"/>
      <c r="AA22" s="340"/>
      <c r="AB22" s="340"/>
      <c r="AC22" s="340"/>
      <c r="AD22" s="426"/>
      <c r="AE22" s="340"/>
      <c r="AF22" s="340"/>
      <c r="AG22" s="340"/>
      <c r="AH22" s="340"/>
      <c r="AI22" s="340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</row>
    <row r="23" spans="1:69" x14ac:dyDescent="0.25">
      <c r="A23" s="335"/>
      <c r="B23" s="335"/>
      <c r="C23" s="335"/>
      <c r="D23" s="335"/>
      <c r="E23" s="335"/>
      <c r="F23" s="338"/>
      <c r="G23" s="466"/>
      <c r="H23" s="466"/>
      <c r="I23" s="466"/>
      <c r="J23" s="466"/>
      <c r="K23" s="466"/>
      <c r="L23" s="188"/>
      <c r="M23" s="384"/>
      <c r="N23" s="384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426"/>
      <c r="AE23" s="340"/>
      <c r="AF23" s="340"/>
      <c r="AG23" s="340"/>
      <c r="AH23" s="340"/>
      <c r="AI23" s="340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</row>
    <row r="24" spans="1:69" x14ac:dyDescent="0.25">
      <c r="A24" s="335" t="s">
        <v>22</v>
      </c>
      <c r="B24" s="335"/>
      <c r="C24" s="335"/>
      <c r="D24" s="335"/>
      <c r="E24" s="335"/>
      <c r="F24" s="336"/>
      <c r="G24" s="467"/>
      <c r="H24" s="467"/>
      <c r="I24" s="467"/>
      <c r="J24" s="467"/>
      <c r="K24" s="467"/>
      <c r="L24" s="525"/>
      <c r="M24" s="384"/>
      <c r="N24" s="384"/>
      <c r="O24" s="340"/>
      <c r="P24" s="340"/>
      <c r="Q24" s="340"/>
      <c r="R24" s="340"/>
      <c r="S24" s="340"/>
      <c r="T24" s="426"/>
      <c r="U24" s="426"/>
      <c r="V24" s="340"/>
      <c r="W24" s="426"/>
      <c r="X24" s="426"/>
      <c r="Y24" s="426"/>
      <c r="Z24" s="426"/>
      <c r="AA24" s="426"/>
      <c r="AB24" s="426"/>
      <c r="AC24" s="426"/>
      <c r="AD24" s="426"/>
      <c r="AE24" s="340"/>
      <c r="AF24" s="340"/>
      <c r="AG24" s="340"/>
      <c r="AH24" s="340"/>
      <c r="AI24" s="340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</row>
    <row r="25" spans="1:69" x14ac:dyDescent="0.25">
      <c r="A25" s="335" t="s">
        <v>401</v>
      </c>
      <c r="B25" s="335"/>
      <c r="C25" s="335"/>
      <c r="D25" s="335"/>
      <c r="E25" s="335"/>
      <c r="F25" s="336"/>
      <c r="G25" s="467"/>
      <c r="H25" s="467"/>
      <c r="I25" s="467"/>
      <c r="J25" s="467"/>
      <c r="K25" s="467"/>
      <c r="L25" s="525"/>
      <c r="M25" s="384"/>
      <c r="N25" s="384"/>
      <c r="O25" s="340"/>
      <c r="P25" s="340"/>
      <c r="Q25" s="340"/>
      <c r="R25" s="340"/>
      <c r="S25" s="340"/>
      <c r="T25" s="426"/>
      <c r="U25" s="426"/>
      <c r="V25" s="340"/>
      <c r="W25" s="426"/>
      <c r="X25" s="426"/>
      <c r="Y25" s="426"/>
      <c r="Z25" s="426"/>
      <c r="AA25" s="426"/>
      <c r="AB25" s="426"/>
      <c r="AC25" s="426"/>
      <c r="AD25" s="426"/>
      <c r="AE25" s="340"/>
      <c r="AF25" s="340"/>
      <c r="AG25" s="340"/>
      <c r="AH25" s="340"/>
      <c r="AI25" s="340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</row>
    <row r="26" spans="1:69" x14ac:dyDescent="0.25">
      <c r="A26" s="335"/>
      <c r="B26" s="335" t="s">
        <v>391</v>
      </c>
      <c r="C26" s="335"/>
      <c r="D26" s="335"/>
      <c r="E26" s="335"/>
      <c r="F26" s="461">
        <v>-14283805.1</v>
      </c>
      <c r="G26" s="467"/>
      <c r="H26" s="467">
        <v>-19855897</v>
      </c>
      <c r="I26" s="467"/>
      <c r="J26" s="467">
        <v>-18580845</v>
      </c>
      <c r="K26" s="467"/>
      <c r="L26" s="466">
        <v>-24853104</v>
      </c>
      <c r="M26" s="275"/>
      <c r="N26" s="384"/>
      <c r="O26" s="340"/>
      <c r="P26" s="340"/>
      <c r="Q26" s="340"/>
      <c r="R26" s="340"/>
      <c r="S26" s="340"/>
      <c r="T26" s="426"/>
      <c r="U26" s="426"/>
      <c r="V26" s="340"/>
      <c r="W26" s="426"/>
      <c r="X26" s="426"/>
      <c r="Y26" s="426"/>
      <c r="Z26" s="426"/>
      <c r="AA26" s="426"/>
      <c r="AB26" s="426"/>
      <c r="AC26" s="426"/>
      <c r="AD26" s="426"/>
      <c r="AE26" s="340"/>
      <c r="AF26" s="340"/>
      <c r="AG26" s="340"/>
      <c r="AH26" s="340"/>
      <c r="AI26" s="340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</row>
    <row r="27" spans="1:69" x14ac:dyDescent="0.25">
      <c r="A27" s="335"/>
      <c r="B27" s="335" t="s">
        <v>392</v>
      </c>
      <c r="C27" s="335"/>
      <c r="D27" s="335"/>
      <c r="E27" s="335"/>
      <c r="F27" s="467">
        <v>-1765000</v>
      </c>
      <c r="G27" s="467"/>
      <c r="H27" s="467">
        <v>-3130000</v>
      </c>
      <c r="I27" s="467"/>
      <c r="J27" s="467">
        <v>-4870000</v>
      </c>
      <c r="K27" s="467"/>
      <c r="L27" s="466">
        <v>-5755000</v>
      </c>
      <c r="M27" s="275"/>
      <c r="N27" s="275"/>
      <c r="O27" s="340"/>
      <c r="P27" s="340"/>
      <c r="Q27" s="340"/>
      <c r="R27" s="340"/>
      <c r="S27" s="340"/>
      <c r="T27" s="426"/>
      <c r="U27" s="426"/>
      <c r="V27" s="426"/>
      <c r="W27" s="340"/>
      <c r="X27" s="426"/>
      <c r="Y27" s="426"/>
      <c r="Z27" s="340"/>
      <c r="AA27" s="426"/>
      <c r="AB27" s="340"/>
      <c r="AC27" s="340"/>
      <c r="AD27" s="426"/>
      <c r="AE27" s="340"/>
      <c r="AF27" s="340"/>
      <c r="AG27" s="340"/>
      <c r="AH27" s="340"/>
      <c r="AI27" s="340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</row>
    <row r="28" spans="1:69" x14ac:dyDescent="0.25">
      <c r="A28" s="335"/>
      <c r="B28" s="373" t="s">
        <v>503</v>
      </c>
      <c r="C28" s="335"/>
      <c r="D28" s="335"/>
      <c r="E28" s="335"/>
      <c r="F28" s="500">
        <v>0</v>
      </c>
      <c r="G28" s="464"/>
      <c r="H28" s="467">
        <v>77220000</v>
      </c>
      <c r="I28" s="464"/>
      <c r="J28" s="467">
        <v>39765000</v>
      </c>
      <c r="K28" s="464"/>
      <c r="L28" s="502">
        <v>0</v>
      </c>
      <c r="M28" s="384"/>
      <c r="N28" s="275"/>
      <c r="O28" s="426"/>
      <c r="P28" s="426"/>
      <c r="Q28" s="426"/>
      <c r="R28" s="426"/>
      <c r="S28" s="426"/>
      <c r="T28" s="426"/>
      <c r="U28" s="426"/>
      <c r="V28" s="340"/>
      <c r="W28" s="426"/>
      <c r="X28" s="426"/>
      <c r="Y28" s="426"/>
      <c r="Z28" s="426"/>
      <c r="AA28" s="426"/>
      <c r="AB28" s="426"/>
      <c r="AC28" s="426"/>
      <c r="AD28" s="426"/>
      <c r="AE28" s="340"/>
      <c r="AF28" s="340"/>
      <c r="AG28" s="340"/>
      <c r="AH28" s="340"/>
      <c r="AI28" s="340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</row>
    <row r="29" spans="1:69" x14ac:dyDescent="0.25">
      <c r="A29" s="335"/>
      <c r="B29" s="335" t="s">
        <v>414</v>
      </c>
      <c r="C29" s="335"/>
      <c r="D29" s="335"/>
      <c r="E29" s="335"/>
      <c r="F29" s="500">
        <v>0</v>
      </c>
      <c r="G29" s="464"/>
      <c r="H29" s="467">
        <v>500000</v>
      </c>
      <c r="I29" s="464"/>
      <c r="J29" s="500">
        <v>0</v>
      </c>
      <c r="K29" s="464"/>
      <c r="L29" s="502">
        <v>0</v>
      </c>
      <c r="M29" s="275"/>
      <c r="N29" s="275"/>
      <c r="O29" s="466"/>
      <c r="P29" s="340"/>
      <c r="Q29" s="340"/>
      <c r="R29" s="340"/>
      <c r="S29" s="340"/>
      <c r="T29" s="426"/>
      <c r="U29" s="426"/>
      <c r="V29" s="426"/>
      <c r="W29" s="340"/>
      <c r="X29" s="426"/>
      <c r="Y29" s="426"/>
      <c r="Z29" s="426"/>
      <c r="AA29" s="426"/>
      <c r="AB29" s="340"/>
      <c r="AC29" s="426"/>
      <c r="AD29" s="426"/>
      <c r="AE29" s="340"/>
      <c r="AF29" s="340"/>
      <c r="AG29" s="340"/>
      <c r="AH29" s="340"/>
      <c r="AI29" s="340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</row>
    <row r="30" spans="1:69" x14ac:dyDescent="0.25">
      <c r="A30" s="335"/>
      <c r="B30" s="335" t="s">
        <v>413</v>
      </c>
      <c r="C30" s="335"/>
      <c r="D30" s="335"/>
      <c r="E30" s="335"/>
      <c r="F30" s="467">
        <v>-1050000</v>
      </c>
      <c r="G30" s="464"/>
      <c r="H30" s="500">
        <v>0</v>
      </c>
      <c r="I30" s="464"/>
      <c r="J30" s="467">
        <v>-500000</v>
      </c>
      <c r="K30" s="464"/>
      <c r="L30" s="502">
        <v>0</v>
      </c>
      <c r="M30" s="384"/>
      <c r="N30" s="384"/>
      <c r="O30" s="340"/>
      <c r="P30" s="340"/>
      <c r="Q30" s="426"/>
      <c r="R30" s="426"/>
      <c r="S30" s="426"/>
      <c r="T30" s="426"/>
      <c r="U30" s="426"/>
      <c r="V30" s="426"/>
      <c r="W30" s="340"/>
      <c r="X30" s="426"/>
      <c r="Y30" s="426"/>
      <c r="Z30" s="426"/>
      <c r="AA30" s="426"/>
      <c r="AB30" s="340"/>
      <c r="AC30" s="426"/>
      <c r="AD30" s="426"/>
      <c r="AE30" s="340"/>
      <c r="AF30" s="340"/>
      <c r="AG30" s="340"/>
      <c r="AH30" s="340"/>
      <c r="AI30" s="340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</row>
    <row r="31" spans="1:69" x14ac:dyDescent="0.25">
      <c r="A31" s="335"/>
      <c r="B31" s="335" t="s">
        <v>393</v>
      </c>
      <c r="C31" s="335"/>
      <c r="D31" s="335"/>
      <c r="E31" s="335"/>
      <c r="F31" s="467">
        <v>-4238812.1399999997</v>
      </c>
      <c r="G31" s="467"/>
      <c r="H31" s="467">
        <v>-5320925</v>
      </c>
      <c r="I31" s="467"/>
      <c r="J31" s="467">
        <v>-6679713.79</v>
      </c>
      <c r="K31" s="467"/>
      <c r="L31" s="466">
        <v>-8370666</v>
      </c>
      <c r="M31" s="466"/>
      <c r="N31" s="466"/>
      <c r="O31" s="426"/>
      <c r="P31" s="466"/>
      <c r="Q31" s="340"/>
      <c r="R31" s="340"/>
      <c r="S31" s="340"/>
      <c r="T31" s="426"/>
      <c r="U31" s="426"/>
      <c r="V31" s="426"/>
      <c r="W31" s="340"/>
      <c r="X31" s="426"/>
      <c r="Y31" s="426"/>
      <c r="Z31" s="426"/>
      <c r="AA31" s="426"/>
      <c r="AB31" s="340"/>
      <c r="AC31" s="426"/>
      <c r="AD31" s="426"/>
      <c r="AE31" s="340"/>
      <c r="AF31" s="340"/>
      <c r="AG31" s="340"/>
      <c r="AH31" s="340"/>
      <c r="AI31" s="340"/>
      <c r="AJ31" s="384"/>
      <c r="AK31" s="384"/>
      <c r="AL31" s="384"/>
      <c r="AM31" s="384"/>
      <c r="AN31" s="384"/>
      <c r="AO31" s="384"/>
      <c r="AP31" s="384"/>
      <c r="AQ31" s="384"/>
      <c r="AR31" s="384"/>
      <c r="AS31" s="384"/>
      <c r="AT31" s="384"/>
      <c r="AU31" s="384"/>
      <c r="AV31" s="384"/>
      <c r="AW31" s="384"/>
      <c r="AX31" s="384"/>
      <c r="AY31" s="384"/>
      <c r="AZ31" s="384"/>
      <c r="BA31" s="384"/>
      <c r="BB31" s="384"/>
      <c r="BC31" s="384"/>
      <c r="BD31" s="384"/>
      <c r="BE31" s="384"/>
      <c r="BF31" s="384"/>
      <c r="BG31" s="384"/>
      <c r="BH31" s="384"/>
      <c r="BI31" s="384"/>
      <c r="BJ31" s="384"/>
      <c r="BK31" s="384"/>
      <c r="BL31" s="384"/>
      <c r="BM31" s="384"/>
      <c r="BN31" s="384"/>
      <c r="BO31" s="384"/>
      <c r="BP31" s="384"/>
      <c r="BQ31" s="384"/>
    </row>
    <row r="32" spans="1:69" x14ac:dyDescent="0.25">
      <c r="A32" s="335"/>
      <c r="B32" s="335" t="s">
        <v>394</v>
      </c>
      <c r="C32" s="335"/>
      <c r="D32" s="335"/>
      <c r="E32" s="335"/>
      <c r="F32" s="461"/>
      <c r="G32" s="467"/>
      <c r="H32" s="467"/>
      <c r="I32" s="467"/>
      <c r="J32" s="467"/>
      <c r="K32" s="467"/>
      <c r="M32" s="384"/>
      <c r="N32" s="384"/>
      <c r="O32" s="340"/>
      <c r="P32" s="340"/>
      <c r="Q32" s="340"/>
      <c r="R32" s="340"/>
      <c r="S32" s="340"/>
      <c r="T32" s="426"/>
      <c r="U32" s="426"/>
      <c r="V32" s="426"/>
      <c r="W32" s="340"/>
      <c r="X32" s="340"/>
      <c r="Y32" s="426"/>
      <c r="Z32" s="426"/>
      <c r="AA32" s="426"/>
      <c r="AB32" s="426"/>
      <c r="AC32" s="426"/>
      <c r="AD32" s="426"/>
      <c r="AE32" s="340"/>
      <c r="AF32" s="340"/>
      <c r="AG32" s="340"/>
      <c r="AH32" s="340"/>
      <c r="AI32" s="340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/>
    </row>
    <row r="33" spans="1:69" x14ac:dyDescent="0.25">
      <c r="A33" s="335"/>
      <c r="B33" s="335"/>
      <c r="C33" s="335" t="s">
        <v>395</v>
      </c>
      <c r="D33" s="335"/>
      <c r="E33" s="335"/>
      <c r="F33" s="467">
        <v>2026406.32</v>
      </c>
      <c r="G33" s="464"/>
      <c r="H33" s="467">
        <v>-454363</v>
      </c>
      <c r="I33" s="464"/>
      <c r="J33" s="464">
        <v>451825.79000000004</v>
      </c>
      <c r="K33" s="464"/>
      <c r="L33" s="466">
        <v>-2617466</v>
      </c>
      <c r="M33" s="384"/>
      <c r="N33" s="384"/>
      <c r="O33" s="426"/>
      <c r="P33" s="426"/>
      <c r="Q33" s="426"/>
      <c r="R33" s="426"/>
      <c r="S33" s="426"/>
      <c r="T33" s="426"/>
      <c r="U33" s="426"/>
      <c r="V33" s="426"/>
      <c r="W33" s="340"/>
      <c r="X33" s="340"/>
      <c r="Y33" s="340"/>
      <c r="Z33" s="340"/>
      <c r="AA33" s="340"/>
      <c r="AB33" s="426"/>
      <c r="AC33" s="426"/>
      <c r="AD33" s="426"/>
      <c r="AE33" s="340"/>
      <c r="AF33" s="340"/>
      <c r="AG33" s="340"/>
      <c r="AH33" s="340"/>
      <c r="AI33" s="340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</row>
    <row r="34" spans="1:69" x14ac:dyDescent="0.25">
      <c r="A34" s="335"/>
      <c r="B34" s="335" t="s">
        <v>396</v>
      </c>
      <c r="C34" s="335"/>
      <c r="D34" s="335"/>
      <c r="E34" s="335"/>
      <c r="F34" s="467">
        <v>3250857</v>
      </c>
      <c r="G34" s="467"/>
      <c r="H34" s="467">
        <v>2414387</v>
      </c>
      <c r="I34" s="467"/>
      <c r="J34" s="467">
        <v>1278663</v>
      </c>
      <c r="K34" s="467"/>
      <c r="L34" s="466">
        <v>1278663</v>
      </c>
      <c r="M34" s="384"/>
      <c r="N34" s="466"/>
      <c r="O34" s="340"/>
      <c r="P34" s="4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  <c r="AB34" s="426"/>
      <c r="AC34" s="426"/>
      <c r="AD34" s="426"/>
      <c r="AE34" s="340"/>
      <c r="AF34" s="340"/>
      <c r="AG34" s="340"/>
      <c r="AH34" s="340"/>
      <c r="AI34" s="340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</row>
    <row r="35" spans="1:69" x14ac:dyDescent="0.25">
      <c r="A35" s="335"/>
      <c r="B35" s="335" t="s">
        <v>397</v>
      </c>
      <c r="C35" s="335"/>
      <c r="D35" s="335"/>
      <c r="E35" s="335"/>
      <c r="F35" s="467">
        <v>452218</v>
      </c>
      <c r="G35" s="462"/>
      <c r="H35" s="467">
        <v>311257</v>
      </c>
      <c r="I35" s="462"/>
      <c r="J35" s="464">
        <v>-211410</v>
      </c>
      <c r="K35" s="464"/>
      <c r="L35" s="466">
        <v>232849</v>
      </c>
      <c r="M35" s="466"/>
      <c r="N35" s="466"/>
      <c r="O35" s="426"/>
      <c r="P35" s="4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  <c r="AB35" s="426"/>
      <c r="AC35" s="426"/>
      <c r="AD35" s="426"/>
      <c r="AE35" s="340"/>
      <c r="AF35" s="340"/>
      <c r="AG35" s="340"/>
      <c r="AH35" s="340"/>
      <c r="AI35" s="340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</row>
    <row r="36" spans="1:69" x14ac:dyDescent="0.25">
      <c r="A36" s="335"/>
      <c r="B36" s="335" t="s">
        <v>398</v>
      </c>
      <c r="C36" s="335"/>
      <c r="D36" s="335"/>
      <c r="E36" s="335"/>
      <c r="F36" s="467">
        <v>115462</v>
      </c>
      <c r="G36" s="466"/>
      <c r="H36" s="467">
        <v>154017</v>
      </c>
      <c r="I36" s="466"/>
      <c r="J36" s="464">
        <v>830890</v>
      </c>
      <c r="K36" s="466"/>
      <c r="L36" s="466">
        <f>CNP!M38</f>
        <v>1182318</v>
      </c>
      <c r="M36" s="393"/>
      <c r="N36" s="384"/>
      <c r="O36" s="426"/>
      <c r="P36" s="426"/>
      <c r="Q36" s="426"/>
      <c r="R36" s="426"/>
      <c r="S36" s="426"/>
      <c r="T36" s="426"/>
      <c r="U36" s="426"/>
      <c r="V36" s="426"/>
      <c r="W36" s="426"/>
      <c r="X36" s="426"/>
      <c r="Y36" s="426"/>
      <c r="Z36" s="426"/>
      <c r="AA36" s="426"/>
      <c r="AB36" s="426"/>
      <c r="AC36" s="426"/>
      <c r="AD36" s="426"/>
      <c r="AE36" s="340"/>
      <c r="AF36" s="340"/>
      <c r="AG36" s="340"/>
      <c r="AH36" s="340"/>
      <c r="AI36" s="340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</row>
    <row r="37" spans="1:69" x14ac:dyDescent="0.25">
      <c r="A37" s="335"/>
      <c r="B37" s="335" t="s">
        <v>425</v>
      </c>
      <c r="C37" s="335"/>
      <c r="D37" s="335"/>
      <c r="E37" s="335"/>
      <c r="F37" s="467">
        <v>-250</v>
      </c>
      <c r="G37" s="462"/>
      <c r="H37" s="501">
        <v>0</v>
      </c>
      <c r="I37" s="462"/>
      <c r="J37" s="452">
        <v>-1000</v>
      </c>
      <c r="K37" s="464"/>
      <c r="L37" s="452">
        <f>-CNP!M45</f>
        <v>-1000</v>
      </c>
      <c r="M37" s="384"/>
      <c r="N37" s="384"/>
      <c r="O37" s="426"/>
      <c r="P37" s="4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  <c r="AB37" s="426"/>
      <c r="AC37" s="426"/>
      <c r="AD37" s="426"/>
      <c r="AE37" s="340"/>
      <c r="AF37" s="340"/>
      <c r="AG37" s="340"/>
      <c r="AH37" s="340"/>
      <c r="AI37" s="340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</row>
    <row r="38" spans="1:69" x14ac:dyDescent="0.25">
      <c r="A38" s="335"/>
      <c r="B38" s="335"/>
      <c r="C38" s="335"/>
      <c r="D38" s="335"/>
      <c r="E38" s="335"/>
      <c r="F38" s="352"/>
      <c r="G38" s="466"/>
      <c r="H38" s="466"/>
      <c r="I38" s="466"/>
      <c r="J38" s="466"/>
      <c r="K38" s="466"/>
      <c r="L38" s="188"/>
      <c r="M38" s="384"/>
      <c r="N38" s="384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  <c r="AB38" s="426"/>
      <c r="AC38" s="426"/>
      <c r="AD38" s="426"/>
      <c r="AE38" s="340"/>
      <c r="AF38" s="340"/>
      <c r="AG38" s="340"/>
      <c r="AH38" s="340"/>
      <c r="AI38" s="340"/>
      <c r="AJ38" s="384"/>
      <c r="AK38" s="384"/>
      <c r="AL38" s="384"/>
      <c r="AM38" s="384"/>
      <c r="AN38" s="384"/>
      <c r="AO38" s="384"/>
      <c r="AP38" s="384"/>
      <c r="AQ38" s="384"/>
      <c r="AR38" s="384"/>
      <c r="AS38" s="384"/>
      <c r="AT38" s="384"/>
      <c r="AU38" s="384"/>
      <c r="AV38" s="384"/>
      <c r="AW38" s="384"/>
      <c r="AX38" s="384"/>
      <c r="AY38" s="384"/>
      <c r="AZ38" s="384"/>
      <c r="BA38" s="384"/>
      <c r="BB38" s="384"/>
      <c r="BC38" s="384"/>
      <c r="BD38" s="384"/>
      <c r="BE38" s="384"/>
      <c r="BF38" s="384"/>
      <c r="BG38" s="384"/>
      <c r="BH38" s="384"/>
      <c r="BI38" s="384"/>
      <c r="BJ38" s="384"/>
      <c r="BK38" s="384"/>
      <c r="BL38" s="384"/>
      <c r="BM38" s="384"/>
      <c r="BN38" s="384"/>
      <c r="BO38" s="384"/>
      <c r="BP38" s="384"/>
      <c r="BQ38" s="384"/>
    </row>
    <row r="39" spans="1:69" x14ac:dyDescent="0.25">
      <c r="A39" s="335"/>
      <c r="B39" s="335"/>
      <c r="C39" s="335" t="s">
        <v>399</v>
      </c>
      <c r="D39" s="335"/>
      <c r="E39" s="335"/>
      <c r="F39" s="336"/>
      <c r="G39" s="467"/>
      <c r="H39" s="467"/>
      <c r="I39" s="467"/>
      <c r="J39" s="467"/>
      <c r="K39" s="467"/>
      <c r="L39" s="525"/>
      <c r="M39" s="384"/>
      <c r="N39" s="384"/>
      <c r="O39" s="426"/>
      <c r="P39" s="426"/>
      <c r="Q39" s="426"/>
      <c r="R39" s="426"/>
      <c r="S39" s="426"/>
      <c r="T39" s="426"/>
      <c r="U39" s="426"/>
      <c r="V39" s="426"/>
      <c r="W39" s="426"/>
      <c r="X39" s="426"/>
      <c r="Y39" s="426"/>
      <c r="Z39" s="426"/>
      <c r="AA39" s="426"/>
      <c r="AB39" s="426"/>
      <c r="AC39" s="426"/>
      <c r="AD39" s="426"/>
      <c r="AE39" s="340"/>
      <c r="AF39" s="340"/>
      <c r="AG39" s="340"/>
      <c r="AH39" s="340"/>
      <c r="AI39" s="340"/>
      <c r="AJ39" s="384"/>
      <c r="AK39" s="384"/>
      <c r="AL39" s="384"/>
      <c r="AM39" s="384"/>
      <c r="AN39" s="384"/>
      <c r="AO39" s="384"/>
      <c r="AP39" s="384"/>
      <c r="AQ39" s="384"/>
      <c r="AR39" s="384"/>
      <c r="AS39" s="384"/>
      <c r="AT39" s="384"/>
      <c r="AU39" s="384"/>
      <c r="AV39" s="384"/>
      <c r="AW39" s="384"/>
      <c r="AX39" s="384"/>
      <c r="AY39" s="384"/>
      <c r="AZ39" s="384"/>
      <c r="BA39" s="384"/>
      <c r="BB39" s="384"/>
      <c r="BC39" s="384"/>
      <c r="BD39" s="384"/>
      <c r="BE39" s="384"/>
      <c r="BF39" s="384"/>
      <c r="BG39" s="384"/>
      <c r="BH39" s="384"/>
      <c r="BI39" s="384"/>
      <c r="BJ39" s="384"/>
      <c r="BK39" s="384"/>
      <c r="BL39" s="384"/>
      <c r="BM39" s="384"/>
      <c r="BN39" s="384"/>
      <c r="BO39" s="384"/>
      <c r="BP39" s="384"/>
      <c r="BQ39" s="384"/>
    </row>
    <row r="40" spans="1:69" x14ac:dyDescent="0.25">
      <c r="A40" s="335"/>
      <c r="B40" s="335"/>
      <c r="C40" s="335" t="s">
        <v>400</v>
      </c>
      <c r="D40" s="335"/>
      <c r="E40" s="335"/>
      <c r="F40" s="350">
        <f>SUM(F24:F39)</f>
        <v>-15492923.920000002</v>
      </c>
      <c r="G40" s="466"/>
      <c r="H40" s="458">
        <f>SUM(H25:H37)</f>
        <v>51838476</v>
      </c>
      <c r="I40" s="466"/>
      <c r="J40" s="458">
        <f>SUM(J24:J39)</f>
        <v>11483410</v>
      </c>
      <c r="K40" s="466"/>
      <c r="L40" s="458">
        <f>SUM(L26:L37)</f>
        <v>-38903406</v>
      </c>
      <c r="M40" s="384"/>
      <c r="N40" s="384"/>
      <c r="O40" s="426"/>
      <c r="P40" s="426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  <c r="AB40" s="426"/>
      <c r="AC40" s="426"/>
      <c r="AD40" s="426"/>
      <c r="AE40" s="340"/>
      <c r="AF40" s="340"/>
      <c r="AG40" s="340"/>
      <c r="AH40" s="340"/>
      <c r="AI40" s="340"/>
      <c r="AJ40" s="384"/>
      <c r="AK40" s="384"/>
      <c r="AL40" s="384"/>
      <c r="AM40" s="384"/>
      <c r="AN40" s="384"/>
      <c r="AO40" s="384"/>
      <c r="AP40" s="384"/>
      <c r="AQ40" s="384"/>
      <c r="AR40" s="384"/>
      <c r="AS40" s="384"/>
      <c r="AT40" s="384"/>
      <c r="AU40" s="384"/>
      <c r="AV40" s="384"/>
      <c r="AW40" s="384"/>
      <c r="AX40" s="384"/>
      <c r="AY40" s="384"/>
      <c r="AZ40" s="384"/>
      <c r="BA40" s="384"/>
      <c r="BB40" s="384"/>
      <c r="BC40" s="384"/>
      <c r="BD40" s="384"/>
      <c r="BE40" s="384"/>
      <c r="BF40" s="384"/>
      <c r="BG40" s="384"/>
      <c r="BH40" s="384"/>
      <c r="BI40" s="384"/>
      <c r="BJ40" s="384"/>
      <c r="BK40" s="384"/>
      <c r="BL40" s="384"/>
      <c r="BM40" s="384"/>
      <c r="BN40" s="384"/>
      <c r="BO40" s="384"/>
      <c r="BP40" s="384"/>
      <c r="BQ40" s="384"/>
    </row>
    <row r="41" spans="1:69" x14ac:dyDescent="0.25">
      <c r="A41" s="335"/>
      <c r="B41" s="335"/>
      <c r="C41" s="335"/>
      <c r="D41" s="335"/>
      <c r="E41" s="335"/>
      <c r="F41" s="338"/>
      <c r="G41" s="466"/>
      <c r="H41" s="466"/>
      <c r="I41" s="466"/>
      <c r="J41" s="466"/>
      <c r="K41" s="466"/>
      <c r="L41" s="188"/>
      <c r="M41" s="1323"/>
      <c r="N41" s="384"/>
      <c r="O41" s="426"/>
      <c r="P41" s="4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  <c r="AB41" s="426"/>
      <c r="AC41" s="426"/>
      <c r="AD41" s="426"/>
      <c r="AE41" s="340"/>
      <c r="AF41" s="340"/>
      <c r="AG41" s="340"/>
      <c r="AH41" s="340"/>
      <c r="AI41" s="340"/>
      <c r="AJ41" s="384"/>
      <c r="AK41" s="384"/>
      <c r="AL41" s="384"/>
      <c r="AM41" s="384"/>
      <c r="AN41" s="384"/>
      <c r="AO41" s="384"/>
      <c r="AP41" s="384"/>
      <c r="AQ41" s="384"/>
      <c r="AR41" s="384"/>
      <c r="AS41" s="384"/>
      <c r="AT41" s="384"/>
      <c r="AU41" s="384"/>
      <c r="AV41" s="384"/>
      <c r="AW41" s="384"/>
      <c r="AX41" s="384"/>
      <c r="AY41" s="384"/>
      <c r="AZ41" s="384"/>
      <c r="BA41" s="384"/>
      <c r="BB41" s="384"/>
      <c r="BC41" s="384"/>
      <c r="BD41" s="384"/>
      <c r="BE41" s="384"/>
      <c r="BF41" s="384"/>
      <c r="BG41" s="384"/>
      <c r="BH41" s="384"/>
      <c r="BI41" s="384"/>
      <c r="BJ41" s="384"/>
      <c r="BK41" s="384"/>
      <c r="BL41" s="384"/>
      <c r="BM41" s="384"/>
      <c r="BN41" s="384"/>
      <c r="BO41" s="384"/>
      <c r="BP41" s="384"/>
      <c r="BQ41" s="384"/>
    </row>
    <row r="42" spans="1:69" x14ac:dyDescent="0.25">
      <c r="A42" s="335" t="s">
        <v>23</v>
      </c>
      <c r="B42" s="335"/>
      <c r="C42" s="335"/>
      <c r="D42" s="335"/>
      <c r="E42" s="335"/>
      <c r="F42" s="336"/>
      <c r="G42" s="467"/>
      <c r="H42" s="467"/>
      <c r="I42" s="467"/>
      <c r="J42" s="467"/>
      <c r="K42" s="467"/>
      <c r="L42" s="525"/>
      <c r="M42" s="384"/>
      <c r="N42" s="384"/>
      <c r="O42" s="384"/>
      <c r="P42" s="384"/>
      <c r="Q42" s="395"/>
      <c r="R42" s="384"/>
      <c r="S42" s="384"/>
      <c r="T42" s="384"/>
      <c r="U42" s="384"/>
      <c r="V42" s="384"/>
      <c r="W42" s="384"/>
      <c r="X42" s="384"/>
      <c r="Y42" s="384"/>
      <c r="Z42" s="384"/>
      <c r="AA42" s="384"/>
      <c r="AB42" s="384"/>
      <c r="AC42" s="384"/>
      <c r="AD42" s="384"/>
      <c r="AE42" s="384"/>
      <c r="AF42" s="384"/>
      <c r="AG42" s="384"/>
      <c r="AH42" s="384"/>
      <c r="AI42" s="384"/>
      <c r="AJ42" s="384"/>
      <c r="AK42" s="384"/>
      <c r="AL42" s="384"/>
      <c r="AM42" s="384"/>
      <c r="AN42" s="384"/>
      <c r="AO42" s="384"/>
      <c r="AP42" s="384"/>
      <c r="AQ42" s="384"/>
      <c r="AR42" s="384"/>
      <c r="AS42" s="384"/>
      <c r="AT42" s="384"/>
      <c r="AU42" s="384"/>
      <c r="AV42" s="384"/>
      <c r="AW42" s="384"/>
      <c r="AX42" s="384"/>
      <c r="AY42" s="384"/>
      <c r="AZ42" s="384"/>
      <c r="BA42" s="384"/>
      <c r="BB42" s="384"/>
      <c r="BC42" s="384"/>
      <c r="BD42" s="384"/>
      <c r="BE42" s="384"/>
      <c r="BF42" s="384"/>
      <c r="BG42" s="384"/>
      <c r="BH42" s="384"/>
      <c r="BI42" s="384"/>
      <c r="BJ42" s="384"/>
      <c r="BK42" s="384"/>
      <c r="BL42" s="384"/>
      <c r="BM42" s="384"/>
      <c r="BN42" s="384"/>
      <c r="BO42" s="384"/>
      <c r="BP42" s="384"/>
      <c r="BQ42" s="384"/>
    </row>
    <row r="43" spans="1:69" x14ac:dyDescent="0.25">
      <c r="A43" s="335"/>
      <c r="B43" s="335" t="s">
        <v>310</v>
      </c>
      <c r="C43" s="335"/>
      <c r="D43" s="335"/>
      <c r="E43" s="335"/>
      <c r="F43" s="324">
        <v>250097.91999999998</v>
      </c>
      <c r="G43" s="462"/>
      <c r="H43" s="462">
        <v>639348</v>
      </c>
      <c r="I43" s="462"/>
      <c r="J43" s="464">
        <v>2623049</v>
      </c>
      <c r="K43" s="464"/>
      <c r="L43" s="431">
        <v>1881971</v>
      </c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  <c r="X43" s="384"/>
      <c r="Y43" s="384"/>
      <c r="Z43" s="384"/>
      <c r="AA43" s="384"/>
      <c r="AB43" s="384"/>
      <c r="AC43" s="384"/>
      <c r="AD43" s="384"/>
      <c r="AE43" s="384"/>
      <c r="AF43" s="384"/>
      <c r="AG43" s="384"/>
      <c r="AH43" s="384"/>
      <c r="AI43" s="384"/>
      <c r="AJ43" s="384"/>
      <c r="AK43" s="384"/>
      <c r="AL43" s="384"/>
      <c r="AM43" s="384"/>
      <c r="AN43" s="384"/>
      <c r="AO43" s="384"/>
      <c r="AP43" s="384"/>
      <c r="AQ43" s="384"/>
      <c r="AR43" s="384"/>
      <c r="AS43" s="384"/>
      <c r="AT43" s="384"/>
      <c r="AU43" s="384"/>
      <c r="AV43" s="384"/>
      <c r="AW43" s="384"/>
      <c r="AX43" s="384"/>
      <c r="AY43" s="384"/>
      <c r="AZ43" s="384"/>
      <c r="BA43" s="384"/>
      <c r="BB43" s="384"/>
      <c r="BC43" s="384"/>
      <c r="BD43" s="384"/>
      <c r="BE43" s="384"/>
      <c r="BF43" s="384"/>
      <c r="BG43" s="384"/>
      <c r="BH43" s="384"/>
      <c r="BI43" s="384"/>
      <c r="BJ43" s="384"/>
      <c r="BK43" s="384"/>
      <c r="BL43" s="384"/>
      <c r="BM43" s="384"/>
      <c r="BN43" s="384"/>
      <c r="BO43" s="384"/>
      <c r="BP43" s="384"/>
      <c r="BQ43" s="384"/>
    </row>
    <row r="44" spans="1:69" x14ac:dyDescent="0.25">
      <c r="A44" s="335"/>
      <c r="B44" s="335" t="s">
        <v>484</v>
      </c>
      <c r="C44" s="335"/>
      <c r="D44" s="335"/>
      <c r="E44" s="335"/>
      <c r="F44" s="462">
        <v>-24466687</v>
      </c>
      <c r="G44" s="462"/>
      <c r="H44" s="462">
        <v>5614452</v>
      </c>
      <c r="I44" s="462"/>
      <c r="J44" s="464">
        <v>-28031832</v>
      </c>
      <c r="K44" s="464"/>
      <c r="L44" s="464">
        <v>50101000</v>
      </c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  <c r="X44" s="384"/>
      <c r="Y44" s="384"/>
      <c r="Z44" s="384"/>
      <c r="AA44" s="384"/>
      <c r="AB44" s="384"/>
      <c r="AC44" s="384"/>
      <c r="AD44" s="384"/>
      <c r="AE44" s="384"/>
      <c r="AF44" s="384"/>
      <c r="AG44" s="384"/>
      <c r="AH44" s="384"/>
      <c r="AI44" s="384"/>
      <c r="AJ44" s="384"/>
      <c r="AK44" s="384"/>
      <c r="AL44" s="384"/>
      <c r="AM44" s="384"/>
      <c r="AN44" s="384"/>
      <c r="AO44" s="384"/>
      <c r="AP44" s="384"/>
      <c r="AQ44" s="384"/>
      <c r="AR44" s="384"/>
      <c r="AS44" s="384"/>
      <c r="AT44" s="384"/>
      <c r="AU44" s="384"/>
      <c r="AV44" s="384"/>
      <c r="AW44" s="384"/>
      <c r="AX44" s="384"/>
      <c r="AY44" s="384"/>
      <c r="AZ44" s="384"/>
      <c r="BA44" s="384"/>
      <c r="BB44" s="384"/>
      <c r="BC44" s="384"/>
      <c r="BD44" s="384"/>
      <c r="BE44" s="384"/>
      <c r="BF44" s="384"/>
      <c r="BG44" s="384"/>
      <c r="BH44" s="384"/>
      <c r="BI44" s="384"/>
      <c r="BJ44" s="384"/>
      <c r="BK44" s="384"/>
      <c r="BL44" s="384"/>
      <c r="BM44" s="384"/>
      <c r="BN44" s="384"/>
      <c r="BO44" s="384"/>
      <c r="BP44" s="384"/>
      <c r="BQ44" s="384"/>
    </row>
    <row r="45" spans="1:69" x14ac:dyDescent="0.25">
      <c r="A45" s="335"/>
      <c r="B45" s="335"/>
      <c r="C45" s="335"/>
      <c r="D45" s="335"/>
      <c r="E45" s="335"/>
      <c r="F45" s="325"/>
      <c r="G45" s="462"/>
      <c r="H45" s="325"/>
      <c r="I45" s="462"/>
      <c r="J45" s="456"/>
      <c r="K45" s="464"/>
      <c r="L45" s="456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  <c r="X45" s="384"/>
      <c r="Y45" s="384"/>
      <c r="Z45" s="384"/>
      <c r="AA45" s="384"/>
      <c r="AB45" s="384"/>
      <c r="AC45" s="384"/>
      <c r="AD45" s="384"/>
      <c r="AE45" s="384"/>
      <c r="AF45" s="384"/>
      <c r="AG45" s="384"/>
      <c r="AH45" s="384"/>
      <c r="AI45" s="384"/>
      <c r="AJ45" s="384"/>
      <c r="AK45" s="384"/>
      <c r="AL45" s="384"/>
      <c r="AM45" s="384"/>
      <c r="AN45" s="384"/>
      <c r="AO45" s="384"/>
      <c r="AP45" s="384"/>
      <c r="AQ45" s="384"/>
      <c r="AR45" s="384"/>
      <c r="AS45" s="384"/>
      <c r="AT45" s="384"/>
      <c r="AU45" s="384"/>
      <c r="AV45" s="384"/>
      <c r="AW45" s="384"/>
      <c r="AX45" s="384"/>
      <c r="AY45" s="384"/>
      <c r="AZ45" s="384"/>
      <c r="BA45" s="384"/>
      <c r="BB45" s="384"/>
      <c r="BC45" s="384"/>
      <c r="BD45" s="384"/>
      <c r="BE45" s="384"/>
      <c r="BF45" s="384"/>
      <c r="BG45" s="384"/>
      <c r="BH45" s="384"/>
      <c r="BI45" s="384"/>
      <c r="BJ45" s="384"/>
      <c r="BK45" s="384"/>
      <c r="BL45" s="384"/>
      <c r="BM45" s="384"/>
      <c r="BN45" s="384"/>
      <c r="BO45" s="384"/>
      <c r="BP45" s="384"/>
      <c r="BQ45" s="384"/>
    </row>
    <row r="46" spans="1:69" x14ac:dyDescent="0.25">
      <c r="A46" s="335"/>
      <c r="B46" s="335"/>
      <c r="C46" s="335" t="s">
        <v>485</v>
      </c>
      <c r="D46" s="335"/>
      <c r="E46" s="335"/>
      <c r="F46" s="323">
        <f>SUM(F43:F44)</f>
        <v>-24216589.079999998</v>
      </c>
      <c r="G46" s="462"/>
      <c r="H46" s="463">
        <f>SUM(H43:H44)</f>
        <v>6253800</v>
      </c>
      <c r="I46" s="462"/>
      <c r="J46" s="452">
        <f>SUM(J43:J44)</f>
        <v>-25408783</v>
      </c>
      <c r="K46" s="464"/>
      <c r="L46" s="452">
        <f>SUM(L43:L44)</f>
        <v>51982971</v>
      </c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384"/>
      <c r="Z46" s="384"/>
      <c r="AA46" s="384"/>
      <c r="AB46" s="384"/>
      <c r="AC46" s="384"/>
      <c r="AD46" s="384"/>
      <c r="AE46" s="384"/>
      <c r="AF46" s="384"/>
      <c r="AG46" s="384"/>
      <c r="AH46" s="384"/>
      <c r="AI46" s="384"/>
      <c r="AJ46" s="384"/>
      <c r="AK46" s="384"/>
      <c r="AL46" s="384"/>
      <c r="AM46" s="384"/>
      <c r="AN46" s="384"/>
      <c r="AO46" s="384"/>
      <c r="AP46" s="384"/>
      <c r="AQ46" s="384"/>
      <c r="AR46" s="384"/>
      <c r="AS46" s="384"/>
      <c r="AT46" s="384"/>
      <c r="AU46" s="384"/>
      <c r="AV46" s="384"/>
      <c r="AW46" s="384"/>
      <c r="AX46" s="384"/>
      <c r="AY46" s="384"/>
      <c r="AZ46" s="384"/>
      <c r="BA46" s="384"/>
      <c r="BB46" s="384"/>
      <c r="BC46" s="384"/>
      <c r="BD46" s="384"/>
      <c r="BE46" s="384"/>
      <c r="BF46" s="384"/>
      <c r="BG46" s="384"/>
      <c r="BH46" s="384"/>
      <c r="BI46" s="384"/>
      <c r="BJ46" s="384"/>
      <c r="BK46" s="384"/>
      <c r="BL46" s="384"/>
      <c r="BM46" s="384"/>
      <c r="BN46" s="384"/>
      <c r="BO46" s="384"/>
      <c r="BP46" s="384"/>
      <c r="BQ46" s="384"/>
    </row>
    <row r="47" spans="1:69" x14ac:dyDescent="0.25">
      <c r="A47" s="335"/>
      <c r="B47" s="335"/>
      <c r="C47" s="335"/>
      <c r="D47" s="335"/>
      <c r="E47" s="335"/>
      <c r="F47" s="324"/>
      <c r="G47" s="462"/>
      <c r="H47" s="462"/>
      <c r="I47" s="462"/>
      <c r="J47" s="464"/>
      <c r="K47" s="464"/>
      <c r="L47" s="431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384"/>
      <c r="Z47" s="384"/>
      <c r="AA47" s="384"/>
      <c r="AB47" s="384"/>
      <c r="AC47" s="384"/>
      <c r="AD47" s="384"/>
      <c r="AE47" s="384"/>
      <c r="AF47" s="384"/>
      <c r="AG47" s="384"/>
      <c r="AH47" s="384"/>
      <c r="AI47" s="384"/>
      <c r="AJ47" s="384"/>
      <c r="AK47" s="384"/>
      <c r="AL47" s="384"/>
      <c r="AM47" s="384"/>
      <c r="AN47" s="384"/>
      <c r="AO47" s="384"/>
      <c r="AP47" s="384"/>
      <c r="AQ47" s="384"/>
      <c r="AR47" s="384"/>
      <c r="AS47" s="384"/>
      <c r="AT47" s="384"/>
      <c r="AU47" s="384"/>
      <c r="AV47" s="384"/>
      <c r="AW47" s="384"/>
      <c r="AX47" s="384"/>
      <c r="AY47" s="384"/>
      <c r="AZ47" s="384"/>
      <c r="BA47" s="384"/>
      <c r="BB47" s="384"/>
      <c r="BC47" s="384"/>
      <c r="BD47" s="384"/>
      <c r="BE47" s="384"/>
      <c r="BF47" s="384"/>
      <c r="BG47" s="384"/>
      <c r="BH47" s="384"/>
      <c r="BI47" s="384"/>
      <c r="BJ47" s="384"/>
      <c r="BK47" s="384"/>
      <c r="BL47" s="384"/>
      <c r="BM47" s="384"/>
      <c r="BN47" s="384"/>
      <c r="BO47" s="384"/>
      <c r="BP47" s="384"/>
      <c r="BQ47" s="384"/>
    </row>
    <row r="48" spans="1:69" x14ac:dyDescent="0.25">
      <c r="A48" s="335" t="s">
        <v>450</v>
      </c>
      <c r="B48" s="335"/>
      <c r="C48" s="335"/>
      <c r="D48" s="335"/>
      <c r="E48" s="335"/>
      <c r="F48" s="336"/>
      <c r="G48" s="467"/>
      <c r="H48" s="467"/>
      <c r="I48" s="467"/>
      <c r="J48" s="467"/>
      <c r="K48" s="467"/>
      <c r="L48" s="525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384"/>
      <c r="Z48" s="384"/>
      <c r="AA48" s="384"/>
      <c r="AB48" s="384"/>
      <c r="AC48" s="384"/>
      <c r="AD48" s="384"/>
      <c r="AE48" s="384"/>
      <c r="AF48" s="384"/>
      <c r="AG48" s="384"/>
      <c r="AH48" s="384"/>
      <c r="AI48" s="384"/>
      <c r="AJ48" s="384"/>
      <c r="AK48" s="384"/>
      <c r="AL48" s="384"/>
      <c r="AM48" s="384"/>
      <c r="AN48" s="384"/>
      <c r="AO48" s="384"/>
      <c r="AP48" s="384"/>
      <c r="AQ48" s="384"/>
      <c r="AR48" s="384"/>
      <c r="AS48" s="384"/>
      <c r="AT48" s="384"/>
      <c r="AU48" s="384"/>
      <c r="AV48" s="384"/>
      <c r="AW48" s="384"/>
      <c r="AX48" s="384"/>
      <c r="AY48" s="384"/>
      <c r="AZ48" s="384"/>
      <c r="BA48" s="384"/>
      <c r="BB48" s="384"/>
      <c r="BC48" s="384"/>
      <c r="BD48" s="384"/>
      <c r="BE48" s="384"/>
      <c r="BF48" s="384"/>
      <c r="BG48" s="384"/>
      <c r="BH48" s="384"/>
      <c r="BI48" s="384"/>
      <c r="BJ48" s="384"/>
      <c r="BK48" s="384"/>
      <c r="BL48" s="384"/>
      <c r="BM48" s="384"/>
      <c r="BN48" s="384"/>
      <c r="BO48" s="384"/>
      <c r="BP48" s="384"/>
      <c r="BQ48" s="384"/>
    </row>
    <row r="49" spans="1:12" x14ac:dyDescent="0.25">
      <c r="A49" s="335"/>
      <c r="B49" s="335" t="s">
        <v>483</v>
      </c>
      <c r="C49" s="335"/>
      <c r="D49" s="335"/>
      <c r="E49" s="335"/>
      <c r="F49" s="388">
        <f>+F15+F18+F40+F46</f>
        <v>-27192228</v>
      </c>
      <c r="G49" s="457"/>
      <c r="H49" s="457">
        <f>+H15+H18+H40+H46</f>
        <v>71157227</v>
      </c>
      <c r="I49" s="457"/>
      <c r="J49" s="457">
        <f>+J15+J18+J40+J46</f>
        <v>7547068</v>
      </c>
      <c r="K49" s="467"/>
      <c r="L49" s="467">
        <f>+L15+L22+L40+L46</f>
        <v>37588823</v>
      </c>
    </row>
    <row r="50" spans="1:12" x14ac:dyDescent="0.25">
      <c r="A50" s="335"/>
      <c r="B50" s="335" t="s">
        <v>0</v>
      </c>
      <c r="C50" s="335"/>
      <c r="D50" s="335"/>
      <c r="E50" s="335"/>
      <c r="F50" s="350">
        <v>55781910</v>
      </c>
      <c r="G50" s="466"/>
      <c r="H50" s="458">
        <v>28589682</v>
      </c>
      <c r="I50" s="466"/>
      <c r="J50" s="458">
        <v>99746907.74000001</v>
      </c>
      <c r="K50" s="466"/>
      <c r="L50" s="458">
        <v>84726027</v>
      </c>
    </row>
    <row r="51" spans="1:12" x14ac:dyDescent="0.25">
      <c r="A51" s="335"/>
      <c r="B51" s="335"/>
      <c r="C51" s="335"/>
      <c r="D51" s="335"/>
      <c r="E51" s="335"/>
      <c r="F51" s="336"/>
      <c r="G51" s="467"/>
      <c r="H51" s="467"/>
      <c r="I51" s="467"/>
      <c r="J51" s="467"/>
      <c r="K51" s="467"/>
      <c r="L51" s="517"/>
    </row>
    <row r="52" spans="1:12" ht="16.5" thickBot="1" x14ac:dyDescent="0.3">
      <c r="A52" s="335"/>
      <c r="B52" s="335" t="s">
        <v>402</v>
      </c>
      <c r="C52" s="335"/>
      <c r="D52" s="335"/>
      <c r="E52" s="335"/>
      <c r="F52" s="361">
        <f>F49+F50</f>
        <v>28589682</v>
      </c>
      <c r="G52" s="454"/>
      <c r="H52" s="361">
        <f>H49+H50</f>
        <v>99746909</v>
      </c>
      <c r="I52" s="454"/>
      <c r="J52" s="361">
        <f>J49+J50</f>
        <v>107293975.74000001</v>
      </c>
      <c r="K52" s="454"/>
      <c r="L52" s="361">
        <f>L49+L50</f>
        <v>122314850</v>
      </c>
    </row>
    <row r="53" spans="1:12" ht="16.5" thickTop="1" x14ac:dyDescent="0.25">
      <c r="A53" s="335" t="s">
        <v>5</v>
      </c>
      <c r="B53" s="335"/>
      <c r="C53" s="335"/>
      <c r="D53" s="335"/>
      <c r="E53" s="335"/>
      <c r="F53" s="336"/>
      <c r="G53" s="467"/>
      <c r="H53" s="467"/>
      <c r="I53" s="467"/>
      <c r="J53" s="467"/>
      <c r="K53" s="467"/>
      <c r="L53" s="517"/>
    </row>
    <row r="54" spans="1:12" x14ac:dyDescent="0.25">
      <c r="A54" s="335"/>
      <c r="B54" s="335"/>
      <c r="C54" s="335"/>
      <c r="D54" s="335"/>
      <c r="E54" s="335"/>
      <c r="F54" s="336"/>
      <c r="G54" s="467"/>
      <c r="H54" s="467"/>
      <c r="I54" s="467"/>
      <c r="J54" s="467"/>
      <c r="K54" s="467"/>
      <c r="L54" s="517"/>
    </row>
    <row r="55" spans="1:12" x14ac:dyDescent="0.25">
      <c r="A55" s="335"/>
      <c r="B55" s="335"/>
      <c r="C55" s="335"/>
      <c r="D55" s="335"/>
      <c r="E55" s="335"/>
      <c r="F55" s="336"/>
      <c r="G55" s="467"/>
      <c r="H55" s="467"/>
      <c r="I55" s="467"/>
      <c r="J55" s="467"/>
      <c r="K55" s="467"/>
      <c r="L55" s="517"/>
    </row>
    <row r="56" spans="1:12" s="421" customFormat="1" x14ac:dyDescent="0.25">
      <c r="A56" s="335"/>
      <c r="B56" s="335"/>
      <c r="C56" s="335"/>
      <c r="D56" s="335"/>
      <c r="E56" s="335"/>
      <c r="F56" s="336"/>
      <c r="G56" s="467"/>
      <c r="H56" s="467"/>
      <c r="I56" s="467"/>
      <c r="J56" s="467"/>
      <c r="K56" s="467"/>
      <c r="L56" s="517"/>
    </row>
    <row r="57" spans="1:12" s="421" customFormat="1" x14ac:dyDescent="0.25">
      <c r="A57" s="335"/>
      <c r="B57" s="335"/>
      <c r="C57" s="335"/>
      <c r="D57" s="335"/>
      <c r="E57" s="335"/>
      <c r="F57" s="336"/>
      <c r="G57" s="467"/>
      <c r="H57" s="467"/>
      <c r="I57" s="467"/>
      <c r="J57" s="467"/>
      <c r="K57" s="467"/>
      <c r="L57" s="517"/>
    </row>
    <row r="58" spans="1:12" s="421" customFormat="1" x14ac:dyDescent="0.25">
      <c r="A58" s="335"/>
      <c r="B58" s="335"/>
      <c r="C58" s="335"/>
      <c r="D58" s="335"/>
      <c r="E58" s="335"/>
      <c r="F58" s="993"/>
      <c r="G58" s="993"/>
      <c r="H58" s="993"/>
      <c r="I58" s="993"/>
      <c r="J58" s="993"/>
      <c r="K58" s="993"/>
      <c r="L58" s="1110"/>
    </row>
    <row r="59" spans="1:12" x14ac:dyDescent="0.25">
      <c r="A59" s="335"/>
      <c r="B59" s="335"/>
      <c r="C59" s="335"/>
      <c r="D59" s="335"/>
      <c r="E59" s="335"/>
      <c r="F59" s="336"/>
      <c r="G59" s="467"/>
      <c r="H59" s="467"/>
      <c r="I59" s="467"/>
      <c r="J59" s="467"/>
      <c r="K59" s="467"/>
      <c r="L59" s="517"/>
    </row>
    <row r="60" spans="1:12" x14ac:dyDescent="0.25">
      <c r="A60" s="335"/>
      <c r="B60" s="335"/>
      <c r="C60" s="335"/>
      <c r="D60" s="335"/>
      <c r="E60" s="335"/>
      <c r="F60" s="336"/>
      <c r="G60" s="467"/>
      <c r="H60" s="467"/>
      <c r="I60" s="467"/>
      <c r="J60" s="467"/>
      <c r="K60" s="467"/>
      <c r="L60" s="517"/>
    </row>
    <row r="61" spans="1:12" x14ac:dyDescent="0.25">
      <c r="A61" s="335"/>
      <c r="B61" s="335"/>
      <c r="C61" s="335"/>
      <c r="D61" s="335"/>
      <c r="E61" s="335"/>
      <c r="F61" s="336"/>
      <c r="G61" s="467"/>
      <c r="H61" s="467"/>
      <c r="I61" s="467"/>
      <c r="J61" s="467"/>
      <c r="K61" s="467"/>
      <c r="L61" s="517"/>
    </row>
    <row r="62" spans="1:12" x14ac:dyDescent="0.25">
      <c r="B62" s="326"/>
      <c r="C62" s="326"/>
      <c r="D62" s="326"/>
      <c r="E62" s="326"/>
      <c r="F62" s="326"/>
      <c r="G62" s="326"/>
      <c r="H62" s="326"/>
      <c r="I62" s="326"/>
      <c r="J62" s="326"/>
      <c r="K62" s="326"/>
      <c r="L62" s="326"/>
    </row>
    <row r="63" spans="1:12" x14ac:dyDescent="0.25">
      <c r="A63" s="375"/>
      <c r="B63" s="366"/>
      <c r="C63" s="366"/>
      <c r="D63" s="366"/>
      <c r="E63" s="366"/>
      <c r="F63" s="313"/>
      <c r="G63" s="313"/>
      <c r="H63" s="313"/>
      <c r="I63" s="313"/>
      <c r="J63" s="313"/>
      <c r="K63" s="313"/>
      <c r="L63" s="517"/>
    </row>
    <row r="64" spans="1:12" x14ac:dyDescent="0.25">
      <c r="A64" s="326" t="s">
        <v>16</v>
      </c>
      <c r="B64" s="420"/>
      <c r="C64" s="420"/>
      <c r="D64" s="420"/>
      <c r="E64" s="420"/>
      <c r="F64" s="420"/>
      <c r="G64" s="420"/>
      <c r="H64" s="420"/>
      <c r="I64" s="420"/>
      <c r="J64" s="420"/>
      <c r="K64" s="420"/>
      <c r="L64" s="420"/>
    </row>
    <row r="65" spans="1:12" x14ac:dyDescent="0.25">
      <c r="A65" s="375"/>
      <c r="B65" s="366"/>
      <c r="C65" s="366"/>
      <c r="D65" s="366"/>
      <c r="E65" s="366"/>
      <c r="F65" s="313"/>
      <c r="G65" s="313"/>
      <c r="H65" s="313"/>
      <c r="I65" s="313"/>
      <c r="J65" s="313"/>
      <c r="K65" s="313"/>
      <c r="L65" s="313"/>
    </row>
    <row r="66" spans="1:12" x14ac:dyDescent="0.25">
      <c r="A66" s="375" t="str">
        <f>CNP!A76</f>
        <v>(See Accountants' Report)</v>
      </c>
      <c r="B66" s="375"/>
      <c r="C66" s="375"/>
      <c r="D66" s="375"/>
      <c r="E66" s="375"/>
      <c r="F66" s="375"/>
      <c r="G66" s="375"/>
      <c r="H66" s="375"/>
      <c r="I66" s="375"/>
      <c r="J66" s="375"/>
      <c r="K66" s="375"/>
      <c r="L66" s="375"/>
    </row>
    <row r="67" spans="1:12" x14ac:dyDescent="0.25">
      <c r="A67" s="266"/>
      <c r="B67" s="266"/>
      <c r="C67" s="266"/>
      <c r="D67" s="266"/>
      <c r="E67" s="266"/>
      <c r="F67" s="420"/>
      <c r="G67" s="420"/>
      <c r="H67" s="420"/>
      <c r="I67" s="420"/>
      <c r="J67" s="420"/>
      <c r="K67" s="420"/>
    </row>
    <row r="68" spans="1:12" x14ac:dyDescent="0.25">
      <c r="A68" s="1464">
        <f>CNP!A78+1</f>
        <v>36</v>
      </c>
      <c r="B68" s="1464"/>
      <c r="C68" s="1464"/>
      <c r="D68" s="1464"/>
      <c r="E68" s="1464"/>
      <c r="F68" s="1464"/>
      <c r="G68" s="1464"/>
      <c r="H68" s="1464"/>
      <c r="I68" s="1464"/>
      <c r="J68" s="1464"/>
      <c r="K68" s="1464"/>
      <c r="L68" s="1464"/>
    </row>
    <row r="69" spans="1:12" x14ac:dyDescent="0.25">
      <c r="A69" s="1466" t="str">
        <f>+A1</f>
        <v>EVANSVILLE (INDIANA) WATERWORKS DISTRICT</v>
      </c>
      <c r="B69" s="1466"/>
      <c r="C69" s="1466"/>
      <c r="D69" s="1466"/>
      <c r="E69" s="1466"/>
      <c r="F69" s="1466"/>
      <c r="G69" s="1466"/>
      <c r="H69" s="1466"/>
      <c r="I69" s="1466"/>
      <c r="J69" s="1466"/>
      <c r="K69" s="1466"/>
      <c r="L69" s="1466"/>
    </row>
    <row r="70" spans="1:12" x14ac:dyDescent="0.25">
      <c r="A70" s="332"/>
      <c r="B70" s="366"/>
      <c r="C70" s="366"/>
      <c r="D70" s="366"/>
      <c r="E70" s="366"/>
      <c r="F70" s="420"/>
      <c r="G70" s="420"/>
      <c r="H70" s="420"/>
      <c r="I70" s="420"/>
      <c r="J70" s="420"/>
      <c r="K70" s="420"/>
      <c r="L70" s="720" t="s">
        <v>17</v>
      </c>
    </row>
    <row r="71" spans="1:12" x14ac:dyDescent="0.25">
      <c r="A71" s="1467" t="str">
        <f>+A3</f>
        <v>COMPARATIVE STATEMENT OF CASH FLOWS</v>
      </c>
      <c r="B71" s="1467"/>
      <c r="C71" s="1467"/>
      <c r="D71" s="1467"/>
      <c r="E71" s="1467"/>
      <c r="F71" s="1467"/>
      <c r="G71" s="1467"/>
      <c r="H71" s="1467"/>
      <c r="I71" s="1467"/>
      <c r="J71" s="1467"/>
      <c r="K71" s="1467"/>
      <c r="L71" s="1467"/>
    </row>
    <row r="72" spans="1:12" x14ac:dyDescent="0.25">
      <c r="A72" s="1466" t="str">
        <f>A4</f>
        <v>Increase (Decrease) in Cash and Cash Equivalents</v>
      </c>
      <c r="B72" s="1466"/>
      <c r="C72" s="1466"/>
      <c r="D72" s="1466"/>
      <c r="E72" s="1466"/>
      <c r="F72" s="1466"/>
      <c r="G72" s="1466"/>
      <c r="H72" s="1466"/>
      <c r="I72" s="1466"/>
      <c r="J72" s="1466"/>
      <c r="K72" s="1466"/>
      <c r="L72" s="1466"/>
    </row>
    <row r="73" spans="1:12" x14ac:dyDescent="0.25">
      <c r="A73" s="327"/>
      <c r="B73" s="328"/>
      <c r="C73" s="328"/>
      <c r="D73" s="328"/>
      <c r="E73" s="328"/>
      <c r="F73" s="313"/>
      <c r="G73" s="313"/>
      <c r="H73" s="313"/>
      <c r="I73" s="313"/>
      <c r="J73" s="313"/>
      <c r="K73" s="313"/>
      <c r="L73" s="517"/>
    </row>
    <row r="74" spans="1:12" x14ac:dyDescent="0.25">
      <c r="A74" s="364"/>
      <c r="B74" s="364"/>
      <c r="C74" s="364"/>
      <c r="D74" s="364"/>
      <c r="E74" s="364"/>
      <c r="F74" s="315"/>
      <c r="G74" s="517"/>
      <c r="H74" s="517"/>
      <c r="I74" s="517"/>
      <c r="J74" s="517"/>
      <c r="K74" s="517"/>
      <c r="L74" s="517"/>
    </row>
    <row r="75" spans="1:12" x14ac:dyDescent="0.25">
      <c r="A75" s="335"/>
      <c r="B75" s="335"/>
      <c r="C75" s="335"/>
      <c r="D75" s="335"/>
      <c r="E75" s="335"/>
      <c r="F75" s="339"/>
      <c r="G75" s="339"/>
      <c r="H75" s="339"/>
      <c r="I75" s="339"/>
      <c r="J75" s="339"/>
      <c r="K75" s="339"/>
      <c r="L75" s="339" t="s">
        <v>618</v>
      </c>
    </row>
    <row r="76" spans="1:12" ht="18.75" customHeight="1" x14ac:dyDescent="0.25">
      <c r="A76" s="335"/>
      <c r="B76" s="335"/>
      <c r="C76" s="335"/>
      <c r="D76" s="335"/>
      <c r="E76" s="335"/>
      <c r="F76" s="1465" t="s">
        <v>4</v>
      </c>
      <c r="G76" s="1465"/>
      <c r="H76" s="1465"/>
      <c r="I76" s="1465"/>
      <c r="J76" s="1465"/>
      <c r="K76" s="378"/>
      <c r="L76" s="339" t="s">
        <v>223</v>
      </c>
    </row>
    <row r="77" spans="1:12" x14ac:dyDescent="0.25">
      <c r="A77" s="335"/>
      <c r="B77" s="335"/>
      <c r="C77" s="335"/>
      <c r="D77" s="335"/>
      <c r="E77" s="335"/>
      <c r="F77" s="436">
        <v>2017</v>
      </c>
      <c r="G77" s="317"/>
      <c r="H77" s="519">
        <v>2018</v>
      </c>
      <c r="I77" s="317"/>
      <c r="J77" s="519">
        <v>2019</v>
      </c>
      <c r="K77" s="317"/>
      <c r="L77" s="38">
        <v>44104</v>
      </c>
    </row>
    <row r="78" spans="1:12" x14ac:dyDescent="0.25">
      <c r="A78" s="335" t="s">
        <v>24</v>
      </c>
      <c r="B78" s="335"/>
      <c r="C78" s="335"/>
      <c r="D78" s="335"/>
      <c r="E78" s="335"/>
      <c r="F78" s="336"/>
      <c r="G78" s="467"/>
      <c r="H78" s="467"/>
      <c r="I78" s="467"/>
      <c r="J78" s="467"/>
      <c r="K78" s="467"/>
      <c r="L78" s="517"/>
    </row>
    <row r="79" spans="1:12" x14ac:dyDescent="0.25">
      <c r="A79" s="335"/>
      <c r="B79" s="335" t="s">
        <v>386</v>
      </c>
      <c r="C79" s="335"/>
      <c r="D79" s="335"/>
      <c r="E79" s="335"/>
      <c r="F79" s="336"/>
      <c r="G79" s="467"/>
      <c r="H79" s="467"/>
      <c r="I79" s="467"/>
      <c r="J79" s="467"/>
      <c r="K79" s="467"/>
      <c r="L79" s="517"/>
    </row>
    <row r="80" spans="1:12" x14ac:dyDescent="0.25">
      <c r="A80" s="335"/>
      <c r="B80" s="335"/>
      <c r="C80" s="335"/>
      <c r="D80" s="335"/>
      <c r="E80" s="335"/>
      <c r="F80" s="336"/>
      <c r="G80" s="467"/>
      <c r="H80" s="467"/>
      <c r="I80" s="467"/>
      <c r="J80" s="467"/>
      <c r="K80" s="467"/>
      <c r="L80" s="517"/>
    </row>
    <row r="81" spans="1:12" x14ac:dyDescent="0.25">
      <c r="A81" s="335"/>
      <c r="B81" s="335"/>
      <c r="C81" s="335" t="s">
        <v>517</v>
      </c>
      <c r="D81" s="335"/>
      <c r="E81" s="335"/>
      <c r="F81" s="387">
        <v>10381842</v>
      </c>
      <c r="G81" s="387"/>
      <c r="H81" s="387">
        <v>11806808</v>
      </c>
      <c r="I81" s="387"/>
      <c r="J81" s="387">
        <v>14177005</v>
      </c>
      <c r="K81" s="387"/>
      <c r="L81" s="387">
        <f>CNP!M34</f>
        <v>18015160</v>
      </c>
    </row>
    <row r="82" spans="1:12" x14ac:dyDescent="0.25">
      <c r="A82" s="335"/>
      <c r="B82" s="335"/>
      <c r="C82" s="335"/>
      <c r="D82" s="335"/>
      <c r="E82" s="335"/>
      <c r="F82" s="336"/>
      <c r="G82" s="467"/>
      <c r="H82" s="467"/>
      <c r="I82" s="467"/>
      <c r="J82" s="467"/>
      <c r="K82" s="467"/>
      <c r="L82" s="517"/>
    </row>
    <row r="83" spans="1:12" x14ac:dyDescent="0.25">
      <c r="A83" s="335" t="s">
        <v>25</v>
      </c>
      <c r="B83" s="335"/>
      <c r="C83" s="335"/>
      <c r="D83" s="335"/>
      <c r="E83" s="335"/>
      <c r="F83" s="336"/>
      <c r="G83" s="467"/>
      <c r="H83" s="467"/>
      <c r="I83" s="467"/>
      <c r="J83" s="467"/>
      <c r="K83" s="467"/>
      <c r="L83" s="517"/>
    </row>
    <row r="84" spans="1:12" x14ac:dyDescent="0.25">
      <c r="A84" s="335"/>
      <c r="B84" s="335" t="s">
        <v>382</v>
      </c>
      <c r="C84" s="335"/>
      <c r="D84" s="335"/>
      <c r="E84" s="335"/>
      <c r="F84" s="336"/>
      <c r="G84" s="467"/>
      <c r="H84" s="467"/>
      <c r="I84" s="467"/>
      <c r="J84" s="467"/>
      <c r="K84" s="467"/>
      <c r="L84" s="517"/>
    </row>
    <row r="85" spans="1:12" x14ac:dyDescent="0.25">
      <c r="A85" s="335"/>
      <c r="B85" s="335"/>
      <c r="C85" s="335"/>
      <c r="D85" s="335"/>
      <c r="E85" s="335"/>
      <c r="F85" s="336"/>
      <c r="G85" s="467"/>
      <c r="H85" s="467"/>
      <c r="I85" s="467"/>
      <c r="J85" s="467"/>
      <c r="K85" s="467"/>
      <c r="L85" s="517"/>
    </row>
    <row r="86" spans="1:12" x14ac:dyDescent="0.25">
      <c r="A86" s="335"/>
      <c r="B86" s="335"/>
      <c r="C86" s="335" t="s">
        <v>250</v>
      </c>
      <c r="D86" s="335"/>
      <c r="E86" s="335"/>
      <c r="F86" s="388">
        <v>3892231</v>
      </c>
      <c r="G86" s="457"/>
      <c r="H86" s="457">
        <v>5677032</v>
      </c>
      <c r="I86" s="457"/>
      <c r="J86" s="457">
        <v>5863681</v>
      </c>
      <c r="K86" s="457"/>
      <c r="L86" s="457">
        <f>CNP!M29</f>
        <v>5970013</v>
      </c>
    </row>
    <row r="87" spans="1:12" s="421" customFormat="1" x14ac:dyDescent="0.25">
      <c r="A87" s="335"/>
      <c r="B87" s="335"/>
      <c r="C87" s="335" t="s">
        <v>704</v>
      </c>
      <c r="D87" s="335"/>
      <c r="E87" s="335"/>
      <c r="F87" s="502">
        <v>0</v>
      </c>
      <c r="G87" s="457"/>
      <c r="H87" s="457">
        <v>1237</v>
      </c>
      <c r="I87" s="457"/>
      <c r="J87" s="457">
        <v>182759</v>
      </c>
      <c r="K87" s="457"/>
      <c r="L87" s="457">
        <v>235488</v>
      </c>
    </row>
    <row r="88" spans="1:12" x14ac:dyDescent="0.25">
      <c r="A88" s="335"/>
      <c r="B88" s="335"/>
      <c r="C88" s="335"/>
      <c r="D88" s="335"/>
      <c r="E88" s="335"/>
      <c r="F88" s="336"/>
      <c r="G88" s="467"/>
      <c r="H88" s="467"/>
      <c r="I88" s="467"/>
      <c r="J88" s="467"/>
      <c r="K88" s="467"/>
      <c r="L88" s="517"/>
    </row>
    <row r="89" spans="1:12" x14ac:dyDescent="0.25">
      <c r="A89" s="335" t="s">
        <v>383</v>
      </c>
      <c r="B89" s="335"/>
      <c r="C89" s="335"/>
      <c r="D89" s="335"/>
      <c r="E89" s="335"/>
      <c r="F89" s="336"/>
      <c r="G89" s="467"/>
      <c r="H89" s="467"/>
      <c r="I89" s="467"/>
      <c r="J89" s="467"/>
      <c r="K89" s="467"/>
      <c r="L89" s="517"/>
    </row>
    <row r="90" spans="1:12" x14ac:dyDescent="0.25">
      <c r="A90" s="335"/>
      <c r="B90" s="335" t="s">
        <v>384</v>
      </c>
      <c r="C90" s="335"/>
      <c r="D90" s="335"/>
      <c r="E90" s="335"/>
      <c r="F90" s="336"/>
      <c r="G90" s="467"/>
      <c r="H90" s="467"/>
      <c r="I90" s="467"/>
      <c r="J90" s="467"/>
      <c r="K90" s="467"/>
      <c r="L90" s="517"/>
    </row>
    <row r="91" spans="1:12" x14ac:dyDescent="0.25">
      <c r="A91" s="335"/>
      <c r="B91" s="335"/>
      <c r="C91" s="335" t="s">
        <v>14</v>
      </c>
      <c r="D91" s="335"/>
      <c r="E91" s="335"/>
      <c r="F91" s="467">
        <v>-9280</v>
      </c>
      <c r="G91" s="467"/>
      <c r="H91" s="467">
        <v>-218447</v>
      </c>
      <c r="I91" s="467"/>
      <c r="J91" s="467">
        <v>-612051</v>
      </c>
      <c r="K91" s="467"/>
      <c r="L91" s="466">
        <v>73138</v>
      </c>
    </row>
    <row r="92" spans="1:12" x14ac:dyDescent="0.25">
      <c r="A92" s="335"/>
      <c r="B92" s="335"/>
      <c r="C92" s="335" t="s">
        <v>706</v>
      </c>
      <c r="D92" s="335"/>
      <c r="E92" s="335"/>
      <c r="F92" s="467">
        <v>141189</v>
      </c>
      <c r="G92" s="467"/>
      <c r="H92" s="467">
        <v>-518582</v>
      </c>
      <c r="I92" s="467"/>
      <c r="J92" s="467">
        <v>439395</v>
      </c>
      <c r="K92" s="467"/>
      <c r="L92" s="466">
        <v>62545</v>
      </c>
    </row>
    <row r="93" spans="1:12" hidden="1" x14ac:dyDescent="0.25">
      <c r="A93" s="335"/>
      <c r="B93" s="335"/>
      <c r="C93" s="335" t="s">
        <v>234</v>
      </c>
      <c r="D93" s="335"/>
      <c r="E93" s="335"/>
      <c r="F93" s="467">
        <v>0</v>
      </c>
      <c r="G93" s="467"/>
      <c r="H93" s="467">
        <v>0</v>
      </c>
      <c r="I93" s="467"/>
      <c r="J93" s="467"/>
      <c r="K93" s="467"/>
      <c r="L93" s="466">
        <v>0</v>
      </c>
    </row>
    <row r="94" spans="1:12" x14ac:dyDescent="0.25">
      <c r="A94" s="335"/>
      <c r="B94" s="335"/>
      <c r="C94" s="335" t="s">
        <v>301</v>
      </c>
      <c r="D94" s="335"/>
      <c r="E94" s="335"/>
      <c r="F94" s="467">
        <v>-101288</v>
      </c>
      <c r="G94" s="464"/>
      <c r="H94" s="467">
        <v>50369</v>
      </c>
      <c r="I94" s="464"/>
      <c r="J94" s="464">
        <v>-107883</v>
      </c>
      <c r="K94" s="464"/>
      <c r="L94" s="466">
        <v>-107883</v>
      </c>
    </row>
    <row r="95" spans="1:12" x14ac:dyDescent="0.25">
      <c r="A95" s="335"/>
      <c r="B95" s="335"/>
      <c r="C95" s="335" t="s">
        <v>252</v>
      </c>
      <c r="D95" s="335"/>
      <c r="E95" s="335"/>
      <c r="F95" s="467">
        <v>-4580</v>
      </c>
      <c r="G95" s="467"/>
      <c r="H95" s="467">
        <v>-348659</v>
      </c>
      <c r="I95" s="467"/>
      <c r="J95" s="467">
        <v>-56788</v>
      </c>
      <c r="K95" s="467"/>
      <c r="L95" s="466">
        <v>-168894</v>
      </c>
    </row>
    <row r="96" spans="1:12" x14ac:dyDescent="0.25">
      <c r="A96" s="335"/>
      <c r="B96" s="335"/>
      <c r="C96" s="335" t="s">
        <v>15</v>
      </c>
      <c r="D96" s="335"/>
      <c r="E96" s="335"/>
      <c r="F96" s="467">
        <v>-249061</v>
      </c>
      <c r="G96" s="464"/>
      <c r="H96" s="467">
        <v>-1690437</v>
      </c>
      <c r="I96" s="464"/>
      <c r="J96" s="467">
        <v>1869195</v>
      </c>
      <c r="K96" s="464"/>
      <c r="L96" s="466">
        <v>394483</v>
      </c>
    </row>
    <row r="97" spans="1:12" x14ac:dyDescent="0.25">
      <c r="A97" s="335"/>
      <c r="B97" s="335"/>
      <c r="C97" s="335" t="s">
        <v>240</v>
      </c>
      <c r="D97" s="335"/>
      <c r="E97" s="335"/>
      <c r="F97" s="467">
        <v>-6408</v>
      </c>
      <c r="G97" s="464"/>
      <c r="H97" s="467">
        <v>8193</v>
      </c>
      <c r="I97" s="464"/>
      <c r="J97" s="464">
        <v>-29478</v>
      </c>
      <c r="K97" s="464"/>
      <c r="L97" s="466">
        <v>-12031</v>
      </c>
    </row>
    <row r="98" spans="1:12" x14ac:dyDescent="0.25">
      <c r="A98" s="335"/>
      <c r="B98" s="335" t="s">
        <v>385</v>
      </c>
      <c r="C98" s="335"/>
      <c r="D98" s="335"/>
      <c r="E98" s="335"/>
      <c r="F98" s="467"/>
      <c r="G98" s="467"/>
      <c r="H98" s="467"/>
      <c r="I98" s="467"/>
      <c r="J98" s="467"/>
      <c r="K98" s="467"/>
      <c r="L98" s="466"/>
    </row>
    <row r="99" spans="1:12" x14ac:dyDescent="0.25">
      <c r="A99" s="335"/>
      <c r="B99" s="335"/>
      <c r="C99" s="335" t="s">
        <v>6</v>
      </c>
      <c r="D99" s="335"/>
      <c r="E99" s="335"/>
      <c r="F99" s="467">
        <v>-9416</v>
      </c>
      <c r="G99" s="467"/>
      <c r="H99" s="467">
        <v>575651</v>
      </c>
      <c r="I99" s="467"/>
      <c r="J99" s="467">
        <v>950704</v>
      </c>
      <c r="K99" s="467"/>
      <c r="L99" s="466">
        <v>189869</v>
      </c>
    </row>
    <row r="100" spans="1:12" s="421" customFormat="1" x14ac:dyDescent="0.25">
      <c r="A100" s="335"/>
      <c r="B100" s="335"/>
      <c r="C100" s="335" t="s">
        <v>699</v>
      </c>
      <c r="D100" s="335"/>
      <c r="E100" s="335"/>
      <c r="F100" s="502">
        <v>0</v>
      </c>
      <c r="G100" s="467"/>
      <c r="H100" s="467">
        <v>579588</v>
      </c>
      <c r="I100" s="467"/>
      <c r="J100" s="467">
        <v>621974</v>
      </c>
      <c r="K100" s="467"/>
      <c r="L100" s="466">
        <v>136445</v>
      </c>
    </row>
    <row r="101" spans="1:12" x14ac:dyDescent="0.25">
      <c r="A101" s="335"/>
      <c r="B101" s="335"/>
      <c r="C101" s="335" t="s">
        <v>241</v>
      </c>
      <c r="D101" s="335"/>
      <c r="E101" s="335"/>
      <c r="F101" s="467">
        <v>-64985</v>
      </c>
      <c r="G101" s="467"/>
      <c r="H101" s="467">
        <v>63173</v>
      </c>
      <c r="I101" s="467"/>
      <c r="J101" s="467">
        <v>-6440</v>
      </c>
      <c r="K101" s="467"/>
      <c r="L101" s="466">
        <v>27948</v>
      </c>
    </row>
    <row r="102" spans="1:12" x14ac:dyDescent="0.25">
      <c r="A102" s="335"/>
      <c r="B102" s="335"/>
      <c r="C102" s="335" t="s">
        <v>60</v>
      </c>
      <c r="D102" s="335"/>
      <c r="E102" s="335"/>
      <c r="F102" s="467">
        <v>-19519</v>
      </c>
      <c r="G102" s="467"/>
      <c r="H102" s="467">
        <v>16593</v>
      </c>
      <c r="I102" s="467"/>
      <c r="J102" s="467">
        <v>43791</v>
      </c>
      <c r="K102" s="467"/>
      <c r="L102" s="466">
        <v>118856</v>
      </c>
    </row>
    <row r="103" spans="1:12" s="421" customFormat="1" x14ac:dyDescent="0.25">
      <c r="A103" s="335"/>
      <c r="B103" s="335"/>
      <c r="C103" s="335" t="s">
        <v>623</v>
      </c>
      <c r="D103" s="335"/>
      <c r="E103" s="335"/>
      <c r="F103" s="467">
        <v>71469</v>
      </c>
      <c r="G103" s="500"/>
      <c r="H103" s="467">
        <v>-1219021</v>
      </c>
      <c r="I103" s="467"/>
      <c r="J103" s="777">
        <v>-51231</v>
      </c>
      <c r="K103" s="467"/>
      <c r="L103" s="466">
        <v>-51231</v>
      </c>
    </row>
    <row r="104" spans="1:12" hidden="1" x14ac:dyDescent="0.25">
      <c r="A104" s="335"/>
      <c r="B104" s="335"/>
      <c r="C104" s="322" t="s">
        <v>506</v>
      </c>
      <c r="D104" s="335"/>
      <c r="E104" s="335"/>
      <c r="F104" s="467">
        <v>0</v>
      </c>
      <c r="G104" s="464"/>
      <c r="H104" s="467">
        <v>0</v>
      </c>
      <c r="I104" s="464"/>
      <c r="J104" s="502">
        <v>0</v>
      </c>
      <c r="K104" s="464"/>
    </row>
    <row r="105" spans="1:12" x14ac:dyDescent="0.25">
      <c r="A105" s="335"/>
      <c r="B105" s="335"/>
      <c r="C105" s="335" t="s">
        <v>253</v>
      </c>
      <c r="D105" s="335"/>
      <c r="E105" s="335"/>
      <c r="F105" s="467">
        <v>66538</v>
      </c>
      <c r="G105" s="464"/>
      <c r="H105" s="467">
        <v>105040</v>
      </c>
      <c r="I105" s="464"/>
      <c r="J105" s="464">
        <v>22062</v>
      </c>
      <c r="K105" s="464"/>
      <c r="L105" s="466">
        <v>22062</v>
      </c>
    </row>
    <row r="106" spans="1:12" x14ac:dyDescent="0.25">
      <c r="A106" s="335"/>
      <c r="B106" s="335"/>
      <c r="C106" s="335" t="s">
        <v>243</v>
      </c>
      <c r="D106" s="335"/>
      <c r="E106" s="335"/>
      <c r="F106" s="467">
        <v>98494</v>
      </c>
      <c r="G106" s="466"/>
      <c r="H106" s="467">
        <v>52640</v>
      </c>
      <c r="I106" s="466"/>
      <c r="J106" s="466">
        <v>48268</v>
      </c>
      <c r="K106" s="466"/>
      <c r="L106" s="466">
        <v>54895</v>
      </c>
    </row>
    <row r="107" spans="1:12" s="421" customFormat="1" x14ac:dyDescent="0.25">
      <c r="A107" s="335"/>
      <c r="B107" s="335"/>
      <c r="C107" s="335" t="s">
        <v>658</v>
      </c>
      <c r="D107" s="335"/>
      <c r="E107" s="335"/>
      <c r="F107" s="467">
        <v>7231</v>
      </c>
      <c r="G107" s="502"/>
      <c r="H107" s="467">
        <v>-2627</v>
      </c>
      <c r="I107" s="502"/>
      <c r="J107" s="777">
        <v>-222</v>
      </c>
      <c r="K107" s="466"/>
      <c r="L107" s="458">
        <v>7145</v>
      </c>
    </row>
    <row r="108" spans="1:12" hidden="1" x14ac:dyDescent="0.25">
      <c r="A108" s="335"/>
      <c r="B108" s="335"/>
      <c r="C108" s="322" t="s">
        <v>619</v>
      </c>
      <c r="D108" s="335"/>
      <c r="E108" s="335"/>
      <c r="F108" s="502">
        <v>0</v>
      </c>
      <c r="G108" s="464"/>
      <c r="H108" s="502">
        <v>0</v>
      </c>
      <c r="I108" s="464"/>
      <c r="J108" s="502">
        <v>0</v>
      </c>
      <c r="K108" s="464"/>
      <c r="L108" s="501">
        <v>0</v>
      </c>
    </row>
    <row r="109" spans="1:12" x14ac:dyDescent="0.25">
      <c r="A109" s="335"/>
      <c r="B109" s="335"/>
      <c r="C109" s="335"/>
      <c r="D109" s="335"/>
      <c r="E109" s="335"/>
      <c r="F109" s="347"/>
      <c r="G109" s="459"/>
      <c r="H109" s="465"/>
      <c r="I109" s="459"/>
      <c r="J109" s="465"/>
      <c r="K109" s="459"/>
      <c r="L109" s="466"/>
    </row>
    <row r="110" spans="1:12" ht="16.5" thickBot="1" x14ac:dyDescent="0.3">
      <c r="A110" s="335" t="s">
        <v>85</v>
      </c>
      <c r="B110" s="335"/>
      <c r="C110" s="335"/>
      <c r="D110" s="335"/>
      <c r="E110" s="335"/>
      <c r="F110" s="329">
        <f>SUM(F78:F109)</f>
        <v>14194457</v>
      </c>
      <c r="G110" s="330"/>
      <c r="H110" s="329">
        <f>SUM(H78:H109)</f>
        <v>14938551</v>
      </c>
      <c r="I110" s="330"/>
      <c r="J110" s="361">
        <f>SUM(J78:J109)</f>
        <v>23354741</v>
      </c>
      <c r="K110" s="330"/>
      <c r="L110" s="361">
        <f>SUM(L78:L109)</f>
        <v>24968008</v>
      </c>
    </row>
    <row r="111" spans="1:12" ht="16.5" thickTop="1" x14ac:dyDescent="0.25">
      <c r="A111" s="335"/>
      <c r="B111" s="335"/>
      <c r="C111" s="335"/>
      <c r="D111" s="335"/>
      <c r="E111" s="335"/>
      <c r="F111" s="344"/>
      <c r="G111" s="459"/>
      <c r="H111" s="459"/>
      <c r="I111" s="459"/>
      <c r="J111" s="459"/>
      <c r="K111" s="459"/>
      <c r="L111" s="403"/>
    </row>
    <row r="112" spans="1:12" x14ac:dyDescent="0.25">
      <c r="A112" s="335"/>
      <c r="B112" s="335"/>
      <c r="C112" s="335"/>
      <c r="D112" s="335"/>
      <c r="E112" s="335"/>
      <c r="F112" s="344"/>
      <c r="G112" s="459"/>
      <c r="H112" s="459"/>
      <c r="I112" s="459"/>
      <c r="J112" s="459"/>
      <c r="K112" s="459"/>
      <c r="L112" s="403"/>
    </row>
    <row r="113" spans="1:12" x14ac:dyDescent="0.25">
      <c r="A113" s="335"/>
      <c r="B113" s="335"/>
      <c r="C113" s="335"/>
      <c r="D113" s="335"/>
      <c r="E113" s="335"/>
      <c r="F113" s="344"/>
      <c r="G113" s="459"/>
      <c r="H113" s="459"/>
      <c r="I113" s="459"/>
      <c r="J113" s="459"/>
      <c r="K113" s="459"/>
      <c r="L113" s="403"/>
    </row>
    <row r="114" spans="1:12" x14ac:dyDescent="0.25">
      <c r="A114" s="335"/>
      <c r="B114" s="335"/>
      <c r="C114" s="335"/>
      <c r="D114" s="335"/>
      <c r="E114" s="335"/>
      <c r="F114" s="344"/>
      <c r="G114" s="459"/>
      <c r="H114" s="459"/>
      <c r="I114" s="459"/>
      <c r="J114" s="459"/>
      <c r="K114" s="459"/>
      <c r="L114" s="403"/>
    </row>
    <row r="115" spans="1:12" x14ac:dyDescent="0.25">
      <c r="A115" s="335"/>
      <c r="B115" s="335"/>
      <c r="C115" s="335"/>
      <c r="D115" s="335"/>
      <c r="E115" s="335"/>
      <c r="F115" s="344"/>
      <c r="G115" s="459"/>
      <c r="H115" s="459"/>
      <c r="I115" s="459"/>
      <c r="J115" s="459"/>
      <c r="K115" s="459"/>
      <c r="L115" s="403"/>
    </row>
    <row r="116" spans="1:12" x14ac:dyDescent="0.25">
      <c r="A116" s="335"/>
      <c r="B116" s="335"/>
      <c r="C116" s="335"/>
      <c r="D116" s="335"/>
      <c r="E116" s="335"/>
      <c r="F116" s="344"/>
      <c r="G116" s="459"/>
      <c r="H116" s="459"/>
      <c r="I116" s="459"/>
      <c r="J116" s="459"/>
      <c r="K116" s="459"/>
      <c r="L116" s="403"/>
    </row>
    <row r="117" spans="1:12" x14ac:dyDescent="0.25">
      <c r="A117" s="335"/>
      <c r="B117" s="335"/>
      <c r="C117" s="335"/>
      <c r="D117" s="335"/>
      <c r="E117" s="335"/>
      <c r="F117" s="344"/>
      <c r="G117" s="459"/>
      <c r="H117" s="459"/>
      <c r="I117" s="459"/>
      <c r="J117" s="459"/>
      <c r="K117" s="459"/>
      <c r="L117" s="403"/>
    </row>
    <row r="118" spans="1:12" x14ac:dyDescent="0.25">
      <c r="A118" s="335"/>
      <c r="B118" s="335"/>
      <c r="C118" s="335"/>
      <c r="D118" s="335"/>
      <c r="E118" s="335"/>
      <c r="F118" s="344"/>
      <c r="G118" s="459"/>
      <c r="H118" s="459"/>
      <c r="I118" s="459"/>
      <c r="J118" s="459"/>
      <c r="K118" s="459"/>
      <c r="L118" s="403"/>
    </row>
    <row r="119" spans="1:12" x14ac:dyDescent="0.25">
      <c r="A119" s="335"/>
      <c r="B119" s="335"/>
      <c r="C119" s="335"/>
      <c r="D119" s="335"/>
      <c r="E119" s="335"/>
      <c r="F119" s="344"/>
      <c r="G119" s="459"/>
      <c r="H119" s="459"/>
      <c r="I119" s="459"/>
      <c r="J119" s="459"/>
      <c r="K119" s="459"/>
      <c r="L119" s="403"/>
    </row>
    <row r="120" spans="1:12" x14ac:dyDescent="0.25">
      <c r="A120" s="335"/>
      <c r="B120" s="335"/>
      <c r="C120" s="335"/>
      <c r="D120" s="335"/>
      <c r="E120" s="335"/>
      <c r="F120" s="344"/>
      <c r="G120" s="459"/>
      <c r="H120" s="459"/>
      <c r="I120" s="459"/>
      <c r="J120" s="459"/>
      <c r="K120" s="459"/>
      <c r="L120" s="403"/>
    </row>
    <row r="121" spans="1:12" x14ac:dyDescent="0.25">
      <c r="A121" s="335"/>
      <c r="B121" s="335"/>
      <c r="C121" s="335"/>
      <c r="D121" s="335"/>
      <c r="E121" s="335"/>
      <c r="F121" s="344"/>
      <c r="G121" s="459"/>
      <c r="H121" s="459"/>
      <c r="I121" s="459"/>
      <c r="J121" s="459"/>
      <c r="K121" s="459"/>
      <c r="L121" s="403"/>
    </row>
    <row r="122" spans="1:12" s="421" customFormat="1" x14ac:dyDescent="0.25">
      <c r="A122" s="335"/>
      <c r="B122" s="335"/>
      <c r="C122" s="335"/>
      <c r="D122" s="335"/>
      <c r="E122" s="335"/>
      <c r="F122" s="344"/>
      <c r="G122" s="459"/>
      <c r="H122" s="459"/>
      <c r="I122" s="459"/>
      <c r="J122" s="459"/>
      <c r="K122" s="459"/>
      <c r="L122" s="403"/>
    </row>
    <row r="123" spans="1:12" s="421" customFormat="1" x14ac:dyDescent="0.25">
      <c r="A123" s="335"/>
      <c r="B123" s="335"/>
      <c r="C123" s="335"/>
      <c r="D123" s="335"/>
      <c r="E123" s="335"/>
      <c r="F123" s="459"/>
      <c r="G123" s="459"/>
      <c r="H123" s="459"/>
      <c r="I123" s="459"/>
      <c r="J123" s="459"/>
      <c r="K123" s="459"/>
      <c r="L123" s="403"/>
    </row>
    <row r="124" spans="1:12" s="421" customFormat="1" x14ac:dyDescent="0.25">
      <c r="A124" s="335"/>
      <c r="B124" s="335"/>
      <c r="C124" s="335"/>
      <c r="D124" s="335"/>
      <c r="E124" s="335"/>
      <c r="F124" s="344"/>
      <c r="G124" s="459"/>
      <c r="H124" s="459"/>
      <c r="I124" s="459"/>
      <c r="J124" s="459"/>
      <c r="K124" s="459"/>
      <c r="L124" s="403"/>
    </row>
    <row r="125" spans="1:12" s="421" customFormat="1" x14ac:dyDescent="0.25">
      <c r="A125" s="335"/>
      <c r="B125" s="335"/>
      <c r="C125" s="335"/>
      <c r="D125" s="335"/>
      <c r="E125" s="335"/>
      <c r="F125" s="344"/>
      <c r="G125" s="459"/>
      <c r="H125" s="459"/>
      <c r="I125" s="459"/>
      <c r="J125" s="459"/>
      <c r="K125" s="459"/>
      <c r="L125" s="403"/>
    </row>
    <row r="126" spans="1:12" s="421" customFormat="1" x14ac:dyDescent="0.25">
      <c r="A126" s="335"/>
      <c r="B126" s="335"/>
      <c r="C126" s="335"/>
      <c r="D126" s="335"/>
      <c r="E126" s="335"/>
      <c r="F126" s="344"/>
      <c r="G126" s="459"/>
      <c r="H126" s="459"/>
      <c r="I126" s="459"/>
      <c r="J126" s="459"/>
      <c r="K126" s="459"/>
      <c r="L126" s="403"/>
    </row>
    <row r="127" spans="1:12" s="421" customFormat="1" x14ac:dyDescent="0.25">
      <c r="A127" s="335"/>
      <c r="B127" s="335"/>
      <c r="C127" s="335"/>
      <c r="D127" s="335"/>
      <c r="E127" s="335"/>
      <c r="F127" s="344"/>
      <c r="G127" s="459"/>
      <c r="H127" s="459"/>
      <c r="I127" s="459"/>
      <c r="J127" s="459"/>
      <c r="K127" s="459"/>
      <c r="L127" s="403"/>
    </row>
    <row r="128" spans="1:12" s="421" customFormat="1" x14ac:dyDescent="0.25">
      <c r="A128" s="335"/>
      <c r="B128" s="335"/>
      <c r="C128" s="335"/>
      <c r="D128" s="335"/>
      <c r="E128" s="335"/>
      <c r="F128" s="344"/>
      <c r="G128" s="459"/>
      <c r="H128" s="459"/>
      <c r="I128" s="459"/>
      <c r="J128" s="459"/>
      <c r="K128" s="459"/>
      <c r="L128" s="403"/>
    </row>
    <row r="129" spans="1:13" x14ac:dyDescent="0.25">
      <c r="A129" s="335"/>
      <c r="B129" s="335"/>
      <c r="C129" s="335"/>
      <c r="D129" s="335"/>
      <c r="E129" s="335"/>
      <c r="F129" s="344"/>
      <c r="G129" s="459"/>
      <c r="H129" s="459"/>
      <c r="I129" s="459"/>
      <c r="J129" s="459"/>
      <c r="K129" s="459"/>
      <c r="L129" s="403"/>
    </row>
    <row r="130" spans="1:13" x14ac:dyDescent="0.25">
      <c r="A130" s="335"/>
      <c r="B130" s="335"/>
      <c r="C130" s="335"/>
      <c r="D130" s="335"/>
      <c r="E130" s="335"/>
      <c r="F130" s="336"/>
      <c r="G130" s="467"/>
      <c r="H130" s="467"/>
      <c r="I130" s="467"/>
      <c r="J130" s="467"/>
      <c r="K130" s="467"/>
      <c r="L130" s="517"/>
    </row>
    <row r="131" spans="1:13" x14ac:dyDescent="0.25">
      <c r="A131" s="335"/>
      <c r="B131" s="335"/>
      <c r="C131" s="335"/>
      <c r="D131" s="335"/>
      <c r="E131" s="335"/>
      <c r="F131" s="336"/>
      <c r="G131" s="467"/>
      <c r="H131" s="467"/>
      <c r="I131" s="467"/>
      <c r="J131" s="467"/>
      <c r="K131" s="467"/>
      <c r="L131" s="517"/>
    </row>
    <row r="132" spans="1:13" x14ac:dyDescent="0.25">
      <c r="A132" s="335"/>
      <c r="B132" s="335"/>
      <c r="C132" s="335"/>
      <c r="D132" s="335"/>
      <c r="E132" s="335"/>
      <c r="F132" s="336"/>
      <c r="G132" s="467"/>
      <c r="H132" s="467"/>
      <c r="I132" s="467"/>
      <c r="J132" s="467"/>
      <c r="K132" s="467"/>
      <c r="L132" s="517"/>
    </row>
    <row r="133" spans="1:13" x14ac:dyDescent="0.25">
      <c r="A133" s="335"/>
      <c r="B133" s="335"/>
      <c r="C133" s="335"/>
      <c r="D133" s="335"/>
      <c r="E133" s="335"/>
      <c r="F133" s="336"/>
      <c r="G133" s="467"/>
      <c r="H133" s="467"/>
      <c r="I133" s="467"/>
      <c r="J133" s="467"/>
      <c r="K133" s="467"/>
      <c r="L133" s="517"/>
    </row>
    <row r="134" spans="1:13" ht="17.25" customHeight="1" x14ac:dyDescent="0.25">
      <c r="A134" s="366"/>
      <c r="B134" s="366"/>
      <c r="C134" s="366"/>
      <c r="D134" s="366"/>
      <c r="E134" s="366"/>
      <c r="F134" s="313"/>
      <c r="G134" s="313"/>
      <c r="H134" s="313"/>
      <c r="I134" s="313"/>
      <c r="J134" s="313"/>
      <c r="K134" s="313"/>
      <c r="L134" s="313"/>
    </row>
    <row r="135" spans="1:13" ht="17.25" customHeight="1" x14ac:dyDescent="0.25">
      <c r="A135" s="366"/>
      <c r="B135" s="366"/>
      <c r="C135" s="366"/>
      <c r="D135" s="366"/>
      <c r="E135" s="366"/>
      <c r="F135" s="313"/>
      <c r="G135" s="313"/>
      <c r="H135" s="313"/>
      <c r="I135" s="313"/>
      <c r="J135" s="313"/>
      <c r="K135" s="313"/>
      <c r="L135" s="313"/>
    </row>
    <row r="136" spans="1:13" x14ac:dyDescent="0.25">
      <c r="A136" s="366" t="str">
        <f>SCF!A66</f>
        <v>(See Accountants' Report)</v>
      </c>
      <c r="B136" s="366"/>
      <c r="C136" s="366"/>
      <c r="D136" s="366"/>
      <c r="E136" s="366"/>
      <c r="F136" s="366"/>
      <c r="G136" s="366"/>
      <c r="H136" s="366"/>
      <c r="I136" s="366"/>
      <c r="J136" s="366"/>
      <c r="K136" s="366"/>
      <c r="L136" s="366"/>
    </row>
    <row r="137" spans="1:13" x14ac:dyDescent="0.25">
      <c r="A137" s="420"/>
      <c r="B137" s="420"/>
      <c r="C137" s="420"/>
      <c r="D137" s="420"/>
      <c r="E137" s="420"/>
      <c r="F137" s="420"/>
      <c r="G137" s="420"/>
      <c r="H137" s="420"/>
      <c r="I137" s="420"/>
      <c r="J137" s="420"/>
      <c r="K137" s="420"/>
    </row>
    <row r="138" spans="1:13" x14ac:dyDescent="0.25">
      <c r="A138" s="1464">
        <f>A68+1</f>
        <v>37</v>
      </c>
      <c r="B138" s="1464"/>
      <c r="C138" s="1464"/>
      <c r="D138" s="1464"/>
      <c r="E138" s="1464"/>
      <c r="F138" s="1464"/>
      <c r="G138" s="1464"/>
      <c r="H138" s="1464"/>
      <c r="I138" s="1464"/>
      <c r="J138" s="1464"/>
      <c r="K138" s="1464"/>
      <c r="L138" s="1464"/>
    </row>
    <row r="140" spans="1:13" x14ac:dyDescent="0.25">
      <c r="C140" s="384"/>
      <c r="D140" s="384"/>
      <c r="E140" s="384"/>
      <c r="F140" s="384"/>
      <c r="G140" s="384"/>
      <c r="H140" s="384"/>
      <c r="I140" s="384"/>
      <c r="J140" s="384"/>
      <c r="K140" s="384"/>
      <c r="L140" s="317"/>
      <c r="M140" s="384"/>
    </row>
    <row r="141" spans="1:13" x14ac:dyDescent="0.25">
      <c r="C141" s="384"/>
      <c r="D141" s="384"/>
      <c r="E141" s="384"/>
      <c r="F141" s="384"/>
      <c r="G141" s="384"/>
      <c r="H141" s="384"/>
      <c r="I141" s="384"/>
      <c r="J141" s="384"/>
      <c r="K141" s="384"/>
      <c r="L141" s="317"/>
      <c r="M141" s="384"/>
    </row>
    <row r="142" spans="1:13" x14ac:dyDescent="0.25">
      <c r="C142" s="384"/>
      <c r="D142" s="340"/>
      <c r="E142" s="340"/>
      <c r="F142" s="454"/>
      <c r="G142" s="454"/>
      <c r="H142" s="454"/>
      <c r="I142" s="454"/>
      <c r="J142" s="454"/>
      <c r="K142" s="454"/>
      <c r="L142" s="454"/>
      <c r="M142" s="384"/>
    </row>
    <row r="143" spans="1:13" x14ac:dyDescent="0.25">
      <c r="C143" s="384"/>
      <c r="D143" s="340"/>
      <c r="E143" s="340"/>
      <c r="F143" s="466"/>
      <c r="G143" s="466"/>
      <c r="H143" s="466"/>
      <c r="I143" s="466"/>
      <c r="J143" s="466"/>
      <c r="K143" s="466"/>
      <c r="L143" s="466"/>
      <c r="M143" s="384"/>
    </row>
    <row r="144" spans="1:13" x14ac:dyDescent="0.25">
      <c r="C144" s="384"/>
      <c r="D144" s="340"/>
      <c r="E144" s="340"/>
      <c r="F144" s="454"/>
      <c r="G144" s="454"/>
      <c r="H144" s="454"/>
      <c r="I144" s="454"/>
      <c r="J144" s="454"/>
      <c r="K144" s="454"/>
      <c r="L144" s="124"/>
      <c r="M144" s="384"/>
    </row>
    <row r="145" spans="3:13 16369:16369" x14ac:dyDescent="0.25">
      <c r="C145" s="384"/>
      <c r="D145" s="340"/>
      <c r="E145" s="340"/>
      <c r="F145" s="454"/>
      <c r="G145" s="454"/>
      <c r="H145" s="454"/>
      <c r="I145" s="454"/>
      <c r="J145" s="454"/>
      <c r="K145" s="454"/>
      <c r="L145" s="454"/>
      <c r="M145" s="384"/>
    </row>
    <row r="146" spans="3:13 16369:16369" x14ac:dyDescent="0.25">
      <c r="C146" s="384"/>
      <c r="D146" s="340"/>
      <c r="E146" s="340"/>
      <c r="F146" s="454"/>
      <c r="G146" s="454"/>
      <c r="H146" s="454"/>
      <c r="I146" s="454"/>
      <c r="J146" s="454"/>
      <c r="K146" s="454"/>
      <c r="L146" s="124"/>
      <c r="M146" s="384"/>
    </row>
    <row r="147" spans="3:13 16369:16369" x14ac:dyDescent="0.25">
      <c r="C147" s="384"/>
      <c r="D147" s="340"/>
      <c r="E147" s="340"/>
      <c r="F147" s="426"/>
      <c r="G147" s="426"/>
      <c r="H147" s="426"/>
      <c r="I147" s="426"/>
      <c r="J147" s="426"/>
      <c r="K147" s="426"/>
      <c r="L147" s="426"/>
      <c r="M147" s="384"/>
    </row>
    <row r="148" spans="3:13 16369:16369" x14ac:dyDescent="0.25">
      <c r="C148" s="384"/>
      <c r="D148" s="340"/>
      <c r="E148" s="340"/>
      <c r="F148" s="426"/>
      <c r="G148" s="426"/>
      <c r="H148" s="426"/>
      <c r="I148" s="426"/>
      <c r="J148" s="426"/>
      <c r="K148" s="426"/>
      <c r="L148" s="426"/>
      <c r="M148" s="384"/>
    </row>
    <row r="149" spans="3:13 16369:16369" x14ac:dyDescent="0.25">
      <c r="C149" s="384"/>
      <c r="D149" s="340"/>
      <c r="E149" s="340"/>
      <c r="F149" s="331"/>
      <c r="G149" s="331"/>
      <c r="H149" s="331"/>
      <c r="I149" s="331"/>
      <c r="J149" s="331"/>
      <c r="K149" s="331"/>
      <c r="L149" s="523"/>
      <c r="M149" s="384"/>
    </row>
    <row r="150" spans="3:13 16369:16369" x14ac:dyDescent="0.25">
      <c r="C150" s="384"/>
      <c r="D150" s="340"/>
      <c r="E150" s="340"/>
      <c r="F150" s="331"/>
      <c r="G150" s="331"/>
      <c r="H150" s="331"/>
      <c r="I150" s="331"/>
      <c r="J150" s="331"/>
      <c r="K150" s="331"/>
      <c r="L150" s="331"/>
      <c r="M150" s="384"/>
      <c r="XEO150" s="268">
        <f>+XEO147-XEO148</f>
        <v>0</v>
      </c>
    </row>
    <row r="151" spans="3:13 16369:16369" x14ac:dyDescent="0.25">
      <c r="C151" s="384"/>
      <c r="D151" s="384"/>
      <c r="E151" s="384"/>
      <c r="F151" s="384"/>
      <c r="G151" s="384"/>
      <c r="H151" s="384"/>
      <c r="I151" s="384"/>
      <c r="J151" s="384"/>
      <c r="K151" s="384"/>
      <c r="L151" s="317"/>
      <c r="M151" s="384"/>
    </row>
    <row r="152" spans="3:13 16369:16369" x14ac:dyDescent="0.25">
      <c r="C152" s="384"/>
      <c r="D152" s="384"/>
      <c r="E152" s="384"/>
      <c r="F152" s="384"/>
      <c r="G152" s="384"/>
      <c r="H152" s="384"/>
      <c r="I152" s="384"/>
      <c r="J152" s="384"/>
      <c r="K152" s="384"/>
      <c r="L152" s="317"/>
      <c r="M152" s="384"/>
    </row>
  </sheetData>
  <mergeCells count="10">
    <mergeCell ref="A72:L72"/>
    <mergeCell ref="A71:L71"/>
    <mergeCell ref="A69:L69"/>
    <mergeCell ref="A138:L138"/>
    <mergeCell ref="F76:J76"/>
    <mergeCell ref="F8:J8"/>
    <mergeCell ref="A4:L4"/>
    <mergeCell ref="A3:L3"/>
    <mergeCell ref="A1:L1"/>
    <mergeCell ref="A68:L68"/>
  </mergeCells>
  <printOptions horizontalCentered="1"/>
  <pageMargins left="0.75" right="0.75" top="0.75" bottom="0.25" header="0.3" footer="0.3"/>
  <pageSetup scale="68" fitToHeight="2" orientation="portrait" horizontalDpi="4294967295" verticalDpi="4294967295" r:id="rId1"/>
  <rowBreaks count="1" manualBreakCount="1">
    <brk id="68" max="26" man="1"/>
  </rowBreaks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Z226"/>
  <sheetViews>
    <sheetView view="pageBreakPreview" zoomScale="90" zoomScaleNormal="100" zoomScaleSheetLayoutView="90" workbookViewId="0">
      <selection activeCell="R33" sqref="R33"/>
    </sheetView>
  </sheetViews>
  <sheetFormatPr defaultColWidth="13.7109375" defaultRowHeight="15.75" x14ac:dyDescent="0.25"/>
  <cols>
    <col min="1" max="1" width="3.5703125" style="457" customWidth="1"/>
    <col min="2" max="3" width="3.140625" style="457" customWidth="1"/>
    <col min="4" max="4" width="18" style="457" customWidth="1"/>
    <col min="5" max="5" width="3.85546875" style="457" customWidth="1"/>
    <col min="6" max="6" width="18" style="457" customWidth="1"/>
    <col min="7" max="7" width="3.85546875" style="457" customWidth="1"/>
    <col min="8" max="8" width="18" style="457" customWidth="1"/>
    <col min="9" max="9" width="3.85546875" style="457" customWidth="1"/>
    <col min="10" max="10" width="18" style="457" customWidth="1"/>
    <col min="11" max="11" width="3.85546875" style="457" customWidth="1"/>
    <col min="12" max="12" width="4" style="457" customWidth="1"/>
    <col min="13" max="13" width="3.85546875" style="457" customWidth="1"/>
    <col min="14" max="14" width="18" style="457" customWidth="1"/>
    <col min="15" max="15" width="1.42578125" style="457" customWidth="1"/>
    <col min="16" max="16" width="27.28515625" style="457" customWidth="1"/>
    <col min="17" max="17" width="16.5703125" style="457" bestFit="1" customWidth="1"/>
    <col min="18" max="19" width="13.7109375" style="457"/>
    <col min="20" max="20" width="16.5703125" style="457" bestFit="1" customWidth="1"/>
    <col min="21" max="16384" width="13.7109375" style="457"/>
  </cols>
  <sheetData>
    <row r="1" spans="1:18" x14ac:dyDescent="0.25">
      <c r="A1" s="365" t="str">
        <f>+INFO!B1</f>
        <v>EVANSVILLE (INDIANA) WATERWORKS DISTRICT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</row>
    <row r="2" spans="1:18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65"/>
    </row>
    <row r="3" spans="1:18" x14ac:dyDescent="0.25">
      <c r="A3" s="218" t="s">
        <v>105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65"/>
    </row>
    <row r="4" spans="1:18" x14ac:dyDescent="0.25">
      <c r="A4" s="218" t="s">
        <v>104</v>
      </c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375"/>
    </row>
    <row r="5" spans="1:18" x14ac:dyDescent="0.25">
      <c r="A5" s="30"/>
      <c r="B5" s="412"/>
      <c r="C5" s="412"/>
      <c r="D5" s="412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375"/>
    </row>
    <row r="6" spans="1:18" x14ac:dyDescent="0.25">
      <c r="A6" s="411"/>
      <c r="B6" s="411"/>
      <c r="C6" s="411"/>
      <c r="D6" s="411"/>
      <c r="E6" s="411"/>
      <c r="F6" s="411"/>
      <c r="G6" s="411"/>
      <c r="I6" s="411"/>
      <c r="J6" s="411"/>
      <c r="K6" s="411"/>
      <c r="L6" s="411"/>
      <c r="M6" s="411"/>
      <c r="N6" s="411"/>
      <c r="R6" s="426"/>
    </row>
    <row r="7" spans="1:18" x14ac:dyDescent="0.25">
      <c r="A7" s="411"/>
      <c r="B7" s="411"/>
      <c r="C7" s="411"/>
      <c r="D7" s="411"/>
      <c r="E7" s="411"/>
      <c r="F7" s="411"/>
      <c r="G7" s="411"/>
      <c r="H7" s="967" t="s">
        <v>103</v>
      </c>
      <c r="I7" s="970"/>
      <c r="J7" s="970" t="s">
        <v>92</v>
      </c>
      <c r="K7" s="970"/>
      <c r="L7" s="970"/>
      <c r="M7" s="970"/>
      <c r="N7" s="970"/>
      <c r="R7" s="413"/>
    </row>
    <row r="8" spans="1:18" x14ac:dyDescent="0.25">
      <c r="A8" s="411"/>
      <c r="B8" s="411"/>
      <c r="C8" s="411"/>
      <c r="D8" s="411"/>
      <c r="E8" s="411"/>
      <c r="F8" s="411"/>
      <c r="G8" s="411"/>
      <c r="H8" s="460" t="s">
        <v>226</v>
      </c>
      <c r="I8" s="970"/>
      <c r="J8" s="970" t="s">
        <v>34</v>
      </c>
      <c r="K8" s="970"/>
      <c r="L8" s="970"/>
      <c r="M8" s="970"/>
      <c r="N8" s="970"/>
      <c r="R8" s="147"/>
    </row>
    <row r="9" spans="1:18" x14ac:dyDescent="0.25">
      <c r="A9" s="380" t="s">
        <v>505</v>
      </c>
      <c r="B9" s="411"/>
      <c r="C9" s="411"/>
      <c r="D9" s="411"/>
      <c r="E9" s="411"/>
      <c r="F9" s="411"/>
      <c r="G9" s="411"/>
      <c r="H9" s="969" t="s">
        <v>746</v>
      </c>
      <c r="I9" s="970"/>
      <c r="J9" s="970" t="s">
        <v>504</v>
      </c>
      <c r="K9" s="970"/>
      <c r="L9" s="970" t="s">
        <v>81</v>
      </c>
      <c r="M9" s="970"/>
      <c r="N9" s="970" t="s">
        <v>40</v>
      </c>
      <c r="R9" s="339"/>
    </row>
    <row r="10" spans="1:18" x14ac:dyDescent="0.25">
      <c r="B10" s="411"/>
      <c r="C10" s="411"/>
      <c r="D10" s="411"/>
      <c r="E10" s="411"/>
      <c r="F10" s="411"/>
      <c r="G10" s="411"/>
      <c r="H10" s="107"/>
      <c r="I10" s="411"/>
      <c r="J10" s="370"/>
      <c r="K10" s="411"/>
      <c r="L10" s="368"/>
      <c r="M10" s="411"/>
      <c r="N10" s="370"/>
      <c r="R10" s="413"/>
    </row>
    <row r="11" spans="1:18" s="391" customFormat="1" x14ac:dyDescent="0.25">
      <c r="A11" s="390" t="s">
        <v>125</v>
      </c>
      <c r="B11" s="467"/>
      <c r="C11" s="390"/>
      <c r="D11" s="390"/>
      <c r="E11" s="390"/>
      <c r="F11" s="390"/>
      <c r="G11" s="390"/>
      <c r="H11" s="448">
        <f>SNP!M10</f>
        <v>2578099</v>
      </c>
      <c r="I11" s="448"/>
      <c r="J11" s="448">
        <f>+N50</f>
        <v>5029097</v>
      </c>
      <c r="K11" s="448"/>
      <c r="L11" s="969">
        <v>-1</v>
      </c>
      <c r="M11" s="448"/>
      <c r="N11" s="448">
        <f>+H11-J11</f>
        <v>-2450998</v>
      </c>
      <c r="O11" s="467"/>
      <c r="R11" s="454"/>
    </row>
    <row r="12" spans="1:18" x14ac:dyDescent="0.25">
      <c r="A12" s="411"/>
      <c r="C12" s="411"/>
      <c r="D12" s="411"/>
      <c r="E12" s="411"/>
      <c r="F12" s="411"/>
      <c r="G12" s="411"/>
      <c r="H12" s="184"/>
      <c r="I12" s="31"/>
      <c r="J12" s="31"/>
      <c r="L12" s="965"/>
      <c r="R12" s="226"/>
    </row>
    <row r="13" spans="1:18" s="467" customFormat="1" x14ac:dyDescent="0.25">
      <c r="A13" s="390" t="s">
        <v>93</v>
      </c>
      <c r="C13" s="390"/>
      <c r="D13" s="390"/>
      <c r="E13" s="390"/>
      <c r="F13" s="390"/>
      <c r="G13" s="390"/>
      <c r="H13" s="467">
        <f>SNP!M13</f>
        <v>9016090</v>
      </c>
      <c r="J13" s="467">
        <f>N116</f>
        <v>8701215</v>
      </c>
      <c r="L13" s="969">
        <v>-2</v>
      </c>
      <c r="N13" s="453">
        <f>+H13-J13</f>
        <v>314875</v>
      </c>
      <c r="R13" s="466"/>
    </row>
    <row r="14" spans="1:18" s="467" customFormat="1" x14ac:dyDescent="0.25">
      <c r="A14" s="390"/>
      <c r="C14" s="390"/>
      <c r="D14" s="390"/>
      <c r="E14" s="390"/>
      <c r="F14" s="390"/>
      <c r="G14" s="390"/>
      <c r="L14" s="969"/>
      <c r="R14" s="466"/>
    </row>
    <row r="15" spans="1:18" s="467" customFormat="1" x14ac:dyDescent="0.25">
      <c r="A15" s="390" t="s">
        <v>91</v>
      </c>
      <c r="C15" s="390"/>
      <c r="D15" s="390"/>
      <c r="E15" s="390"/>
      <c r="F15" s="390"/>
      <c r="G15" s="390"/>
      <c r="H15" s="453">
        <f>SNP!M14+SNP!M37</f>
        <v>16804025</v>
      </c>
      <c r="I15" s="453"/>
      <c r="J15" s="453">
        <f>N146</f>
        <v>16287506</v>
      </c>
      <c r="L15" s="969">
        <v>-3</v>
      </c>
      <c r="N15" s="453">
        <f>H15-J15</f>
        <v>516519</v>
      </c>
      <c r="R15" s="466"/>
    </row>
    <row r="16" spans="1:18" s="467" customFormat="1" x14ac:dyDescent="0.25">
      <c r="A16" s="390"/>
      <c r="C16" s="390"/>
      <c r="D16" s="390"/>
      <c r="E16" s="390"/>
      <c r="F16" s="390"/>
      <c r="G16" s="390"/>
      <c r="L16" s="969"/>
      <c r="R16" s="466"/>
    </row>
    <row r="17" spans="1:18" s="467" customFormat="1" x14ac:dyDescent="0.25">
      <c r="A17" s="390" t="s">
        <v>651</v>
      </c>
      <c r="C17" s="390"/>
      <c r="D17" s="390"/>
      <c r="E17" s="390"/>
      <c r="F17" s="390"/>
      <c r="G17" s="390"/>
      <c r="H17" s="453">
        <f>SNP!M11+SNP!M15</f>
        <v>5743862</v>
      </c>
      <c r="J17" s="453">
        <f>N151</f>
        <v>5970013</v>
      </c>
      <c r="L17" s="969">
        <v>-4</v>
      </c>
      <c r="N17" s="467">
        <f>+H17-J17</f>
        <v>-226151</v>
      </c>
      <c r="R17" s="466"/>
    </row>
    <row r="18" spans="1:18" s="467" customFormat="1" x14ac:dyDescent="0.25">
      <c r="A18" s="390"/>
      <c r="C18" s="390"/>
      <c r="D18" s="390"/>
      <c r="E18" s="390"/>
      <c r="F18" s="390"/>
      <c r="G18" s="390"/>
      <c r="L18" s="969"/>
      <c r="R18" s="466"/>
    </row>
    <row r="19" spans="1:18" s="467" customFormat="1" ht="15.75" hidden="1" customHeight="1" x14ac:dyDescent="0.25">
      <c r="A19" s="390" t="s">
        <v>117</v>
      </c>
      <c r="C19" s="390"/>
      <c r="D19" s="390"/>
      <c r="E19" s="390"/>
      <c r="F19" s="390"/>
      <c r="G19" s="390"/>
      <c r="L19" s="216" t="s">
        <v>102</v>
      </c>
      <c r="R19" s="466"/>
    </row>
    <row r="20" spans="1:18" s="467" customFormat="1" ht="15.75" hidden="1" customHeight="1" x14ac:dyDescent="0.25">
      <c r="A20" s="390"/>
      <c r="C20" s="390"/>
      <c r="D20" s="390"/>
      <c r="E20" s="390"/>
      <c r="F20" s="390"/>
      <c r="G20" s="390"/>
      <c r="L20" s="969"/>
      <c r="R20" s="466"/>
    </row>
    <row r="21" spans="1:18" s="467" customFormat="1" x14ac:dyDescent="0.25">
      <c r="A21" s="390" t="s">
        <v>243</v>
      </c>
      <c r="C21" s="390"/>
      <c r="D21" s="390"/>
      <c r="E21" s="390"/>
      <c r="F21" s="390"/>
      <c r="G21" s="390"/>
      <c r="H21" s="467">
        <f>SNP!M18</f>
        <v>1690446</v>
      </c>
      <c r="J21" s="467">
        <f>H21</f>
        <v>1690446</v>
      </c>
      <c r="L21" s="216" t="s">
        <v>102</v>
      </c>
      <c r="N21" s="972">
        <f>H21-J21</f>
        <v>0</v>
      </c>
      <c r="R21" s="466"/>
    </row>
    <row r="22" spans="1:18" s="467" customFormat="1" x14ac:dyDescent="0.25">
      <c r="A22" s="390"/>
      <c r="C22" s="390"/>
      <c r="D22" s="390"/>
      <c r="E22" s="390"/>
      <c r="F22" s="390"/>
      <c r="G22" s="390"/>
      <c r="L22" s="969"/>
      <c r="N22" s="972"/>
      <c r="R22" s="466"/>
    </row>
    <row r="23" spans="1:18" s="467" customFormat="1" x14ac:dyDescent="0.25">
      <c r="A23" s="390" t="s">
        <v>650</v>
      </c>
      <c r="C23" s="390"/>
      <c r="D23" s="390"/>
      <c r="E23" s="390"/>
      <c r="F23" s="390"/>
      <c r="G23" s="390"/>
      <c r="H23" s="466">
        <f>SNP!M17+SNP!M38</f>
        <v>102340066</v>
      </c>
      <c r="I23" s="466"/>
      <c r="J23" s="466">
        <f>H23</f>
        <v>102340066</v>
      </c>
      <c r="K23" s="466"/>
      <c r="L23" s="206" t="s">
        <v>102</v>
      </c>
      <c r="M23" s="466"/>
      <c r="N23" s="973">
        <f>H23-J23</f>
        <v>0</v>
      </c>
      <c r="R23" s="466"/>
    </row>
    <row r="24" spans="1:18" x14ac:dyDescent="0.25">
      <c r="A24" s="411"/>
      <c r="B24" s="411"/>
      <c r="C24" s="411"/>
      <c r="D24" s="411"/>
      <c r="E24" s="411"/>
      <c r="F24" s="411"/>
      <c r="G24" s="411"/>
      <c r="H24" s="346"/>
      <c r="I24" s="31"/>
      <c r="J24" s="226"/>
      <c r="L24" s="965"/>
      <c r="N24" s="973"/>
      <c r="R24" s="226"/>
    </row>
    <row r="25" spans="1:18" x14ac:dyDescent="0.25">
      <c r="A25" s="411" t="s">
        <v>43</v>
      </c>
      <c r="B25" s="411"/>
      <c r="C25" s="411"/>
      <c r="D25" s="411"/>
      <c r="E25" s="411"/>
      <c r="F25" s="411"/>
      <c r="G25" s="411"/>
      <c r="H25" s="466">
        <f>SNP!M19</f>
        <v>377619</v>
      </c>
      <c r="I25" s="31"/>
      <c r="J25" s="466">
        <f>H25</f>
        <v>377619</v>
      </c>
      <c r="L25" s="231" t="s">
        <v>102</v>
      </c>
      <c r="N25" s="973">
        <f t="shared" ref="N25:N31" si="0">H25-J25</f>
        <v>0</v>
      </c>
      <c r="R25" s="226"/>
    </row>
    <row r="26" spans="1:18" x14ac:dyDescent="0.25">
      <c r="A26" s="411"/>
      <c r="B26" s="411"/>
      <c r="C26" s="411"/>
      <c r="D26" s="411"/>
      <c r="E26" s="411"/>
      <c r="F26" s="411"/>
      <c r="G26" s="411"/>
      <c r="H26" s="466"/>
      <c r="I26" s="31"/>
      <c r="J26" s="466"/>
      <c r="L26" s="965"/>
      <c r="N26" s="464"/>
      <c r="R26" s="226"/>
    </row>
    <row r="27" spans="1:18" x14ac:dyDescent="0.25">
      <c r="A27" s="411" t="s">
        <v>211</v>
      </c>
      <c r="B27" s="411"/>
      <c r="C27" s="411"/>
      <c r="D27" s="411"/>
      <c r="E27" s="411"/>
      <c r="F27" s="411"/>
      <c r="G27" s="411"/>
      <c r="H27" s="466">
        <f>SNP!M16</f>
        <v>3250327</v>
      </c>
      <c r="I27" s="31"/>
      <c r="J27" s="466">
        <f>H27</f>
        <v>3250327</v>
      </c>
      <c r="L27" s="231" t="s">
        <v>217</v>
      </c>
      <c r="N27" s="502">
        <f t="shared" si="0"/>
        <v>0</v>
      </c>
      <c r="R27" s="226"/>
    </row>
    <row r="28" spans="1:18" x14ac:dyDescent="0.25">
      <c r="A28" s="411"/>
      <c r="B28" s="411"/>
      <c r="C28" s="411"/>
      <c r="D28" s="411"/>
      <c r="E28" s="411"/>
      <c r="F28" s="411"/>
      <c r="G28" s="411"/>
      <c r="H28" s="466"/>
      <c r="I28" s="31"/>
      <c r="J28" s="466"/>
      <c r="L28" s="965"/>
      <c r="N28" s="464"/>
      <c r="R28" s="226"/>
    </row>
    <row r="29" spans="1:18" x14ac:dyDescent="0.25">
      <c r="A29" s="411" t="s">
        <v>747</v>
      </c>
      <c r="B29" s="411"/>
      <c r="C29" s="411"/>
      <c r="D29" s="411"/>
      <c r="E29" s="411"/>
      <c r="F29" s="411"/>
      <c r="G29" s="411"/>
      <c r="H29" s="466">
        <f>SNP!M20</f>
        <v>702593</v>
      </c>
      <c r="I29" s="31"/>
      <c r="J29" s="466">
        <f>H29</f>
        <v>702593</v>
      </c>
      <c r="L29" s="231" t="s">
        <v>102</v>
      </c>
      <c r="N29" s="502">
        <v>0</v>
      </c>
      <c r="R29" s="226"/>
    </row>
    <row r="30" spans="1:18" x14ac:dyDescent="0.25">
      <c r="A30" s="411"/>
      <c r="B30" s="411"/>
      <c r="C30" s="411"/>
      <c r="D30" s="411"/>
      <c r="E30" s="411"/>
      <c r="F30" s="411"/>
      <c r="G30" s="411"/>
      <c r="H30" s="466"/>
      <c r="I30" s="31"/>
      <c r="J30" s="466"/>
      <c r="L30" s="965"/>
      <c r="N30" s="464"/>
      <c r="R30" s="226"/>
    </row>
    <row r="31" spans="1:18" x14ac:dyDescent="0.25">
      <c r="A31" s="411" t="s">
        <v>658</v>
      </c>
      <c r="B31" s="411"/>
      <c r="C31" s="411"/>
      <c r="D31" s="411"/>
      <c r="E31" s="411"/>
      <c r="F31" s="411"/>
      <c r="G31" s="411"/>
      <c r="H31" s="458">
        <f>SNP!M21</f>
        <v>21226</v>
      </c>
      <c r="I31" s="31"/>
      <c r="J31" s="458">
        <f>H31</f>
        <v>21226</v>
      </c>
      <c r="L31" s="231" t="s">
        <v>214</v>
      </c>
      <c r="N31" s="1176">
        <f t="shared" si="0"/>
        <v>0</v>
      </c>
      <c r="R31" s="226"/>
    </row>
    <row r="32" spans="1:18" x14ac:dyDescent="0.25">
      <c r="A32" s="411"/>
      <c r="B32" s="411"/>
      <c r="C32" s="411"/>
      <c r="D32" s="411"/>
      <c r="E32" s="411"/>
      <c r="F32" s="411"/>
      <c r="G32" s="411"/>
      <c r="H32" s="346"/>
      <c r="I32" s="31"/>
      <c r="J32" s="226"/>
      <c r="L32" s="965"/>
      <c r="N32" s="462"/>
      <c r="R32" s="226"/>
    </row>
    <row r="33" spans="1:18" ht="16.5" thickBot="1" x14ac:dyDescent="0.3">
      <c r="A33" s="411"/>
      <c r="B33" s="411"/>
      <c r="C33" s="411" t="s">
        <v>27</v>
      </c>
      <c r="D33" s="411"/>
      <c r="E33" s="411"/>
      <c r="F33" s="411"/>
      <c r="G33" s="411"/>
      <c r="H33" s="448">
        <f>SUM(H11:H31)</f>
        <v>142524353</v>
      </c>
      <c r="I33" s="387"/>
      <c r="J33" s="448">
        <f>SUM(J11:J31)</f>
        <v>144370108</v>
      </c>
      <c r="K33" s="387"/>
      <c r="L33" s="32"/>
      <c r="M33" s="387"/>
      <c r="N33" s="448">
        <f>SUM(N11:N31)</f>
        <v>-1845755</v>
      </c>
      <c r="P33" s="997">
        <f>SUM(SNP!M10:M21,SNP!M37:M41)</f>
        <v>142524353</v>
      </c>
      <c r="Q33" s="457">
        <f>H33-P33</f>
        <v>0</v>
      </c>
      <c r="R33" s="394"/>
    </row>
    <row r="34" spans="1:18" ht="16.5" thickTop="1" x14ac:dyDescent="0.25">
      <c r="A34" s="411"/>
      <c r="B34" s="411"/>
      <c r="C34" s="411"/>
      <c r="D34" s="411"/>
      <c r="E34" s="411"/>
      <c r="F34" s="411"/>
      <c r="G34" s="411"/>
      <c r="H34" s="974"/>
      <c r="I34" s="411"/>
      <c r="J34" s="975"/>
      <c r="K34" s="411"/>
      <c r="L34" s="965"/>
      <c r="M34" s="411"/>
      <c r="N34" s="976"/>
      <c r="R34" s="426"/>
    </row>
    <row r="35" spans="1:18" x14ac:dyDescent="0.25">
      <c r="A35" s="135" t="s">
        <v>79</v>
      </c>
      <c r="B35" s="33" t="s">
        <v>664</v>
      </c>
      <c r="C35" s="411"/>
      <c r="D35" s="411"/>
      <c r="E35" s="411"/>
      <c r="F35" s="411"/>
      <c r="G35" s="411"/>
      <c r="H35" s="425"/>
      <c r="I35" s="411"/>
      <c r="J35" s="424"/>
      <c r="K35" s="411"/>
      <c r="L35" s="965"/>
      <c r="M35" s="411"/>
      <c r="N35" s="226"/>
      <c r="R35" s="426"/>
    </row>
    <row r="36" spans="1:18" x14ac:dyDescent="0.25">
      <c r="C36" s="411"/>
      <c r="D36" s="411"/>
      <c r="E36" s="411"/>
      <c r="F36" s="411"/>
      <c r="G36" s="411"/>
      <c r="H36" s="390"/>
      <c r="I36" s="411"/>
      <c r="J36" s="411"/>
      <c r="K36" s="411"/>
      <c r="M36" s="411"/>
      <c r="N36" s="31"/>
      <c r="R36" s="426"/>
    </row>
    <row r="37" spans="1:18" s="391" customFormat="1" x14ac:dyDescent="0.25">
      <c r="A37" s="170" t="s">
        <v>83</v>
      </c>
      <c r="B37" s="390" t="s">
        <v>108</v>
      </c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  <c r="N37" s="184"/>
      <c r="O37" s="467"/>
    </row>
    <row r="38" spans="1:18" s="391" customFormat="1" x14ac:dyDescent="0.25">
      <c r="A38" s="390"/>
      <c r="B38" s="390" t="s">
        <v>126</v>
      </c>
      <c r="C38" s="390"/>
      <c r="D38" s="390"/>
      <c r="E38" s="390"/>
      <c r="F38" s="390"/>
      <c r="G38" s="390"/>
      <c r="H38" s="390"/>
      <c r="I38" s="390"/>
      <c r="J38" s="390"/>
      <c r="K38" s="390"/>
      <c r="L38" s="390"/>
      <c r="M38" s="390"/>
      <c r="N38" s="184"/>
      <c r="O38" s="467"/>
    </row>
    <row r="39" spans="1:18" s="391" customFormat="1" x14ac:dyDescent="0.25">
      <c r="A39" s="390"/>
      <c r="B39" s="390"/>
      <c r="C39" s="390"/>
      <c r="D39" s="390"/>
      <c r="E39" s="390"/>
      <c r="F39" s="390"/>
      <c r="G39" s="390"/>
      <c r="H39" s="390"/>
      <c r="I39" s="390"/>
      <c r="J39" s="390"/>
      <c r="K39" s="390"/>
      <c r="L39" s="390"/>
      <c r="M39" s="390"/>
      <c r="N39" s="184"/>
      <c r="O39" s="467"/>
    </row>
    <row r="40" spans="1:18" s="391" customFormat="1" ht="18.600000000000001" customHeight="1" x14ac:dyDescent="0.25">
      <c r="A40" s="390"/>
      <c r="B40" s="390"/>
      <c r="C40" s="402" t="e">
        <f>"Pro forma operating expenses (see page "&amp;TEXT(#REF!, 0)&amp;")"</f>
        <v>#REF!</v>
      </c>
      <c r="D40" s="390"/>
      <c r="E40" s="390"/>
      <c r="F40" s="390"/>
      <c r="G40" s="390"/>
      <c r="H40" s="390"/>
      <c r="I40" s="390"/>
      <c r="J40" s="390"/>
      <c r="K40" s="390"/>
      <c r="L40" s="390"/>
      <c r="M40" s="390"/>
      <c r="N40" s="448">
        <v>30174581</v>
      </c>
      <c r="O40" s="467"/>
    </row>
    <row r="41" spans="1:18" s="391" customFormat="1" hidden="1" x14ac:dyDescent="0.25">
      <c r="A41" s="390"/>
      <c r="B41" s="390"/>
      <c r="C41" s="390" t="s">
        <v>1007</v>
      </c>
      <c r="D41" s="390"/>
      <c r="E41" s="390"/>
      <c r="F41" s="390"/>
      <c r="G41" s="390"/>
      <c r="H41" s="390"/>
      <c r="I41" s="390"/>
      <c r="J41" s="390"/>
      <c r="K41" s="390"/>
      <c r="L41" s="390"/>
      <c r="M41" s="390"/>
      <c r="N41" s="467"/>
      <c r="O41" s="467"/>
      <c r="P41" s="391" t="e">
        <f>#REF!+#REF!+#REF!</f>
        <v>#REF!</v>
      </c>
      <c r="Q41" s="391" t="e">
        <f>P41+N41</f>
        <v>#REF!</v>
      </c>
    </row>
    <row r="42" spans="1:18" s="391" customFormat="1" hidden="1" x14ac:dyDescent="0.25">
      <c r="A42" s="390"/>
      <c r="B42" s="390"/>
      <c r="C42" s="390" t="s">
        <v>279</v>
      </c>
      <c r="D42" s="390"/>
      <c r="E42" s="390"/>
      <c r="F42" s="390"/>
      <c r="G42" s="390"/>
      <c r="H42" s="390"/>
      <c r="I42" s="390"/>
      <c r="J42" s="390"/>
      <c r="K42" s="390"/>
      <c r="L42" s="390"/>
      <c r="M42" s="390"/>
      <c r="N42" s="467"/>
      <c r="O42" s="467"/>
    </row>
    <row r="43" spans="1:18" s="391" customFormat="1" hidden="1" x14ac:dyDescent="0.25">
      <c r="A43" s="390"/>
      <c r="B43" s="390"/>
      <c r="C43" s="390"/>
      <c r="D43" s="390"/>
      <c r="E43" s="390"/>
      <c r="F43" s="390"/>
      <c r="G43" s="390"/>
      <c r="H43" s="390"/>
      <c r="I43" s="390"/>
      <c r="J43" s="390"/>
      <c r="K43" s="390"/>
      <c r="L43" s="390"/>
      <c r="M43" s="390"/>
      <c r="N43" s="451"/>
      <c r="O43" s="467"/>
    </row>
    <row r="44" spans="1:18" s="391" customFormat="1" hidden="1" x14ac:dyDescent="0.25">
      <c r="A44" s="390"/>
      <c r="B44" s="390"/>
      <c r="C44" s="390"/>
      <c r="D44" s="390" t="s">
        <v>107</v>
      </c>
      <c r="E44" s="390"/>
      <c r="F44" s="390"/>
      <c r="G44" s="390"/>
      <c r="H44" s="390"/>
      <c r="I44" s="390"/>
      <c r="J44" s="390"/>
      <c r="K44" s="390"/>
      <c r="L44" s="390"/>
      <c r="M44" s="390"/>
      <c r="N44" s="467">
        <f>SUM(N40:N43)</f>
        <v>30174581</v>
      </c>
      <c r="O44" s="467"/>
    </row>
    <row r="45" spans="1:18" s="391" customFormat="1" x14ac:dyDescent="0.25">
      <c r="A45" s="390"/>
      <c r="B45" s="390"/>
      <c r="C45" s="390" t="s">
        <v>1030</v>
      </c>
      <c r="D45" s="390"/>
      <c r="E45" s="390"/>
      <c r="F45" s="390"/>
      <c r="G45" s="390"/>
      <c r="H45" s="390"/>
      <c r="I45" s="390"/>
      <c r="J45" s="390"/>
      <c r="K45" s="390"/>
      <c r="L45" s="390"/>
      <c r="M45" s="390" t="s">
        <v>5</v>
      </c>
      <c r="N45" s="214">
        <f>2/12</f>
        <v>0.16666666666666666</v>
      </c>
      <c r="O45" s="467"/>
    </row>
    <row r="46" spans="1:18" s="391" customFormat="1" x14ac:dyDescent="0.25">
      <c r="A46" s="390"/>
      <c r="B46" s="390"/>
      <c r="C46" s="390"/>
      <c r="D46" s="390"/>
      <c r="E46" s="390"/>
      <c r="F46" s="390"/>
      <c r="G46" s="390"/>
      <c r="H46" s="390"/>
      <c r="I46" s="390"/>
      <c r="J46" s="390"/>
      <c r="K46" s="390"/>
      <c r="L46" s="390"/>
      <c r="M46" s="390"/>
      <c r="N46" s="451"/>
      <c r="O46" s="467"/>
    </row>
    <row r="47" spans="1:18" s="391" customFormat="1" hidden="1" x14ac:dyDescent="0.25">
      <c r="A47" s="390"/>
      <c r="B47" s="390"/>
      <c r="C47" s="390"/>
      <c r="D47" s="390"/>
      <c r="E47" s="467" t="s">
        <v>107</v>
      </c>
      <c r="F47" s="467"/>
      <c r="G47" s="390"/>
      <c r="H47" s="390"/>
      <c r="I47" s="390"/>
      <c r="J47" s="390"/>
      <c r="K47" s="390"/>
      <c r="L47" s="390"/>
      <c r="M47" s="390"/>
      <c r="N47" s="467">
        <f>ROUND(N44*N45,0)</f>
        <v>5029097</v>
      </c>
      <c r="O47" s="467"/>
    </row>
    <row r="48" spans="1:18" hidden="1" x14ac:dyDescent="0.25">
      <c r="A48" s="411"/>
      <c r="B48" s="411"/>
      <c r="C48" s="411" t="s">
        <v>643</v>
      </c>
      <c r="D48" s="411"/>
      <c r="E48" s="411"/>
      <c r="F48" s="411"/>
      <c r="G48" s="411"/>
      <c r="H48" s="411"/>
      <c r="I48" s="411"/>
      <c r="J48" s="411"/>
      <c r="K48" s="411"/>
      <c r="L48" s="411"/>
      <c r="M48" s="411"/>
      <c r="N48" s="467"/>
      <c r="P48" s="321" t="s">
        <v>944</v>
      </c>
    </row>
    <row r="49" spans="1:14" hidden="1" x14ac:dyDescent="0.25">
      <c r="A49" s="411"/>
      <c r="B49" s="411"/>
      <c r="C49" s="411"/>
      <c r="D49" s="411"/>
      <c r="E49" s="411"/>
      <c r="F49" s="411"/>
      <c r="G49" s="411"/>
      <c r="H49" s="411"/>
      <c r="I49" s="411"/>
      <c r="J49" s="411"/>
      <c r="K49" s="411"/>
      <c r="L49" s="411"/>
      <c r="M49" s="411"/>
      <c r="N49" s="370"/>
    </row>
    <row r="50" spans="1:14" ht="16.5" thickBot="1" x14ac:dyDescent="0.3">
      <c r="A50" s="411"/>
      <c r="B50" s="411"/>
      <c r="C50" s="411"/>
      <c r="D50" s="411"/>
      <c r="E50" s="390" t="s">
        <v>94</v>
      </c>
      <c r="F50" s="390"/>
      <c r="G50" s="411"/>
      <c r="H50" s="411"/>
      <c r="I50" s="411"/>
      <c r="J50" s="411"/>
      <c r="K50" s="411"/>
      <c r="L50" s="411"/>
      <c r="M50" s="411"/>
      <c r="N50" s="470">
        <f>SUM(N47:N48)</f>
        <v>5029097</v>
      </c>
    </row>
    <row r="51" spans="1:14" ht="16.5" thickTop="1" x14ac:dyDescent="0.25">
      <c r="C51" s="411"/>
      <c r="D51" s="411"/>
      <c r="E51" s="411"/>
      <c r="F51" s="411"/>
      <c r="G51" s="411"/>
      <c r="H51" s="411"/>
      <c r="I51" s="411"/>
      <c r="J51" s="411"/>
      <c r="K51" s="411"/>
      <c r="L51" s="411"/>
      <c r="M51" s="411"/>
      <c r="N51" s="424"/>
    </row>
    <row r="52" spans="1:14" x14ac:dyDescent="0.25">
      <c r="A52" s="411"/>
      <c r="B52" s="411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24"/>
    </row>
    <row r="53" spans="1:14" x14ac:dyDescent="0.25">
      <c r="A53" s="411"/>
      <c r="B53" s="411"/>
      <c r="C53" s="411"/>
      <c r="D53" s="411"/>
      <c r="E53" s="411"/>
      <c r="F53" s="411"/>
      <c r="G53" s="411"/>
      <c r="H53" s="411"/>
      <c r="I53" s="411"/>
      <c r="J53" s="411"/>
      <c r="K53" s="411"/>
      <c r="L53" s="411"/>
      <c r="M53" s="411"/>
      <c r="N53" s="424"/>
    </row>
    <row r="54" spans="1:14" x14ac:dyDescent="0.25">
      <c r="A54" s="411"/>
      <c r="B54" s="411"/>
      <c r="C54" s="411"/>
      <c r="D54" s="411"/>
      <c r="E54" s="411"/>
      <c r="F54" s="411"/>
      <c r="G54" s="411"/>
      <c r="H54" s="411"/>
      <c r="I54" s="411"/>
      <c r="J54" s="411"/>
      <c r="K54" s="411"/>
      <c r="L54" s="411"/>
      <c r="M54" s="411"/>
      <c r="N54" s="424"/>
    </row>
    <row r="55" spans="1:14" x14ac:dyDescent="0.25">
      <c r="A55" s="411"/>
      <c r="B55" s="411"/>
      <c r="C55" s="411"/>
      <c r="D55" s="411"/>
      <c r="E55" s="411"/>
      <c r="F55" s="411"/>
      <c r="G55" s="411"/>
      <c r="H55" s="411"/>
      <c r="I55" s="411"/>
      <c r="J55" s="411"/>
      <c r="K55" s="411"/>
      <c r="L55" s="411"/>
      <c r="M55" s="411"/>
      <c r="N55" s="424"/>
    </row>
    <row r="56" spans="1:14" x14ac:dyDescent="0.25">
      <c r="A56" s="411"/>
      <c r="B56" s="411"/>
      <c r="C56" s="411"/>
      <c r="D56" s="411"/>
      <c r="E56" s="411"/>
      <c r="F56" s="411"/>
      <c r="G56" s="411"/>
      <c r="H56" s="411"/>
      <c r="I56" s="411"/>
      <c r="J56" s="411"/>
      <c r="K56" s="411"/>
      <c r="L56" s="411"/>
      <c r="M56" s="411"/>
      <c r="N56" s="424"/>
    </row>
    <row r="57" spans="1:14" x14ac:dyDescent="0.25">
      <c r="A57" s="411"/>
      <c r="B57" s="411"/>
      <c r="C57" s="411"/>
      <c r="D57" s="411"/>
      <c r="E57" s="411"/>
      <c r="F57" s="411"/>
      <c r="G57" s="411"/>
      <c r="H57" s="411"/>
      <c r="I57" s="411"/>
      <c r="J57" s="411"/>
      <c r="K57" s="411"/>
      <c r="L57" s="411"/>
      <c r="M57" s="411"/>
      <c r="N57" s="424"/>
    </row>
    <row r="58" spans="1:14" x14ac:dyDescent="0.25">
      <c r="A58" s="411"/>
      <c r="B58" s="411"/>
      <c r="C58" s="411"/>
      <c r="D58" s="411"/>
      <c r="E58" s="411"/>
      <c r="F58" s="411"/>
      <c r="G58" s="411"/>
      <c r="H58" s="411"/>
      <c r="I58" s="411"/>
      <c r="J58" s="411"/>
      <c r="K58" s="411"/>
      <c r="L58" s="411"/>
      <c r="M58" s="411"/>
      <c r="N58" s="424"/>
    </row>
    <row r="59" spans="1:14" x14ac:dyDescent="0.25">
      <c r="A59" s="411"/>
      <c r="B59" s="411"/>
      <c r="C59" s="411"/>
      <c r="D59" s="411"/>
      <c r="E59" s="411"/>
      <c r="F59" s="411"/>
      <c r="G59" s="411"/>
      <c r="H59" s="411"/>
      <c r="I59" s="411"/>
      <c r="J59" s="411"/>
      <c r="K59" s="411"/>
      <c r="L59" s="411"/>
      <c r="M59" s="411"/>
      <c r="N59" s="424"/>
    </row>
    <row r="60" spans="1:14" x14ac:dyDescent="0.25">
      <c r="A60" s="411"/>
      <c r="B60" s="411"/>
      <c r="C60" s="411"/>
      <c r="D60" s="411"/>
      <c r="E60" s="411"/>
      <c r="F60" s="411"/>
      <c r="G60" s="411"/>
      <c r="H60" s="411"/>
      <c r="I60" s="411"/>
      <c r="J60" s="411"/>
      <c r="K60" s="411"/>
      <c r="L60" s="411"/>
      <c r="M60" s="411"/>
      <c r="N60" s="424"/>
    </row>
    <row r="61" spans="1:14" x14ac:dyDescent="0.25">
      <c r="A61" s="411"/>
      <c r="B61" s="411"/>
      <c r="C61" s="411"/>
      <c r="D61" s="411"/>
      <c r="E61" s="411"/>
      <c r="F61" s="411"/>
      <c r="G61" s="411"/>
      <c r="H61" s="411"/>
      <c r="I61" s="411"/>
      <c r="J61" s="411"/>
      <c r="K61" s="411"/>
      <c r="L61" s="411"/>
      <c r="M61" s="411"/>
      <c r="N61" s="424"/>
    </row>
    <row r="62" spans="1:14" x14ac:dyDescent="0.25">
      <c r="A62" s="411"/>
      <c r="B62" s="411"/>
      <c r="C62" s="411"/>
      <c r="D62" s="411"/>
      <c r="E62" s="411"/>
      <c r="F62" s="411"/>
      <c r="G62" s="411"/>
      <c r="H62" s="411"/>
      <c r="I62" s="411"/>
      <c r="J62" s="411"/>
      <c r="K62" s="411"/>
      <c r="L62" s="411"/>
      <c r="M62" s="411"/>
      <c r="N62" s="424"/>
    </row>
    <row r="63" spans="1:14" x14ac:dyDescent="0.25">
      <c r="A63" s="411"/>
      <c r="B63" s="411"/>
      <c r="C63" s="411"/>
      <c r="D63" s="411"/>
      <c r="E63" s="411"/>
      <c r="F63" s="411"/>
      <c r="G63" s="411"/>
      <c r="H63" s="411"/>
      <c r="I63" s="411"/>
      <c r="J63" s="411"/>
      <c r="K63" s="411"/>
      <c r="L63" s="411"/>
      <c r="M63" s="411"/>
      <c r="N63" s="424"/>
    </row>
    <row r="64" spans="1:14" x14ac:dyDescent="0.25">
      <c r="A64" s="411"/>
      <c r="B64" s="411"/>
      <c r="C64" s="411"/>
      <c r="D64" s="411"/>
      <c r="E64" s="411"/>
      <c r="F64" s="411"/>
      <c r="G64" s="411"/>
      <c r="H64" s="411"/>
      <c r="I64" s="411"/>
      <c r="J64" s="411"/>
      <c r="K64" s="411"/>
      <c r="L64" s="411"/>
      <c r="M64" s="411"/>
      <c r="N64" s="424"/>
    </row>
    <row r="65" spans="1:15" x14ac:dyDescent="0.25">
      <c r="A65" s="411"/>
      <c r="B65" s="411"/>
      <c r="C65" s="411"/>
      <c r="D65" s="411"/>
      <c r="E65" s="411"/>
      <c r="F65" s="411"/>
      <c r="G65" s="411"/>
      <c r="H65" s="411"/>
      <c r="I65" s="411"/>
      <c r="J65" s="411"/>
      <c r="K65" s="411"/>
      <c r="L65" s="411"/>
      <c r="M65" s="411"/>
      <c r="N65" s="424"/>
    </row>
    <row r="66" spans="1:15" x14ac:dyDescent="0.25">
      <c r="A66" s="411"/>
      <c r="B66" s="411"/>
      <c r="C66" s="411"/>
      <c r="D66" s="411"/>
      <c r="E66" s="411"/>
      <c r="F66" s="411"/>
      <c r="G66" s="411"/>
      <c r="H66" s="411"/>
      <c r="I66" s="411"/>
      <c r="J66" s="411"/>
      <c r="K66" s="411"/>
      <c r="L66" s="411"/>
      <c r="M66" s="411"/>
      <c r="N66" s="424"/>
    </row>
    <row r="67" spans="1:15" x14ac:dyDescent="0.25">
      <c r="A67" s="411"/>
      <c r="B67" s="411"/>
      <c r="C67" s="411"/>
      <c r="D67" s="411"/>
      <c r="E67" s="411"/>
      <c r="F67" s="411"/>
      <c r="G67" s="411"/>
      <c r="H67" s="411"/>
      <c r="I67" s="411"/>
      <c r="J67" s="411"/>
      <c r="K67" s="411"/>
      <c r="L67" s="411"/>
      <c r="M67" s="411"/>
      <c r="N67" s="424"/>
    </row>
    <row r="68" spans="1:15" x14ac:dyDescent="0.25">
      <c r="A68" s="411"/>
      <c r="B68" s="411"/>
      <c r="C68" s="411"/>
      <c r="D68" s="411"/>
      <c r="E68" s="411"/>
      <c r="F68" s="411"/>
      <c r="G68" s="411"/>
      <c r="H68" s="411"/>
      <c r="I68" s="411"/>
      <c r="J68" s="411"/>
      <c r="K68" s="411"/>
      <c r="L68" s="411"/>
      <c r="M68" s="411"/>
      <c r="N68" s="424"/>
    </row>
    <row r="69" spans="1:15" x14ac:dyDescent="0.25">
      <c r="A69" s="411"/>
      <c r="B69" s="411"/>
      <c r="C69" s="411"/>
      <c r="D69" s="411"/>
      <c r="E69" s="411"/>
      <c r="F69" s="411"/>
      <c r="G69" s="411"/>
      <c r="H69" s="411"/>
      <c r="I69" s="411"/>
      <c r="J69" s="411"/>
      <c r="K69" s="411"/>
      <c r="L69" s="411"/>
      <c r="M69" s="411"/>
      <c r="N69" s="424"/>
    </row>
    <row r="70" spans="1:15" x14ac:dyDescent="0.25">
      <c r="A70" s="411"/>
      <c r="B70" s="411"/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24"/>
    </row>
    <row r="71" spans="1:15" x14ac:dyDescent="0.25">
      <c r="A71" s="411"/>
      <c r="B71" s="411"/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24"/>
    </row>
    <row r="72" spans="1:15" x14ac:dyDescent="0.25">
      <c r="A72" s="411"/>
      <c r="B72" s="411"/>
      <c r="C72" s="411"/>
      <c r="D72" s="411"/>
      <c r="E72" s="411"/>
      <c r="F72" s="411"/>
      <c r="G72" s="411"/>
      <c r="H72" s="411"/>
      <c r="I72" s="411"/>
      <c r="J72" s="411"/>
      <c r="K72" s="411"/>
      <c r="L72" s="411"/>
      <c r="M72" s="411"/>
      <c r="N72" s="424"/>
    </row>
    <row r="73" spans="1:15" x14ac:dyDescent="0.25">
      <c r="A73" s="411"/>
      <c r="B73" s="411"/>
      <c r="C73" s="411"/>
      <c r="D73" s="411"/>
      <c r="E73" s="411"/>
      <c r="F73" s="411"/>
      <c r="G73" s="411"/>
      <c r="H73" s="411"/>
      <c r="I73" s="411"/>
      <c r="J73" s="411"/>
      <c r="K73" s="411"/>
      <c r="L73" s="411"/>
      <c r="M73" s="411"/>
      <c r="N73" s="424"/>
    </row>
    <row r="74" spans="1:15" x14ac:dyDescent="0.25">
      <c r="A74" s="411"/>
      <c r="B74" s="411"/>
      <c r="C74" s="411"/>
      <c r="D74" s="411"/>
      <c r="E74" s="411"/>
      <c r="F74" s="411"/>
      <c r="G74" s="411"/>
      <c r="H74" s="411"/>
      <c r="I74" s="411"/>
      <c r="J74" s="411"/>
      <c r="K74" s="411"/>
      <c r="L74" s="411"/>
      <c r="M74" s="411"/>
      <c r="N74" s="424"/>
    </row>
    <row r="75" spans="1:15" x14ac:dyDescent="0.25">
      <c r="A75" s="411"/>
      <c r="B75" s="411"/>
      <c r="C75" s="411"/>
      <c r="D75" s="411"/>
      <c r="E75" s="411"/>
      <c r="F75" s="411"/>
      <c r="G75" s="411"/>
      <c r="H75" s="411"/>
      <c r="I75" s="411"/>
      <c r="J75" s="411"/>
      <c r="K75" s="411"/>
      <c r="L75" s="411"/>
      <c r="M75" s="411"/>
      <c r="N75" s="424"/>
    </row>
    <row r="76" spans="1:15" x14ac:dyDescent="0.25">
      <c r="B76" s="412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  <c r="N76" s="412"/>
      <c r="O76" s="375"/>
    </row>
    <row r="77" spans="1:15" x14ac:dyDescent="0.25">
      <c r="A77" s="412"/>
      <c r="B77" s="412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  <c r="N77" s="412"/>
      <c r="O77" s="375"/>
    </row>
    <row r="78" spans="1:15" x14ac:dyDescent="0.25">
      <c r="A78" s="34" t="s">
        <v>16</v>
      </c>
      <c r="B78" s="412"/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  <c r="N78" s="412"/>
      <c r="O78" s="375"/>
    </row>
    <row r="79" spans="1:15" x14ac:dyDescent="0.25">
      <c r="A79" s="375"/>
      <c r="B79" s="412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  <c r="N79" s="412"/>
      <c r="O79" s="375"/>
    </row>
    <row r="80" spans="1:15" x14ac:dyDescent="0.25">
      <c r="A80" s="375" t="str">
        <f>SCF!A136</f>
        <v>(See Accountants' Report)</v>
      </c>
      <c r="B80" s="412"/>
      <c r="C80" s="412"/>
      <c r="D80" s="412"/>
      <c r="E80" s="412"/>
      <c r="F80" s="412"/>
      <c r="G80" s="412"/>
      <c r="H80" s="412"/>
      <c r="I80" s="412"/>
      <c r="J80" s="412"/>
      <c r="K80" s="412"/>
      <c r="L80" s="412"/>
      <c r="M80" s="412"/>
      <c r="N80" s="412"/>
      <c r="O80" s="375"/>
    </row>
    <row r="81" spans="1:15" x14ac:dyDescent="0.25">
      <c r="A81" s="375"/>
      <c r="B81" s="412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  <c r="N81" s="412"/>
      <c r="O81" s="375"/>
    </row>
    <row r="82" spans="1:15" x14ac:dyDescent="0.25">
      <c r="A82" s="375">
        <f>SCF!A138+1</f>
        <v>38</v>
      </c>
      <c r="B82" s="412"/>
      <c r="C82" s="412"/>
      <c r="D82" s="412"/>
      <c r="E82" s="412"/>
      <c r="F82" s="412"/>
      <c r="G82" s="412"/>
      <c r="H82" s="412"/>
      <c r="I82" s="412"/>
      <c r="J82" s="412"/>
      <c r="K82" s="412"/>
      <c r="L82" s="412"/>
      <c r="M82" s="412"/>
      <c r="N82" s="412"/>
      <c r="O82" s="375"/>
    </row>
    <row r="83" spans="1:15" x14ac:dyDescent="0.25">
      <c r="A83" s="365" t="str">
        <f>+A1</f>
        <v>EVANSVILLE (INDIANA) WATERWORKS DISTRICT</v>
      </c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375"/>
    </row>
    <row r="84" spans="1:15" x14ac:dyDescent="0.25">
      <c r="A84" s="30"/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966" t="s">
        <v>17</v>
      </c>
      <c r="O84" s="375"/>
    </row>
    <row r="85" spans="1:15" x14ac:dyDescent="0.25">
      <c r="A85" s="218" t="str">
        <f>+A3</f>
        <v>COMPARISON OF ACCOUNT BALANCES</v>
      </c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313"/>
      <c r="O85" s="375"/>
    </row>
    <row r="86" spans="1:15" x14ac:dyDescent="0.25">
      <c r="A86" s="218" t="str">
        <f>+A4</f>
        <v>WITH MINIMUM BALANCES REQUIRED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375"/>
    </row>
    <row r="87" spans="1:15" x14ac:dyDescent="0.25">
      <c r="A87" s="35"/>
      <c r="B87" s="174"/>
      <c r="C87" s="174"/>
      <c r="D87" s="174"/>
      <c r="E87" s="174"/>
      <c r="F87" s="174"/>
      <c r="G87" s="174"/>
      <c r="H87" s="41"/>
      <c r="I87" s="174"/>
      <c r="J87" s="174"/>
      <c r="K87" s="174"/>
      <c r="L87" s="174"/>
      <c r="M87" s="174"/>
      <c r="N87" s="174"/>
      <c r="O87" s="375"/>
    </row>
    <row r="88" spans="1:15" x14ac:dyDescent="0.25">
      <c r="A88" s="135" t="s">
        <v>84</v>
      </c>
      <c r="B88" s="390" t="s">
        <v>654</v>
      </c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  <c r="N88" s="390"/>
    </row>
    <row r="89" spans="1:15" x14ac:dyDescent="0.25">
      <c r="A89" s="970"/>
      <c r="B89" s="390" t="s">
        <v>655</v>
      </c>
      <c r="C89" s="390"/>
      <c r="D89" s="390"/>
      <c r="E89" s="390"/>
      <c r="F89" s="390"/>
      <c r="G89" s="390"/>
      <c r="H89" s="390"/>
      <c r="I89" s="390"/>
      <c r="J89" s="390"/>
      <c r="K89" s="390"/>
      <c r="L89" s="390"/>
      <c r="M89" s="390"/>
      <c r="N89" s="390"/>
    </row>
    <row r="90" spans="1:15" x14ac:dyDescent="0.25">
      <c r="A90" s="970"/>
      <c r="B90" s="390" t="s">
        <v>656</v>
      </c>
      <c r="C90" s="390"/>
      <c r="D90" s="390"/>
      <c r="E90" s="390"/>
      <c r="F90" s="390"/>
      <c r="G90" s="390"/>
      <c r="H90" s="390"/>
      <c r="I90" s="390"/>
      <c r="J90" s="390"/>
      <c r="K90" s="390"/>
      <c r="L90" s="390"/>
      <c r="M90" s="390"/>
      <c r="N90" s="390"/>
    </row>
    <row r="91" spans="1:15" x14ac:dyDescent="0.25">
      <c r="A91" s="970"/>
      <c r="B91" s="390"/>
      <c r="C91" s="390"/>
      <c r="D91" s="390"/>
      <c r="E91" s="390"/>
      <c r="F91" s="390"/>
      <c r="G91" s="390"/>
      <c r="H91" s="390"/>
      <c r="I91" s="390"/>
      <c r="J91" s="390"/>
      <c r="K91" s="390"/>
      <c r="L91" s="390"/>
      <c r="M91" s="390"/>
      <c r="N91" s="390"/>
    </row>
    <row r="92" spans="1:15" x14ac:dyDescent="0.25">
      <c r="A92" s="970"/>
      <c r="B92" s="425"/>
      <c r="C92" s="425"/>
      <c r="D92" s="425"/>
      <c r="E92" s="425"/>
      <c r="F92" s="61" t="s">
        <v>95</v>
      </c>
      <c r="G92" s="61"/>
      <c r="H92" s="61" t="s">
        <v>96</v>
      </c>
      <c r="I92" s="61"/>
      <c r="J92" s="61" t="s">
        <v>97</v>
      </c>
      <c r="K92" s="61"/>
      <c r="L92" s="61"/>
      <c r="M92" s="61"/>
      <c r="N92" s="61" t="s">
        <v>27</v>
      </c>
    </row>
    <row r="93" spans="1:15" x14ac:dyDescent="0.25">
      <c r="A93" s="970"/>
      <c r="B93" s="425"/>
      <c r="C93" s="425"/>
      <c r="D93" s="425"/>
      <c r="E93" s="425"/>
      <c r="F93" s="451"/>
      <c r="G93" s="425"/>
      <c r="H93" s="451"/>
      <c r="I93" s="425"/>
      <c r="J93" s="451"/>
      <c r="K93" s="425"/>
      <c r="L93" s="425"/>
      <c r="M93" s="425"/>
      <c r="N93" s="451"/>
    </row>
    <row r="94" spans="1:15" x14ac:dyDescent="0.25">
      <c r="A94" s="970"/>
      <c r="B94" s="466"/>
      <c r="C94" s="425" t="s">
        <v>748</v>
      </c>
      <c r="D94" s="425"/>
      <c r="E94" s="425"/>
      <c r="F94" s="454"/>
      <c r="G94" s="425"/>
      <c r="H94" s="185"/>
      <c r="I94" s="425"/>
      <c r="J94" s="61"/>
      <c r="K94" s="425"/>
      <c r="L94" s="61"/>
      <c r="M94" s="425"/>
      <c r="N94" s="454"/>
    </row>
    <row r="95" spans="1:15" s="467" customFormat="1" x14ac:dyDescent="0.25">
      <c r="A95" s="967"/>
      <c r="C95" s="390"/>
      <c r="D95" s="390" t="s">
        <v>542</v>
      </c>
      <c r="E95" s="390"/>
      <c r="F95" s="454">
        <v>375000</v>
      </c>
      <c r="G95" s="1202" t="s">
        <v>98</v>
      </c>
      <c r="H95" s="185" t="s">
        <v>486</v>
      </c>
      <c r="I95" s="1202" t="s">
        <v>98</v>
      </c>
      <c r="J95" s="1203">
        <v>9</v>
      </c>
      <c r="K95" s="390"/>
      <c r="L95" s="1202" t="s">
        <v>99</v>
      </c>
      <c r="M95" s="390"/>
      <c r="N95" s="997">
        <f>ROUND(F95/12*J95,0)</f>
        <v>281250</v>
      </c>
    </row>
    <row r="96" spans="1:15" s="993" customFormat="1" x14ac:dyDescent="0.25">
      <c r="A96" s="1202"/>
      <c r="C96" s="996"/>
      <c r="D96" s="996" t="s">
        <v>518</v>
      </c>
      <c r="E96" s="996"/>
      <c r="F96" s="993">
        <v>2020000</v>
      </c>
      <c r="G96" s="1202" t="s">
        <v>98</v>
      </c>
      <c r="H96" s="185" t="s">
        <v>486</v>
      </c>
      <c r="I96" s="1202" t="s">
        <v>98</v>
      </c>
      <c r="J96" s="1203">
        <v>9</v>
      </c>
      <c r="K96" s="996"/>
      <c r="L96" s="1202" t="s">
        <v>99</v>
      </c>
      <c r="M96" s="996"/>
      <c r="N96" s="1209">
        <f>ROUND(F96/12*J96,0)</f>
        <v>1515000</v>
      </c>
    </row>
    <row r="97" spans="1:25" s="467" customFormat="1" x14ac:dyDescent="0.25">
      <c r="A97" s="967"/>
      <c r="C97" s="390"/>
      <c r="D97" s="977" t="s">
        <v>633</v>
      </c>
      <c r="E97" s="390"/>
      <c r="F97" s="467">
        <f>'2016A'!E22*1000</f>
        <v>1625000</v>
      </c>
      <c r="G97" s="967" t="s">
        <v>98</v>
      </c>
      <c r="H97" s="185" t="s">
        <v>486</v>
      </c>
      <c r="I97" s="967" t="s">
        <v>98</v>
      </c>
      <c r="J97" s="968">
        <v>9</v>
      </c>
      <c r="K97" s="390"/>
      <c r="L97" s="967" t="s">
        <v>99</v>
      </c>
      <c r="M97" s="390"/>
      <c r="N97" s="1209">
        <f>ROUND(F97/12*J97,0)</f>
        <v>1218750</v>
      </c>
    </row>
    <row r="98" spans="1:25" s="467" customFormat="1" x14ac:dyDescent="0.25">
      <c r="A98" s="967"/>
      <c r="C98" s="390"/>
      <c r="D98" s="977" t="s">
        <v>634</v>
      </c>
      <c r="E98" s="390"/>
      <c r="F98" s="978">
        <v>1185000</v>
      </c>
      <c r="G98" s="967" t="s">
        <v>98</v>
      </c>
      <c r="H98" s="185" t="s">
        <v>486</v>
      </c>
      <c r="I98" s="967" t="s">
        <v>98</v>
      </c>
      <c r="J98" s="968">
        <v>9</v>
      </c>
      <c r="K98" s="390"/>
      <c r="L98" s="967" t="s">
        <v>99</v>
      </c>
      <c r="M98" s="390"/>
      <c r="N98" s="1209">
        <f t="shared" ref="N98:N103" si="1">ROUND(F98/12*J98,0)</f>
        <v>888750</v>
      </c>
    </row>
    <row r="99" spans="1:25" s="467" customFormat="1" x14ac:dyDescent="0.25">
      <c r="A99" s="967"/>
      <c r="C99" s="390"/>
      <c r="D99" s="977" t="s">
        <v>749</v>
      </c>
      <c r="E99" s="390"/>
      <c r="F99" s="978">
        <f>'2018A-1 (SRF)'!E17</f>
        <v>2798303</v>
      </c>
      <c r="G99" s="967" t="s">
        <v>98</v>
      </c>
      <c r="H99" s="185" t="s">
        <v>486</v>
      </c>
      <c r="I99" s="967" t="s">
        <v>98</v>
      </c>
      <c r="J99" s="968">
        <v>9</v>
      </c>
      <c r="K99" s="390"/>
      <c r="L99" s="967" t="s">
        <v>99</v>
      </c>
      <c r="M99" s="390"/>
      <c r="N99" s="467">
        <f t="shared" si="1"/>
        <v>2098727</v>
      </c>
    </row>
    <row r="100" spans="1:25" s="467" customFormat="1" x14ac:dyDescent="0.25">
      <c r="A100" s="967"/>
      <c r="C100" s="390"/>
      <c r="D100" s="977" t="s">
        <v>750</v>
      </c>
      <c r="E100" s="390"/>
      <c r="F100" s="791">
        <f>'2018A-2 (SRF)'!E19</f>
        <v>0</v>
      </c>
      <c r="G100" s="967" t="s">
        <v>98</v>
      </c>
      <c r="H100" s="185" t="s">
        <v>486</v>
      </c>
      <c r="I100" s="967" t="s">
        <v>98</v>
      </c>
      <c r="J100" s="968">
        <v>9</v>
      </c>
      <c r="K100" s="390"/>
      <c r="L100" s="967" t="s">
        <v>99</v>
      </c>
      <c r="M100" s="390"/>
      <c r="N100" s="791">
        <f t="shared" si="1"/>
        <v>0</v>
      </c>
    </row>
    <row r="101" spans="1:25" s="467" customFormat="1" x14ac:dyDescent="0.25">
      <c r="A101" s="967"/>
      <c r="C101" s="390"/>
      <c r="D101" s="977" t="s">
        <v>635</v>
      </c>
      <c r="E101" s="390"/>
      <c r="F101" s="978">
        <f>'2019 (OM)'!E18*1000</f>
        <v>695000</v>
      </c>
      <c r="G101" s="967" t="s">
        <v>98</v>
      </c>
      <c r="H101" s="185" t="s">
        <v>486</v>
      </c>
      <c r="I101" s="967" t="s">
        <v>98</v>
      </c>
      <c r="J101" s="968">
        <v>9</v>
      </c>
      <c r="K101" s="390"/>
      <c r="L101" s="967" t="s">
        <v>99</v>
      </c>
      <c r="M101" s="390"/>
      <c r="N101" s="467">
        <f t="shared" si="1"/>
        <v>521250</v>
      </c>
    </row>
    <row r="102" spans="1:25" s="467" customFormat="1" x14ac:dyDescent="0.25">
      <c r="A102" s="967"/>
      <c r="C102" s="390"/>
      <c r="D102" s="978" t="s">
        <v>751</v>
      </c>
      <c r="E102" s="390"/>
      <c r="F102" s="978">
        <f>'2020 (OM)'!E16*1000</f>
        <v>245000</v>
      </c>
      <c r="G102" s="967" t="s">
        <v>98</v>
      </c>
      <c r="H102" s="185" t="s">
        <v>486</v>
      </c>
      <c r="I102" s="967" t="s">
        <v>98</v>
      </c>
      <c r="J102" s="968">
        <v>9</v>
      </c>
      <c r="K102" s="390"/>
      <c r="L102" s="967" t="s">
        <v>99</v>
      </c>
      <c r="M102" s="390"/>
      <c r="N102" s="467">
        <f t="shared" si="1"/>
        <v>183750</v>
      </c>
    </row>
    <row r="103" spans="1:25" s="467" customFormat="1" hidden="1" x14ac:dyDescent="0.25">
      <c r="A103" s="967"/>
      <c r="C103" s="390"/>
      <c r="D103" s="390" t="s">
        <v>752</v>
      </c>
      <c r="E103" s="390"/>
      <c r="F103" s="791">
        <v>0</v>
      </c>
      <c r="G103" s="967" t="s">
        <v>98</v>
      </c>
      <c r="H103" s="185" t="s">
        <v>486</v>
      </c>
      <c r="I103" s="967" t="s">
        <v>98</v>
      </c>
      <c r="J103" s="968">
        <v>9</v>
      </c>
      <c r="K103" s="390"/>
      <c r="L103" s="967" t="s">
        <v>99</v>
      </c>
      <c r="M103" s="390"/>
      <c r="N103" s="791">
        <f t="shared" si="1"/>
        <v>0</v>
      </c>
    </row>
    <row r="104" spans="1:25" s="467" customFormat="1" x14ac:dyDescent="0.25">
      <c r="A104" s="967"/>
      <c r="C104" s="390"/>
      <c r="D104" s="390"/>
      <c r="E104" s="390"/>
      <c r="G104" s="967"/>
      <c r="H104" s="183"/>
      <c r="I104" s="967"/>
      <c r="J104" s="967"/>
      <c r="K104" s="390"/>
      <c r="L104" s="967"/>
      <c r="M104" s="390"/>
    </row>
    <row r="105" spans="1:25" s="467" customFormat="1" ht="15" customHeight="1" x14ac:dyDescent="0.25">
      <c r="A105" s="967"/>
      <c r="C105" s="390" t="s">
        <v>753</v>
      </c>
      <c r="D105" s="390"/>
      <c r="E105" s="390"/>
      <c r="G105" s="967"/>
      <c r="H105" s="183"/>
      <c r="I105" s="967"/>
      <c r="J105" s="967"/>
      <c r="K105" s="390"/>
      <c r="L105" s="967"/>
      <c r="M105" s="390"/>
    </row>
    <row r="106" spans="1:25" s="467" customFormat="1" x14ac:dyDescent="0.25">
      <c r="A106" s="967"/>
      <c r="C106" s="390"/>
      <c r="D106" s="390" t="s">
        <v>542</v>
      </c>
      <c r="E106" s="390"/>
      <c r="F106" s="467">
        <v>301141</v>
      </c>
      <c r="G106" s="1202" t="s">
        <v>98</v>
      </c>
      <c r="H106" s="183" t="s">
        <v>487</v>
      </c>
      <c r="I106" s="1202" t="s">
        <v>98</v>
      </c>
      <c r="J106" s="1203">
        <v>3</v>
      </c>
      <c r="K106" s="996"/>
      <c r="L106" s="1202" t="s">
        <v>99</v>
      </c>
      <c r="M106" s="390"/>
      <c r="N106" s="993">
        <f>ROUND(F106/6*J106,0)-1</f>
        <v>150570</v>
      </c>
    </row>
    <row r="107" spans="1:25" s="993" customFormat="1" x14ac:dyDescent="0.25">
      <c r="A107" s="1202"/>
      <c r="C107" s="996"/>
      <c r="D107" s="996" t="s">
        <v>518</v>
      </c>
      <c r="E107" s="996"/>
      <c r="F107" s="993">
        <v>281500</v>
      </c>
      <c r="G107" s="1202" t="s">
        <v>98</v>
      </c>
      <c r="H107" s="183" t="str">
        <f t="shared" ref="H107:H114" si="2">H106</f>
        <v>1/6</v>
      </c>
      <c r="I107" s="1202" t="s">
        <v>98</v>
      </c>
      <c r="J107" s="1203">
        <v>3</v>
      </c>
      <c r="K107" s="996"/>
      <c r="L107" s="1202" t="s">
        <v>99</v>
      </c>
      <c r="M107" s="996"/>
      <c r="N107" s="993">
        <f t="shared" ref="N107:N114" si="3">ROUND(F107/6*J107,0)</f>
        <v>140750</v>
      </c>
    </row>
    <row r="108" spans="1:25" s="467" customFormat="1" x14ac:dyDescent="0.25">
      <c r="A108" s="967"/>
      <c r="C108" s="390"/>
      <c r="D108" s="977" t="s">
        <v>633</v>
      </c>
      <c r="E108" s="390"/>
      <c r="F108" s="978">
        <f>'2016A'!I22</f>
        <v>729700</v>
      </c>
      <c r="G108" s="967" t="s">
        <v>98</v>
      </c>
      <c r="H108" s="183" t="s">
        <v>487</v>
      </c>
      <c r="I108" s="967" t="s">
        <v>98</v>
      </c>
      <c r="J108" s="968">
        <v>3</v>
      </c>
      <c r="K108" s="390"/>
      <c r="L108" s="967" t="s">
        <v>99</v>
      </c>
      <c r="M108" s="390"/>
      <c r="N108" s="467">
        <f t="shared" si="3"/>
        <v>364850</v>
      </c>
    </row>
    <row r="109" spans="1:25" s="467" customFormat="1" x14ac:dyDescent="0.25">
      <c r="A109" s="967"/>
      <c r="C109" s="390"/>
      <c r="D109" s="977" t="s">
        <v>634</v>
      </c>
      <c r="E109" s="390"/>
      <c r="F109" s="978">
        <f>'2016B'!I22</f>
        <v>473146.88</v>
      </c>
      <c r="G109" s="967" t="s">
        <v>98</v>
      </c>
      <c r="H109" s="183" t="str">
        <f t="shared" si="2"/>
        <v>1/6</v>
      </c>
      <c r="I109" s="967" t="s">
        <v>98</v>
      </c>
      <c r="J109" s="968">
        <v>3</v>
      </c>
      <c r="K109" s="390"/>
      <c r="L109" s="967" t="s">
        <v>99</v>
      </c>
      <c r="M109" s="390"/>
      <c r="N109" s="467">
        <f t="shared" si="3"/>
        <v>236573</v>
      </c>
    </row>
    <row r="110" spans="1:25" s="467" customFormat="1" x14ac:dyDescent="0.25">
      <c r="A110" s="967"/>
      <c r="C110" s="390"/>
      <c r="D110" s="979" t="s">
        <v>749</v>
      </c>
      <c r="E110" s="390"/>
      <c r="F110" s="467">
        <f>'2018A-1 (SRF)'!I17</f>
        <v>86255</v>
      </c>
      <c r="G110" s="967" t="s">
        <v>98</v>
      </c>
      <c r="H110" s="183" t="str">
        <f t="shared" si="2"/>
        <v>1/6</v>
      </c>
      <c r="I110" s="967" t="s">
        <v>98</v>
      </c>
      <c r="J110" s="968">
        <v>3</v>
      </c>
      <c r="K110" s="390"/>
      <c r="L110" s="967" t="s">
        <v>99</v>
      </c>
      <c r="M110" s="390"/>
      <c r="N110" s="466">
        <f t="shared" si="3"/>
        <v>43128</v>
      </c>
    </row>
    <row r="111" spans="1:25" s="467" customFormat="1" x14ac:dyDescent="0.25">
      <c r="A111" s="967"/>
      <c r="C111" s="390"/>
      <c r="D111" s="979" t="s">
        <v>750</v>
      </c>
      <c r="E111" s="390"/>
      <c r="F111" s="467">
        <f>'2018A-2 (SRF)'!I19</f>
        <v>1168570</v>
      </c>
      <c r="G111" s="967" t="s">
        <v>98</v>
      </c>
      <c r="H111" s="183" t="str">
        <f t="shared" si="2"/>
        <v>1/6</v>
      </c>
      <c r="I111" s="967" t="s">
        <v>98</v>
      </c>
      <c r="J111" s="968">
        <v>3</v>
      </c>
      <c r="K111" s="390"/>
      <c r="L111" s="967" t="s">
        <v>99</v>
      </c>
      <c r="M111" s="390"/>
      <c r="N111" s="467">
        <f t="shared" si="3"/>
        <v>584285</v>
      </c>
    </row>
    <row r="112" spans="1:25" s="467" customFormat="1" x14ac:dyDescent="0.25">
      <c r="A112" s="967"/>
      <c r="C112" s="390"/>
      <c r="D112" s="979" t="s">
        <v>635</v>
      </c>
      <c r="E112" s="390"/>
      <c r="F112" s="467">
        <f>'2019 (OM)'!I18</f>
        <v>567546.88</v>
      </c>
      <c r="G112" s="967" t="s">
        <v>98</v>
      </c>
      <c r="H112" s="183" t="str">
        <f t="shared" si="2"/>
        <v>1/6</v>
      </c>
      <c r="I112" s="967" t="s">
        <v>98</v>
      </c>
      <c r="J112" s="968">
        <v>3</v>
      </c>
      <c r="K112" s="390"/>
      <c r="L112" s="967" t="s">
        <v>99</v>
      </c>
      <c r="M112" s="390"/>
      <c r="N112" s="466">
        <f t="shared" si="3"/>
        <v>283773</v>
      </c>
      <c r="P112" s="466"/>
      <c r="Q112" s="466"/>
      <c r="R112" s="466"/>
      <c r="S112" s="466"/>
      <c r="T112" s="466"/>
      <c r="U112" s="466"/>
      <c r="V112" s="466"/>
      <c r="W112" s="466"/>
      <c r="X112" s="466"/>
      <c r="Y112" s="466"/>
    </row>
    <row r="113" spans="1:26" s="467" customFormat="1" x14ac:dyDescent="0.25">
      <c r="A113" s="967"/>
      <c r="C113" s="390"/>
      <c r="D113" s="978" t="s">
        <v>751</v>
      </c>
      <c r="E113" s="390"/>
      <c r="F113" s="467">
        <f>'2020 (OM)'!I16</f>
        <v>379618.43</v>
      </c>
      <c r="G113" s="967" t="s">
        <v>98</v>
      </c>
      <c r="H113" s="183" t="str">
        <f t="shared" si="2"/>
        <v>1/6</v>
      </c>
      <c r="I113" s="967" t="s">
        <v>98</v>
      </c>
      <c r="J113" s="968">
        <v>3</v>
      </c>
      <c r="K113" s="390"/>
      <c r="L113" s="967" t="s">
        <v>99</v>
      </c>
      <c r="M113" s="390"/>
      <c r="N113" s="994">
        <f t="shared" si="3"/>
        <v>189809</v>
      </c>
      <c r="P113" s="466"/>
      <c r="Q113" s="466"/>
      <c r="R113" s="466"/>
      <c r="S113" s="466"/>
      <c r="T113" s="466"/>
      <c r="U113" s="466"/>
      <c r="V113" s="466"/>
      <c r="W113" s="466"/>
      <c r="X113" s="466"/>
      <c r="Y113" s="466"/>
    </row>
    <row r="114" spans="1:26" s="467" customFormat="1" hidden="1" x14ac:dyDescent="0.25">
      <c r="A114" s="967"/>
      <c r="C114" s="390"/>
      <c r="D114" s="390" t="s">
        <v>752</v>
      </c>
      <c r="E114" s="390"/>
      <c r="F114" s="791">
        <v>0</v>
      </c>
      <c r="G114" s="967" t="s">
        <v>98</v>
      </c>
      <c r="H114" s="183" t="str">
        <f t="shared" si="2"/>
        <v>1/6</v>
      </c>
      <c r="I114" s="967" t="s">
        <v>98</v>
      </c>
      <c r="J114" s="968">
        <v>3</v>
      </c>
      <c r="K114" s="390"/>
      <c r="L114" s="967" t="s">
        <v>99</v>
      </c>
      <c r="M114" s="390"/>
      <c r="N114" s="1100">
        <f t="shared" si="3"/>
        <v>0</v>
      </c>
      <c r="P114" s="466"/>
      <c r="Q114" s="466"/>
      <c r="R114" s="466"/>
      <c r="S114" s="466"/>
      <c r="T114" s="466"/>
      <c r="U114" s="466"/>
      <c r="V114" s="466"/>
      <c r="W114" s="466"/>
      <c r="X114" s="466"/>
      <c r="Y114" s="466"/>
    </row>
    <row r="115" spans="1:26" s="467" customFormat="1" x14ac:dyDescent="0.25">
      <c r="A115" s="967"/>
      <c r="C115" s="390"/>
      <c r="D115" s="390"/>
      <c r="E115" s="390"/>
      <c r="G115" s="967"/>
      <c r="H115" s="183"/>
      <c r="I115" s="967"/>
      <c r="J115" s="968"/>
      <c r="K115" s="390"/>
      <c r="L115" s="967"/>
      <c r="M115" s="390"/>
      <c r="N115" s="466"/>
      <c r="P115" s="466"/>
      <c r="Q115" s="466"/>
      <c r="R115" s="466"/>
      <c r="S115" s="466"/>
      <c r="T115" s="466"/>
      <c r="U115" s="466"/>
      <c r="V115" s="466"/>
      <c r="W115" s="466"/>
      <c r="X115" s="466"/>
      <c r="Y115" s="466"/>
    </row>
    <row r="116" spans="1:26" s="467" customFormat="1" ht="16.5" thickBot="1" x14ac:dyDescent="0.3">
      <c r="A116" s="967"/>
      <c r="B116" s="390"/>
      <c r="C116" s="390"/>
      <c r="D116" s="390"/>
      <c r="E116" s="390" t="s">
        <v>94</v>
      </c>
      <c r="F116" s="390"/>
      <c r="G116" s="390"/>
      <c r="H116" s="390"/>
      <c r="I116" s="390"/>
      <c r="J116" s="390"/>
      <c r="K116" s="390"/>
      <c r="L116" s="390"/>
      <c r="M116" s="390"/>
      <c r="N116" s="448">
        <f>SUM(N95:N114)</f>
        <v>8701215</v>
      </c>
      <c r="P116" s="425"/>
      <c r="Q116" s="425"/>
      <c r="R116" s="466"/>
      <c r="S116" s="466"/>
      <c r="T116" s="61"/>
      <c r="U116" s="185"/>
      <c r="V116" s="61"/>
      <c r="W116" s="208"/>
      <c r="X116" s="425"/>
      <c r="Y116" s="61"/>
      <c r="Z116" s="390"/>
    </row>
    <row r="117" spans="1:26" s="467" customFormat="1" ht="16.5" thickTop="1" x14ac:dyDescent="0.25">
      <c r="B117" s="390"/>
      <c r="C117" s="390"/>
      <c r="D117" s="390"/>
      <c r="E117" s="390"/>
      <c r="F117" s="390"/>
      <c r="G117" s="390"/>
      <c r="H117" s="390"/>
      <c r="I117" s="390"/>
      <c r="J117" s="390"/>
      <c r="K117" s="390"/>
      <c r="L117" s="390"/>
      <c r="M117" s="390"/>
      <c r="N117" s="980"/>
      <c r="P117" s="466"/>
      <c r="Q117" s="466"/>
      <c r="R117" s="466"/>
      <c r="S117" s="466"/>
      <c r="T117" s="466"/>
      <c r="U117" s="466"/>
      <c r="V117" s="466"/>
      <c r="W117" s="466"/>
      <c r="X117" s="466"/>
      <c r="Y117" s="466"/>
    </row>
    <row r="118" spans="1:26" s="467" customFormat="1" x14ac:dyDescent="0.25">
      <c r="A118" s="170" t="s">
        <v>100</v>
      </c>
      <c r="B118" s="981" t="s">
        <v>754</v>
      </c>
      <c r="D118" s="390"/>
      <c r="E118" s="390"/>
      <c r="F118" s="390"/>
      <c r="G118" s="390"/>
      <c r="H118" s="390"/>
      <c r="I118" s="390"/>
      <c r="J118" s="390"/>
      <c r="K118" s="390"/>
      <c r="L118" s="390"/>
      <c r="M118" s="390"/>
      <c r="N118" s="390"/>
      <c r="O118" s="390"/>
      <c r="P118" s="425"/>
      <c r="Q118" s="425"/>
      <c r="R118" s="466"/>
      <c r="S118" s="466"/>
      <c r="T118" s="466"/>
      <c r="U118" s="466"/>
      <c r="V118" s="466"/>
      <c r="W118" s="466"/>
      <c r="X118" s="466"/>
      <c r="Y118" s="466"/>
    </row>
    <row r="119" spans="1:26" s="467" customFormat="1" x14ac:dyDescent="0.25">
      <c r="B119" s="977" t="s">
        <v>755</v>
      </c>
      <c r="C119" s="978"/>
      <c r="D119" s="390"/>
      <c r="E119" s="390"/>
      <c r="F119" s="390"/>
      <c r="G119" s="390"/>
      <c r="H119" s="390"/>
      <c r="I119" s="390"/>
      <c r="J119" s="390"/>
      <c r="K119" s="425"/>
      <c r="L119" s="466"/>
      <c r="M119" s="425"/>
      <c r="N119" s="454"/>
      <c r="P119" s="425"/>
      <c r="Q119" s="425"/>
      <c r="R119" s="466"/>
      <c r="S119" s="466"/>
      <c r="T119" s="466"/>
      <c r="U119" s="466"/>
      <c r="V119" s="466"/>
      <c r="W119" s="466"/>
      <c r="X119" s="466"/>
      <c r="Y119" s="466"/>
    </row>
    <row r="120" spans="1:26" s="467" customFormat="1" x14ac:dyDescent="0.25">
      <c r="B120" s="978" t="s">
        <v>954</v>
      </c>
      <c r="C120" s="977"/>
      <c r="D120" s="390"/>
      <c r="E120" s="390"/>
      <c r="F120" s="390"/>
      <c r="G120" s="390"/>
      <c r="H120" s="390"/>
      <c r="I120" s="390"/>
      <c r="J120" s="390"/>
      <c r="K120" s="425"/>
      <c r="L120" s="466"/>
      <c r="M120" s="425"/>
      <c r="N120" s="454"/>
      <c r="P120" s="425"/>
      <c r="Q120" s="425"/>
      <c r="R120" s="466"/>
      <c r="S120" s="466"/>
      <c r="T120" s="466"/>
      <c r="U120" s="466"/>
      <c r="V120" s="466"/>
      <c r="W120" s="466"/>
      <c r="X120" s="466"/>
      <c r="Y120" s="466"/>
    </row>
    <row r="121" spans="1:26" s="467" customFormat="1" x14ac:dyDescent="0.25">
      <c r="B121" s="978" t="s">
        <v>955</v>
      </c>
      <c r="C121" s="977"/>
      <c r="D121" s="390"/>
      <c r="E121" s="390"/>
      <c r="F121" s="390"/>
      <c r="G121" s="390"/>
      <c r="H121" s="390"/>
      <c r="I121" s="390"/>
      <c r="J121" s="390"/>
      <c r="K121" s="425"/>
      <c r="L121" s="466"/>
      <c r="M121" s="425"/>
      <c r="N121" s="454"/>
      <c r="P121" s="466"/>
      <c r="Q121" s="466"/>
      <c r="R121" s="466"/>
      <c r="S121" s="466"/>
      <c r="T121" s="466"/>
      <c r="U121" s="466"/>
      <c r="V121" s="466"/>
      <c r="W121" s="466"/>
      <c r="X121" s="466"/>
      <c r="Y121" s="466"/>
    </row>
    <row r="122" spans="1:26" s="467" customFormat="1" x14ac:dyDescent="0.25">
      <c r="B122" s="978" t="s">
        <v>956</v>
      </c>
      <c r="C122" s="977"/>
      <c r="D122" s="390"/>
      <c r="E122" s="390"/>
      <c r="F122" s="390"/>
      <c r="G122" s="390"/>
      <c r="H122" s="390"/>
      <c r="I122" s="390"/>
      <c r="J122" s="390"/>
      <c r="K122" s="425"/>
      <c r="L122" s="466"/>
      <c r="M122" s="425"/>
      <c r="N122" s="454"/>
      <c r="P122" s="466"/>
      <c r="Q122" s="466"/>
      <c r="R122" s="466"/>
      <c r="S122" s="466"/>
      <c r="T122" s="466"/>
      <c r="U122" s="466"/>
      <c r="V122" s="466"/>
      <c r="W122" s="466"/>
      <c r="X122" s="466"/>
      <c r="Y122" s="466"/>
    </row>
    <row r="123" spans="1:26" s="993" customFormat="1" x14ac:dyDescent="0.25">
      <c r="B123" s="978" t="s">
        <v>957</v>
      </c>
      <c r="C123" s="977"/>
      <c r="D123" s="996"/>
      <c r="E123" s="996"/>
      <c r="F123" s="996"/>
      <c r="G123" s="996"/>
      <c r="H123" s="996"/>
      <c r="I123" s="996"/>
      <c r="J123" s="996"/>
      <c r="K123" s="425"/>
      <c r="L123" s="466"/>
      <c r="M123" s="425"/>
      <c r="N123" s="454"/>
      <c r="P123" s="466"/>
      <c r="Q123" s="466"/>
      <c r="R123" s="466"/>
      <c r="S123" s="466"/>
      <c r="T123" s="466"/>
      <c r="U123" s="466"/>
      <c r="V123" s="466"/>
      <c r="W123" s="466"/>
      <c r="X123" s="466"/>
      <c r="Y123" s="466"/>
    </row>
    <row r="124" spans="1:26" s="467" customFormat="1" x14ac:dyDescent="0.25">
      <c r="C124" s="390"/>
      <c r="D124" s="390"/>
      <c r="E124" s="390"/>
      <c r="F124" s="390"/>
      <c r="G124" s="390"/>
      <c r="H124" s="390"/>
      <c r="I124" s="390"/>
      <c r="J124" s="390"/>
      <c r="K124" s="425"/>
      <c r="L124" s="466"/>
      <c r="M124" s="425"/>
      <c r="N124" s="454"/>
      <c r="P124" s="466"/>
      <c r="Q124" s="466"/>
      <c r="R124" s="466"/>
      <c r="S124" s="466"/>
      <c r="T124" s="466"/>
      <c r="U124" s="466"/>
      <c r="V124" s="466"/>
      <c r="W124" s="466"/>
      <c r="X124" s="466"/>
      <c r="Y124" s="466"/>
    </row>
    <row r="125" spans="1:26" s="993" customFormat="1" x14ac:dyDescent="0.25">
      <c r="C125" s="977" t="s">
        <v>986</v>
      </c>
      <c r="D125" s="977"/>
      <c r="E125" s="977"/>
      <c r="F125" s="977"/>
      <c r="G125" s="977"/>
      <c r="H125" s="977"/>
      <c r="I125" s="977"/>
      <c r="J125" s="983">
        <v>1561314</v>
      </c>
      <c r="K125" s="425"/>
      <c r="L125" s="466"/>
      <c r="M125" s="425"/>
      <c r="N125" s="454"/>
      <c r="P125" s="466"/>
      <c r="Q125" s="466"/>
      <c r="R125" s="466"/>
      <c r="S125" s="466"/>
      <c r="T125" s="466"/>
      <c r="U125" s="466"/>
      <c r="V125" s="466"/>
      <c r="W125" s="466"/>
      <c r="X125" s="466"/>
      <c r="Y125" s="466"/>
    </row>
    <row r="126" spans="1:26" s="993" customFormat="1" x14ac:dyDescent="0.25">
      <c r="C126" s="977" t="s">
        <v>633</v>
      </c>
      <c r="D126" s="977"/>
      <c r="E126" s="977"/>
      <c r="F126" s="977"/>
      <c r="G126" s="977"/>
      <c r="H126" s="977"/>
      <c r="I126" s="977"/>
      <c r="J126" s="985">
        <f>ROUND(3605160.74,0)</f>
        <v>3605161</v>
      </c>
      <c r="K126" s="425"/>
      <c r="L126" s="466"/>
      <c r="M126" s="425"/>
      <c r="N126" s="454"/>
      <c r="P126" s="466"/>
      <c r="Q126" s="466"/>
      <c r="R126" s="466"/>
      <c r="S126" s="466"/>
      <c r="T126" s="466"/>
      <c r="U126" s="466"/>
      <c r="V126" s="466"/>
      <c r="W126" s="466"/>
      <c r="X126" s="466"/>
      <c r="Y126" s="466"/>
    </row>
    <row r="127" spans="1:26" s="467" customFormat="1" x14ac:dyDescent="0.25">
      <c r="C127" s="390"/>
      <c r="D127" s="390"/>
      <c r="E127" s="390"/>
      <c r="F127" s="390"/>
      <c r="G127" s="390"/>
      <c r="H127" s="390"/>
      <c r="I127" s="390"/>
      <c r="J127" s="390"/>
      <c r="K127" s="425"/>
      <c r="L127" s="466"/>
      <c r="M127" s="425"/>
      <c r="N127" s="454"/>
      <c r="P127" s="466"/>
      <c r="Q127" s="466"/>
      <c r="R127" s="466"/>
      <c r="S127" s="466"/>
      <c r="T127" s="466"/>
      <c r="U127" s="466"/>
      <c r="V127" s="466"/>
      <c r="W127" s="466"/>
      <c r="X127" s="466"/>
      <c r="Y127" s="466"/>
    </row>
    <row r="128" spans="1:26" s="993" customFormat="1" x14ac:dyDescent="0.25">
      <c r="C128" s="996"/>
      <c r="D128" s="996"/>
      <c r="E128" s="996"/>
      <c r="F128" s="996"/>
      <c r="G128" s="996"/>
      <c r="H128" s="977" t="s">
        <v>107</v>
      </c>
      <c r="I128" s="977"/>
      <c r="J128" s="977"/>
      <c r="K128" s="977"/>
      <c r="L128" s="978"/>
      <c r="M128" s="977"/>
      <c r="N128" s="1210">
        <f>SUM(J125:J126)</f>
        <v>5166475</v>
      </c>
      <c r="P128" s="466"/>
      <c r="Q128" s="466"/>
      <c r="R128" s="466"/>
      <c r="S128" s="466"/>
      <c r="T128" s="466"/>
      <c r="U128" s="466"/>
      <c r="V128" s="466"/>
      <c r="W128" s="466"/>
      <c r="X128" s="466"/>
      <c r="Y128" s="466"/>
    </row>
    <row r="129" spans="2:25" s="467" customFormat="1" ht="7.15" customHeight="1" x14ac:dyDescent="0.25">
      <c r="C129" s="390"/>
      <c r="D129" s="390"/>
      <c r="E129" s="390"/>
      <c r="F129" s="390"/>
      <c r="G129" s="390"/>
      <c r="H129" s="390"/>
      <c r="I129" s="390"/>
      <c r="J129" s="390"/>
      <c r="K129" s="425"/>
      <c r="L129" s="466"/>
      <c r="M129" s="425"/>
      <c r="P129" s="466"/>
      <c r="Q129" s="466"/>
      <c r="R129" s="466"/>
      <c r="S129" s="466"/>
      <c r="T129" s="466"/>
      <c r="U129" s="466"/>
      <c r="V129" s="466"/>
      <c r="W129" s="466"/>
      <c r="X129" s="466"/>
      <c r="Y129" s="466"/>
    </row>
    <row r="130" spans="2:25" s="467" customFormat="1" ht="16.5" hidden="1" thickBot="1" x14ac:dyDescent="0.3">
      <c r="C130" s="390"/>
      <c r="D130" s="390"/>
      <c r="E130" s="390"/>
      <c r="F130" s="390"/>
      <c r="G130" s="390"/>
      <c r="H130" s="390" t="s">
        <v>107</v>
      </c>
      <c r="I130" s="390"/>
      <c r="J130" s="390"/>
      <c r="K130" s="425"/>
      <c r="L130" s="466"/>
      <c r="M130" s="425"/>
      <c r="N130" s="470">
        <f>SUM(N127:N127)</f>
        <v>0</v>
      </c>
      <c r="P130" s="466"/>
      <c r="Q130" s="466"/>
      <c r="R130" s="466"/>
      <c r="S130" s="466"/>
      <c r="T130" s="466"/>
      <c r="U130" s="466"/>
      <c r="V130" s="466"/>
      <c r="W130" s="466"/>
      <c r="X130" s="466"/>
      <c r="Y130" s="466"/>
    </row>
    <row r="131" spans="2:25" s="467" customFormat="1" hidden="1" x14ac:dyDescent="0.25">
      <c r="C131" s="390"/>
      <c r="D131" s="390"/>
      <c r="E131" s="390"/>
      <c r="F131" s="390"/>
      <c r="G131" s="390"/>
      <c r="H131" s="390"/>
      <c r="I131" s="390"/>
      <c r="J131" s="390"/>
      <c r="K131" s="425"/>
      <c r="L131" s="466"/>
      <c r="M131" s="425"/>
      <c r="N131" s="454"/>
      <c r="P131" s="466"/>
      <c r="Q131" s="466"/>
      <c r="R131" s="466"/>
      <c r="S131" s="466"/>
      <c r="T131" s="466"/>
      <c r="U131" s="466"/>
      <c r="V131" s="466"/>
      <c r="W131" s="466"/>
      <c r="X131" s="466"/>
      <c r="Y131" s="466"/>
    </row>
    <row r="132" spans="2:25" s="467" customFormat="1" x14ac:dyDescent="0.25">
      <c r="B132" s="982" t="s">
        <v>756</v>
      </c>
      <c r="C132" s="390"/>
      <c r="D132" s="390"/>
      <c r="E132" s="390"/>
      <c r="F132" s="390"/>
      <c r="G132" s="390"/>
      <c r="H132" s="390"/>
      <c r="I132" s="390"/>
      <c r="J132" s="390"/>
      <c r="K132" s="425"/>
      <c r="L132" s="466"/>
      <c r="M132" s="425"/>
      <c r="N132" s="454"/>
      <c r="P132" s="466"/>
      <c r="Q132" s="466"/>
      <c r="R132" s="466"/>
      <c r="S132" s="466"/>
      <c r="T132" s="466"/>
      <c r="U132" s="466"/>
      <c r="V132" s="466"/>
      <c r="W132" s="466"/>
      <c r="X132" s="466"/>
      <c r="Y132" s="466"/>
    </row>
    <row r="133" spans="2:25" s="467" customFormat="1" x14ac:dyDescent="0.25">
      <c r="B133" s="978" t="s">
        <v>757</v>
      </c>
      <c r="C133" s="390"/>
      <c r="D133" s="390"/>
      <c r="E133" s="390"/>
      <c r="F133" s="390"/>
      <c r="G133" s="390"/>
      <c r="H133" s="390"/>
      <c r="I133" s="390"/>
      <c r="J133" s="390"/>
      <c r="K133" s="425"/>
      <c r="L133" s="466"/>
      <c r="M133" s="425"/>
      <c r="N133" s="454"/>
      <c r="P133" s="466"/>
      <c r="Q133" s="466"/>
      <c r="R133" s="466"/>
      <c r="S133" s="466"/>
      <c r="T133" s="466"/>
      <c r="U133" s="466"/>
      <c r="V133" s="466"/>
      <c r="W133" s="466"/>
      <c r="X133" s="466"/>
      <c r="Y133" s="466"/>
    </row>
    <row r="134" spans="2:25" s="467" customFormat="1" x14ac:dyDescent="0.25">
      <c r="B134" s="978" t="s">
        <v>758</v>
      </c>
      <c r="C134" s="390"/>
      <c r="D134" s="390"/>
      <c r="E134" s="390"/>
      <c r="F134" s="390"/>
      <c r="G134" s="390"/>
      <c r="H134" s="390"/>
      <c r="I134" s="390"/>
      <c r="J134" s="390"/>
      <c r="K134" s="425"/>
      <c r="L134" s="466"/>
      <c r="M134" s="425"/>
      <c r="N134" s="454"/>
      <c r="P134" s="466"/>
      <c r="Q134" s="466"/>
      <c r="R134" s="466"/>
      <c r="S134" s="466"/>
      <c r="T134" s="466"/>
      <c r="U134" s="466"/>
      <c r="V134" s="466"/>
      <c r="W134" s="466"/>
      <c r="X134" s="466"/>
      <c r="Y134" s="466"/>
    </row>
    <row r="135" spans="2:25" s="467" customFormat="1" x14ac:dyDescent="0.25">
      <c r="B135" s="978" t="s">
        <v>759</v>
      </c>
      <c r="C135" s="390"/>
      <c r="D135" s="390"/>
      <c r="E135" s="390"/>
      <c r="F135" s="390"/>
      <c r="G135" s="390"/>
      <c r="H135" s="390"/>
      <c r="I135" s="390"/>
      <c r="J135" s="390"/>
      <c r="K135" s="425"/>
      <c r="L135" s="466"/>
      <c r="M135" s="425"/>
      <c r="N135" s="454"/>
      <c r="P135" s="466"/>
      <c r="Q135" s="466"/>
      <c r="R135" s="466"/>
      <c r="S135" s="466"/>
      <c r="T135" s="466"/>
      <c r="U135" s="466"/>
      <c r="V135" s="466"/>
      <c r="W135" s="466"/>
      <c r="X135" s="466"/>
      <c r="Y135" s="466"/>
    </row>
    <row r="136" spans="2:25" s="467" customFormat="1" x14ac:dyDescent="0.25">
      <c r="B136" s="978" t="s">
        <v>760</v>
      </c>
      <c r="C136" s="390"/>
      <c r="D136" s="390"/>
      <c r="E136" s="390"/>
      <c r="F136" s="390"/>
      <c r="G136" s="390"/>
      <c r="H136" s="390"/>
      <c r="I136" s="390"/>
      <c r="J136" s="390"/>
      <c r="K136" s="425"/>
      <c r="L136" s="466"/>
      <c r="M136" s="425"/>
      <c r="N136" s="454"/>
      <c r="P136" s="466"/>
      <c r="Q136" s="466"/>
      <c r="R136" s="466"/>
      <c r="S136" s="466"/>
      <c r="T136" s="466"/>
      <c r="U136" s="466"/>
      <c r="V136" s="466"/>
      <c r="W136" s="466"/>
      <c r="X136" s="466"/>
      <c r="Y136" s="466"/>
    </row>
    <row r="137" spans="2:25" s="467" customFormat="1" x14ac:dyDescent="0.25">
      <c r="B137" s="978" t="s">
        <v>761</v>
      </c>
      <c r="C137" s="390"/>
      <c r="D137" s="390"/>
      <c r="E137" s="390"/>
      <c r="F137" s="390"/>
      <c r="G137" s="390"/>
      <c r="H137" s="390"/>
      <c r="I137" s="390"/>
      <c r="J137" s="390"/>
      <c r="K137" s="425"/>
      <c r="L137" s="466"/>
      <c r="M137" s="425"/>
      <c r="N137" s="454"/>
      <c r="P137" s="466"/>
      <c r="Q137" s="466"/>
      <c r="R137" s="466"/>
      <c r="S137" s="466"/>
      <c r="T137" s="466"/>
      <c r="U137" s="466"/>
      <c r="V137" s="466"/>
      <c r="W137" s="466"/>
      <c r="X137" s="466"/>
      <c r="Y137" s="466"/>
    </row>
    <row r="138" spans="2:25" s="467" customFormat="1" x14ac:dyDescent="0.25">
      <c r="B138" s="978" t="s">
        <v>958</v>
      </c>
      <c r="C138" s="390"/>
      <c r="D138" s="390"/>
      <c r="E138" s="390"/>
      <c r="F138" s="390"/>
      <c r="G138" s="390"/>
      <c r="H138" s="390"/>
      <c r="I138" s="390"/>
      <c r="J138" s="390"/>
      <c r="K138" s="425"/>
      <c r="L138" s="466"/>
      <c r="M138" s="425"/>
      <c r="N138" s="454"/>
      <c r="P138" s="466"/>
      <c r="Q138" s="466"/>
      <c r="R138" s="466"/>
      <c r="S138" s="466"/>
      <c r="T138" s="466"/>
      <c r="U138" s="466"/>
      <c r="V138" s="466"/>
      <c r="W138" s="466"/>
      <c r="X138" s="466"/>
      <c r="Y138" s="466"/>
    </row>
    <row r="139" spans="2:25" s="467" customFormat="1" x14ac:dyDescent="0.25">
      <c r="B139" s="978"/>
      <c r="C139" s="390"/>
      <c r="D139" s="390"/>
      <c r="E139" s="390"/>
      <c r="F139" s="390"/>
      <c r="G139" s="390"/>
      <c r="H139" s="390"/>
      <c r="I139" s="390"/>
      <c r="J139" s="390"/>
      <c r="K139" s="425"/>
      <c r="L139" s="466"/>
      <c r="M139" s="425"/>
      <c r="N139" s="454"/>
      <c r="P139" s="466"/>
      <c r="Q139" s="466"/>
      <c r="R139" s="466"/>
      <c r="S139" s="466"/>
      <c r="T139" s="466"/>
      <c r="U139" s="466"/>
      <c r="V139" s="466"/>
      <c r="W139" s="466"/>
      <c r="X139" s="466"/>
      <c r="Y139" s="466"/>
    </row>
    <row r="140" spans="2:25" s="467" customFormat="1" x14ac:dyDescent="0.25">
      <c r="B140" s="978"/>
      <c r="C140" s="977" t="s">
        <v>762</v>
      </c>
      <c r="D140" s="977"/>
      <c r="E140" s="977"/>
      <c r="F140" s="977"/>
      <c r="G140" s="977"/>
      <c r="H140" s="977"/>
      <c r="I140" s="977"/>
      <c r="J140" s="983">
        <v>5308000</v>
      </c>
      <c r="K140" s="425"/>
      <c r="L140" s="466"/>
      <c r="M140" s="425"/>
      <c r="N140" s="454"/>
      <c r="P140" s="466"/>
      <c r="Q140" s="466"/>
      <c r="R140" s="466"/>
      <c r="S140" s="466"/>
      <c r="T140" s="466"/>
      <c r="U140" s="466"/>
      <c r="V140" s="466"/>
      <c r="W140" s="466"/>
      <c r="X140" s="466"/>
      <c r="Y140" s="466"/>
    </row>
    <row r="141" spans="2:25" s="467" customFormat="1" x14ac:dyDescent="0.25">
      <c r="B141" s="978"/>
      <c r="C141" s="977" t="s">
        <v>635</v>
      </c>
      <c r="D141" s="977"/>
      <c r="E141" s="977"/>
      <c r="F141" s="977"/>
      <c r="G141" s="977"/>
      <c r="H141" s="977"/>
      <c r="I141" s="977"/>
      <c r="J141" s="984">
        <v>2807031</v>
      </c>
      <c r="K141" s="425"/>
      <c r="L141" s="466"/>
      <c r="M141" s="425"/>
      <c r="N141" s="454"/>
      <c r="P141" s="466"/>
      <c r="Q141" s="466"/>
      <c r="R141" s="466"/>
      <c r="S141" s="466"/>
      <c r="T141" s="466"/>
      <c r="U141" s="466"/>
      <c r="V141" s="466"/>
      <c r="W141" s="466"/>
      <c r="X141" s="466"/>
      <c r="Y141" s="466"/>
    </row>
    <row r="142" spans="2:25" s="467" customFormat="1" x14ac:dyDescent="0.25">
      <c r="B142" s="978"/>
      <c r="C142" s="977" t="s">
        <v>751</v>
      </c>
      <c r="D142" s="977"/>
      <c r="E142" s="977"/>
      <c r="F142" s="977"/>
      <c r="G142" s="977"/>
      <c r="H142" s="977"/>
      <c r="I142" s="977"/>
      <c r="J142" s="985">
        <v>3006000</v>
      </c>
      <c r="K142" s="425"/>
      <c r="L142" s="466"/>
      <c r="M142" s="425"/>
      <c r="N142" s="454"/>
      <c r="P142" s="466"/>
      <c r="Q142" s="466"/>
      <c r="R142" s="466"/>
      <c r="S142" s="466"/>
      <c r="T142" s="466"/>
      <c r="U142" s="466"/>
      <c r="V142" s="466"/>
      <c r="W142" s="466"/>
      <c r="X142" s="466"/>
      <c r="Y142" s="466"/>
    </row>
    <row r="143" spans="2:25" s="467" customFormat="1" x14ac:dyDescent="0.25">
      <c r="B143" s="978"/>
      <c r="C143" s="390"/>
      <c r="D143" s="390"/>
      <c r="E143" s="390"/>
      <c r="F143" s="390"/>
      <c r="G143" s="390"/>
      <c r="H143" s="390"/>
      <c r="I143" s="390"/>
      <c r="J143" s="390"/>
      <c r="K143" s="425"/>
      <c r="L143" s="466"/>
      <c r="M143" s="425"/>
      <c r="N143" s="454"/>
      <c r="P143" s="466"/>
      <c r="Q143" s="466"/>
      <c r="R143" s="466"/>
      <c r="S143" s="466"/>
      <c r="T143" s="466"/>
      <c r="U143" s="466"/>
      <c r="V143" s="466"/>
      <c r="W143" s="466"/>
      <c r="X143" s="466"/>
      <c r="Y143" s="466"/>
    </row>
    <row r="144" spans="2:25" s="467" customFormat="1" x14ac:dyDescent="0.25">
      <c r="B144" s="978"/>
      <c r="C144" s="390"/>
      <c r="D144" s="390"/>
      <c r="E144" s="390"/>
      <c r="F144" s="390"/>
      <c r="G144" s="390"/>
      <c r="H144" s="977" t="s">
        <v>107</v>
      </c>
      <c r="I144" s="977"/>
      <c r="J144" s="984"/>
      <c r="K144" s="977"/>
      <c r="L144" s="978"/>
      <c r="M144" s="977"/>
      <c r="N144" s="985">
        <f>J140+J141+J142</f>
        <v>11121031</v>
      </c>
      <c r="P144" s="466"/>
      <c r="Q144" s="466"/>
      <c r="R144" s="466"/>
      <c r="S144" s="466"/>
      <c r="T144" s="466"/>
      <c r="U144" s="466"/>
      <c r="V144" s="466"/>
      <c r="W144" s="466"/>
      <c r="X144" s="466"/>
      <c r="Y144" s="466"/>
    </row>
    <row r="145" spans="1:25" s="467" customFormat="1" x14ac:dyDescent="0.25">
      <c r="B145" s="978"/>
      <c r="C145" s="390"/>
      <c r="D145" s="390"/>
      <c r="E145" s="390"/>
      <c r="F145" s="390"/>
      <c r="G145" s="390"/>
      <c r="H145" s="390"/>
      <c r="I145" s="390"/>
      <c r="J145" s="390"/>
      <c r="K145" s="425"/>
      <c r="L145" s="466"/>
      <c r="M145" s="425"/>
      <c r="N145" s="454"/>
      <c r="P145" s="466"/>
      <c r="Q145" s="466"/>
      <c r="R145" s="466"/>
      <c r="S145" s="466"/>
      <c r="T145" s="466"/>
      <c r="U145" s="466"/>
      <c r="V145" s="466"/>
      <c r="W145" s="466"/>
      <c r="X145" s="466"/>
      <c r="Y145" s="466"/>
    </row>
    <row r="146" spans="1:25" s="467" customFormat="1" ht="16.5" thickBot="1" x14ac:dyDescent="0.3">
      <c r="B146" s="978"/>
      <c r="C146" s="390"/>
      <c r="D146" s="390"/>
      <c r="E146" s="977" t="s">
        <v>94</v>
      </c>
      <c r="F146" s="977"/>
      <c r="G146" s="977"/>
      <c r="H146" s="977"/>
      <c r="I146" s="977"/>
      <c r="J146" s="977"/>
      <c r="K146" s="977"/>
      <c r="L146" s="978"/>
      <c r="M146" s="977"/>
      <c r="N146" s="986">
        <f>N128+N144</f>
        <v>16287506</v>
      </c>
      <c r="P146" s="466"/>
      <c r="Q146" s="466"/>
      <c r="R146" s="466"/>
      <c r="S146" s="466"/>
      <c r="T146" s="466"/>
      <c r="U146" s="466"/>
      <c r="V146" s="466"/>
      <c r="W146" s="466"/>
      <c r="X146" s="466"/>
      <c r="Y146" s="466"/>
    </row>
    <row r="147" spans="1:25" s="467" customFormat="1" ht="16.5" thickTop="1" x14ac:dyDescent="0.25">
      <c r="C147" s="390"/>
      <c r="D147" s="390"/>
      <c r="E147" s="390"/>
      <c r="F147" s="390"/>
      <c r="G147" s="390"/>
      <c r="H147" s="390"/>
      <c r="I147" s="390"/>
      <c r="J147" s="390"/>
      <c r="K147" s="425"/>
      <c r="L147" s="466"/>
      <c r="M147" s="425"/>
      <c r="N147" s="454"/>
      <c r="P147" s="466"/>
      <c r="Q147" s="466"/>
      <c r="R147" s="466"/>
      <c r="S147" s="466"/>
      <c r="T147" s="466"/>
      <c r="U147" s="466"/>
      <c r="V147" s="466"/>
      <c r="W147" s="466"/>
      <c r="X147" s="466"/>
      <c r="Y147" s="466"/>
    </row>
    <row r="148" spans="1:25" s="467" customFormat="1" x14ac:dyDescent="0.25">
      <c r="A148" s="183" t="s">
        <v>101</v>
      </c>
      <c r="B148" s="390" t="s">
        <v>960</v>
      </c>
      <c r="C148" s="390"/>
      <c r="D148" s="390"/>
      <c r="P148" s="466"/>
      <c r="Q148" s="466"/>
      <c r="R148" s="466"/>
      <c r="S148" s="466"/>
      <c r="T148" s="466"/>
      <c r="U148" s="466"/>
      <c r="V148" s="466"/>
      <c r="W148" s="466"/>
      <c r="X148" s="466"/>
      <c r="Y148" s="466"/>
    </row>
    <row r="149" spans="1:25" s="467" customFormat="1" x14ac:dyDescent="0.25">
      <c r="A149" s="183"/>
      <c r="B149" s="390" t="s">
        <v>959</v>
      </c>
      <c r="P149" s="466"/>
      <c r="Q149" s="466"/>
      <c r="R149" s="466"/>
      <c r="S149" s="466"/>
      <c r="T149" s="466"/>
      <c r="U149" s="466"/>
      <c r="V149" s="466"/>
      <c r="W149" s="466"/>
      <c r="X149" s="466"/>
      <c r="Y149" s="466"/>
    </row>
    <row r="150" spans="1:25" s="467" customFormat="1" x14ac:dyDescent="0.25">
      <c r="A150" s="183"/>
      <c r="B150" s="390"/>
      <c r="P150" s="466"/>
      <c r="Q150" s="466"/>
      <c r="R150" s="466"/>
      <c r="S150" s="466"/>
      <c r="T150" s="466"/>
      <c r="U150" s="466"/>
      <c r="V150" s="466"/>
      <c r="W150" s="466"/>
      <c r="X150" s="466"/>
      <c r="Y150" s="466"/>
    </row>
    <row r="151" spans="1:25" s="467" customFormat="1" ht="16.5" thickBot="1" x14ac:dyDescent="0.3">
      <c r="A151" s="183"/>
      <c r="B151" s="390"/>
      <c r="E151" s="467" t="s">
        <v>984</v>
      </c>
      <c r="N151" s="470">
        <f>CNP!M29</f>
        <v>5970013</v>
      </c>
      <c r="P151" s="466"/>
      <c r="Q151" s="466"/>
      <c r="R151" s="466"/>
      <c r="S151" s="466"/>
      <c r="T151" s="466"/>
      <c r="U151" s="466"/>
      <c r="V151" s="466"/>
      <c r="W151" s="466"/>
      <c r="X151" s="466"/>
      <c r="Y151" s="466"/>
    </row>
    <row r="152" spans="1:25" s="467" customFormat="1" ht="16.5" thickTop="1" x14ac:dyDescent="0.25">
      <c r="A152" s="183"/>
      <c r="B152" s="390"/>
      <c r="N152" s="454"/>
      <c r="P152" s="466"/>
    </row>
    <row r="153" spans="1:25" s="467" customFormat="1" x14ac:dyDescent="0.25">
      <c r="A153" s="183" t="s">
        <v>102</v>
      </c>
      <c r="B153" s="390" t="s">
        <v>118</v>
      </c>
      <c r="D153" s="390"/>
      <c r="E153" s="425"/>
      <c r="F153" s="425"/>
      <c r="G153" s="425"/>
      <c r="H153" s="425"/>
      <c r="I153" s="425"/>
      <c r="J153" s="425"/>
      <c r="K153" s="425"/>
      <c r="L153" s="466"/>
      <c r="M153" s="425"/>
      <c r="N153" s="425"/>
    </row>
    <row r="154" spans="1:25" s="467" customFormat="1" x14ac:dyDescent="0.25">
      <c r="A154" s="183"/>
      <c r="B154" s="390"/>
      <c r="D154" s="390"/>
      <c r="E154" s="425"/>
      <c r="F154" s="425"/>
      <c r="G154" s="425"/>
      <c r="H154" s="425"/>
      <c r="I154" s="425"/>
      <c r="J154" s="425"/>
      <c r="K154" s="425"/>
      <c r="L154" s="466"/>
      <c r="M154" s="425"/>
      <c r="N154" s="425"/>
    </row>
    <row r="155" spans="1:25" s="467" customFormat="1" x14ac:dyDescent="0.25">
      <c r="A155" s="183" t="s">
        <v>217</v>
      </c>
      <c r="B155" s="390" t="s">
        <v>652</v>
      </c>
      <c r="D155" s="390"/>
      <c r="E155" s="425"/>
      <c r="F155" s="425"/>
      <c r="G155" s="425"/>
      <c r="H155" s="425"/>
      <c r="I155" s="425"/>
      <c r="J155" s="425"/>
      <c r="K155" s="425"/>
      <c r="L155" s="466"/>
      <c r="M155" s="425"/>
      <c r="N155" s="425"/>
    </row>
    <row r="156" spans="1:25" s="467" customFormat="1" x14ac:dyDescent="0.25">
      <c r="A156" s="183"/>
      <c r="B156" s="390" t="s">
        <v>653</v>
      </c>
      <c r="D156" s="390"/>
      <c r="E156" s="425"/>
      <c r="F156" s="425"/>
      <c r="G156" s="425"/>
      <c r="H156" s="425"/>
      <c r="I156" s="425"/>
      <c r="J156" s="425"/>
      <c r="K156" s="425"/>
      <c r="L156" s="466"/>
      <c r="M156" s="425"/>
      <c r="N156" s="425"/>
    </row>
    <row r="157" spans="1:25" s="467" customFormat="1" x14ac:dyDescent="0.25">
      <c r="A157" s="183"/>
      <c r="B157" s="390"/>
      <c r="D157" s="390"/>
      <c r="E157" s="425"/>
      <c r="F157" s="425"/>
      <c r="G157" s="425"/>
      <c r="H157" s="425"/>
      <c r="I157" s="425"/>
      <c r="J157" s="425"/>
      <c r="K157" s="425"/>
      <c r="L157" s="466"/>
      <c r="M157" s="425"/>
      <c r="N157" s="425"/>
    </row>
    <row r="158" spans="1:25" s="467" customFormat="1" ht="16.5" thickBot="1" x14ac:dyDescent="0.3">
      <c r="A158" s="183"/>
      <c r="B158" s="390"/>
      <c r="C158" s="467" t="s">
        <v>695</v>
      </c>
      <c r="D158" s="390"/>
      <c r="E158" s="425"/>
      <c r="F158" s="425"/>
      <c r="G158" s="425"/>
      <c r="H158" s="425"/>
      <c r="I158" s="425"/>
      <c r="J158" s="425"/>
      <c r="K158" s="425"/>
      <c r="L158" s="466"/>
      <c r="M158" s="425"/>
      <c r="N158" s="470">
        <f>J27</f>
        <v>3250327</v>
      </c>
    </row>
    <row r="159" spans="1:25" s="467" customFormat="1" ht="16.899999999999999" customHeight="1" thickTop="1" x14ac:dyDescent="0.25">
      <c r="A159" s="183"/>
      <c r="B159" s="390"/>
      <c r="D159" s="390"/>
      <c r="E159" s="425"/>
      <c r="F159" s="425"/>
      <c r="G159" s="425"/>
      <c r="H159" s="425"/>
      <c r="I159" s="425"/>
      <c r="J159" s="425"/>
      <c r="K159" s="425"/>
      <c r="L159" s="466"/>
      <c r="M159" s="425"/>
      <c r="N159" s="454"/>
    </row>
    <row r="160" spans="1:25" s="993" customFormat="1" ht="16.899999999999999" customHeight="1" x14ac:dyDescent="0.25">
      <c r="A160" s="183" t="s">
        <v>214</v>
      </c>
      <c r="B160" s="390" t="s">
        <v>657</v>
      </c>
      <c r="D160" s="996"/>
      <c r="E160" s="425"/>
      <c r="F160" s="425"/>
      <c r="G160" s="425"/>
      <c r="H160" s="425"/>
      <c r="I160" s="425"/>
      <c r="J160" s="425"/>
      <c r="K160" s="425"/>
      <c r="L160" s="466"/>
      <c r="M160" s="425"/>
      <c r="N160" s="454"/>
    </row>
    <row r="161" spans="1:15" s="467" customFormat="1" x14ac:dyDescent="0.25">
      <c r="D161" s="390"/>
      <c r="E161" s="425"/>
      <c r="F161" s="425"/>
      <c r="G161" s="425"/>
      <c r="H161" s="425"/>
      <c r="I161" s="425"/>
      <c r="J161" s="425"/>
      <c r="K161" s="425"/>
      <c r="L161" s="466"/>
      <c r="M161" s="425"/>
      <c r="N161" s="425"/>
    </row>
    <row r="162" spans="1:15" x14ac:dyDescent="0.25">
      <c r="A162" s="412"/>
      <c r="B162" s="375"/>
      <c r="C162" s="375"/>
      <c r="D162" s="375"/>
      <c r="E162" s="375"/>
      <c r="F162" s="375"/>
      <c r="G162" s="375"/>
      <c r="H162" s="375"/>
      <c r="I162" s="375"/>
      <c r="J162" s="375"/>
      <c r="K162" s="375"/>
      <c r="L162" s="375"/>
      <c r="M162" s="177"/>
      <c r="N162" s="223"/>
      <c r="O162" s="375"/>
    </row>
    <row r="163" spans="1:15" x14ac:dyDescent="0.25">
      <c r="A163" s="412"/>
      <c r="B163" s="174"/>
      <c r="C163" s="174"/>
      <c r="D163" s="174"/>
      <c r="E163" s="174"/>
      <c r="F163" s="174"/>
      <c r="G163" s="174"/>
      <c r="H163" s="174"/>
      <c r="I163" s="174"/>
      <c r="J163" s="174"/>
      <c r="K163" s="174"/>
      <c r="L163" s="174"/>
      <c r="M163" s="174"/>
      <c r="N163" s="174"/>
      <c r="O163" s="375"/>
    </row>
    <row r="164" spans="1:15" x14ac:dyDescent="0.25">
      <c r="A164" s="412" t="str">
        <f>A80</f>
        <v>(See Accountants' Report)</v>
      </c>
      <c r="B164" s="174"/>
      <c r="C164" s="174"/>
      <c r="D164" s="174"/>
      <c r="E164" s="174"/>
      <c r="F164" s="174"/>
      <c r="G164" s="174"/>
      <c r="H164" s="174"/>
      <c r="I164" s="174"/>
      <c r="J164" s="174"/>
      <c r="K164" s="174"/>
      <c r="L164" s="174"/>
      <c r="M164" s="174"/>
      <c r="N164" s="174"/>
      <c r="O164" s="375"/>
    </row>
    <row r="165" spans="1:15" x14ac:dyDescent="0.25">
      <c r="A165" s="412"/>
      <c r="B165" s="174"/>
      <c r="C165" s="174"/>
      <c r="D165" s="174"/>
      <c r="E165" s="174"/>
      <c r="F165" s="174"/>
      <c r="G165" s="174"/>
      <c r="H165" s="174"/>
      <c r="I165" s="174"/>
      <c r="J165" s="174"/>
      <c r="K165" s="174"/>
      <c r="L165" s="174"/>
      <c r="M165" s="174"/>
      <c r="N165" s="174"/>
      <c r="O165" s="375"/>
    </row>
    <row r="166" spans="1:15" x14ac:dyDescent="0.25">
      <c r="A166" s="375">
        <f>A82+1</f>
        <v>39</v>
      </c>
      <c r="B166" s="174"/>
      <c r="C166" s="174"/>
      <c r="D166" s="174"/>
      <c r="E166" s="174"/>
      <c r="F166" s="174"/>
      <c r="G166" s="174"/>
      <c r="H166" s="174"/>
      <c r="I166" s="174"/>
      <c r="J166" s="174"/>
      <c r="K166" s="174"/>
      <c r="L166" s="174"/>
      <c r="M166" s="174"/>
      <c r="N166" s="174"/>
      <c r="O166" s="375"/>
    </row>
    <row r="167" spans="1:15" x14ac:dyDescent="0.25">
      <c r="A167" s="411"/>
      <c r="B167" s="412"/>
      <c r="C167" s="412"/>
      <c r="D167" s="412"/>
      <c r="E167" s="412"/>
      <c r="F167" s="412"/>
      <c r="G167" s="412"/>
      <c r="H167" s="411"/>
      <c r="I167" s="412"/>
      <c r="J167" s="412"/>
      <c r="K167" s="412"/>
      <c r="L167" s="412"/>
      <c r="M167" s="412"/>
      <c r="N167" s="412"/>
      <c r="O167" s="375"/>
    </row>
    <row r="168" spans="1:15" x14ac:dyDescent="0.25">
      <c r="A168" s="411"/>
      <c r="B168" s="411"/>
      <c r="C168" s="411"/>
      <c r="D168" s="411"/>
      <c r="E168" s="411"/>
      <c r="F168" s="411"/>
      <c r="G168" s="411"/>
      <c r="H168" s="31"/>
      <c r="I168" s="411"/>
      <c r="J168" s="411"/>
      <c r="K168" s="411"/>
      <c r="L168" s="411"/>
      <c r="M168" s="411"/>
      <c r="N168" s="411"/>
    </row>
    <row r="169" spans="1:15" x14ac:dyDescent="0.25">
      <c r="A169" s="411"/>
      <c r="B169" s="467"/>
      <c r="C169" s="411"/>
      <c r="D169" s="411"/>
      <c r="E169" s="411"/>
      <c r="F169" s="411"/>
      <c r="G169" s="411"/>
      <c r="H169" s="31"/>
      <c r="I169" s="411"/>
      <c r="J169" s="411"/>
      <c r="K169" s="411"/>
      <c r="L169" s="411"/>
      <c r="M169" s="411"/>
      <c r="N169" s="411"/>
    </row>
    <row r="170" spans="1:15" x14ac:dyDescent="0.25">
      <c r="A170" s="411"/>
      <c r="B170" s="411"/>
      <c r="C170" s="411"/>
      <c r="D170" s="411"/>
      <c r="E170" s="411"/>
      <c r="F170" s="411"/>
      <c r="G170" s="411"/>
      <c r="H170" s="411"/>
      <c r="I170" s="411"/>
      <c r="J170" s="411"/>
      <c r="K170" s="411"/>
      <c r="L170" s="411"/>
      <c r="M170" s="411"/>
      <c r="N170" s="411"/>
    </row>
    <row r="171" spans="1:15" x14ac:dyDescent="0.25">
      <c r="A171" s="411"/>
      <c r="B171" s="411"/>
      <c r="C171" s="411"/>
      <c r="D171" s="411"/>
      <c r="E171" s="411"/>
      <c r="F171" s="411"/>
      <c r="G171" s="411"/>
      <c r="H171" s="411"/>
      <c r="I171" s="411"/>
      <c r="J171" s="411"/>
      <c r="K171" s="411"/>
      <c r="L171" s="411"/>
      <c r="M171" s="411"/>
      <c r="N171" s="411"/>
    </row>
    <row r="172" spans="1:15" x14ac:dyDescent="0.25">
      <c r="A172" s="411"/>
      <c r="B172" s="411"/>
      <c r="C172" s="411"/>
      <c r="D172" s="411"/>
      <c r="E172" s="411"/>
      <c r="F172" s="411"/>
      <c r="G172" s="411"/>
      <c r="H172" s="411"/>
      <c r="I172" s="411"/>
      <c r="J172" s="411"/>
      <c r="K172" s="411"/>
      <c r="L172" s="411"/>
      <c r="M172" s="411"/>
      <c r="N172" s="411"/>
    </row>
    <row r="173" spans="1:15" x14ac:dyDescent="0.25">
      <c r="A173" s="411"/>
      <c r="B173" s="411"/>
      <c r="C173" s="411"/>
      <c r="D173" s="411"/>
      <c r="E173" s="411"/>
      <c r="F173" s="411"/>
      <c r="G173" s="411"/>
      <c r="H173" s="411"/>
      <c r="I173" s="411"/>
      <c r="J173" s="411"/>
      <c r="K173" s="411"/>
      <c r="L173" s="411"/>
      <c r="M173" s="411"/>
      <c r="N173" s="411"/>
    </row>
    <row r="174" spans="1:15" x14ac:dyDescent="0.25">
      <c r="A174" s="411"/>
      <c r="B174" s="411"/>
      <c r="C174" s="411"/>
      <c r="D174" s="411"/>
      <c r="E174" s="411"/>
      <c r="F174" s="411"/>
      <c r="G174" s="411"/>
      <c r="H174" s="411"/>
      <c r="I174" s="411"/>
      <c r="J174" s="411"/>
      <c r="K174" s="411"/>
      <c r="L174" s="411"/>
      <c r="M174" s="411"/>
      <c r="N174" s="411"/>
    </row>
    <row r="175" spans="1:15" x14ac:dyDescent="0.25">
      <c r="A175" s="411"/>
      <c r="B175" s="411"/>
      <c r="C175" s="411"/>
      <c r="D175" s="411"/>
      <c r="E175" s="411"/>
      <c r="F175" s="411"/>
      <c r="G175" s="411"/>
      <c r="H175" s="411"/>
      <c r="I175" s="411"/>
      <c r="J175" s="411"/>
      <c r="K175" s="411"/>
      <c r="L175" s="411"/>
      <c r="M175" s="411"/>
      <c r="N175" s="411"/>
    </row>
    <row r="176" spans="1:15" x14ac:dyDescent="0.25">
      <c r="A176" s="411"/>
      <c r="B176" s="411"/>
      <c r="C176" s="411"/>
      <c r="D176" s="411"/>
      <c r="E176" s="411"/>
      <c r="F176" s="411"/>
      <c r="G176" s="411"/>
      <c r="H176" s="411"/>
      <c r="I176" s="411"/>
      <c r="J176" s="411"/>
      <c r="K176" s="411"/>
      <c r="L176" s="411"/>
      <c r="M176" s="411"/>
      <c r="N176" s="411"/>
    </row>
    <row r="177" spans="1:14" x14ac:dyDescent="0.25">
      <c r="A177" s="411"/>
      <c r="B177" s="411"/>
      <c r="C177" s="411"/>
      <c r="D177" s="411"/>
      <c r="E177" s="411"/>
      <c r="F177" s="411"/>
      <c r="G177" s="411"/>
      <c r="H177" s="411"/>
      <c r="I177" s="411"/>
      <c r="J177" s="411"/>
      <c r="K177" s="411"/>
      <c r="L177" s="411"/>
      <c r="M177" s="411"/>
      <c r="N177" s="411"/>
    </row>
    <row r="178" spans="1:14" x14ac:dyDescent="0.25">
      <c r="A178" s="411"/>
      <c r="B178" s="411"/>
      <c r="C178" s="411"/>
      <c r="D178" s="411"/>
      <c r="E178" s="411"/>
      <c r="F178" s="411"/>
      <c r="G178" s="411"/>
      <c r="H178" s="411"/>
      <c r="I178" s="411"/>
      <c r="J178" s="411"/>
      <c r="K178" s="411"/>
      <c r="L178" s="411"/>
      <c r="M178" s="411"/>
      <c r="N178" s="411"/>
    </row>
    <row r="179" spans="1:14" x14ac:dyDescent="0.25">
      <c r="A179" s="411"/>
      <c r="B179" s="411"/>
      <c r="C179" s="411"/>
      <c r="D179" s="411"/>
      <c r="E179" s="411"/>
      <c r="F179" s="411"/>
      <c r="G179" s="411"/>
      <c r="H179" s="411"/>
      <c r="I179" s="411"/>
      <c r="J179" s="411"/>
      <c r="K179" s="411"/>
      <c r="L179" s="411"/>
      <c r="M179" s="411"/>
      <c r="N179" s="411"/>
    </row>
    <row r="180" spans="1:14" x14ac:dyDescent="0.25">
      <c r="A180" s="411"/>
      <c r="B180" s="411"/>
      <c r="C180" s="411"/>
      <c r="D180" s="411"/>
      <c r="E180" s="411"/>
      <c r="F180" s="411"/>
      <c r="G180" s="411"/>
      <c r="H180" s="411"/>
      <c r="I180" s="411"/>
      <c r="J180" s="411"/>
      <c r="K180" s="411"/>
      <c r="L180" s="411"/>
      <c r="M180" s="411"/>
      <c r="N180" s="411"/>
    </row>
    <row r="181" spans="1:14" x14ac:dyDescent="0.25">
      <c r="A181" s="411"/>
      <c r="B181" s="411"/>
      <c r="C181" s="411"/>
      <c r="D181" s="411"/>
      <c r="E181" s="411"/>
      <c r="F181" s="411"/>
      <c r="G181" s="411"/>
      <c r="H181" s="411"/>
      <c r="I181" s="411"/>
      <c r="J181" s="411"/>
      <c r="K181" s="411"/>
      <c r="L181" s="411"/>
      <c r="M181" s="411"/>
      <c r="N181" s="411"/>
    </row>
    <row r="182" spans="1:14" x14ac:dyDescent="0.25">
      <c r="A182" s="411"/>
      <c r="B182" s="411"/>
      <c r="C182" s="411"/>
      <c r="D182" s="411"/>
      <c r="E182" s="411"/>
      <c r="F182" s="411"/>
      <c r="G182" s="411"/>
      <c r="H182" s="411"/>
      <c r="I182" s="411"/>
      <c r="J182" s="411"/>
      <c r="K182" s="411"/>
      <c r="L182" s="411"/>
      <c r="M182" s="411"/>
      <c r="N182" s="411"/>
    </row>
    <row r="183" spans="1:14" x14ac:dyDescent="0.25">
      <c r="A183" s="411"/>
      <c r="B183" s="411"/>
      <c r="C183" s="411"/>
      <c r="D183" s="411"/>
      <c r="E183" s="411"/>
      <c r="F183" s="411"/>
      <c r="G183" s="411"/>
      <c r="H183" s="411"/>
      <c r="I183" s="411"/>
      <c r="J183" s="411"/>
      <c r="K183" s="411"/>
      <c r="L183" s="411"/>
      <c r="M183" s="411"/>
      <c r="N183" s="411"/>
    </row>
    <row r="184" spans="1:14" x14ac:dyDescent="0.25">
      <c r="A184" s="411"/>
      <c r="B184" s="411"/>
      <c r="C184" s="411"/>
      <c r="D184" s="411"/>
      <c r="E184" s="411"/>
      <c r="F184" s="411"/>
      <c r="G184" s="411"/>
      <c r="H184" s="411"/>
      <c r="I184" s="411"/>
      <c r="J184" s="411"/>
      <c r="K184" s="411"/>
      <c r="L184" s="411"/>
      <c r="M184" s="411"/>
      <c r="N184" s="411"/>
    </row>
    <row r="185" spans="1:14" x14ac:dyDescent="0.25">
      <c r="A185" s="411"/>
      <c r="B185" s="411"/>
      <c r="C185" s="411"/>
      <c r="D185" s="411"/>
      <c r="E185" s="411"/>
      <c r="F185" s="411"/>
      <c r="G185" s="411"/>
      <c r="H185" s="411"/>
      <c r="I185" s="411"/>
      <c r="J185" s="411"/>
      <c r="K185" s="411"/>
      <c r="L185" s="411"/>
      <c r="M185" s="411"/>
      <c r="N185" s="411"/>
    </row>
    <row r="186" spans="1:14" x14ac:dyDescent="0.25">
      <c r="A186" s="411"/>
      <c r="B186" s="411"/>
      <c r="C186" s="411"/>
      <c r="D186" s="411"/>
      <c r="E186" s="411"/>
      <c r="F186" s="411"/>
      <c r="G186" s="411"/>
      <c r="H186" s="411"/>
      <c r="I186" s="411"/>
      <c r="J186" s="411"/>
      <c r="K186" s="411"/>
      <c r="L186" s="411"/>
      <c r="M186" s="411"/>
      <c r="N186" s="411"/>
    </row>
    <row r="187" spans="1:14" x14ac:dyDescent="0.25">
      <c r="A187" s="411"/>
      <c r="B187" s="411"/>
      <c r="C187" s="411"/>
      <c r="D187" s="411"/>
      <c r="E187" s="411"/>
      <c r="F187" s="411"/>
      <c r="G187" s="411"/>
      <c r="H187" s="411"/>
      <c r="I187" s="411"/>
      <c r="J187" s="411"/>
      <c r="K187" s="411"/>
      <c r="L187" s="411"/>
      <c r="M187" s="411"/>
      <c r="N187" s="411"/>
    </row>
    <row r="188" spans="1:14" x14ac:dyDescent="0.25">
      <c r="A188" s="411"/>
      <c r="B188" s="411"/>
      <c r="C188" s="411"/>
      <c r="D188" s="411"/>
      <c r="E188" s="411"/>
      <c r="F188" s="411"/>
      <c r="G188" s="411"/>
      <c r="H188" s="411"/>
      <c r="I188" s="411"/>
      <c r="J188" s="411"/>
      <c r="K188" s="411"/>
      <c r="L188" s="411"/>
      <c r="M188" s="411"/>
      <c r="N188" s="411"/>
    </row>
    <row r="189" spans="1:14" x14ac:dyDescent="0.25">
      <c r="A189" s="411"/>
      <c r="B189" s="411"/>
      <c r="C189" s="411"/>
      <c r="D189" s="411"/>
      <c r="E189" s="411"/>
      <c r="F189" s="411"/>
      <c r="G189" s="411"/>
      <c r="H189" s="411"/>
      <c r="I189" s="411"/>
      <c r="J189" s="411"/>
      <c r="K189" s="411"/>
      <c r="L189" s="411"/>
      <c r="M189" s="411"/>
      <c r="N189" s="411"/>
    </row>
    <row r="190" spans="1:14" x14ac:dyDescent="0.25">
      <c r="A190" s="411"/>
      <c r="B190" s="411"/>
      <c r="C190" s="411"/>
      <c r="D190" s="411"/>
      <c r="E190" s="411"/>
      <c r="F190" s="411"/>
      <c r="G190" s="411"/>
      <c r="H190" s="411"/>
      <c r="I190" s="411"/>
      <c r="J190" s="411"/>
      <c r="K190" s="411"/>
      <c r="L190" s="411"/>
      <c r="M190" s="411"/>
      <c r="N190" s="411"/>
    </row>
    <row r="191" spans="1:14" x14ac:dyDescent="0.25">
      <c r="A191" s="411"/>
      <c r="B191" s="411"/>
      <c r="C191" s="411"/>
      <c r="D191" s="411"/>
      <c r="E191" s="411"/>
      <c r="F191" s="411"/>
      <c r="G191" s="411"/>
      <c r="H191" s="411"/>
      <c r="I191" s="411"/>
      <c r="J191" s="411"/>
      <c r="K191" s="411"/>
      <c r="L191" s="411"/>
      <c r="M191" s="411"/>
      <c r="N191" s="411"/>
    </row>
    <row r="192" spans="1:14" x14ac:dyDescent="0.25">
      <c r="A192" s="411"/>
      <c r="B192" s="411"/>
      <c r="C192" s="411"/>
      <c r="D192" s="411"/>
      <c r="E192" s="411"/>
      <c r="F192" s="411"/>
      <c r="G192" s="411"/>
      <c r="H192" s="411"/>
      <c r="I192" s="411"/>
      <c r="J192" s="411"/>
      <c r="K192" s="411"/>
      <c r="L192" s="411"/>
      <c r="M192" s="411"/>
      <c r="N192" s="411"/>
    </row>
    <row r="193" spans="1:14" x14ac:dyDescent="0.25">
      <c r="A193" s="411"/>
      <c r="B193" s="411"/>
      <c r="C193" s="411"/>
      <c r="D193" s="411"/>
      <c r="E193" s="411"/>
      <c r="F193" s="411"/>
      <c r="G193" s="411"/>
      <c r="H193" s="411"/>
      <c r="I193" s="411"/>
      <c r="J193" s="411"/>
      <c r="K193" s="411"/>
      <c r="L193" s="411"/>
      <c r="M193" s="411"/>
      <c r="N193" s="411"/>
    </row>
    <row r="194" spans="1:14" x14ac:dyDescent="0.25">
      <c r="A194" s="411"/>
      <c r="B194" s="411"/>
      <c r="C194" s="411"/>
      <c r="D194" s="411"/>
      <c r="E194" s="411"/>
      <c r="F194" s="411"/>
      <c r="G194" s="411"/>
      <c r="H194" s="411"/>
      <c r="I194" s="411"/>
      <c r="J194" s="411"/>
      <c r="K194" s="411"/>
      <c r="L194" s="411"/>
      <c r="M194" s="411"/>
      <c r="N194" s="411"/>
    </row>
    <row r="195" spans="1:14" x14ac:dyDescent="0.25">
      <c r="A195" s="411"/>
      <c r="B195" s="411"/>
      <c r="C195" s="411"/>
      <c r="D195" s="411"/>
      <c r="E195" s="411"/>
      <c r="F195" s="411"/>
      <c r="G195" s="411"/>
      <c r="H195" s="411"/>
      <c r="I195" s="411"/>
      <c r="J195" s="411"/>
      <c r="K195" s="411"/>
      <c r="L195" s="411"/>
      <c r="M195" s="411"/>
      <c r="N195" s="411"/>
    </row>
    <row r="196" spans="1:14" x14ac:dyDescent="0.25">
      <c r="A196" s="411"/>
      <c r="B196" s="411"/>
      <c r="C196" s="411"/>
      <c r="D196" s="411"/>
      <c r="E196" s="411"/>
      <c r="F196" s="411"/>
      <c r="G196" s="411"/>
      <c r="H196" s="411"/>
      <c r="I196" s="411"/>
      <c r="J196" s="411"/>
      <c r="K196" s="411"/>
      <c r="L196" s="411"/>
      <c r="M196" s="411"/>
      <c r="N196" s="411"/>
    </row>
    <row r="197" spans="1:14" x14ac:dyDescent="0.25">
      <c r="A197" s="411"/>
      <c r="B197" s="411"/>
      <c r="C197" s="411"/>
      <c r="D197" s="411"/>
      <c r="E197" s="411"/>
      <c r="F197" s="411"/>
      <c r="G197" s="411"/>
      <c r="H197" s="411"/>
      <c r="I197" s="411"/>
      <c r="J197" s="411"/>
      <c r="K197" s="411"/>
      <c r="L197" s="411"/>
      <c r="M197" s="411"/>
      <c r="N197" s="411"/>
    </row>
    <row r="198" spans="1:14" x14ac:dyDescent="0.25">
      <c r="A198" s="411"/>
      <c r="B198" s="411"/>
      <c r="C198" s="411"/>
      <c r="D198" s="411"/>
      <c r="E198" s="411"/>
      <c r="F198" s="411"/>
      <c r="G198" s="411"/>
      <c r="H198" s="411"/>
      <c r="I198" s="411"/>
      <c r="J198" s="411"/>
      <c r="K198" s="411"/>
      <c r="L198" s="411"/>
      <c r="M198" s="411"/>
      <c r="N198" s="411"/>
    </row>
    <row r="199" spans="1:14" x14ac:dyDescent="0.25">
      <c r="A199" s="411"/>
      <c r="B199" s="411"/>
      <c r="C199" s="411"/>
      <c r="D199" s="411"/>
      <c r="E199" s="411"/>
      <c r="F199" s="411"/>
      <c r="G199" s="411"/>
      <c r="H199" s="411"/>
      <c r="I199" s="411"/>
      <c r="J199" s="411"/>
      <c r="K199" s="411"/>
      <c r="L199" s="411"/>
      <c r="M199" s="411"/>
      <c r="N199" s="411"/>
    </row>
    <row r="200" spans="1:14" x14ac:dyDescent="0.25">
      <c r="A200" s="411"/>
      <c r="B200" s="411"/>
      <c r="C200" s="411"/>
      <c r="D200" s="411"/>
      <c r="E200" s="411"/>
      <c r="F200" s="411"/>
      <c r="G200" s="411"/>
      <c r="H200" s="411"/>
      <c r="I200" s="411"/>
      <c r="J200" s="411"/>
      <c r="K200" s="411"/>
      <c r="L200" s="411"/>
      <c r="M200" s="411"/>
      <c r="N200" s="411"/>
    </row>
    <row r="201" spans="1:14" x14ac:dyDescent="0.25">
      <c r="A201" s="411"/>
      <c r="B201" s="411"/>
      <c r="C201" s="411"/>
      <c r="D201" s="411"/>
      <c r="E201" s="411"/>
      <c r="F201" s="411"/>
      <c r="G201" s="411"/>
      <c r="H201" s="411"/>
      <c r="I201" s="411"/>
      <c r="J201" s="411"/>
      <c r="K201" s="411"/>
      <c r="L201" s="411"/>
      <c r="M201" s="411"/>
      <c r="N201" s="411"/>
    </row>
    <row r="202" spans="1:14" x14ac:dyDescent="0.25">
      <c r="A202" s="411"/>
      <c r="B202" s="411"/>
      <c r="C202" s="411"/>
      <c r="D202" s="411"/>
      <c r="E202" s="411"/>
      <c r="F202" s="411"/>
      <c r="G202" s="411"/>
      <c r="H202" s="411"/>
      <c r="I202" s="411"/>
      <c r="J202" s="411"/>
      <c r="K202" s="411"/>
      <c r="L202" s="411"/>
      <c r="M202" s="411"/>
      <c r="N202" s="411"/>
    </row>
    <row r="203" spans="1:14" x14ac:dyDescent="0.25">
      <c r="A203" s="411"/>
      <c r="B203" s="411"/>
      <c r="C203" s="411"/>
      <c r="D203" s="411"/>
      <c r="E203" s="411"/>
      <c r="F203" s="411"/>
      <c r="G203" s="411"/>
      <c r="H203" s="411"/>
      <c r="I203" s="411"/>
      <c r="J203" s="411"/>
      <c r="K203" s="411"/>
      <c r="L203" s="411"/>
      <c r="M203" s="411"/>
      <c r="N203" s="411"/>
    </row>
    <row r="204" spans="1:14" x14ac:dyDescent="0.25">
      <c r="A204" s="411"/>
      <c r="B204" s="411"/>
      <c r="C204" s="411"/>
      <c r="D204" s="411"/>
      <c r="E204" s="411"/>
      <c r="F204" s="411"/>
      <c r="G204" s="411"/>
      <c r="H204" s="411"/>
      <c r="I204" s="411"/>
      <c r="J204" s="411"/>
      <c r="K204" s="411"/>
      <c r="L204" s="411"/>
      <c r="M204" s="411"/>
      <c r="N204" s="411"/>
    </row>
    <row r="205" spans="1:14" x14ac:dyDescent="0.25">
      <c r="A205" s="411"/>
      <c r="B205" s="411"/>
      <c r="C205" s="411"/>
      <c r="D205" s="411"/>
      <c r="E205" s="411"/>
      <c r="F205" s="411"/>
      <c r="G205" s="411"/>
      <c r="H205" s="411"/>
      <c r="I205" s="411"/>
      <c r="J205" s="411"/>
      <c r="K205" s="411"/>
      <c r="L205" s="411"/>
      <c r="M205" s="411"/>
      <c r="N205" s="411"/>
    </row>
    <row r="206" spans="1:14" x14ac:dyDescent="0.25">
      <c r="A206" s="411"/>
      <c r="B206" s="411"/>
      <c r="C206" s="411"/>
      <c r="D206" s="411"/>
      <c r="E206" s="411"/>
      <c r="F206" s="411"/>
      <c r="G206" s="411"/>
      <c r="H206" s="411"/>
      <c r="I206" s="411"/>
      <c r="J206" s="411"/>
      <c r="K206" s="411"/>
      <c r="L206" s="411"/>
      <c r="M206" s="411"/>
      <c r="N206" s="411"/>
    </row>
    <row r="207" spans="1:14" x14ac:dyDescent="0.25">
      <c r="A207" s="411"/>
      <c r="B207" s="411"/>
      <c r="C207" s="411"/>
      <c r="D207" s="411"/>
      <c r="E207" s="411"/>
      <c r="F207" s="411"/>
      <c r="G207" s="411"/>
      <c r="H207" s="411"/>
      <c r="I207" s="411"/>
      <c r="J207" s="411"/>
      <c r="K207" s="411"/>
      <c r="L207" s="411"/>
      <c r="M207" s="411"/>
      <c r="N207" s="411"/>
    </row>
    <row r="208" spans="1:14" x14ac:dyDescent="0.25">
      <c r="A208" s="411"/>
      <c r="B208" s="411"/>
      <c r="C208" s="411"/>
      <c r="D208" s="411"/>
      <c r="E208" s="411"/>
      <c r="F208" s="411"/>
      <c r="G208" s="411"/>
      <c r="H208" s="411"/>
      <c r="I208" s="411"/>
      <c r="J208" s="411"/>
      <c r="K208" s="411"/>
      <c r="L208" s="411"/>
      <c r="M208" s="411"/>
      <c r="N208" s="411"/>
    </row>
    <row r="209" spans="1:14" x14ac:dyDescent="0.25">
      <c r="A209" s="411"/>
      <c r="B209" s="411"/>
      <c r="C209" s="411"/>
      <c r="D209" s="411"/>
      <c r="E209" s="411"/>
      <c r="F209" s="411"/>
      <c r="G209" s="411"/>
      <c r="H209" s="411"/>
      <c r="I209" s="411"/>
      <c r="J209" s="411"/>
      <c r="K209" s="411"/>
      <c r="L209" s="411"/>
      <c r="M209" s="411"/>
      <c r="N209" s="411"/>
    </row>
    <row r="210" spans="1:14" x14ac:dyDescent="0.25">
      <c r="A210" s="411"/>
      <c r="B210" s="411"/>
      <c r="C210" s="411"/>
      <c r="D210" s="411"/>
      <c r="E210" s="411"/>
      <c r="F210" s="411"/>
      <c r="G210" s="411"/>
      <c r="H210" s="411"/>
      <c r="I210" s="411"/>
      <c r="J210" s="411"/>
      <c r="K210" s="411"/>
      <c r="L210" s="411"/>
      <c r="M210" s="411"/>
      <c r="N210" s="411"/>
    </row>
    <row r="211" spans="1:14" x14ac:dyDescent="0.25">
      <c r="A211" s="411"/>
      <c r="B211" s="411"/>
      <c r="C211" s="411"/>
      <c r="D211" s="411"/>
      <c r="E211" s="411"/>
      <c r="F211" s="411"/>
      <c r="G211" s="411"/>
      <c r="H211" s="411"/>
      <c r="I211" s="411"/>
      <c r="J211" s="411"/>
      <c r="K211" s="411"/>
      <c r="L211" s="411"/>
      <c r="M211" s="411"/>
      <c r="N211" s="411"/>
    </row>
    <row r="212" spans="1:14" x14ac:dyDescent="0.25">
      <c r="A212" s="411"/>
      <c r="B212" s="411"/>
      <c r="C212" s="411"/>
      <c r="D212" s="411"/>
      <c r="E212" s="411"/>
      <c r="F212" s="411"/>
      <c r="G212" s="411"/>
      <c r="H212" s="411"/>
      <c r="I212" s="411"/>
      <c r="J212" s="411"/>
      <c r="K212" s="411"/>
      <c r="L212" s="411"/>
      <c r="M212" s="411"/>
      <c r="N212" s="411"/>
    </row>
    <row r="213" spans="1:14" x14ac:dyDescent="0.25">
      <c r="A213" s="411"/>
      <c r="B213" s="411"/>
      <c r="C213" s="411"/>
      <c r="D213" s="411"/>
      <c r="E213" s="411"/>
      <c r="F213" s="411"/>
      <c r="G213" s="411"/>
      <c r="H213" s="411"/>
      <c r="I213" s="411"/>
      <c r="J213" s="411"/>
      <c r="K213" s="411"/>
      <c r="L213" s="411"/>
      <c r="M213" s="411"/>
      <c r="N213" s="411"/>
    </row>
    <row r="214" spans="1:14" x14ac:dyDescent="0.25">
      <c r="A214" s="411"/>
      <c r="B214" s="411"/>
      <c r="C214" s="411"/>
      <c r="D214" s="411"/>
      <c r="E214" s="411"/>
      <c r="F214" s="411"/>
      <c r="G214" s="411"/>
      <c r="H214" s="411"/>
      <c r="I214" s="411"/>
      <c r="J214" s="411"/>
      <c r="K214" s="411"/>
      <c r="L214" s="411"/>
      <c r="M214" s="411"/>
      <c r="N214" s="411"/>
    </row>
    <row r="215" spans="1:14" x14ac:dyDescent="0.25">
      <c r="A215" s="411"/>
      <c r="B215" s="411"/>
      <c r="C215" s="411"/>
      <c r="D215" s="411"/>
      <c r="E215" s="411"/>
      <c r="F215" s="411"/>
      <c r="G215" s="411"/>
      <c r="H215" s="411"/>
      <c r="I215" s="411"/>
      <c r="J215" s="411"/>
      <c r="K215" s="411"/>
      <c r="L215" s="411"/>
      <c r="M215" s="411"/>
      <c r="N215" s="411"/>
    </row>
    <row r="216" spans="1:14" x14ac:dyDescent="0.25">
      <c r="A216" s="411"/>
      <c r="B216" s="411"/>
      <c r="C216" s="411"/>
      <c r="D216" s="411"/>
      <c r="E216" s="411"/>
      <c r="F216" s="411"/>
      <c r="G216" s="411"/>
      <c r="H216" s="411"/>
      <c r="I216" s="411"/>
      <c r="J216" s="411"/>
      <c r="K216" s="411"/>
      <c r="L216" s="411"/>
      <c r="M216" s="411"/>
      <c r="N216" s="411"/>
    </row>
    <row r="217" spans="1:14" x14ac:dyDescent="0.25">
      <c r="A217" s="411"/>
      <c r="B217" s="411"/>
      <c r="C217" s="411"/>
      <c r="D217" s="411"/>
      <c r="E217" s="411"/>
      <c r="F217" s="411"/>
      <c r="G217" s="411"/>
      <c r="H217" s="411"/>
      <c r="I217" s="411"/>
      <c r="J217" s="411"/>
      <c r="K217" s="411"/>
      <c r="L217" s="411"/>
      <c r="M217" s="411"/>
      <c r="N217" s="411"/>
    </row>
    <row r="218" spans="1:14" x14ac:dyDescent="0.25">
      <c r="A218" s="411"/>
      <c r="B218" s="411"/>
      <c r="C218" s="411"/>
      <c r="D218" s="411"/>
      <c r="E218" s="411"/>
      <c r="F218" s="411"/>
      <c r="G218" s="411"/>
      <c r="H218" s="411"/>
      <c r="I218" s="411"/>
      <c r="J218" s="411"/>
      <c r="K218" s="411"/>
      <c r="L218" s="411"/>
      <c r="M218" s="411"/>
      <c r="N218" s="411"/>
    </row>
    <row r="219" spans="1:14" x14ac:dyDescent="0.25">
      <c r="A219" s="411"/>
      <c r="B219" s="411"/>
      <c r="C219" s="411"/>
      <c r="D219" s="411"/>
      <c r="E219" s="411"/>
      <c r="F219" s="411"/>
      <c r="G219" s="411"/>
      <c r="H219" s="411"/>
      <c r="I219" s="411"/>
      <c r="J219" s="411"/>
      <c r="K219" s="411"/>
      <c r="L219" s="411"/>
      <c r="M219" s="411"/>
      <c r="N219" s="411"/>
    </row>
    <row r="220" spans="1:14" x14ac:dyDescent="0.25">
      <c r="A220" s="411"/>
      <c r="B220" s="411"/>
      <c r="C220" s="411"/>
      <c r="D220" s="411"/>
      <c r="E220" s="411"/>
      <c r="F220" s="411"/>
      <c r="G220" s="411"/>
      <c r="H220" s="411"/>
      <c r="I220" s="411"/>
      <c r="J220" s="411"/>
      <c r="K220" s="411"/>
      <c r="L220" s="411"/>
      <c r="M220" s="411"/>
      <c r="N220" s="411"/>
    </row>
    <row r="221" spans="1:14" x14ac:dyDescent="0.25">
      <c r="A221" s="411"/>
      <c r="B221" s="411"/>
      <c r="C221" s="411"/>
      <c r="D221" s="411"/>
      <c r="E221" s="411"/>
      <c r="F221" s="411"/>
      <c r="G221" s="411"/>
      <c r="H221" s="411"/>
      <c r="I221" s="411"/>
      <c r="J221" s="411"/>
      <c r="K221" s="411"/>
      <c r="L221" s="411"/>
      <c r="M221" s="411"/>
      <c r="N221" s="411"/>
    </row>
    <row r="222" spans="1:14" x14ac:dyDescent="0.25">
      <c r="A222" s="411"/>
      <c r="B222" s="411"/>
      <c r="C222" s="411"/>
      <c r="D222" s="411"/>
      <c r="E222" s="411"/>
      <c r="F222" s="411"/>
      <c r="G222" s="411"/>
      <c r="H222" s="411"/>
      <c r="I222" s="411"/>
      <c r="J222" s="411"/>
      <c r="K222" s="411"/>
      <c r="L222" s="411"/>
      <c r="M222" s="411"/>
      <c r="N222" s="411"/>
    </row>
    <row r="223" spans="1:14" x14ac:dyDescent="0.25">
      <c r="A223" s="411"/>
      <c r="B223" s="411"/>
      <c r="C223" s="411"/>
      <c r="D223" s="411"/>
      <c r="E223" s="411"/>
      <c r="F223" s="411"/>
      <c r="G223" s="411"/>
      <c r="H223" s="411"/>
      <c r="I223" s="411"/>
      <c r="J223" s="411"/>
      <c r="K223" s="411"/>
      <c r="L223" s="411"/>
      <c r="M223" s="411"/>
      <c r="N223" s="411"/>
    </row>
    <row r="224" spans="1:14" x14ac:dyDescent="0.25">
      <c r="A224" s="411"/>
      <c r="B224" s="411"/>
      <c r="C224" s="411"/>
      <c r="D224" s="411"/>
      <c r="E224" s="411"/>
      <c r="F224" s="411"/>
      <c r="G224" s="411"/>
      <c r="H224" s="411"/>
      <c r="I224" s="411"/>
      <c r="J224" s="411"/>
      <c r="K224" s="411"/>
      <c r="L224" s="411"/>
      <c r="M224" s="411"/>
      <c r="N224" s="411"/>
    </row>
    <row r="225" spans="1:14" x14ac:dyDescent="0.25">
      <c r="A225" s="411"/>
      <c r="B225" s="411"/>
      <c r="C225" s="411"/>
      <c r="D225" s="411"/>
      <c r="E225" s="411"/>
      <c r="F225" s="411"/>
      <c r="G225" s="411"/>
      <c r="H225" s="411"/>
      <c r="I225" s="411"/>
      <c r="J225" s="411"/>
      <c r="K225" s="411"/>
      <c r="L225" s="411"/>
      <c r="M225" s="411"/>
      <c r="N225" s="411"/>
    </row>
    <row r="226" spans="1:14" x14ac:dyDescent="0.25">
      <c r="B226" s="411"/>
      <c r="C226" s="411"/>
      <c r="D226" s="411"/>
      <c r="E226" s="411"/>
      <c r="F226" s="411"/>
      <c r="G226" s="411"/>
      <c r="I226" s="411"/>
      <c r="J226" s="411"/>
      <c r="K226" s="411"/>
      <c r="L226" s="411"/>
      <c r="M226" s="411"/>
      <c r="N226" s="411"/>
    </row>
  </sheetData>
  <printOptions horizontalCentered="1"/>
  <pageMargins left="0.75" right="0.75" top="0.75" bottom="0.25" header="0.5" footer="0.5"/>
  <pageSetup scale="61" fitToHeight="2" orientation="portrait" horizontalDpi="4294967295" verticalDpi="4294967295" r:id="rId1"/>
  <headerFooter alignWithMargins="0"/>
  <rowBreaks count="1" manualBreakCount="1">
    <brk id="82" max="14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4">
    <pageSetUpPr fitToPage="1"/>
  </sheetPr>
  <dimension ref="A1:BA113"/>
  <sheetViews>
    <sheetView view="pageBreakPreview" topLeftCell="A47" zoomScale="60" zoomScaleNormal="100" workbookViewId="0">
      <selection activeCell="H61" sqref="H61"/>
    </sheetView>
  </sheetViews>
  <sheetFormatPr defaultColWidth="9.140625" defaultRowHeight="15.75" x14ac:dyDescent="0.25"/>
  <cols>
    <col min="1" max="1" width="4.28515625" style="39" customWidth="1"/>
    <col min="2" max="2" width="2.42578125" style="39" customWidth="1"/>
    <col min="3" max="3" width="3.7109375" style="39" customWidth="1"/>
    <col min="4" max="4" width="13" style="39" customWidth="1"/>
    <col min="5" max="5" width="20.140625" style="39" customWidth="1"/>
    <col min="6" max="6" width="3.5703125" style="39" customWidth="1"/>
    <col min="7" max="7" width="4.28515625" style="39" customWidth="1"/>
    <col min="8" max="8" width="19" style="39" customWidth="1"/>
    <col min="9" max="9" width="4.28515625" style="39" customWidth="1"/>
    <col min="10" max="10" width="16.7109375" style="39" hidden="1" customWidth="1"/>
    <col min="11" max="11" width="2.42578125" style="39" hidden="1" customWidth="1"/>
    <col min="12" max="12" width="16.7109375" style="39" hidden="1" customWidth="1"/>
    <col min="13" max="13" width="2.42578125" style="39" hidden="1" customWidth="1"/>
    <col min="14" max="14" width="20" style="39" hidden="1" customWidth="1"/>
    <col min="15" max="15" width="2.42578125" style="39" hidden="1" customWidth="1"/>
    <col min="16" max="16" width="19" style="39" customWidth="1"/>
    <col min="17" max="17" width="4.28515625" style="39" customWidth="1"/>
    <col min="18" max="18" width="19" style="139" customWidth="1"/>
    <col min="19" max="19" width="4.28515625" style="39" customWidth="1"/>
    <col min="20" max="20" width="19" style="39" customWidth="1"/>
    <col min="21" max="21" width="2.7109375" style="39" customWidth="1"/>
    <col min="22" max="35" width="12.5703125" style="39" customWidth="1"/>
    <col min="36" max="39" width="12.5703125" style="40" customWidth="1"/>
    <col min="40" max="40" width="9.140625" style="40"/>
    <col min="41" max="41" width="14.42578125" style="40" bestFit="1" customWidth="1"/>
    <col min="42" max="42" width="4.5703125" style="40" customWidth="1"/>
    <col min="43" max="43" width="14.42578125" style="40" bestFit="1" customWidth="1"/>
    <col min="44" max="44" width="2" style="40" customWidth="1"/>
    <col min="45" max="45" width="14.42578125" style="40" bestFit="1" customWidth="1"/>
    <col min="46" max="46" width="3.7109375" style="40" customWidth="1"/>
    <col min="47" max="47" width="16" style="40" customWidth="1"/>
    <col min="48" max="48" width="4.28515625" style="40" customWidth="1"/>
    <col min="49" max="49" width="15.42578125" style="40" customWidth="1"/>
    <col min="50" max="50" width="13" style="40" customWidth="1"/>
    <col min="51" max="53" width="9.140625" style="40"/>
    <col min="54" max="16384" width="9.140625" style="39"/>
  </cols>
  <sheetData>
    <row r="1" spans="1:51" x14ac:dyDescent="0.25">
      <c r="A1" s="41" t="str">
        <f>+INFO!B1</f>
        <v>EVANSVILLE (INDIANA) WATERWORKS DISTRICT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24"/>
      <c r="W1" s="24"/>
      <c r="X1" s="24"/>
      <c r="Y1" s="24"/>
      <c r="Z1" s="24"/>
      <c r="AA1" s="24"/>
      <c r="AB1" s="166"/>
      <c r="AC1" s="166"/>
      <c r="AD1" s="166"/>
      <c r="AE1" s="182"/>
      <c r="AF1" s="182"/>
      <c r="AG1" s="182"/>
      <c r="AH1" s="182"/>
      <c r="AI1" s="182"/>
    </row>
    <row r="2" spans="1:51" x14ac:dyDescent="0.25">
      <c r="A2" s="41"/>
      <c r="B2" s="174"/>
      <c r="C2" s="174"/>
      <c r="D2" s="174"/>
      <c r="E2" s="174"/>
      <c r="F2" s="174"/>
      <c r="G2" s="174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61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</row>
    <row r="3" spans="1:51" x14ac:dyDescent="0.25">
      <c r="A3" s="136" t="s">
        <v>271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60"/>
      <c r="W3" s="160"/>
      <c r="X3" s="160"/>
      <c r="Y3" s="160"/>
      <c r="Z3" s="160"/>
      <c r="AA3" s="160"/>
      <c r="AB3" s="165"/>
      <c r="AC3" s="165"/>
      <c r="AD3" s="165"/>
      <c r="AE3" s="182"/>
      <c r="AF3" s="182"/>
      <c r="AG3" s="182"/>
      <c r="AH3" s="182"/>
      <c r="AI3" s="18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</row>
    <row r="4" spans="1:51" x14ac:dyDescent="0.25">
      <c r="A4" s="1105"/>
      <c r="B4" s="1106"/>
      <c r="C4" s="1106"/>
      <c r="D4" s="1106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7"/>
      <c r="P4" s="1106"/>
      <c r="Q4" s="117"/>
      <c r="R4" s="160"/>
      <c r="S4" s="165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82"/>
      <c r="AF4" s="182"/>
      <c r="AG4" s="182"/>
      <c r="AH4" s="182"/>
      <c r="AI4" s="18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</row>
    <row r="5" spans="1:51" x14ac:dyDescent="0.25">
      <c r="A5" s="993"/>
      <c r="B5" s="1104"/>
      <c r="C5" s="1104"/>
      <c r="D5" s="1104"/>
      <c r="E5" s="1104"/>
      <c r="F5" s="1104"/>
      <c r="G5" s="1104"/>
      <c r="H5" s="278"/>
      <c r="J5" s="1115" t="s">
        <v>292</v>
      </c>
      <c r="K5" s="1115"/>
      <c r="L5" s="1115" t="s">
        <v>82</v>
      </c>
      <c r="M5" s="1115"/>
      <c r="N5" s="278" t="s">
        <v>515</v>
      </c>
      <c r="O5" s="401"/>
      <c r="P5" s="278"/>
      <c r="Q5" s="401"/>
      <c r="R5" s="161"/>
      <c r="S5" s="182"/>
      <c r="T5" s="180" t="s">
        <v>229</v>
      </c>
      <c r="U5" s="182"/>
      <c r="V5" s="180"/>
      <c r="W5" s="182"/>
      <c r="X5" s="595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</row>
    <row r="6" spans="1:51" x14ac:dyDescent="0.25">
      <c r="A6" s="993"/>
      <c r="B6" s="1104"/>
      <c r="C6" s="1104"/>
      <c r="D6" s="1104"/>
      <c r="E6" s="1104"/>
      <c r="F6" s="1104"/>
      <c r="G6" s="1104"/>
      <c r="H6" s="1468" t="s">
        <v>4</v>
      </c>
      <c r="I6" s="1468"/>
      <c r="J6" s="1468"/>
      <c r="K6" s="1468"/>
      <c r="L6" s="1468"/>
      <c r="M6" s="1468"/>
      <c r="N6" s="1468"/>
      <c r="O6" s="1468"/>
      <c r="P6" s="1468"/>
      <c r="Q6" s="1468"/>
      <c r="R6" s="1468"/>
      <c r="S6" s="182"/>
      <c r="T6" s="180" t="s">
        <v>80</v>
      </c>
      <c r="U6" s="180"/>
      <c r="V6" s="180"/>
      <c r="W6" s="180"/>
      <c r="X6" s="180"/>
      <c r="Y6" s="180"/>
      <c r="Z6" s="595"/>
      <c r="AA6" s="595"/>
      <c r="AB6" s="180"/>
      <c r="AC6" s="180"/>
      <c r="AD6" s="180"/>
      <c r="AE6" s="182"/>
      <c r="AF6" s="182"/>
      <c r="AG6" s="182"/>
      <c r="AH6" s="182"/>
      <c r="AI6" s="18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</row>
    <row r="7" spans="1:51" x14ac:dyDescent="0.25">
      <c r="A7" s="114" t="s">
        <v>262</v>
      </c>
      <c r="B7" s="1104"/>
      <c r="C7" s="1104"/>
      <c r="D7" s="1104"/>
      <c r="E7" s="1104"/>
      <c r="F7" s="61"/>
      <c r="G7" s="1104"/>
      <c r="H7" s="342">
        <v>2017</v>
      </c>
      <c r="I7" s="343"/>
      <c r="J7" s="1191">
        <v>40999</v>
      </c>
      <c r="K7" s="1192"/>
      <c r="L7" s="1191">
        <v>41425</v>
      </c>
      <c r="M7" s="1192"/>
      <c r="N7" s="1102">
        <v>41912</v>
      </c>
      <c r="O7" s="341"/>
      <c r="P7" s="342">
        <f>H7+1</f>
        <v>2018</v>
      </c>
      <c r="Q7" s="341"/>
      <c r="R7" s="342">
        <f>P7+1</f>
        <v>2019</v>
      </c>
      <c r="S7" s="182"/>
      <c r="T7" s="1116">
        <v>44104</v>
      </c>
      <c r="U7" s="180"/>
      <c r="V7" s="595"/>
      <c r="W7" s="180"/>
      <c r="X7" s="180"/>
      <c r="Y7" s="180"/>
      <c r="Z7" s="180"/>
      <c r="AA7" s="180"/>
      <c r="AB7" s="180"/>
      <c r="AC7" s="180"/>
      <c r="AD7" s="180"/>
      <c r="AE7" s="182"/>
      <c r="AF7" s="182"/>
      <c r="AG7" s="182"/>
      <c r="AH7" s="182"/>
      <c r="AI7" s="18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</row>
    <row r="8" spans="1:51" x14ac:dyDescent="0.25">
      <c r="A8" s="996"/>
      <c r="B8" s="996"/>
      <c r="C8" s="996"/>
      <c r="D8" s="996"/>
      <c r="E8" s="996"/>
      <c r="F8" s="425"/>
      <c r="G8" s="993"/>
      <c r="O8" s="139"/>
      <c r="Q8" s="139"/>
      <c r="R8" s="161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</row>
    <row r="9" spans="1:51" x14ac:dyDescent="0.25">
      <c r="A9" s="996" t="s">
        <v>215</v>
      </c>
      <c r="B9" s="996"/>
      <c r="C9" s="996"/>
      <c r="D9" s="996"/>
      <c r="E9" s="996"/>
      <c r="F9" s="997"/>
      <c r="G9" s="993"/>
      <c r="O9" s="139"/>
      <c r="Q9" s="139"/>
      <c r="R9" s="161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2"/>
      <c r="AI9" s="18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</row>
    <row r="10" spans="1:51" hidden="1" x14ac:dyDescent="0.25">
      <c r="A10" s="996"/>
      <c r="B10" s="996" t="s">
        <v>26</v>
      </c>
      <c r="C10" s="996"/>
      <c r="D10" s="996"/>
      <c r="E10" s="996"/>
      <c r="F10" s="993"/>
      <c r="G10" s="993"/>
      <c r="H10" s="232"/>
      <c r="I10" s="228"/>
      <c r="J10" s="355"/>
      <c r="K10" s="228"/>
      <c r="L10" s="355"/>
      <c r="N10" s="232"/>
      <c r="O10" s="232"/>
      <c r="P10" s="232"/>
      <c r="Q10" s="232"/>
      <c r="R10" s="161"/>
      <c r="S10" s="182"/>
      <c r="T10" s="444"/>
      <c r="U10" s="444"/>
      <c r="V10" s="444"/>
      <c r="W10" s="444"/>
      <c r="X10" s="444"/>
      <c r="Y10" s="444"/>
      <c r="Z10" s="444"/>
      <c r="AA10" s="444"/>
      <c r="AB10" s="209"/>
      <c r="AC10" s="182"/>
      <c r="AD10" s="181"/>
      <c r="AE10" s="444"/>
      <c r="AF10" s="444"/>
      <c r="AG10" s="444"/>
      <c r="AH10" s="444"/>
      <c r="AI10" s="444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</row>
    <row r="11" spans="1:51" x14ac:dyDescent="0.25">
      <c r="A11" s="996"/>
      <c r="B11" s="996" t="s">
        <v>166</v>
      </c>
      <c r="C11" s="996"/>
      <c r="D11" s="996"/>
      <c r="E11" s="996"/>
      <c r="F11" s="993"/>
      <c r="G11" s="993"/>
      <c r="H11" s="997">
        <v>865477</v>
      </c>
      <c r="I11" s="997"/>
      <c r="J11" s="997">
        <v>290744</v>
      </c>
      <c r="K11" s="997"/>
      <c r="L11" s="997">
        <v>354590</v>
      </c>
      <c r="M11" s="997"/>
      <c r="N11" s="997">
        <v>1001648</v>
      </c>
      <c r="O11" s="997"/>
      <c r="P11" s="997">
        <v>877886</v>
      </c>
      <c r="Q11" s="997"/>
      <c r="R11" s="997">
        <v>834001</v>
      </c>
      <c r="S11" s="181"/>
      <c r="T11" s="454">
        <v>867127</v>
      </c>
      <c r="U11" s="444"/>
      <c r="V11" s="444"/>
      <c r="W11" s="444"/>
      <c r="X11" s="444"/>
      <c r="Y11" s="444"/>
      <c r="Z11" s="444"/>
      <c r="AA11" s="444"/>
      <c r="AB11" s="209"/>
      <c r="AC11" s="182"/>
      <c r="AD11" s="181"/>
      <c r="AE11" s="444"/>
      <c r="AF11" s="444"/>
      <c r="AG11" s="444"/>
      <c r="AH11" s="444"/>
      <c r="AI11" s="444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</row>
    <row r="12" spans="1:51" x14ac:dyDescent="0.25">
      <c r="A12" s="996"/>
      <c r="B12" s="996" t="s">
        <v>302</v>
      </c>
      <c r="C12" s="996"/>
      <c r="D12" s="996"/>
      <c r="E12" s="996"/>
      <c r="F12" s="993"/>
      <c r="G12" s="993"/>
      <c r="H12" s="452">
        <v>785115</v>
      </c>
      <c r="J12" s="452">
        <v>46334</v>
      </c>
      <c r="L12" s="452">
        <v>56640</v>
      </c>
      <c r="N12" s="452">
        <v>-91879</v>
      </c>
      <c r="O12" s="1193" t="s">
        <v>79</v>
      </c>
      <c r="P12" s="452">
        <v>1022002</v>
      </c>
      <c r="Q12" s="1193"/>
      <c r="R12" s="452">
        <v>850736</v>
      </c>
      <c r="S12" s="182"/>
      <c r="T12" s="452">
        <v>769243</v>
      </c>
      <c r="U12" s="444"/>
      <c r="V12" s="464"/>
      <c r="W12" s="444"/>
      <c r="X12" s="444"/>
      <c r="Y12" s="444"/>
      <c r="Z12" s="444"/>
      <c r="AA12" s="444"/>
      <c r="AB12" s="209"/>
      <c r="AC12" s="182"/>
      <c r="AD12" s="181"/>
      <c r="AE12" s="444"/>
      <c r="AF12" s="444"/>
      <c r="AG12" s="444"/>
      <c r="AH12" s="444"/>
      <c r="AI12" s="444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</row>
    <row r="13" spans="1:51" x14ac:dyDescent="0.25">
      <c r="A13" s="996"/>
      <c r="B13" s="996"/>
      <c r="C13" s="996"/>
      <c r="D13" s="996"/>
      <c r="E13" s="996"/>
      <c r="F13" s="993"/>
      <c r="G13" s="993"/>
      <c r="O13" s="139"/>
      <c r="Q13" s="139"/>
      <c r="R13" s="39"/>
      <c r="S13" s="182"/>
      <c r="U13" s="444"/>
      <c r="V13" s="182"/>
      <c r="W13" s="444"/>
      <c r="X13" s="444"/>
      <c r="Y13" s="444"/>
      <c r="Z13" s="444"/>
      <c r="AA13" s="444"/>
      <c r="AB13" s="209"/>
      <c r="AC13" s="182"/>
      <c r="AD13" s="181"/>
      <c r="AE13" s="444"/>
      <c r="AF13" s="444"/>
      <c r="AG13" s="444"/>
      <c r="AH13" s="444"/>
      <c r="AI13" s="444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</row>
    <row r="14" spans="1:51" x14ac:dyDescent="0.25">
      <c r="A14" s="996"/>
      <c r="B14" s="996"/>
      <c r="C14" s="996" t="s">
        <v>19</v>
      </c>
      <c r="D14" s="996"/>
      <c r="E14" s="996"/>
      <c r="F14" s="993"/>
      <c r="G14" s="993"/>
      <c r="H14" s="994">
        <f>SUM(H10:H12)</f>
        <v>1650592</v>
      </c>
      <c r="J14" s="994">
        <f>SUM(J10:J12)</f>
        <v>337078</v>
      </c>
      <c r="L14" s="994">
        <f>SUM(L10:L12)</f>
        <v>411230</v>
      </c>
      <c r="N14" s="994">
        <f>SUM(N10:N12)</f>
        <v>909769</v>
      </c>
      <c r="O14" s="201"/>
      <c r="P14" s="994">
        <f>SUM(P10:P12)</f>
        <v>1899888</v>
      </c>
      <c r="Q14" s="201"/>
      <c r="R14" s="994">
        <f>SUM(R10:R12)</f>
        <v>1684737</v>
      </c>
      <c r="S14" s="182"/>
      <c r="T14" s="994">
        <f>SUM(T10:T12)</f>
        <v>1636370</v>
      </c>
      <c r="U14" s="444"/>
      <c r="V14" s="466"/>
      <c r="W14" s="444"/>
      <c r="X14" s="444"/>
      <c r="Y14" s="444"/>
      <c r="Z14" s="444"/>
      <c r="AA14" s="444"/>
      <c r="AB14" s="209"/>
      <c r="AC14" s="182"/>
      <c r="AD14" s="181"/>
      <c r="AE14" s="444"/>
      <c r="AF14" s="444"/>
      <c r="AG14" s="444"/>
      <c r="AH14" s="444"/>
      <c r="AI14" s="444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</row>
    <row r="15" spans="1:51" x14ac:dyDescent="0.25">
      <c r="A15" s="996"/>
      <c r="B15" s="996"/>
      <c r="C15" s="996"/>
      <c r="D15" s="996"/>
      <c r="E15" s="996"/>
      <c r="F15" s="1110"/>
      <c r="G15" s="993"/>
      <c r="R15" s="39"/>
      <c r="S15" s="182"/>
      <c r="U15" s="444"/>
      <c r="V15" s="444"/>
      <c r="W15" s="444"/>
      <c r="X15" s="444"/>
      <c r="Y15" s="444"/>
      <c r="Z15" s="444"/>
      <c r="AA15" s="444"/>
      <c r="AB15" s="209"/>
      <c r="AC15" s="182"/>
      <c r="AD15" s="181"/>
      <c r="AE15" s="444"/>
      <c r="AF15" s="444"/>
      <c r="AG15" s="444"/>
      <c r="AH15" s="444"/>
      <c r="AI15" s="444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</row>
    <row r="16" spans="1:51" hidden="1" x14ac:dyDescent="0.25">
      <c r="A16" s="996"/>
      <c r="B16" s="996"/>
      <c r="C16" s="996" t="s">
        <v>285</v>
      </c>
      <c r="D16" s="996"/>
      <c r="E16" s="996"/>
      <c r="F16" s="993"/>
      <c r="G16" s="993"/>
      <c r="H16" s="37"/>
      <c r="I16" s="44"/>
      <c r="J16" s="37"/>
      <c r="K16" s="44"/>
      <c r="L16" s="37"/>
      <c r="M16" s="44"/>
      <c r="N16" s="37"/>
      <c r="O16" s="179"/>
      <c r="P16" s="37"/>
      <c r="Q16" s="179"/>
      <c r="R16" s="37"/>
      <c r="S16" s="164"/>
      <c r="T16" s="37"/>
      <c r="U16" s="164"/>
      <c r="V16" s="164"/>
      <c r="W16" s="164"/>
      <c r="X16" s="164"/>
      <c r="Y16" s="164"/>
      <c r="Z16" s="164"/>
      <c r="AA16" s="164"/>
      <c r="AB16" s="164"/>
      <c r="AC16" s="164"/>
      <c r="AD16" s="179"/>
      <c r="AE16" s="444"/>
      <c r="AF16" s="444"/>
      <c r="AG16" s="444"/>
      <c r="AH16" s="444"/>
      <c r="AI16" s="444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</row>
    <row r="17" spans="1:51" hidden="1" x14ac:dyDescent="0.25">
      <c r="A17" s="996"/>
      <c r="B17" s="996"/>
      <c r="C17" s="996"/>
      <c r="D17" s="996"/>
      <c r="E17" s="996"/>
      <c r="F17" s="993"/>
      <c r="G17" s="993"/>
      <c r="R17" s="39"/>
      <c r="S17" s="182"/>
      <c r="U17" s="444"/>
      <c r="V17" s="444"/>
      <c r="W17" s="444"/>
      <c r="X17" s="444"/>
      <c r="Y17" s="444"/>
      <c r="Z17" s="444"/>
      <c r="AA17" s="444"/>
      <c r="AB17" s="209"/>
      <c r="AC17" s="182"/>
      <c r="AD17" s="182"/>
      <c r="AE17" s="444"/>
      <c r="AF17" s="444"/>
      <c r="AG17" s="444"/>
      <c r="AH17" s="444"/>
      <c r="AI17" s="444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</row>
    <row r="18" spans="1:51" x14ac:dyDescent="0.25">
      <c r="A18" s="996" t="s">
        <v>296</v>
      </c>
      <c r="B18" s="996"/>
      <c r="C18" s="996"/>
      <c r="D18" s="996"/>
      <c r="E18" s="996"/>
      <c r="F18" s="993"/>
      <c r="G18" s="993"/>
      <c r="R18" s="39"/>
      <c r="S18" s="182"/>
      <c r="U18" s="444"/>
      <c r="V18" s="444"/>
      <c r="W18" s="444"/>
      <c r="X18" s="444"/>
      <c r="Y18" s="444"/>
      <c r="Z18" s="444"/>
      <c r="AA18" s="444"/>
      <c r="AB18" s="466"/>
      <c r="AC18" s="182"/>
      <c r="AD18" s="182"/>
      <c r="AE18" s="444"/>
      <c r="AF18" s="444"/>
      <c r="AG18" s="444"/>
      <c r="AH18" s="444"/>
      <c r="AI18" s="444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</row>
    <row r="19" spans="1:51" x14ac:dyDescent="0.25">
      <c r="A19" s="996"/>
      <c r="B19" s="996" t="s">
        <v>26</v>
      </c>
      <c r="C19" s="996"/>
      <c r="D19" s="996"/>
      <c r="E19" s="996"/>
      <c r="F19" s="993"/>
      <c r="G19" s="993"/>
      <c r="H19" s="466">
        <v>1115616</v>
      </c>
      <c r="J19" s="466">
        <v>300046</v>
      </c>
      <c r="L19" s="466">
        <v>444282</v>
      </c>
      <c r="N19" s="466">
        <v>1115060</v>
      </c>
      <c r="O19" s="466"/>
      <c r="P19" s="466">
        <v>1042274</v>
      </c>
      <c r="Q19" s="466"/>
      <c r="R19" s="466">
        <v>1097717</v>
      </c>
      <c r="S19" s="182"/>
      <c r="T19" s="466">
        <v>1169679</v>
      </c>
      <c r="U19" s="444"/>
      <c r="V19" s="444"/>
      <c r="W19" s="444"/>
      <c r="X19" s="444"/>
      <c r="Y19" s="444"/>
      <c r="Z19" s="444"/>
      <c r="AA19" s="444"/>
      <c r="AB19" s="466"/>
      <c r="AC19" s="182"/>
      <c r="AD19" s="444"/>
      <c r="AE19" s="444"/>
      <c r="AF19" s="444"/>
      <c r="AG19" s="444"/>
      <c r="AH19" s="444"/>
      <c r="AI19" s="444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</row>
    <row r="20" spans="1:51" x14ac:dyDescent="0.25">
      <c r="A20" s="996"/>
      <c r="B20" s="996" t="s">
        <v>273</v>
      </c>
      <c r="C20" s="996"/>
      <c r="D20" s="996"/>
      <c r="E20" s="996"/>
      <c r="F20" s="993"/>
      <c r="G20" s="993"/>
      <c r="H20" s="466">
        <v>740165</v>
      </c>
      <c r="J20" s="466">
        <v>139270</v>
      </c>
      <c r="L20" s="466">
        <v>248488</v>
      </c>
      <c r="N20" s="466">
        <v>635722</v>
      </c>
      <c r="O20" s="466"/>
      <c r="P20" s="466">
        <v>578622</v>
      </c>
      <c r="Q20" s="727"/>
      <c r="R20" s="466">
        <v>570260</v>
      </c>
      <c r="S20" s="182"/>
      <c r="T20" s="466">
        <v>615754</v>
      </c>
      <c r="U20" s="444"/>
      <c r="V20" s="444"/>
      <c r="W20" s="444"/>
      <c r="X20" s="444"/>
      <c r="Y20" s="444"/>
      <c r="Z20" s="444"/>
      <c r="AA20" s="444"/>
      <c r="AB20" s="466"/>
      <c r="AC20" s="182"/>
      <c r="AD20" s="444"/>
      <c r="AE20" s="444"/>
      <c r="AF20" s="444"/>
      <c r="AG20" s="444"/>
      <c r="AH20" s="444"/>
      <c r="AI20" s="444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</row>
    <row r="21" spans="1:51" x14ac:dyDescent="0.25">
      <c r="A21" s="996"/>
      <c r="B21" s="996" t="s">
        <v>166</v>
      </c>
      <c r="C21" s="996"/>
      <c r="D21" s="996"/>
      <c r="E21" s="996"/>
      <c r="F21" s="993"/>
      <c r="G21" s="993"/>
      <c r="H21" s="466">
        <v>80048</v>
      </c>
      <c r="J21" s="466">
        <v>68031</v>
      </c>
      <c r="L21" s="466">
        <v>36283</v>
      </c>
      <c r="N21" s="466">
        <v>78884</v>
      </c>
      <c r="O21" s="466"/>
      <c r="P21" s="466">
        <v>131402</v>
      </c>
      <c r="Q21" s="466"/>
      <c r="R21" s="466">
        <v>167876</v>
      </c>
      <c r="S21" s="182"/>
      <c r="T21" s="466">
        <v>81511</v>
      </c>
      <c r="U21" s="444"/>
      <c r="V21" s="444"/>
      <c r="W21" s="444"/>
      <c r="X21" s="444"/>
      <c r="Y21" s="444"/>
      <c r="Z21" s="444"/>
      <c r="AA21" s="444"/>
      <c r="AB21" s="466"/>
      <c r="AC21" s="182"/>
      <c r="AD21" s="444"/>
      <c r="AE21" s="444"/>
      <c r="AF21" s="444"/>
      <c r="AG21" s="444"/>
      <c r="AH21" s="444"/>
      <c r="AI21" s="444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</row>
    <row r="22" spans="1:51" x14ac:dyDescent="0.25">
      <c r="A22" s="996"/>
      <c r="B22" s="996" t="s">
        <v>302</v>
      </c>
      <c r="C22" s="996"/>
      <c r="D22" s="996"/>
      <c r="E22" s="996"/>
      <c r="F22" s="993"/>
      <c r="G22" s="993"/>
      <c r="H22" s="466">
        <v>364776</v>
      </c>
      <c r="J22" s="466">
        <v>80691</v>
      </c>
      <c r="L22" s="466">
        <v>139334</v>
      </c>
      <c r="N22" s="466">
        <v>58795</v>
      </c>
      <c r="O22" s="431" t="s">
        <v>79</v>
      </c>
      <c r="P22" s="466">
        <v>1423450</v>
      </c>
      <c r="Q22" s="431"/>
      <c r="R22" s="466">
        <v>171019</v>
      </c>
      <c r="S22" s="182"/>
      <c r="T22" s="466">
        <v>205329</v>
      </c>
      <c r="U22" s="444"/>
      <c r="V22" s="444"/>
      <c r="W22" s="444"/>
      <c r="X22" s="444"/>
      <c r="Y22" s="444"/>
      <c r="Z22" s="444"/>
      <c r="AA22" s="444"/>
      <c r="AB22" s="466"/>
      <c r="AC22" s="182"/>
      <c r="AD22" s="444"/>
      <c r="AE22" s="444"/>
      <c r="AF22" s="444"/>
      <c r="AG22" s="444"/>
      <c r="AH22" s="444"/>
      <c r="AI22" s="444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</row>
    <row r="23" spans="1:51" x14ac:dyDescent="0.25">
      <c r="A23" s="996"/>
      <c r="B23" s="348" t="s">
        <v>259</v>
      </c>
      <c r="C23" s="996"/>
      <c r="D23" s="996"/>
      <c r="E23" s="996"/>
      <c r="F23" s="993"/>
      <c r="G23" s="993"/>
      <c r="H23" s="466">
        <v>1635</v>
      </c>
      <c r="I23" s="464"/>
      <c r="J23" s="464">
        <v>0</v>
      </c>
      <c r="K23" s="464"/>
      <c r="L23" s="464">
        <v>0</v>
      </c>
      <c r="N23" s="466">
        <v>1517</v>
      </c>
      <c r="O23" s="466"/>
      <c r="P23" s="466">
        <v>1993</v>
      </c>
      <c r="Q23" s="466"/>
      <c r="R23" s="466">
        <v>2672</v>
      </c>
      <c r="S23" s="182"/>
      <c r="T23" s="466">
        <v>2983</v>
      </c>
      <c r="U23" s="444"/>
      <c r="V23" s="444"/>
      <c r="W23" s="444"/>
      <c r="X23" s="444"/>
      <c r="Y23" s="444"/>
      <c r="Z23" s="444"/>
      <c r="AA23" s="444"/>
      <c r="AB23" s="466"/>
      <c r="AC23" s="182"/>
      <c r="AD23" s="444"/>
      <c r="AE23" s="444"/>
      <c r="AF23" s="444"/>
      <c r="AG23" s="444"/>
      <c r="AH23" s="444"/>
      <c r="AI23" s="444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</row>
    <row r="24" spans="1:51" x14ac:dyDescent="0.25">
      <c r="A24" s="996"/>
      <c r="B24" s="993" t="s">
        <v>168</v>
      </c>
      <c r="C24" s="996"/>
      <c r="D24" s="996"/>
      <c r="E24" s="996"/>
      <c r="F24" s="993"/>
      <c r="G24" s="993"/>
      <c r="H24" s="466">
        <v>4758</v>
      </c>
      <c r="J24" s="466">
        <v>4284</v>
      </c>
      <c r="L24" s="466">
        <v>72449</v>
      </c>
      <c r="N24" s="466">
        <v>-60968</v>
      </c>
      <c r="O24" s="431" t="s">
        <v>79</v>
      </c>
      <c r="P24" s="466">
        <v>7467</v>
      </c>
      <c r="Q24" s="431"/>
      <c r="R24" s="466">
        <v>6192</v>
      </c>
      <c r="S24" s="182"/>
      <c r="T24" s="466">
        <v>7461</v>
      </c>
      <c r="U24" s="444"/>
      <c r="V24" s="444"/>
      <c r="W24" s="444"/>
      <c r="X24" s="444"/>
      <c r="Y24" s="444"/>
      <c r="Z24" s="444"/>
      <c r="AA24" s="444"/>
      <c r="AB24" s="466"/>
      <c r="AC24" s="182"/>
      <c r="AD24" s="444"/>
      <c r="AE24" s="444"/>
      <c r="AF24" s="444"/>
      <c r="AG24" s="444"/>
      <c r="AH24" s="444"/>
      <c r="AI24" s="444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</row>
    <row r="25" spans="1:51" x14ac:dyDescent="0.25">
      <c r="A25" s="996"/>
      <c r="B25" s="996" t="s">
        <v>282</v>
      </c>
      <c r="C25" s="996"/>
      <c r="D25" s="996"/>
      <c r="E25" s="996"/>
      <c r="F25" s="993"/>
      <c r="G25" s="993"/>
      <c r="H25" s="466">
        <v>50959</v>
      </c>
      <c r="J25" s="466">
        <v>35843</v>
      </c>
      <c r="L25" s="466">
        <v>35603</v>
      </c>
      <c r="N25" s="466">
        <v>136235</v>
      </c>
      <c r="O25" s="466"/>
      <c r="P25" s="466">
        <v>69735</v>
      </c>
      <c r="Q25" s="466"/>
      <c r="R25" s="466">
        <v>84934</v>
      </c>
      <c r="S25" s="182"/>
      <c r="T25" s="466">
        <v>82447</v>
      </c>
      <c r="U25" s="444"/>
      <c r="V25" s="444"/>
      <c r="W25" s="444"/>
      <c r="X25" s="444"/>
      <c r="Y25" s="444"/>
      <c r="Z25" s="444"/>
      <c r="AA25" s="444"/>
      <c r="AB25" s="466"/>
      <c r="AC25" s="182"/>
      <c r="AD25" s="444"/>
      <c r="AE25" s="444"/>
      <c r="AF25" s="444"/>
      <c r="AG25" s="444"/>
      <c r="AH25" s="444"/>
      <c r="AI25" s="444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</row>
    <row r="26" spans="1:51" x14ac:dyDescent="0.25">
      <c r="A26" s="996"/>
      <c r="B26" s="996" t="s">
        <v>76</v>
      </c>
      <c r="C26" s="996"/>
      <c r="D26" s="996"/>
      <c r="E26" s="996"/>
      <c r="F26" s="993"/>
      <c r="G26" s="993"/>
      <c r="H26" s="466">
        <v>2094</v>
      </c>
      <c r="J26" s="466"/>
      <c r="L26" s="466"/>
      <c r="N26" s="466"/>
      <c r="O26" s="466"/>
      <c r="P26" s="466">
        <v>8998</v>
      </c>
      <c r="Q26" s="466"/>
      <c r="R26" s="466">
        <v>-5015</v>
      </c>
      <c r="S26" s="182"/>
      <c r="T26" s="466">
        <v>11551</v>
      </c>
      <c r="U26" s="444"/>
      <c r="V26" s="444"/>
      <c r="W26" s="444"/>
      <c r="X26" s="444"/>
      <c r="Y26" s="444"/>
      <c r="Z26" s="444"/>
      <c r="AA26" s="444"/>
      <c r="AB26" s="466"/>
      <c r="AC26" s="182"/>
      <c r="AD26" s="444"/>
      <c r="AE26" s="444"/>
      <c r="AF26" s="444"/>
      <c r="AG26" s="444"/>
      <c r="AH26" s="444"/>
      <c r="AI26" s="444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</row>
    <row r="27" spans="1:51" x14ac:dyDescent="0.25">
      <c r="A27" s="996"/>
      <c r="B27" s="996" t="s">
        <v>167</v>
      </c>
      <c r="C27" s="996"/>
      <c r="D27" s="996"/>
      <c r="E27" s="996"/>
      <c r="F27" s="993"/>
      <c r="G27" s="993"/>
      <c r="H27" s="466">
        <v>975310</v>
      </c>
      <c r="J27" s="466">
        <v>330038</v>
      </c>
      <c r="L27" s="466">
        <v>464623</v>
      </c>
      <c r="N27" s="466">
        <v>1879774</v>
      </c>
      <c r="O27" s="466"/>
      <c r="P27" s="466">
        <v>1083290</v>
      </c>
      <c r="Q27" s="466"/>
      <c r="R27" s="466">
        <v>1079374</v>
      </c>
      <c r="S27" s="182"/>
      <c r="T27" s="466">
        <v>1091530</v>
      </c>
      <c r="U27" s="444"/>
      <c r="V27" s="444"/>
      <c r="W27" s="444"/>
      <c r="X27" s="444"/>
      <c r="Y27" s="444"/>
      <c r="Z27" s="444"/>
      <c r="AA27" s="444"/>
      <c r="AB27" s="466"/>
      <c r="AC27" s="182"/>
      <c r="AD27" s="444"/>
      <c r="AE27" s="444"/>
      <c r="AF27" s="444"/>
      <c r="AG27" s="444"/>
      <c r="AH27" s="444"/>
      <c r="AI27" s="444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</row>
    <row r="28" spans="1:51" x14ac:dyDescent="0.25">
      <c r="A28" s="996"/>
      <c r="B28" s="996" t="s">
        <v>303</v>
      </c>
      <c r="C28" s="996"/>
      <c r="D28" s="996"/>
      <c r="E28" s="996"/>
      <c r="F28" s="993"/>
      <c r="G28" s="993"/>
      <c r="H28" s="466">
        <v>140569</v>
      </c>
      <c r="J28" s="466">
        <v>51158</v>
      </c>
      <c r="L28" s="466">
        <v>52028</v>
      </c>
      <c r="N28" s="466">
        <v>150353</v>
      </c>
      <c r="O28" s="466"/>
      <c r="P28" s="466">
        <v>137201</v>
      </c>
      <c r="Q28" s="466"/>
      <c r="R28" s="466">
        <v>144253</v>
      </c>
      <c r="S28" s="182"/>
      <c r="T28" s="466">
        <v>124261</v>
      </c>
      <c r="U28" s="444"/>
      <c r="V28" s="444"/>
      <c r="W28" s="444"/>
      <c r="X28" s="444"/>
      <c r="Y28" s="444"/>
      <c r="Z28" s="444"/>
      <c r="AA28" s="444"/>
      <c r="AB28" s="466"/>
      <c r="AC28" s="182"/>
      <c r="AD28" s="444"/>
      <c r="AE28" s="444"/>
      <c r="AF28" s="444"/>
      <c r="AG28" s="444"/>
      <c r="AH28" s="444"/>
      <c r="AI28" s="444"/>
      <c r="AJ28" s="42"/>
      <c r="AK28" s="42"/>
      <c r="AL28" s="42"/>
    </row>
    <row r="29" spans="1:51" x14ac:dyDescent="0.25">
      <c r="A29" s="996"/>
      <c r="B29" s="996" t="s">
        <v>298</v>
      </c>
      <c r="C29" s="996"/>
      <c r="D29" s="996"/>
      <c r="E29" s="996"/>
      <c r="F29" s="993"/>
      <c r="G29" s="993"/>
      <c r="H29" s="466">
        <v>3380</v>
      </c>
      <c r="J29" s="994">
        <v>4479</v>
      </c>
      <c r="L29" s="994">
        <v>9992</v>
      </c>
      <c r="N29" s="466">
        <v>31128</v>
      </c>
      <c r="O29" s="466"/>
      <c r="P29" s="466">
        <v>15795</v>
      </c>
      <c r="Q29" s="466"/>
      <c r="R29" s="466">
        <v>19288</v>
      </c>
      <c r="S29" s="182"/>
      <c r="T29" s="466">
        <v>16748</v>
      </c>
      <c r="U29" s="444"/>
      <c r="V29" s="444"/>
      <c r="W29" s="444"/>
      <c r="X29" s="444"/>
      <c r="Y29" s="444"/>
      <c r="Z29" s="444"/>
      <c r="AA29" s="444"/>
      <c r="AB29" s="466"/>
      <c r="AC29" s="182"/>
      <c r="AD29" s="444"/>
      <c r="AE29" s="444"/>
      <c r="AF29" s="444"/>
      <c r="AG29" s="444"/>
      <c r="AH29" s="444"/>
      <c r="AI29" s="444"/>
      <c r="AJ29" s="42"/>
      <c r="AK29" s="42"/>
      <c r="AL29" s="42"/>
    </row>
    <row r="30" spans="1:51" x14ac:dyDescent="0.25">
      <c r="A30" s="996"/>
      <c r="B30" s="996"/>
      <c r="C30" s="996"/>
      <c r="D30" s="996"/>
      <c r="E30" s="996"/>
      <c r="F30" s="993"/>
      <c r="G30" s="993"/>
      <c r="H30" s="451"/>
      <c r="J30" s="451"/>
      <c r="L30" s="451"/>
      <c r="N30" s="451"/>
      <c r="O30" s="466"/>
      <c r="P30" s="451"/>
      <c r="Q30" s="466"/>
      <c r="R30" s="451"/>
      <c r="S30" s="182"/>
      <c r="T30" s="451"/>
      <c r="U30" s="444"/>
      <c r="V30" s="444"/>
      <c r="W30" s="444"/>
      <c r="X30" s="444"/>
      <c r="Y30" s="444"/>
      <c r="Z30" s="444"/>
      <c r="AA30" s="444"/>
      <c r="AB30" s="466"/>
      <c r="AC30" s="182"/>
      <c r="AD30" s="182"/>
      <c r="AE30" s="444"/>
      <c r="AF30" s="444"/>
      <c r="AG30" s="444"/>
      <c r="AH30" s="444"/>
      <c r="AI30" s="444"/>
      <c r="AJ30" s="42"/>
      <c r="AK30" s="42"/>
      <c r="AL30" s="42"/>
    </row>
    <row r="31" spans="1:51" x14ac:dyDescent="0.25">
      <c r="A31" s="996"/>
      <c r="B31" s="996"/>
      <c r="C31" s="996" t="s">
        <v>19</v>
      </c>
      <c r="D31" s="996"/>
      <c r="E31" s="996"/>
      <c r="F31" s="993"/>
      <c r="G31" s="993"/>
      <c r="H31" s="994">
        <f>SUM(H19:H30)</f>
        <v>3479310</v>
      </c>
      <c r="J31" s="994">
        <f>SUM(J19:J30)</f>
        <v>1013840</v>
      </c>
      <c r="L31" s="994">
        <f>SUM(L19:L30)</f>
        <v>1503082</v>
      </c>
      <c r="N31" s="994">
        <f>SUM(N19:N30)</f>
        <v>4026500</v>
      </c>
      <c r="O31" s="466"/>
      <c r="P31" s="994">
        <f>SUM(P19:P30)</f>
        <v>4500227</v>
      </c>
      <c r="Q31" s="466"/>
      <c r="R31" s="994">
        <f>SUM(R19:R30)</f>
        <v>3338570</v>
      </c>
      <c r="S31" s="182"/>
      <c r="T31" s="994">
        <f>SUM(T19:T30)</f>
        <v>3409254</v>
      </c>
      <c r="U31" s="444"/>
      <c r="V31" s="466"/>
      <c r="W31" s="444"/>
      <c r="X31" s="444"/>
      <c r="Y31" s="444"/>
      <c r="Z31" s="444"/>
      <c r="AA31" s="444"/>
      <c r="AB31" s="466"/>
      <c r="AC31" s="182"/>
      <c r="AD31" s="444"/>
      <c r="AE31" s="444"/>
      <c r="AF31" s="444"/>
      <c r="AG31" s="444"/>
      <c r="AH31" s="444"/>
      <c r="AI31" s="444"/>
      <c r="AJ31" s="42"/>
      <c r="AK31" s="42"/>
      <c r="AL31" s="42"/>
    </row>
    <row r="32" spans="1:51" x14ac:dyDescent="0.25">
      <c r="A32" s="996"/>
      <c r="B32" s="996"/>
      <c r="C32" s="996"/>
      <c r="D32" s="996"/>
      <c r="E32" s="996"/>
      <c r="F32" s="993"/>
      <c r="G32" s="993"/>
      <c r="H32" s="466"/>
      <c r="J32" s="466"/>
      <c r="L32" s="466"/>
      <c r="N32" s="466"/>
      <c r="O32" s="466"/>
      <c r="P32" s="466"/>
      <c r="Q32" s="466"/>
      <c r="R32" s="466"/>
      <c r="S32" s="182"/>
      <c r="T32" s="466"/>
      <c r="U32" s="444"/>
      <c r="V32" s="444"/>
      <c r="W32" s="444"/>
      <c r="X32" s="444"/>
      <c r="Y32" s="444"/>
      <c r="Z32" s="444"/>
      <c r="AA32" s="444"/>
      <c r="AB32" s="466"/>
      <c r="AC32" s="182"/>
      <c r="AD32" s="444"/>
      <c r="AE32" s="444"/>
      <c r="AF32" s="444"/>
      <c r="AG32" s="444"/>
      <c r="AH32" s="444"/>
      <c r="AI32" s="444"/>
      <c r="AJ32" s="42"/>
      <c r="AK32" s="42"/>
      <c r="AL32" s="42"/>
    </row>
    <row r="33" spans="1:51" hidden="1" x14ac:dyDescent="0.25">
      <c r="A33" s="996"/>
      <c r="B33" s="996"/>
      <c r="C33" s="996" t="s">
        <v>285</v>
      </c>
      <c r="D33" s="996"/>
      <c r="E33" s="996"/>
      <c r="F33" s="993"/>
      <c r="G33" s="993"/>
      <c r="H33" s="37" t="e">
        <f>ROUND((H31-#REF!)/#REF!,3)</f>
        <v>#REF!</v>
      </c>
      <c r="I33" s="44"/>
      <c r="J33" s="37" t="e">
        <f>ROUND((J31-#REF!)/#REF!,3)</f>
        <v>#REF!</v>
      </c>
      <c r="K33" s="44"/>
      <c r="L33" s="37" t="e">
        <f>ROUND((L31-#REF!)/#REF!,3)</f>
        <v>#REF!</v>
      </c>
      <c r="M33" s="44"/>
      <c r="N33" s="37">
        <f>ROUND((N31-J31)/J31,3)</f>
        <v>2.972</v>
      </c>
      <c r="O33" s="179"/>
      <c r="P33" s="37">
        <f>ROUND((P31-L31)/L31,3)</f>
        <v>1.994</v>
      </c>
      <c r="Q33" s="179"/>
      <c r="R33" s="37"/>
      <c r="S33" s="164"/>
      <c r="T33" s="37"/>
      <c r="U33" s="164"/>
      <c r="V33" s="164"/>
      <c r="W33" s="164"/>
      <c r="X33" s="164"/>
      <c r="Y33" s="164"/>
      <c r="Z33" s="164"/>
      <c r="AA33" s="164"/>
      <c r="AB33" s="164"/>
      <c r="AC33" s="164"/>
      <c r="AD33" s="179"/>
      <c r="AE33" s="444"/>
      <c r="AF33" s="444"/>
      <c r="AG33" s="444"/>
      <c r="AH33" s="444"/>
      <c r="AI33" s="444"/>
      <c r="AJ33" s="42"/>
      <c r="AK33" s="42"/>
      <c r="AL33" s="42"/>
    </row>
    <row r="34" spans="1:51" hidden="1" x14ac:dyDescent="0.25">
      <c r="A34" s="996"/>
      <c r="B34" s="996"/>
      <c r="C34" s="996"/>
      <c r="D34" s="996"/>
      <c r="E34" s="996"/>
      <c r="F34" s="993"/>
      <c r="G34" s="993"/>
      <c r="H34" s="466"/>
      <c r="J34" s="466"/>
      <c r="L34" s="466"/>
      <c r="N34" s="466"/>
      <c r="O34" s="466"/>
      <c r="P34" s="466"/>
      <c r="Q34" s="466"/>
      <c r="R34" s="466"/>
      <c r="S34" s="182"/>
      <c r="T34" s="466"/>
      <c r="U34" s="444"/>
      <c r="V34" s="444"/>
      <c r="W34" s="444"/>
      <c r="X34" s="444"/>
      <c r="Y34" s="444"/>
      <c r="Z34" s="444"/>
      <c r="AA34" s="444"/>
      <c r="AB34" s="466"/>
      <c r="AC34" s="182"/>
      <c r="AD34" s="182"/>
      <c r="AE34" s="444"/>
      <c r="AF34" s="444"/>
      <c r="AG34" s="444"/>
      <c r="AH34" s="444"/>
      <c r="AI34" s="444"/>
      <c r="AJ34" s="42"/>
      <c r="AK34" s="42"/>
      <c r="AL34" s="42"/>
    </row>
    <row r="35" spans="1:51" x14ac:dyDescent="0.25">
      <c r="A35" s="996" t="s">
        <v>255</v>
      </c>
      <c r="B35" s="996"/>
      <c r="C35" s="996"/>
      <c r="D35" s="996"/>
      <c r="E35" s="996"/>
      <c r="F35" s="993"/>
      <c r="G35" s="993"/>
      <c r="H35" s="466"/>
      <c r="J35" s="466"/>
      <c r="L35" s="466"/>
      <c r="N35" s="466"/>
      <c r="O35" s="466"/>
      <c r="P35" s="466"/>
      <c r="Q35" s="466"/>
      <c r="R35" s="466"/>
      <c r="S35" s="182"/>
      <c r="T35" s="466"/>
      <c r="U35" s="444"/>
      <c r="V35" s="444"/>
      <c r="W35" s="444"/>
      <c r="X35" s="444"/>
      <c r="Y35" s="444"/>
      <c r="Z35" s="444"/>
      <c r="AA35" s="444"/>
      <c r="AB35" s="466"/>
      <c r="AC35" s="182"/>
      <c r="AD35" s="182"/>
      <c r="AE35" s="444"/>
      <c r="AF35" s="444"/>
      <c r="AG35" s="444"/>
      <c r="AH35" s="444"/>
      <c r="AI35" s="444"/>
      <c r="AJ35" s="42"/>
      <c r="AK35" s="42"/>
      <c r="AL35" s="42"/>
    </row>
    <row r="36" spans="1:51" x14ac:dyDescent="0.25">
      <c r="A36" s="996"/>
      <c r="B36" s="996" t="s">
        <v>26</v>
      </c>
      <c r="C36" s="996"/>
      <c r="D36" s="996"/>
      <c r="E36" s="996"/>
      <c r="F36" s="993"/>
      <c r="G36" s="993"/>
      <c r="H36" s="466">
        <v>1749555</v>
      </c>
      <c r="J36" s="466">
        <v>401580</v>
      </c>
      <c r="L36" s="466">
        <v>639696</v>
      </c>
      <c r="N36" s="466">
        <v>1786793</v>
      </c>
      <c r="O36" s="466"/>
      <c r="P36" s="466">
        <v>1616683</v>
      </c>
      <c r="Q36" s="466"/>
      <c r="R36" s="466">
        <v>1648938</v>
      </c>
      <c r="S36" s="182"/>
      <c r="T36" s="466">
        <v>1636130</v>
      </c>
      <c r="U36" s="444"/>
      <c r="V36" s="444"/>
      <c r="W36" s="444"/>
      <c r="X36" s="444"/>
      <c r="Y36" s="444"/>
      <c r="Z36" s="444"/>
      <c r="AA36" s="444"/>
      <c r="AB36" s="466"/>
      <c r="AC36" s="182"/>
      <c r="AD36" s="444"/>
      <c r="AE36" s="444"/>
      <c r="AF36" s="444"/>
      <c r="AG36" s="444"/>
      <c r="AH36" s="444"/>
      <c r="AI36" s="444"/>
      <c r="AJ36" s="42"/>
      <c r="AK36" s="42"/>
      <c r="AL36" s="42"/>
    </row>
    <row r="37" spans="1:51" x14ac:dyDescent="0.25">
      <c r="A37" s="996"/>
      <c r="B37" s="996" t="s">
        <v>273</v>
      </c>
      <c r="C37" s="996"/>
      <c r="D37" s="996"/>
      <c r="E37" s="996"/>
      <c r="F37" s="993"/>
      <c r="G37" s="993"/>
      <c r="H37" s="466">
        <v>1208078</v>
      </c>
      <c r="J37" s="466">
        <v>205082</v>
      </c>
      <c r="L37" s="466">
        <v>370900</v>
      </c>
      <c r="N37" s="466">
        <v>973026</v>
      </c>
      <c r="O37" s="466"/>
      <c r="P37" s="466">
        <v>968869</v>
      </c>
      <c r="Q37" s="727"/>
      <c r="R37" s="466">
        <v>905829</v>
      </c>
      <c r="S37" s="182"/>
      <c r="T37" s="466">
        <v>898562</v>
      </c>
      <c r="U37" s="444"/>
      <c r="V37" s="444"/>
      <c r="W37" s="444"/>
      <c r="X37" s="444"/>
      <c r="Y37" s="444"/>
      <c r="Z37" s="444"/>
      <c r="AA37" s="444"/>
      <c r="AB37" s="466"/>
      <c r="AC37" s="182"/>
      <c r="AD37" s="444"/>
      <c r="AE37" s="444"/>
      <c r="AF37" s="444"/>
      <c r="AG37" s="444"/>
      <c r="AH37" s="444"/>
      <c r="AI37" s="444"/>
      <c r="AJ37" s="42"/>
      <c r="AK37" s="42"/>
      <c r="AL37" s="42"/>
    </row>
    <row r="38" spans="1:51" x14ac:dyDescent="0.25">
      <c r="A38" s="996"/>
      <c r="B38" s="996" t="s">
        <v>166</v>
      </c>
      <c r="C38" s="996"/>
      <c r="D38" s="996"/>
      <c r="E38" s="996"/>
      <c r="F38" s="993"/>
      <c r="G38" s="993"/>
      <c r="H38" s="466">
        <v>362466</v>
      </c>
      <c r="J38" s="466">
        <v>66494</v>
      </c>
      <c r="L38" s="466">
        <v>150440</v>
      </c>
      <c r="N38" s="466">
        <v>395862</v>
      </c>
      <c r="O38" s="466"/>
      <c r="P38" s="466">
        <v>346857</v>
      </c>
      <c r="Q38" s="466"/>
      <c r="R38" s="466">
        <v>337783</v>
      </c>
      <c r="S38" s="182"/>
      <c r="T38" s="466">
        <v>318421</v>
      </c>
      <c r="U38" s="444"/>
      <c r="V38" s="444"/>
      <c r="W38" s="444"/>
      <c r="X38" s="444"/>
      <c r="Y38" s="444"/>
      <c r="Z38" s="444"/>
      <c r="AA38" s="444"/>
      <c r="AB38" s="466"/>
      <c r="AC38" s="182"/>
      <c r="AD38" s="444"/>
      <c r="AE38" s="444"/>
      <c r="AF38" s="444"/>
      <c r="AG38" s="444"/>
      <c r="AH38" s="444"/>
      <c r="AI38" s="444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</row>
    <row r="39" spans="1:51" x14ac:dyDescent="0.25">
      <c r="A39" s="996"/>
      <c r="B39" s="996" t="s">
        <v>302</v>
      </c>
      <c r="C39" s="996"/>
      <c r="D39" s="996"/>
      <c r="E39" s="996"/>
      <c r="F39" s="993"/>
      <c r="G39" s="993"/>
      <c r="H39" s="466">
        <v>936755</v>
      </c>
      <c r="J39" s="466">
        <v>264382</v>
      </c>
      <c r="L39" s="466">
        <v>559087</v>
      </c>
      <c r="N39" s="466">
        <v>1014819</v>
      </c>
      <c r="O39" s="431" t="s">
        <v>79</v>
      </c>
      <c r="P39" s="466">
        <v>1291830</v>
      </c>
      <c r="Q39" s="431"/>
      <c r="R39" s="466">
        <v>1152640</v>
      </c>
      <c r="S39" s="182"/>
      <c r="T39" s="466">
        <v>1098706</v>
      </c>
      <c r="U39" s="444"/>
      <c r="V39" s="444"/>
      <c r="W39" s="444"/>
      <c r="X39" s="444"/>
      <c r="Y39" s="444"/>
      <c r="Z39" s="444"/>
      <c r="AA39" s="444"/>
      <c r="AB39" s="466"/>
      <c r="AC39" s="182"/>
      <c r="AD39" s="444"/>
      <c r="AE39" s="444"/>
      <c r="AF39" s="444"/>
      <c r="AG39" s="444"/>
      <c r="AH39" s="444"/>
      <c r="AI39" s="444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</row>
    <row r="40" spans="1:51" x14ac:dyDescent="0.25">
      <c r="A40" s="996"/>
      <c r="B40" s="996" t="s">
        <v>259</v>
      </c>
      <c r="C40" s="996"/>
      <c r="D40" s="996"/>
      <c r="E40" s="996"/>
      <c r="F40" s="993"/>
      <c r="G40" s="993"/>
      <c r="H40" s="466">
        <v>6366</v>
      </c>
      <c r="J40" s="466"/>
      <c r="L40" s="466"/>
      <c r="N40" s="466">
        <v>4094</v>
      </c>
      <c r="O40" s="466"/>
      <c r="P40" s="466">
        <v>4131</v>
      </c>
      <c r="Q40" s="466"/>
      <c r="R40" s="466">
        <v>17752</v>
      </c>
      <c r="S40" s="182"/>
      <c r="T40" s="466">
        <v>2803</v>
      </c>
      <c r="U40" s="444"/>
      <c r="V40" s="444"/>
      <c r="W40" s="444"/>
      <c r="X40" s="444"/>
      <c r="Y40" s="444"/>
      <c r="Z40" s="444"/>
      <c r="AA40" s="444"/>
      <c r="AB40" s="466"/>
      <c r="AC40" s="182"/>
      <c r="AD40" s="444"/>
      <c r="AE40" s="444"/>
      <c r="AF40" s="444"/>
      <c r="AG40" s="444"/>
      <c r="AH40" s="444"/>
      <c r="AI40" s="444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</row>
    <row r="41" spans="1:51" x14ac:dyDescent="0.25">
      <c r="A41" s="996"/>
      <c r="B41" s="993" t="s">
        <v>168</v>
      </c>
      <c r="C41" s="996"/>
      <c r="D41" s="996"/>
      <c r="E41" s="996"/>
      <c r="F41" s="993"/>
      <c r="G41" s="993"/>
      <c r="H41" s="466">
        <v>314939</v>
      </c>
      <c r="J41" s="466">
        <v>196371</v>
      </c>
      <c r="L41" s="466">
        <v>135413</v>
      </c>
      <c r="N41" s="466">
        <v>520773</v>
      </c>
      <c r="O41" s="431" t="s">
        <v>79</v>
      </c>
      <c r="P41" s="466">
        <v>416555</v>
      </c>
      <c r="Q41" s="431"/>
      <c r="R41" s="466">
        <v>334782</v>
      </c>
      <c r="S41" s="182"/>
      <c r="T41" s="466">
        <v>270348</v>
      </c>
      <c r="U41" s="444"/>
      <c r="V41" s="444"/>
      <c r="W41" s="444"/>
      <c r="X41" s="444"/>
      <c r="Y41" s="444"/>
      <c r="Z41" s="444"/>
      <c r="AA41" s="444"/>
      <c r="AB41" s="466"/>
      <c r="AC41" s="182"/>
      <c r="AD41" s="444"/>
      <c r="AE41" s="444"/>
      <c r="AF41" s="444"/>
      <c r="AG41" s="444"/>
      <c r="AH41" s="444"/>
      <c r="AI41" s="444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</row>
    <row r="42" spans="1:51" x14ac:dyDescent="0.25">
      <c r="A42" s="996"/>
      <c r="B42" s="996" t="s">
        <v>282</v>
      </c>
      <c r="C42" s="996"/>
      <c r="D42" s="996"/>
      <c r="E42" s="996"/>
      <c r="F42" s="993"/>
      <c r="G42" s="993"/>
      <c r="H42" s="466">
        <v>51069</v>
      </c>
      <c r="J42" s="466">
        <v>13080</v>
      </c>
      <c r="L42" s="466">
        <v>18979</v>
      </c>
      <c r="N42" s="466">
        <v>264040</v>
      </c>
      <c r="O42" s="466"/>
      <c r="P42" s="466">
        <v>82462</v>
      </c>
      <c r="Q42" s="466"/>
      <c r="R42" s="466">
        <v>46327</v>
      </c>
      <c r="S42" s="182"/>
      <c r="T42" s="466">
        <v>125814</v>
      </c>
      <c r="U42" s="444"/>
      <c r="V42" s="444"/>
      <c r="W42" s="444"/>
      <c r="X42" s="444"/>
      <c r="Y42" s="444"/>
      <c r="Z42" s="444"/>
      <c r="AA42" s="444"/>
      <c r="AB42" s="466"/>
      <c r="AC42" s="182"/>
      <c r="AD42" s="444"/>
      <c r="AE42" s="444"/>
      <c r="AF42" s="444"/>
      <c r="AG42" s="444"/>
      <c r="AH42" s="444"/>
      <c r="AI42" s="444"/>
      <c r="AJ42" s="42"/>
      <c r="AK42" s="42"/>
      <c r="AL42" s="42"/>
    </row>
    <row r="43" spans="1:51" x14ac:dyDescent="0.25">
      <c r="A43" s="996"/>
      <c r="B43" s="996" t="s">
        <v>76</v>
      </c>
      <c r="C43" s="996"/>
      <c r="D43" s="996"/>
      <c r="E43" s="996"/>
      <c r="F43" s="993"/>
      <c r="G43" s="993"/>
      <c r="H43" s="466">
        <v>138442</v>
      </c>
      <c r="J43" s="466"/>
      <c r="L43" s="466"/>
      <c r="N43" s="466"/>
      <c r="O43" s="466"/>
      <c r="P43" s="466">
        <v>299071</v>
      </c>
      <c r="Q43" s="466"/>
      <c r="R43" s="466">
        <v>67634</v>
      </c>
      <c r="S43" s="182"/>
      <c r="T43" s="466">
        <v>135859</v>
      </c>
      <c r="U43" s="444"/>
      <c r="V43" s="444"/>
      <c r="W43" s="444"/>
      <c r="X43" s="444"/>
      <c r="Y43" s="444"/>
      <c r="Z43" s="444"/>
      <c r="AA43" s="444"/>
      <c r="AB43" s="466"/>
      <c r="AC43" s="182"/>
      <c r="AD43" s="444"/>
      <c r="AE43" s="444"/>
      <c r="AF43" s="444"/>
      <c r="AG43" s="444"/>
      <c r="AH43" s="444"/>
      <c r="AI43" s="444"/>
      <c r="AJ43" s="42"/>
      <c r="AK43" s="42"/>
      <c r="AL43" s="42"/>
    </row>
    <row r="44" spans="1:51" x14ac:dyDescent="0.25">
      <c r="A44" s="996"/>
      <c r="B44" s="996" t="s">
        <v>298</v>
      </c>
      <c r="C44" s="996"/>
      <c r="D44" s="996"/>
      <c r="E44" s="996"/>
      <c r="F44" s="993"/>
      <c r="G44" s="993"/>
      <c r="H44" s="466">
        <v>193107</v>
      </c>
      <c r="J44" s="466">
        <v>43420</v>
      </c>
      <c r="L44" s="466">
        <v>78661</v>
      </c>
      <c r="N44" s="466">
        <v>214725</v>
      </c>
      <c r="O44" s="466"/>
      <c r="P44" s="466">
        <v>180706</v>
      </c>
      <c r="Q44" s="466"/>
      <c r="R44" s="466">
        <v>194781</v>
      </c>
      <c r="S44" s="182"/>
      <c r="T44" s="466">
        <v>195247</v>
      </c>
      <c r="U44" s="444"/>
      <c r="V44" s="444"/>
      <c r="W44" s="444"/>
      <c r="X44" s="444"/>
      <c r="Y44" s="444"/>
      <c r="Z44" s="444"/>
      <c r="AA44" s="444"/>
      <c r="AB44" s="466"/>
      <c r="AC44" s="182"/>
      <c r="AD44" s="444"/>
      <c r="AE44" s="444"/>
      <c r="AF44" s="444"/>
      <c r="AG44" s="444"/>
      <c r="AH44" s="444"/>
      <c r="AI44" s="444"/>
      <c r="AJ44" s="42"/>
      <c r="AK44" s="42"/>
      <c r="AL44" s="42"/>
    </row>
    <row r="45" spans="1:51" x14ac:dyDescent="0.25">
      <c r="A45" s="996"/>
      <c r="B45" s="996"/>
      <c r="C45" s="996"/>
      <c r="D45" s="996"/>
      <c r="E45" s="996"/>
      <c r="F45" s="993"/>
      <c r="G45" s="993"/>
      <c r="H45" s="451"/>
      <c r="J45" s="451"/>
      <c r="L45" s="451"/>
      <c r="N45" s="451"/>
      <c r="O45" s="466"/>
      <c r="P45" s="451"/>
      <c r="Q45" s="466"/>
      <c r="R45" s="451"/>
      <c r="S45" s="182"/>
      <c r="T45" s="451"/>
      <c r="U45" s="444"/>
      <c r="V45" s="444"/>
      <c r="W45" s="444"/>
      <c r="X45" s="444"/>
      <c r="Y45" s="444"/>
      <c r="Z45" s="444"/>
      <c r="AA45" s="444"/>
      <c r="AB45" s="466"/>
      <c r="AC45" s="182"/>
      <c r="AD45" s="182"/>
      <c r="AE45" s="444"/>
      <c r="AF45" s="444"/>
      <c r="AG45" s="444"/>
      <c r="AH45" s="444"/>
      <c r="AI45" s="444"/>
      <c r="AJ45" s="42"/>
      <c r="AK45" s="42"/>
      <c r="AL45" s="42"/>
    </row>
    <row r="46" spans="1:51" x14ac:dyDescent="0.25">
      <c r="A46" s="996"/>
      <c r="B46" s="996"/>
      <c r="C46" s="996" t="s">
        <v>19</v>
      </c>
      <c r="D46" s="996"/>
      <c r="E46" s="996"/>
      <c r="F46" s="993"/>
      <c r="G46" s="993"/>
      <c r="H46" s="994">
        <f>SUM(H36:H45)</f>
        <v>4960777</v>
      </c>
      <c r="J46" s="994">
        <f>SUM(J36:J45)</f>
        <v>1190409</v>
      </c>
      <c r="L46" s="994">
        <f>SUM(L36:L45)</f>
        <v>1953176</v>
      </c>
      <c r="N46" s="994">
        <f>SUM(N36:N45)</f>
        <v>5174132</v>
      </c>
      <c r="O46" s="466"/>
      <c r="P46" s="994">
        <f>SUM(P36:P45)</f>
        <v>5207164</v>
      </c>
      <c r="Q46" s="466"/>
      <c r="R46" s="994">
        <f>SUM(R36:R45)</f>
        <v>4706466</v>
      </c>
      <c r="S46" s="182"/>
      <c r="T46" s="994">
        <f>SUM(T36:T45)</f>
        <v>4681890</v>
      </c>
      <c r="U46" s="444"/>
      <c r="V46" s="466"/>
      <c r="W46" s="444"/>
      <c r="X46" s="444"/>
      <c r="Y46" s="444"/>
      <c r="Z46" s="444"/>
      <c r="AA46" s="444"/>
      <c r="AB46" s="466"/>
      <c r="AC46" s="182"/>
      <c r="AD46" s="444"/>
      <c r="AE46" s="444"/>
      <c r="AF46" s="444"/>
      <c r="AG46" s="444"/>
      <c r="AH46" s="444"/>
      <c r="AI46" s="444"/>
      <c r="AJ46" s="42"/>
      <c r="AK46" s="42"/>
      <c r="AL46" s="42"/>
    </row>
    <row r="47" spans="1:51" x14ac:dyDescent="0.25">
      <c r="A47" s="996"/>
      <c r="B47" s="996"/>
      <c r="C47" s="996"/>
      <c r="D47" s="996"/>
      <c r="E47" s="996"/>
      <c r="F47" s="993"/>
      <c r="G47" s="993"/>
      <c r="H47" s="466"/>
      <c r="J47" s="466"/>
      <c r="L47" s="466"/>
      <c r="N47" s="466"/>
      <c r="O47" s="466"/>
      <c r="P47" s="466"/>
      <c r="Q47" s="466"/>
      <c r="R47" s="466"/>
      <c r="S47" s="182"/>
      <c r="T47" s="466"/>
      <c r="U47" s="444"/>
      <c r="V47" s="444"/>
      <c r="W47" s="444"/>
      <c r="X47" s="444"/>
      <c r="Y47" s="444"/>
      <c r="Z47" s="444"/>
      <c r="AA47" s="444"/>
      <c r="AB47" s="466"/>
      <c r="AC47" s="182"/>
      <c r="AD47" s="444"/>
      <c r="AE47" s="444"/>
      <c r="AF47" s="444"/>
      <c r="AG47" s="444"/>
      <c r="AH47" s="444"/>
      <c r="AI47" s="444"/>
      <c r="AJ47" s="42"/>
      <c r="AK47" s="42"/>
      <c r="AL47" s="42"/>
    </row>
    <row r="48" spans="1:51" x14ac:dyDescent="0.25">
      <c r="A48" s="996" t="s">
        <v>258</v>
      </c>
      <c r="B48" s="996"/>
      <c r="C48" s="996"/>
      <c r="D48" s="996"/>
      <c r="E48" s="996"/>
      <c r="F48" s="993"/>
      <c r="G48" s="993"/>
      <c r="R48" s="39"/>
      <c r="S48" s="182"/>
      <c r="U48" s="444"/>
      <c r="V48" s="444"/>
      <c r="W48" s="444"/>
      <c r="X48" s="444"/>
      <c r="Y48" s="444"/>
      <c r="Z48" s="444"/>
      <c r="AA48" s="444"/>
      <c r="AB48" s="444"/>
      <c r="AC48" s="182"/>
      <c r="AD48" s="182"/>
      <c r="AE48" s="444"/>
      <c r="AF48" s="444"/>
      <c r="AG48" s="444"/>
      <c r="AH48" s="444"/>
      <c r="AI48" s="444"/>
      <c r="AJ48" s="42"/>
      <c r="AK48" s="42"/>
      <c r="AL48" s="42"/>
    </row>
    <row r="49" spans="1:51" x14ac:dyDescent="0.25">
      <c r="A49" s="996"/>
      <c r="B49" s="996" t="s">
        <v>26</v>
      </c>
      <c r="C49" s="996"/>
      <c r="D49" s="996"/>
      <c r="E49" s="996"/>
      <c r="F49" s="993"/>
      <c r="G49" s="993"/>
      <c r="H49" s="466">
        <v>1743177</v>
      </c>
      <c r="J49" s="466">
        <v>391844</v>
      </c>
      <c r="L49" s="466">
        <v>776690</v>
      </c>
      <c r="N49" s="466">
        <v>1879376</v>
      </c>
      <c r="O49" s="466"/>
      <c r="P49" s="466">
        <v>1805889</v>
      </c>
      <c r="Q49" s="466"/>
      <c r="R49" s="466">
        <v>1870668</v>
      </c>
      <c r="S49" s="182"/>
      <c r="T49" s="466">
        <v>1911049</v>
      </c>
      <c r="U49" s="444"/>
      <c r="V49" s="444"/>
      <c r="W49" s="444"/>
      <c r="X49" s="444"/>
      <c r="Y49" s="444"/>
      <c r="Z49" s="444"/>
      <c r="AA49" s="444"/>
      <c r="AB49" s="444"/>
      <c r="AC49" s="182"/>
      <c r="AD49" s="444"/>
      <c r="AE49" s="444"/>
      <c r="AF49" s="444"/>
      <c r="AG49" s="444"/>
      <c r="AH49" s="444"/>
      <c r="AI49" s="444"/>
      <c r="AJ49" s="42"/>
      <c r="AK49" s="42"/>
      <c r="AL49" s="42"/>
    </row>
    <row r="50" spans="1:51" x14ac:dyDescent="0.25">
      <c r="A50" s="996"/>
      <c r="B50" s="996" t="s">
        <v>273</v>
      </c>
      <c r="C50" s="996"/>
      <c r="D50" s="996"/>
      <c r="E50" s="996"/>
      <c r="F50" s="993"/>
      <c r="G50" s="993"/>
      <c r="H50" s="466">
        <v>1162132</v>
      </c>
      <c r="J50" s="466">
        <v>212511</v>
      </c>
      <c r="L50" s="466">
        <v>475701</v>
      </c>
      <c r="N50" s="466">
        <v>1223742</v>
      </c>
      <c r="O50" s="466"/>
      <c r="P50" s="466">
        <v>1022248</v>
      </c>
      <c r="Q50" s="727"/>
      <c r="R50" s="466">
        <v>999808</v>
      </c>
      <c r="S50" s="182"/>
      <c r="T50" s="466">
        <v>1043495</v>
      </c>
      <c r="U50" s="444"/>
      <c r="V50" s="444"/>
      <c r="W50" s="444"/>
      <c r="X50" s="444"/>
      <c r="Y50" s="444"/>
      <c r="Z50" s="444"/>
      <c r="AA50" s="444"/>
      <c r="AB50" s="444"/>
      <c r="AC50" s="182"/>
      <c r="AD50" s="444"/>
      <c r="AE50" s="444"/>
      <c r="AF50" s="444"/>
      <c r="AG50" s="444"/>
      <c r="AH50" s="444"/>
      <c r="AI50" s="444"/>
      <c r="AJ50" s="42"/>
      <c r="AK50" s="42"/>
      <c r="AL50" s="42"/>
    </row>
    <row r="51" spans="1:51" x14ac:dyDescent="0.25">
      <c r="A51" s="996"/>
      <c r="B51" s="996" t="s">
        <v>274</v>
      </c>
      <c r="C51" s="996"/>
      <c r="D51" s="996"/>
      <c r="E51" s="996"/>
      <c r="F51" s="993"/>
      <c r="G51" s="993"/>
      <c r="H51" s="464">
        <v>129712</v>
      </c>
      <c r="J51" s="464">
        <v>0</v>
      </c>
      <c r="K51" s="464"/>
      <c r="L51" s="464">
        <v>0</v>
      </c>
      <c r="N51" s="464">
        <v>224988</v>
      </c>
      <c r="O51" s="464"/>
      <c r="P51" s="464">
        <v>-128802</v>
      </c>
      <c r="Q51" s="464"/>
      <c r="R51" s="464">
        <v>83993</v>
      </c>
      <c r="S51" s="182"/>
      <c r="T51" s="464">
        <v>84855</v>
      </c>
      <c r="U51" s="444"/>
      <c r="V51" s="444"/>
      <c r="W51" s="444"/>
      <c r="X51" s="444"/>
      <c r="Y51" s="444"/>
      <c r="Z51" s="444"/>
      <c r="AA51" s="444"/>
      <c r="AB51" s="466"/>
      <c r="AC51" s="182"/>
      <c r="AD51" s="444"/>
      <c r="AE51" s="444"/>
      <c r="AF51" s="444"/>
      <c r="AG51" s="444"/>
      <c r="AH51" s="444"/>
      <c r="AI51" s="444"/>
      <c r="AJ51" s="42"/>
      <c r="AK51" s="42"/>
      <c r="AL51" s="42"/>
    </row>
    <row r="52" spans="1:51" x14ac:dyDescent="0.25">
      <c r="A52" s="996"/>
      <c r="B52" s="996" t="s">
        <v>304</v>
      </c>
      <c r="C52" s="996"/>
      <c r="D52" s="996"/>
      <c r="E52" s="996"/>
      <c r="F52" s="993"/>
      <c r="G52" s="993"/>
      <c r="H52" s="466">
        <v>268682</v>
      </c>
      <c r="J52" s="466">
        <v>53868</v>
      </c>
      <c r="L52" s="466">
        <v>117122</v>
      </c>
      <c r="N52" s="466">
        <v>251456</v>
      </c>
      <c r="O52" s="466"/>
      <c r="P52" s="466">
        <v>283738</v>
      </c>
      <c r="Q52" s="466"/>
      <c r="R52" s="466">
        <v>281245</v>
      </c>
      <c r="S52" s="182"/>
      <c r="T52" s="464">
        <v>290109</v>
      </c>
      <c r="U52" s="444"/>
      <c r="V52" s="444"/>
      <c r="W52" s="444"/>
      <c r="X52" s="444"/>
      <c r="Y52" s="444"/>
      <c r="Z52" s="444"/>
      <c r="AA52" s="444"/>
      <c r="AB52" s="422"/>
      <c r="AC52" s="182"/>
      <c r="AD52" s="444"/>
      <c r="AE52" s="444"/>
      <c r="AF52" s="444"/>
      <c r="AG52" s="444"/>
      <c r="AH52" s="444"/>
      <c r="AI52" s="444"/>
      <c r="AJ52" s="42"/>
      <c r="AK52" s="42"/>
      <c r="AL52" s="42"/>
    </row>
    <row r="53" spans="1:51" x14ac:dyDescent="0.25">
      <c r="A53" s="996"/>
      <c r="B53" s="996" t="s">
        <v>302</v>
      </c>
      <c r="C53" s="996"/>
      <c r="D53" s="996"/>
      <c r="E53" s="996"/>
      <c r="F53" s="993"/>
      <c r="G53" s="993"/>
      <c r="H53" s="466">
        <v>22280</v>
      </c>
      <c r="J53" s="466">
        <v>24023</v>
      </c>
      <c r="L53" s="466">
        <v>6000</v>
      </c>
      <c r="N53" s="466">
        <v>7879</v>
      </c>
      <c r="O53" s="466"/>
      <c r="P53" s="466">
        <v>71666</v>
      </c>
      <c r="Q53" s="466"/>
      <c r="R53" s="466">
        <v>181527</v>
      </c>
      <c r="S53" s="182"/>
      <c r="T53" s="464">
        <v>166754</v>
      </c>
      <c r="U53" s="444"/>
      <c r="V53" s="444"/>
      <c r="W53" s="444"/>
      <c r="X53" s="444"/>
      <c r="Y53" s="444"/>
      <c r="Z53" s="444"/>
      <c r="AA53" s="444"/>
      <c r="AB53" s="466"/>
      <c r="AC53" s="182"/>
      <c r="AD53" s="444"/>
      <c r="AE53" s="444"/>
      <c r="AF53" s="444"/>
      <c r="AG53" s="444"/>
      <c r="AH53" s="444"/>
      <c r="AI53" s="444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</row>
    <row r="54" spans="1:51" x14ac:dyDescent="0.25">
      <c r="A54" s="996"/>
      <c r="B54" s="996" t="s">
        <v>259</v>
      </c>
      <c r="C54" s="996"/>
      <c r="D54" s="996"/>
      <c r="E54" s="996"/>
      <c r="F54" s="993"/>
      <c r="G54" s="993"/>
      <c r="H54" s="466">
        <v>615</v>
      </c>
      <c r="I54" s="464"/>
      <c r="J54" s="464">
        <v>0</v>
      </c>
      <c r="K54" s="464"/>
      <c r="L54" s="464">
        <v>0</v>
      </c>
      <c r="N54" s="466">
        <v>2638</v>
      </c>
      <c r="O54" s="466"/>
      <c r="P54" s="466">
        <v>1280</v>
      </c>
      <c r="Q54" s="466"/>
      <c r="R54" s="466">
        <v>425</v>
      </c>
      <c r="S54" s="182"/>
      <c r="T54" s="464">
        <v>844</v>
      </c>
      <c r="U54" s="444"/>
      <c r="V54" s="444"/>
      <c r="W54" s="444"/>
      <c r="X54" s="444"/>
      <c r="Y54" s="444"/>
      <c r="Z54" s="444"/>
      <c r="AA54" s="444"/>
      <c r="AB54" s="466"/>
      <c r="AC54" s="182"/>
      <c r="AD54" s="444"/>
      <c r="AE54" s="444"/>
      <c r="AF54" s="444"/>
      <c r="AG54" s="444"/>
      <c r="AH54" s="444"/>
      <c r="AI54" s="444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</row>
    <row r="55" spans="1:51" x14ac:dyDescent="0.25">
      <c r="A55" s="996"/>
      <c r="B55" s="993" t="s">
        <v>168</v>
      </c>
      <c r="C55" s="996"/>
      <c r="D55" s="996"/>
      <c r="E55" s="996"/>
      <c r="F55" s="993"/>
      <c r="G55" s="993"/>
      <c r="H55" s="466">
        <v>22663</v>
      </c>
      <c r="J55" s="466">
        <v>1321</v>
      </c>
      <c r="L55" s="466">
        <v>6964</v>
      </c>
      <c r="N55" s="466">
        <v>23810</v>
      </c>
      <c r="O55" s="466"/>
      <c r="P55" s="466">
        <v>29085</v>
      </c>
      <c r="Q55" s="466"/>
      <c r="R55" s="466">
        <v>24098</v>
      </c>
      <c r="S55" s="182"/>
      <c r="T55" s="464">
        <v>24006</v>
      </c>
      <c r="U55" s="444"/>
      <c r="V55" s="444"/>
      <c r="W55" s="444"/>
      <c r="X55" s="444"/>
      <c r="Y55" s="444"/>
      <c r="Z55" s="444"/>
      <c r="AA55" s="444"/>
      <c r="AB55" s="423"/>
      <c r="AC55" s="182"/>
      <c r="AD55" s="444"/>
      <c r="AE55" s="444"/>
      <c r="AF55" s="444"/>
      <c r="AG55" s="444"/>
      <c r="AH55" s="444"/>
      <c r="AI55" s="444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</row>
    <row r="56" spans="1:51" x14ac:dyDescent="0.25">
      <c r="A56" s="996"/>
      <c r="B56" s="996" t="s">
        <v>282</v>
      </c>
      <c r="C56" s="996"/>
      <c r="D56" s="996"/>
      <c r="E56" s="996"/>
      <c r="F56" s="993"/>
      <c r="G56" s="993"/>
      <c r="H56" s="502">
        <v>0</v>
      </c>
      <c r="J56" s="466">
        <v>9756</v>
      </c>
      <c r="L56" s="466">
        <v>21402</v>
      </c>
      <c r="N56" s="466">
        <v>39079</v>
      </c>
      <c r="O56" s="466"/>
      <c r="P56" s="466">
        <v>14100</v>
      </c>
      <c r="Q56" s="466"/>
      <c r="R56" s="466">
        <v>30226</v>
      </c>
      <c r="S56" s="182"/>
      <c r="T56" s="464">
        <v>16134</v>
      </c>
      <c r="U56" s="444"/>
      <c r="V56" s="444"/>
      <c r="W56" s="444"/>
      <c r="X56" s="444"/>
      <c r="Y56" s="444"/>
      <c r="Z56" s="444"/>
      <c r="AA56" s="444"/>
      <c r="AB56" s="466"/>
      <c r="AC56" s="182"/>
      <c r="AD56" s="444"/>
      <c r="AE56" s="444"/>
      <c r="AF56" s="444"/>
      <c r="AG56" s="444"/>
      <c r="AH56" s="444"/>
      <c r="AI56" s="444"/>
      <c r="AJ56" s="42"/>
      <c r="AK56" s="42"/>
      <c r="AL56" s="42"/>
    </row>
    <row r="57" spans="1:51" x14ac:dyDescent="0.25">
      <c r="A57" s="996"/>
      <c r="B57" s="996" t="s">
        <v>76</v>
      </c>
      <c r="C57" s="996"/>
      <c r="D57" s="996"/>
      <c r="E57" s="996"/>
      <c r="F57" s="993"/>
      <c r="G57" s="993"/>
      <c r="H57" s="466">
        <v>77416</v>
      </c>
      <c r="J57" s="466"/>
      <c r="L57" s="466"/>
      <c r="N57" s="466"/>
      <c r="O57" s="466"/>
      <c r="P57" s="466">
        <v>35993</v>
      </c>
      <c r="Q57" s="466"/>
      <c r="R57" s="466">
        <v>37489</v>
      </c>
      <c r="S57" s="182"/>
      <c r="T57" s="464">
        <v>28915</v>
      </c>
      <c r="U57" s="444"/>
      <c r="V57" s="444"/>
      <c r="W57" s="444"/>
      <c r="X57" s="444"/>
      <c r="Y57" s="444"/>
      <c r="Z57" s="444"/>
      <c r="AA57" s="444"/>
      <c r="AB57" s="466"/>
      <c r="AC57" s="182"/>
      <c r="AD57" s="444"/>
      <c r="AE57" s="444"/>
      <c r="AF57" s="444"/>
      <c r="AG57" s="444"/>
      <c r="AH57" s="444"/>
      <c r="AI57" s="444"/>
      <c r="AJ57" s="42"/>
      <c r="AK57" s="42"/>
      <c r="AL57" s="42"/>
    </row>
    <row r="58" spans="1:51" x14ac:dyDescent="0.25">
      <c r="A58" s="996"/>
      <c r="B58" s="996" t="s">
        <v>298</v>
      </c>
      <c r="C58" s="996"/>
      <c r="D58" s="996"/>
      <c r="E58" s="996"/>
      <c r="F58" s="993"/>
      <c r="G58" s="993"/>
      <c r="H58" s="466">
        <v>54813</v>
      </c>
      <c r="J58" s="466">
        <v>33133</v>
      </c>
      <c r="L58" s="466">
        <v>52984</v>
      </c>
      <c r="N58" s="466">
        <v>115112</v>
      </c>
      <c r="O58" s="466"/>
      <c r="P58" s="466">
        <v>62862</v>
      </c>
      <c r="Q58" s="466"/>
      <c r="R58" s="466">
        <v>83035</v>
      </c>
      <c r="S58" s="182"/>
      <c r="T58" s="464">
        <v>73521</v>
      </c>
      <c r="U58" s="444"/>
      <c r="V58" s="444"/>
      <c r="W58" s="444"/>
      <c r="X58" s="444"/>
      <c r="Y58" s="444"/>
      <c r="Z58" s="444"/>
      <c r="AA58" s="444"/>
      <c r="AB58" s="466"/>
      <c r="AC58" s="182"/>
      <c r="AD58" s="444"/>
      <c r="AE58" s="444"/>
      <c r="AF58" s="444"/>
      <c r="AG58" s="444"/>
      <c r="AH58" s="444"/>
      <c r="AI58" s="444"/>
      <c r="AJ58" s="42"/>
      <c r="AK58" s="42"/>
      <c r="AL58" s="42"/>
    </row>
    <row r="59" spans="1:51" x14ac:dyDescent="0.25">
      <c r="A59" s="996"/>
      <c r="B59" s="996"/>
      <c r="C59" s="996"/>
      <c r="D59" s="996"/>
      <c r="E59" s="996"/>
      <c r="F59" s="993"/>
      <c r="G59" s="993"/>
      <c r="H59" s="451"/>
      <c r="J59" s="451"/>
      <c r="L59" s="451"/>
      <c r="N59" s="451"/>
      <c r="O59" s="466"/>
      <c r="P59" s="451"/>
      <c r="Q59" s="466"/>
      <c r="R59" s="451"/>
      <c r="S59" s="182"/>
      <c r="T59" s="451"/>
      <c r="U59" s="444"/>
      <c r="V59" s="444"/>
      <c r="W59" s="444"/>
      <c r="X59" s="444"/>
      <c r="Y59" s="444"/>
      <c r="Z59" s="444"/>
      <c r="AA59" s="444"/>
      <c r="AB59" s="466"/>
      <c r="AC59" s="182"/>
      <c r="AD59" s="182"/>
      <c r="AE59" s="444"/>
      <c r="AF59" s="444"/>
      <c r="AG59" s="444"/>
      <c r="AH59" s="444"/>
      <c r="AI59" s="444"/>
      <c r="AJ59" s="42"/>
      <c r="AK59" s="42"/>
      <c r="AL59" s="42"/>
    </row>
    <row r="60" spans="1:51" x14ac:dyDescent="0.25">
      <c r="A60" s="996"/>
      <c r="B60" s="996"/>
      <c r="C60" s="996" t="s">
        <v>19</v>
      </c>
      <c r="D60" s="996"/>
      <c r="E60" s="996"/>
      <c r="F60" s="993"/>
      <c r="G60" s="993"/>
      <c r="H60" s="994">
        <f>SUM(H49:H59)</f>
        <v>3481490</v>
      </c>
      <c r="J60" s="994">
        <f>SUM(J49:J59)</f>
        <v>726456</v>
      </c>
      <c r="L60" s="994">
        <f>SUM(L49:L59)</f>
        <v>1456863</v>
      </c>
      <c r="N60" s="994">
        <f>SUM(N49:N59)</f>
        <v>3768080</v>
      </c>
      <c r="O60" s="466"/>
      <c r="P60" s="994">
        <f>SUM(P49:P59)</f>
        <v>3198059</v>
      </c>
      <c r="Q60" s="466"/>
      <c r="R60" s="994">
        <f>SUM(R49:R59)</f>
        <v>3592514</v>
      </c>
      <c r="S60" s="182"/>
      <c r="T60" s="994">
        <f>SUM(T49:T59)</f>
        <v>3639682</v>
      </c>
      <c r="U60" s="444"/>
      <c r="V60" s="466"/>
      <c r="W60" s="444"/>
      <c r="X60" s="444"/>
      <c r="Y60" s="444"/>
      <c r="Z60" s="444"/>
      <c r="AA60" s="444"/>
      <c r="AB60" s="466"/>
      <c r="AC60" s="182"/>
      <c r="AD60" s="444"/>
      <c r="AE60" s="444"/>
      <c r="AF60" s="444"/>
      <c r="AG60" s="444"/>
      <c r="AH60" s="444"/>
      <c r="AI60" s="444"/>
      <c r="AJ60" s="42"/>
      <c r="AK60" s="42"/>
      <c r="AL60" s="42"/>
    </row>
    <row r="61" spans="1:51" x14ac:dyDescent="0.25">
      <c r="A61" s="996"/>
      <c r="B61" s="996"/>
      <c r="C61" s="996"/>
      <c r="D61" s="996"/>
      <c r="E61" s="996"/>
      <c r="F61" s="993"/>
      <c r="G61" s="993"/>
      <c r="H61" s="466"/>
      <c r="J61" s="466"/>
      <c r="L61" s="466"/>
      <c r="N61" s="466"/>
      <c r="O61" s="466"/>
      <c r="P61" s="466"/>
      <c r="Q61" s="466"/>
      <c r="R61" s="466"/>
      <c r="S61" s="182"/>
      <c r="T61" s="466"/>
      <c r="U61" s="444"/>
      <c r="V61" s="444"/>
      <c r="W61" s="444"/>
      <c r="X61" s="444"/>
      <c r="Y61" s="444"/>
      <c r="Z61" s="444"/>
      <c r="AA61" s="444"/>
      <c r="AB61" s="466"/>
      <c r="AC61" s="182"/>
      <c r="AD61" s="444"/>
      <c r="AE61" s="444"/>
      <c r="AF61" s="444"/>
      <c r="AG61" s="444"/>
      <c r="AH61" s="444"/>
      <c r="AI61" s="444"/>
      <c r="AJ61" s="42"/>
      <c r="AK61" s="42"/>
      <c r="AL61" s="42"/>
    </row>
    <row r="62" spans="1:51" hidden="1" x14ac:dyDescent="0.25">
      <c r="A62" s="996"/>
      <c r="B62" s="996"/>
      <c r="C62" s="996" t="s">
        <v>285</v>
      </c>
      <c r="D62" s="996"/>
      <c r="E62" s="996"/>
      <c r="F62" s="993"/>
      <c r="G62" s="993"/>
      <c r="H62" s="37"/>
      <c r="I62" s="44"/>
      <c r="J62" s="37"/>
      <c r="K62" s="44"/>
      <c r="L62" s="37"/>
      <c r="M62" s="44"/>
      <c r="N62" s="37"/>
      <c r="O62" s="179"/>
      <c r="P62" s="37"/>
      <c r="Q62" s="179"/>
      <c r="R62" s="37"/>
      <c r="S62" s="164"/>
      <c r="T62" s="37"/>
      <c r="U62" s="164"/>
      <c r="V62" s="164"/>
      <c r="W62" s="164"/>
      <c r="X62" s="164"/>
      <c r="Y62" s="164"/>
      <c r="Z62" s="164"/>
      <c r="AA62" s="164"/>
      <c r="AB62" s="164"/>
      <c r="AC62" s="164"/>
      <c r="AD62" s="179"/>
      <c r="AE62" s="444"/>
      <c r="AF62" s="444"/>
      <c r="AG62" s="444"/>
      <c r="AH62" s="444"/>
      <c r="AI62" s="444"/>
      <c r="AJ62" s="42"/>
      <c r="AK62" s="42"/>
      <c r="AL62" s="42"/>
    </row>
    <row r="63" spans="1:51" hidden="1" x14ac:dyDescent="0.25">
      <c r="A63" s="996"/>
      <c r="B63" s="996"/>
      <c r="C63" s="996"/>
      <c r="D63" s="996"/>
      <c r="E63" s="996"/>
      <c r="F63" s="993"/>
      <c r="G63" s="993"/>
      <c r="H63" s="466"/>
      <c r="J63" s="466"/>
      <c r="L63" s="466"/>
      <c r="N63" s="466"/>
      <c r="O63" s="466"/>
      <c r="P63" s="466"/>
      <c r="Q63" s="466"/>
      <c r="R63" s="466"/>
      <c r="S63" s="182"/>
      <c r="T63" s="466"/>
      <c r="U63" s="444"/>
      <c r="V63" s="444"/>
      <c r="W63" s="444"/>
      <c r="X63" s="444"/>
      <c r="Y63" s="444"/>
      <c r="Z63" s="444"/>
      <c r="AA63" s="444"/>
      <c r="AB63" s="444"/>
      <c r="AC63" s="182"/>
      <c r="AD63" s="182"/>
      <c r="AE63" s="444"/>
      <c r="AF63" s="444"/>
      <c r="AG63" s="444"/>
      <c r="AH63" s="444"/>
      <c r="AI63" s="444"/>
      <c r="AJ63" s="42"/>
      <c r="AK63" s="42"/>
      <c r="AL63" s="42"/>
    </row>
    <row r="64" spans="1:51" x14ac:dyDescent="0.25">
      <c r="A64" s="996" t="s">
        <v>90</v>
      </c>
      <c r="B64" s="996"/>
      <c r="C64" s="996"/>
      <c r="D64" s="996"/>
      <c r="E64" s="996"/>
      <c r="F64" s="993"/>
      <c r="G64" s="993"/>
      <c r="H64" s="466"/>
      <c r="J64" s="466"/>
      <c r="L64" s="466"/>
      <c r="N64" s="466"/>
      <c r="O64" s="466"/>
      <c r="P64" s="466"/>
      <c r="Q64" s="466"/>
      <c r="R64" s="466"/>
      <c r="S64" s="182"/>
      <c r="T64" s="466"/>
      <c r="U64" s="444"/>
      <c r="V64" s="444"/>
      <c r="W64" s="444"/>
      <c r="X64" s="444"/>
      <c r="Y64" s="444"/>
      <c r="Z64" s="444"/>
      <c r="AA64" s="444"/>
      <c r="AB64" s="444"/>
      <c r="AC64" s="182"/>
      <c r="AD64" s="182"/>
      <c r="AE64" s="444"/>
      <c r="AF64" s="444"/>
      <c r="AG64" s="444"/>
      <c r="AH64" s="444"/>
      <c r="AI64" s="444"/>
      <c r="AJ64" s="42"/>
      <c r="AK64" s="42"/>
      <c r="AL64" s="42"/>
    </row>
    <row r="65" spans="1:38" x14ac:dyDescent="0.25">
      <c r="A65" s="996"/>
      <c r="B65" s="996" t="s">
        <v>275</v>
      </c>
      <c r="C65" s="996"/>
      <c r="D65" s="996"/>
      <c r="E65" s="996"/>
      <c r="F65" s="993"/>
      <c r="G65" s="993"/>
      <c r="H65" s="466">
        <v>18364</v>
      </c>
      <c r="J65" s="466">
        <v>3935</v>
      </c>
      <c r="L65" s="466">
        <v>1640</v>
      </c>
      <c r="N65" s="466">
        <v>19675</v>
      </c>
      <c r="O65" s="466"/>
      <c r="P65" s="466">
        <v>10000</v>
      </c>
      <c r="Q65" s="466"/>
      <c r="R65" s="466">
        <v>10000</v>
      </c>
      <c r="S65" s="182"/>
      <c r="T65" s="466">
        <v>10000</v>
      </c>
      <c r="U65" s="444"/>
      <c r="V65" s="444"/>
      <c r="W65" s="444"/>
      <c r="X65" s="444"/>
      <c r="Y65" s="444"/>
      <c r="Z65" s="444"/>
      <c r="AA65" s="444"/>
      <c r="AB65" s="444"/>
      <c r="AC65" s="182"/>
      <c r="AD65" s="444"/>
      <c r="AE65" s="444"/>
      <c r="AF65" s="444"/>
      <c r="AG65" s="444"/>
      <c r="AH65" s="444"/>
      <c r="AI65" s="444"/>
      <c r="AJ65" s="42"/>
      <c r="AK65" s="42"/>
      <c r="AL65" s="42"/>
    </row>
    <row r="66" spans="1:38" x14ac:dyDescent="0.25">
      <c r="A66" s="996"/>
      <c r="B66" s="996" t="s">
        <v>276</v>
      </c>
      <c r="C66" s="996"/>
      <c r="D66" s="996"/>
      <c r="E66" s="996"/>
      <c r="F66" s="993"/>
      <c r="G66" s="993"/>
      <c r="H66" s="466">
        <v>2091226</v>
      </c>
      <c r="J66" s="466">
        <v>276252</v>
      </c>
      <c r="L66" s="466">
        <v>389783</v>
      </c>
      <c r="N66" s="466">
        <v>767379</v>
      </c>
      <c r="O66" s="466"/>
      <c r="P66" s="466">
        <v>2922879</v>
      </c>
      <c r="Q66" s="466"/>
      <c r="R66" s="466">
        <v>3588062</v>
      </c>
      <c r="S66" s="182"/>
      <c r="T66" s="466">
        <v>3853155</v>
      </c>
      <c r="U66" s="182"/>
      <c r="V66" s="444"/>
      <c r="W66" s="182"/>
      <c r="X66" s="444"/>
      <c r="Y66" s="182"/>
      <c r="Z66" s="444"/>
      <c r="AA66" s="182"/>
      <c r="AB66" s="444"/>
      <c r="AC66" s="182"/>
      <c r="AD66" s="444"/>
      <c r="AE66" s="182"/>
      <c r="AF66" s="182"/>
      <c r="AG66" s="444"/>
      <c r="AH66" s="444"/>
      <c r="AI66" s="444"/>
      <c r="AJ66" s="42"/>
      <c r="AK66" s="42"/>
      <c r="AL66" s="42"/>
    </row>
    <row r="67" spans="1:38" hidden="1" x14ac:dyDescent="0.25">
      <c r="A67" s="996"/>
      <c r="B67" s="996" t="s">
        <v>277</v>
      </c>
      <c r="C67" s="996"/>
      <c r="D67" s="996"/>
      <c r="E67" s="996"/>
      <c r="F67" s="993"/>
      <c r="G67" s="993"/>
      <c r="H67" s="466">
        <v>0</v>
      </c>
      <c r="J67" s="466">
        <v>87847</v>
      </c>
      <c r="L67" s="466">
        <v>145012</v>
      </c>
      <c r="N67" s="466">
        <v>667453</v>
      </c>
      <c r="O67" s="466"/>
      <c r="P67" s="466">
        <v>0</v>
      </c>
      <c r="Q67" s="466"/>
      <c r="R67" s="466">
        <v>0</v>
      </c>
      <c r="S67" s="182"/>
      <c r="T67" s="466"/>
      <c r="U67" s="444"/>
      <c r="V67" s="444"/>
      <c r="W67" s="444"/>
      <c r="X67" s="182"/>
      <c r="Y67" s="444"/>
      <c r="Z67" s="444"/>
      <c r="AA67" s="444"/>
      <c r="AB67" s="444"/>
      <c r="AC67" s="182"/>
      <c r="AD67" s="444"/>
      <c r="AE67" s="444"/>
      <c r="AF67" s="444"/>
      <c r="AG67" s="444"/>
      <c r="AH67" s="444"/>
      <c r="AI67" s="444"/>
      <c r="AJ67" s="42"/>
      <c r="AK67" s="42"/>
      <c r="AL67" s="42"/>
    </row>
    <row r="68" spans="1:38" x14ac:dyDescent="0.25">
      <c r="A68" s="996"/>
      <c r="B68" s="996" t="s">
        <v>273</v>
      </c>
      <c r="C68" s="996"/>
      <c r="D68" s="996"/>
      <c r="E68" s="996"/>
      <c r="F68" s="993"/>
      <c r="G68" s="993"/>
      <c r="H68" s="466">
        <v>1311136</v>
      </c>
      <c r="J68" s="466">
        <v>197689</v>
      </c>
      <c r="L68" s="466">
        <v>267944</v>
      </c>
      <c r="N68" s="466">
        <v>793548</v>
      </c>
      <c r="O68" s="466"/>
      <c r="P68" s="466">
        <v>1511696</v>
      </c>
      <c r="Q68" s="727"/>
      <c r="R68" s="466">
        <v>1725189</v>
      </c>
      <c r="S68" s="182"/>
      <c r="T68" s="466">
        <v>1892420</v>
      </c>
      <c r="U68" s="444"/>
      <c r="V68" s="444"/>
      <c r="W68" s="444"/>
      <c r="X68" s="444"/>
      <c r="Y68" s="444"/>
      <c r="Z68" s="444"/>
      <c r="AA68" s="444"/>
      <c r="AB68" s="444"/>
      <c r="AC68" s="182"/>
      <c r="AD68" s="444"/>
      <c r="AE68" s="444"/>
      <c r="AF68" s="444"/>
      <c r="AG68" s="444"/>
      <c r="AH68" s="444"/>
      <c r="AI68" s="444"/>
      <c r="AJ68" s="42"/>
      <c r="AK68" s="42"/>
      <c r="AL68" s="42"/>
    </row>
    <row r="69" spans="1:38" ht="15" customHeight="1" x14ac:dyDescent="0.25">
      <c r="A69" s="996"/>
      <c r="B69" s="996" t="s">
        <v>278</v>
      </c>
      <c r="C69" s="996"/>
      <c r="D69" s="996"/>
      <c r="E69" s="996"/>
      <c r="F69" s="993"/>
      <c r="G69" s="993"/>
      <c r="H69" s="466">
        <v>37936</v>
      </c>
      <c r="J69" s="466">
        <v>18203</v>
      </c>
      <c r="L69" s="466">
        <v>67385</v>
      </c>
      <c r="N69" s="466">
        <v>35790</v>
      </c>
      <c r="O69" s="466"/>
      <c r="P69" s="466">
        <v>14786</v>
      </c>
      <c r="Q69" s="466"/>
      <c r="R69" s="466">
        <v>13973</v>
      </c>
      <c r="S69" s="182"/>
      <c r="T69" s="466">
        <v>12255</v>
      </c>
      <c r="U69" s="444"/>
      <c r="V69" s="444"/>
      <c r="W69" s="444"/>
      <c r="X69" s="444"/>
      <c r="Y69" s="444"/>
      <c r="Z69" s="444"/>
      <c r="AA69" s="444"/>
      <c r="AB69" s="444"/>
      <c r="AC69" s="182"/>
      <c r="AD69" s="444"/>
      <c r="AE69" s="444"/>
      <c r="AF69" s="444"/>
      <c r="AG69" s="444"/>
      <c r="AH69" s="444"/>
      <c r="AI69" s="444"/>
      <c r="AJ69" s="42"/>
      <c r="AK69" s="42"/>
      <c r="AL69" s="42"/>
    </row>
    <row r="70" spans="1:38" ht="15" customHeight="1" x14ac:dyDescent="0.25">
      <c r="A70" s="996"/>
      <c r="B70" s="996" t="s">
        <v>168</v>
      </c>
      <c r="C70" s="996"/>
      <c r="D70" s="996"/>
      <c r="E70" s="996"/>
      <c r="F70" s="993"/>
      <c r="G70" s="993"/>
      <c r="H70" s="464">
        <v>56884</v>
      </c>
      <c r="J70" s="466"/>
      <c r="L70" s="466"/>
      <c r="N70" s="464">
        <v>57610</v>
      </c>
      <c r="O70" s="464"/>
      <c r="P70" s="464">
        <v>75056</v>
      </c>
      <c r="Q70" s="464"/>
      <c r="R70" s="464">
        <v>273305</v>
      </c>
      <c r="S70" s="182"/>
      <c r="T70" s="466">
        <v>536449</v>
      </c>
      <c r="U70" s="444"/>
      <c r="V70" s="444"/>
      <c r="W70" s="444"/>
      <c r="X70" s="444"/>
      <c r="Y70" s="444"/>
      <c r="Z70" s="444"/>
      <c r="AA70" s="444"/>
      <c r="AB70" s="444"/>
      <c r="AC70" s="182"/>
      <c r="AD70" s="444"/>
      <c r="AE70" s="444"/>
      <c r="AF70" s="444"/>
      <c r="AG70" s="444"/>
      <c r="AH70" s="444"/>
      <c r="AI70" s="444"/>
      <c r="AJ70" s="42"/>
      <c r="AK70" s="42"/>
      <c r="AL70" s="42"/>
    </row>
    <row r="71" spans="1:38" x14ac:dyDescent="0.25">
      <c r="A71" s="996"/>
      <c r="B71" s="996" t="s">
        <v>282</v>
      </c>
      <c r="C71" s="996"/>
      <c r="D71" s="996"/>
      <c r="E71" s="996"/>
      <c r="F71" s="993"/>
      <c r="G71" s="993"/>
      <c r="H71" s="464">
        <v>1957044</v>
      </c>
      <c r="J71" s="464">
        <v>0</v>
      </c>
      <c r="L71" s="464">
        <v>0</v>
      </c>
      <c r="N71" s="464">
        <v>0</v>
      </c>
      <c r="O71" s="464"/>
      <c r="P71" s="464">
        <v>2541841</v>
      </c>
      <c r="Q71" s="464"/>
      <c r="R71" s="464">
        <v>3116788</v>
      </c>
      <c r="S71" s="182"/>
      <c r="T71" s="466">
        <v>4983987</v>
      </c>
      <c r="U71" s="444"/>
      <c r="V71" s="444"/>
      <c r="W71" s="444"/>
      <c r="X71" s="444"/>
      <c r="Y71" s="444"/>
      <c r="Z71" s="444"/>
      <c r="AA71" s="444"/>
      <c r="AB71" s="444"/>
      <c r="AC71" s="182"/>
      <c r="AD71" s="444"/>
      <c r="AE71" s="444"/>
      <c r="AF71" s="444"/>
      <c r="AG71" s="444"/>
      <c r="AH71" s="444"/>
      <c r="AI71" s="444"/>
      <c r="AJ71" s="42"/>
      <c r="AK71" s="42"/>
      <c r="AL71" s="42"/>
    </row>
    <row r="72" spans="1:38" x14ac:dyDescent="0.25">
      <c r="A72" s="996"/>
      <c r="B72" s="996" t="s">
        <v>76</v>
      </c>
      <c r="C72" s="996"/>
      <c r="D72" s="996"/>
      <c r="E72" s="996"/>
      <c r="F72" s="993"/>
      <c r="G72" s="993"/>
      <c r="H72" s="466">
        <v>435582</v>
      </c>
      <c r="J72" s="466">
        <v>205844</v>
      </c>
      <c r="L72" s="466">
        <v>274345</v>
      </c>
      <c r="N72" s="466">
        <v>1364014</v>
      </c>
      <c r="O72" s="466"/>
      <c r="P72" s="466">
        <v>264113</v>
      </c>
      <c r="Q72" s="466"/>
      <c r="R72" s="466">
        <v>4148142</v>
      </c>
      <c r="S72" s="182"/>
      <c r="T72" s="466">
        <v>1611924</v>
      </c>
      <c r="U72" s="444"/>
      <c r="V72" s="444"/>
      <c r="W72" s="444"/>
      <c r="X72" s="444"/>
      <c r="Y72" s="444"/>
      <c r="Z72" s="444"/>
      <c r="AA72" s="444"/>
      <c r="AB72" s="444"/>
      <c r="AC72" s="182"/>
      <c r="AD72" s="444"/>
      <c r="AE72" s="444"/>
      <c r="AF72" s="444"/>
      <c r="AG72" s="444"/>
      <c r="AH72" s="444"/>
      <c r="AI72" s="444"/>
      <c r="AJ72" s="42"/>
      <c r="AK72" s="42"/>
      <c r="AL72" s="42"/>
    </row>
    <row r="73" spans="1:38" x14ac:dyDescent="0.25">
      <c r="A73" s="996"/>
      <c r="B73" s="993" t="s">
        <v>302</v>
      </c>
      <c r="C73" s="996"/>
      <c r="D73" s="996"/>
      <c r="E73" s="996"/>
      <c r="F73" s="993"/>
      <c r="G73" s="993"/>
      <c r="H73" s="466">
        <v>99666</v>
      </c>
      <c r="J73" s="466"/>
      <c r="L73" s="466"/>
      <c r="N73" s="466">
        <v>1384</v>
      </c>
      <c r="O73" s="466"/>
      <c r="P73" s="466">
        <v>127729</v>
      </c>
      <c r="Q73" s="466"/>
      <c r="R73" s="466">
        <v>35701</v>
      </c>
      <c r="S73" s="182"/>
      <c r="T73" s="466">
        <v>167963</v>
      </c>
      <c r="U73" s="444"/>
      <c r="V73" s="444"/>
      <c r="W73" s="444"/>
      <c r="X73" s="444"/>
      <c r="Y73" s="444"/>
      <c r="Z73" s="444"/>
      <c r="AA73" s="444"/>
      <c r="AB73" s="444"/>
      <c r="AC73" s="182"/>
      <c r="AD73" s="444"/>
      <c r="AE73" s="444"/>
      <c r="AF73" s="444"/>
      <c r="AG73" s="444"/>
      <c r="AH73" s="444"/>
      <c r="AI73" s="444"/>
      <c r="AJ73" s="42"/>
      <c r="AK73" s="42"/>
      <c r="AL73" s="42"/>
    </row>
    <row r="74" spans="1:38" x14ac:dyDescent="0.25">
      <c r="A74" s="996"/>
      <c r="B74" s="996" t="s">
        <v>78</v>
      </c>
      <c r="C74" s="996"/>
      <c r="D74" s="996"/>
      <c r="E74" s="996"/>
      <c r="F74" s="993"/>
      <c r="G74" s="993"/>
      <c r="H74" s="466">
        <v>45000</v>
      </c>
      <c r="J74" s="466">
        <v>45000</v>
      </c>
      <c r="L74" s="466">
        <v>18750</v>
      </c>
      <c r="N74" s="466">
        <v>45000</v>
      </c>
      <c r="O74" s="466"/>
      <c r="P74" s="466">
        <v>51000</v>
      </c>
      <c r="Q74" s="466"/>
      <c r="R74" s="466">
        <v>50000</v>
      </c>
      <c r="S74" s="182"/>
      <c r="T74" s="466">
        <v>50000</v>
      </c>
      <c r="U74" s="444"/>
      <c r="V74" s="444"/>
      <c r="W74" s="444"/>
      <c r="X74" s="444"/>
      <c r="Y74" s="444"/>
      <c r="Z74" s="444"/>
      <c r="AA74" s="444"/>
      <c r="AB74" s="444"/>
      <c r="AC74" s="182"/>
      <c r="AD74" s="444"/>
      <c r="AE74" s="444"/>
      <c r="AF74" s="444"/>
      <c r="AG74" s="444"/>
      <c r="AH74" s="444"/>
      <c r="AI74" s="444"/>
      <c r="AJ74" s="42"/>
      <c r="AK74" s="42"/>
      <c r="AL74" s="42"/>
    </row>
    <row r="75" spans="1:38" x14ac:dyDescent="0.25">
      <c r="A75" s="996"/>
      <c r="B75" s="996" t="s">
        <v>782</v>
      </c>
      <c r="C75" s="996"/>
      <c r="D75" s="996"/>
      <c r="E75" s="996"/>
      <c r="F75" s="993"/>
      <c r="G75" s="993"/>
      <c r="H75" s="466">
        <v>351141</v>
      </c>
      <c r="J75" s="466"/>
      <c r="L75" s="466"/>
      <c r="N75" s="466"/>
      <c r="O75" s="466"/>
      <c r="P75" s="466">
        <v>351142</v>
      </c>
      <c r="Q75" s="466"/>
      <c r="R75" s="466">
        <v>351855</v>
      </c>
      <c r="S75" s="182"/>
      <c r="T75" s="466">
        <v>353166</v>
      </c>
      <c r="U75" s="444"/>
      <c r="V75" s="444"/>
      <c r="W75" s="444"/>
      <c r="X75" s="444"/>
      <c r="Y75" s="444"/>
      <c r="Z75" s="444"/>
      <c r="AA75" s="444"/>
      <c r="AB75" s="444"/>
      <c r="AC75" s="182"/>
      <c r="AD75" s="444"/>
      <c r="AE75" s="444"/>
      <c r="AF75" s="444"/>
      <c r="AG75" s="444"/>
      <c r="AH75" s="444"/>
      <c r="AI75" s="444"/>
      <c r="AJ75" s="42"/>
      <c r="AK75" s="42"/>
      <c r="AL75" s="42"/>
    </row>
    <row r="76" spans="1:38" x14ac:dyDescent="0.25">
      <c r="A76" s="996"/>
      <c r="B76" s="996" t="s">
        <v>260</v>
      </c>
      <c r="C76" s="996"/>
      <c r="D76" s="996"/>
      <c r="E76" s="996"/>
      <c r="F76" s="993"/>
      <c r="G76" s="993"/>
      <c r="H76" s="466">
        <v>110875</v>
      </c>
      <c r="J76" s="466">
        <v>63525</v>
      </c>
      <c r="L76" s="466">
        <v>44073</v>
      </c>
      <c r="N76" s="466">
        <v>65145</v>
      </c>
      <c r="O76" s="466"/>
      <c r="P76" s="466">
        <v>134499</v>
      </c>
      <c r="Q76" s="466"/>
      <c r="R76" s="466">
        <v>111283</v>
      </c>
      <c r="S76" s="182"/>
      <c r="T76" s="466">
        <v>252612</v>
      </c>
      <c r="U76" s="444"/>
      <c r="V76" s="444"/>
      <c r="W76" s="444"/>
      <c r="X76" s="444"/>
      <c r="Y76" s="444"/>
      <c r="Z76" s="444"/>
      <c r="AA76" s="444"/>
      <c r="AB76" s="444"/>
      <c r="AC76" s="182"/>
      <c r="AD76" s="444"/>
      <c r="AE76" s="444"/>
      <c r="AF76" s="444"/>
      <c r="AG76" s="444"/>
      <c r="AH76" s="444"/>
      <c r="AI76" s="444"/>
      <c r="AJ76" s="42"/>
      <c r="AK76" s="42"/>
      <c r="AL76" s="42"/>
    </row>
    <row r="77" spans="1:38" x14ac:dyDescent="0.25">
      <c r="A77" s="996"/>
      <c r="B77" s="996" t="s">
        <v>77</v>
      </c>
      <c r="C77" s="996"/>
      <c r="D77" s="996"/>
      <c r="E77" s="996"/>
      <c r="F77" s="993"/>
      <c r="G77" s="993"/>
      <c r="H77" s="466">
        <v>63000</v>
      </c>
      <c r="J77" s="466">
        <v>59813</v>
      </c>
      <c r="L77" s="466">
        <v>59813</v>
      </c>
      <c r="N77" s="466">
        <v>65605</v>
      </c>
      <c r="O77" s="466"/>
      <c r="P77" s="466">
        <v>63000</v>
      </c>
      <c r="Q77" s="466"/>
      <c r="R77" s="466">
        <v>128131</v>
      </c>
      <c r="S77" s="182"/>
      <c r="T77" s="466">
        <v>80007</v>
      </c>
      <c r="U77" s="444"/>
      <c r="V77" s="444"/>
      <c r="W77" s="444"/>
      <c r="X77" s="444"/>
      <c r="Y77" s="444"/>
      <c r="Z77" s="444"/>
      <c r="AA77" s="444"/>
      <c r="AB77" s="444"/>
      <c r="AC77" s="182"/>
      <c r="AD77" s="444"/>
      <c r="AE77" s="444"/>
      <c r="AF77" s="444"/>
      <c r="AG77" s="444"/>
      <c r="AH77" s="444"/>
      <c r="AI77" s="444"/>
      <c r="AJ77" s="42"/>
      <c r="AK77" s="42"/>
      <c r="AL77" s="42"/>
    </row>
    <row r="78" spans="1:38" x14ac:dyDescent="0.25">
      <c r="A78" s="996"/>
      <c r="B78" s="996" t="s">
        <v>320</v>
      </c>
      <c r="C78" s="996"/>
      <c r="D78" s="996"/>
      <c r="E78" s="996"/>
      <c r="F78" s="993"/>
      <c r="G78" s="993"/>
      <c r="H78" s="287">
        <v>103109</v>
      </c>
      <c r="J78" s="287">
        <v>48495</v>
      </c>
      <c r="L78" s="287">
        <v>42467</v>
      </c>
      <c r="N78" s="287">
        <v>101921</v>
      </c>
      <c r="O78" s="287"/>
      <c r="P78" s="287">
        <v>103924</v>
      </c>
      <c r="Q78" s="287"/>
      <c r="R78" s="287">
        <v>195142</v>
      </c>
      <c r="S78" s="182"/>
      <c r="T78" s="466">
        <v>187915</v>
      </c>
      <c r="U78" s="444"/>
      <c r="V78" s="444"/>
      <c r="W78" s="444"/>
      <c r="X78" s="444"/>
      <c r="Y78" s="444"/>
      <c r="Z78" s="444"/>
      <c r="AA78" s="444"/>
      <c r="AB78" s="444"/>
      <c r="AC78" s="182"/>
      <c r="AD78" s="444"/>
      <c r="AE78" s="444"/>
      <c r="AF78" s="444"/>
      <c r="AG78" s="444"/>
      <c r="AH78" s="444"/>
      <c r="AI78" s="444"/>
      <c r="AJ78" s="42"/>
      <c r="AK78" s="42"/>
      <c r="AL78" s="42"/>
    </row>
    <row r="79" spans="1:38" x14ac:dyDescent="0.25">
      <c r="A79" s="996"/>
      <c r="B79" s="996" t="s">
        <v>298</v>
      </c>
      <c r="C79" s="996"/>
      <c r="D79" s="996"/>
      <c r="E79" s="996"/>
      <c r="F79" s="993"/>
      <c r="G79" s="993"/>
      <c r="H79" s="287">
        <v>49572</v>
      </c>
      <c r="J79" s="287">
        <v>1924</v>
      </c>
      <c r="L79" s="287">
        <v>11143</v>
      </c>
      <c r="N79" s="287">
        <v>47916</v>
      </c>
      <c r="O79" s="287"/>
      <c r="P79" s="287">
        <v>55358</v>
      </c>
      <c r="Q79" s="287"/>
      <c r="R79" s="287">
        <v>75240</v>
      </c>
      <c r="S79" s="182"/>
      <c r="T79" s="466">
        <v>47939</v>
      </c>
      <c r="U79" s="444"/>
      <c r="V79" s="444"/>
      <c r="W79" s="444"/>
      <c r="X79" s="444"/>
      <c r="Y79" s="444"/>
      <c r="Z79" s="444"/>
      <c r="AA79" s="444"/>
      <c r="AB79" s="444"/>
      <c r="AC79" s="182"/>
      <c r="AD79" s="444"/>
      <c r="AE79" s="444"/>
      <c r="AF79" s="444"/>
      <c r="AG79" s="444"/>
      <c r="AH79" s="444"/>
      <c r="AI79" s="444"/>
      <c r="AJ79" s="42"/>
      <c r="AK79" s="42"/>
      <c r="AL79" s="42"/>
    </row>
    <row r="80" spans="1:38" x14ac:dyDescent="0.25">
      <c r="A80" s="996"/>
      <c r="B80" s="996" t="s">
        <v>304</v>
      </c>
      <c r="C80" s="996"/>
      <c r="D80" s="996"/>
      <c r="E80" s="996"/>
      <c r="F80" s="993"/>
      <c r="G80" s="993"/>
      <c r="H80" s="439">
        <v>3519</v>
      </c>
      <c r="I80" s="439"/>
      <c r="J80" s="439"/>
      <c r="K80" s="439"/>
      <c r="L80" s="439"/>
      <c r="M80" s="439"/>
      <c r="N80" s="439">
        <v>0</v>
      </c>
      <c r="O80" s="287"/>
      <c r="P80" s="287">
        <v>70</v>
      </c>
      <c r="Q80" s="287"/>
      <c r="R80" s="287">
        <v>76</v>
      </c>
      <c r="S80" s="182"/>
      <c r="T80" s="466">
        <v>61</v>
      </c>
      <c r="U80" s="444"/>
      <c r="V80" s="444"/>
      <c r="W80" s="444"/>
      <c r="X80" s="444"/>
      <c r="Y80" s="444"/>
      <c r="Z80" s="444"/>
      <c r="AA80" s="444"/>
      <c r="AB80" s="444"/>
      <c r="AC80" s="182"/>
      <c r="AD80" s="444"/>
      <c r="AE80" s="444"/>
      <c r="AF80" s="444"/>
      <c r="AG80" s="444"/>
      <c r="AH80" s="444"/>
      <c r="AI80" s="444"/>
      <c r="AJ80" s="42"/>
      <c r="AK80" s="42"/>
      <c r="AL80" s="42"/>
    </row>
    <row r="81" spans="1:38" x14ac:dyDescent="0.25">
      <c r="A81" s="996"/>
      <c r="B81" s="996" t="s">
        <v>284</v>
      </c>
      <c r="C81" s="996"/>
      <c r="D81" s="996"/>
      <c r="E81" s="996"/>
      <c r="F81" s="993"/>
      <c r="G81" s="993"/>
      <c r="H81" s="466">
        <v>351609</v>
      </c>
      <c r="J81" s="466">
        <v>47683</v>
      </c>
      <c r="L81" s="466">
        <v>78851</v>
      </c>
      <c r="N81" s="466">
        <v>283660</v>
      </c>
      <c r="O81" s="466"/>
      <c r="P81" s="466">
        <v>391880</v>
      </c>
      <c r="Q81" s="466"/>
      <c r="R81" s="466">
        <v>434296</v>
      </c>
      <c r="S81" s="182"/>
      <c r="T81" s="466">
        <v>483363</v>
      </c>
      <c r="U81" s="444"/>
      <c r="V81" s="444"/>
      <c r="W81" s="444"/>
      <c r="X81" s="444"/>
      <c r="Y81" s="444"/>
      <c r="Z81" s="444"/>
      <c r="AA81" s="444"/>
      <c r="AB81" s="444"/>
      <c r="AC81" s="182"/>
      <c r="AD81" s="444"/>
      <c r="AE81" s="444"/>
      <c r="AF81" s="444"/>
      <c r="AG81" s="444"/>
      <c r="AH81" s="444"/>
      <c r="AI81" s="444"/>
      <c r="AJ81" s="42"/>
      <c r="AK81" s="42"/>
      <c r="AL81" s="42"/>
    </row>
    <row r="82" spans="1:38" x14ac:dyDescent="0.25">
      <c r="A82" s="996"/>
      <c r="B82" s="996" t="s">
        <v>18</v>
      </c>
      <c r="C82" s="996"/>
      <c r="D82" s="996"/>
      <c r="E82" s="996"/>
      <c r="F82" s="993"/>
      <c r="G82" s="993"/>
      <c r="H82" s="994">
        <v>210562</v>
      </c>
      <c r="J82" s="994">
        <v>4341</v>
      </c>
      <c r="L82" s="994">
        <v>29545</v>
      </c>
      <c r="N82" s="994">
        <v>359705</v>
      </c>
      <c r="O82" s="466"/>
      <c r="P82" s="994">
        <v>209486</v>
      </c>
      <c r="Q82" s="466"/>
      <c r="R82" s="994">
        <v>285914</v>
      </c>
      <c r="S82" s="182"/>
      <c r="T82" s="994">
        <v>510201</v>
      </c>
      <c r="U82" s="444"/>
      <c r="V82" s="444"/>
      <c r="W82" s="444"/>
      <c r="X82" s="444"/>
      <c r="Y82" s="444"/>
      <c r="Z82" s="444"/>
      <c r="AA82" s="444"/>
      <c r="AB82" s="466"/>
      <c r="AC82" s="182"/>
      <c r="AD82" s="444"/>
      <c r="AE82" s="444"/>
      <c r="AF82" s="444"/>
      <c r="AG82" s="444"/>
      <c r="AH82" s="444"/>
      <c r="AI82" s="444"/>
      <c r="AJ82" s="42"/>
      <c r="AK82" s="42"/>
      <c r="AL82" s="42"/>
    </row>
    <row r="83" spans="1:38" x14ac:dyDescent="0.25">
      <c r="A83" s="996"/>
      <c r="B83" s="996"/>
      <c r="C83" s="996"/>
      <c r="D83" s="996"/>
      <c r="E83" s="996"/>
      <c r="F83" s="993"/>
      <c r="G83" s="993"/>
      <c r="H83" s="466"/>
      <c r="J83" s="466"/>
      <c r="L83" s="466"/>
      <c r="N83" s="466"/>
      <c r="O83" s="466"/>
      <c r="P83" s="466"/>
      <c r="Q83" s="466"/>
      <c r="R83" s="466"/>
      <c r="S83" s="182"/>
      <c r="T83" s="466"/>
      <c r="U83" s="444"/>
      <c r="V83" s="444"/>
      <c r="W83" s="444"/>
      <c r="X83" s="444"/>
      <c r="Y83" s="444"/>
      <c r="Z83" s="444"/>
      <c r="AA83" s="444"/>
      <c r="AB83" s="466"/>
      <c r="AC83" s="182"/>
      <c r="AD83" s="182"/>
      <c r="AE83" s="444"/>
      <c r="AF83" s="444"/>
      <c r="AG83" s="444"/>
      <c r="AH83" s="444"/>
      <c r="AI83" s="444"/>
      <c r="AJ83" s="42"/>
      <c r="AK83" s="42"/>
      <c r="AL83" s="42"/>
    </row>
    <row r="84" spans="1:38" x14ac:dyDescent="0.25">
      <c r="A84" s="996"/>
      <c r="B84" s="996"/>
      <c r="C84" s="996" t="s">
        <v>19</v>
      </c>
      <c r="D84" s="996"/>
      <c r="E84" s="996"/>
      <c r="F84" s="993"/>
      <c r="G84" s="993"/>
      <c r="H84" s="994">
        <f>SUM(H65:H83)</f>
        <v>7296225</v>
      </c>
      <c r="J84" s="994">
        <f>SUM(J65:J83)</f>
        <v>1060551</v>
      </c>
      <c r="L84" s="994">
        <f>SUM(L65:L83)</f>
        <v>1430751</v>
      </c>
      <c r="N84" s="994">
        <f>SUM(N65:N83)</f>
        <v>4675805</v>
      </c>
      <c r="O84" s="466"/>
      <c r="P84" s="994">
        <f>SUM(P65:P83)</f>
        <v>8828459</v>
      </c>
      <c r="Q84" s="466"/>
      <c r="R84" s="994">
        <f>SUM(R65:R83)</f>
        <v>14543097</v>
      </c>
      <c r="S84" s="182"/>
      <c r="T84" s="994">
        <f>SUM(T65:T83)</f>
        <v>15033417</v>
      </c>
      <c r="U84" s="444"/>
      <c r="V84" s="466"/>
      <c r="W84" s="444"/>
      <c r="X84" s="444"/>
      <c r="Y84" s="444"/>
      <c r="Z84" s="444"/>
      <c r="AA84" s="444"/>
      <c r="AB84" s="466"/>
      <c r="AC84" s="182"/>
      <c r="AD84" s="444"/>
      <c r="AE84" s="444"/>
      <c r="AF84" s="444"/>
      <c r="AG84" s="444"/>
      <c r="AH84" s="444"/>
      <c r="AI84" s="444"/>
      <c r="AJ84" s="42"/>
      <c r="AK84" s="42"/>
      <c r="AL84" s="42"/>
    </row>
    <row r="85" spans="1:38" x14ac:dyDescent="0.25">
      <c r="A85" s="996"/>
      <c r="B85" s="996"/>
      <c r="C85" s="996"/>
      <c r="D85" s="996"/>
      <c r="E85" s="996"/>
      <c r="F85" s="993"/>
      <c r="G85" s="993"/>
      <c r="H85" s="466"/>
      <c r="J85" s="466"/>
      <c r="L85" s="466"/>
      <c r="N85" s="466"/>
      <c r="O85" s="466"/>
      <c r="P85" s="466"/>
      <c r="Q85" s="466"/>
      <c r="R85" s="466"/>
      <c r="S85" s="182"/>
      <c r="T85" s="466"/>
      <c r="U85" s="444"/>
      <c r="V85" s="444"/>
      <c r="W85" s="444"/>
      <c r="X85" s="444"/>
      <c r="Y85" s="444"/>
      <c r="Z85" s="444"/>
      <c r="AA85" s="444"/>
      <c r="AB85" s="466"/>
      <c r="AC85" s="182"/>
      <c r="AD85" s="444"/>
      <c r="AE85" s="444"/>
      <c r="AF85" s="444"/>
      <c r="AG85" s="444"/>
      <c r="AH85" s="444"/>
      <c r="AI85" s="444"/>
      <c r="AJ85" s="42"/>
      <c r="AK85" s="42"/>
      <c r="AL85" s="42"/>
    </row>
    <row r="86" spans="1:38" hidden="1" x14ac:dyDescent="0.25">
      <c r="A86" s="996"/>
      <c r="B86" s="996"/>
      <c r="C86" s="996" t="s">
        <v>285</v>
      </c>
      <c r="D86" s="996"/>
      <c r="E86" s="996"/>
      <c r="F86" s="993"/>
      <c r="G86" s="993"/>
      <c r="H86" s="37" t="e">
        <f>ROUND((H84-#REF!)/#REF!,3)</f>
        <v>#REF!</v>
      </c>
      <c r="I86" s="44"/>
      <c r="J86" s="37" t="e">
        <f>ROUND((J84-#REF!)/#REF!,3)</f>
        <v>#REF!</v>
      </c>
      <c r="K86" s="44"/>
      <c r="L86" s="37" t="e">
        <f>ROUND((L84-#REF!)/#REF!,3)</f>
        <v>#REF!</v>
      </c>
      <c r="M86" s="44"/>
      <c r="N86" s="37">
        <f>ROUND((N84-J84)/J84,3)</f>
        <v>3.4089999999999998</v>
      </c>
      <c r="O86" s="179"/>
      <c r="P86" s="37"/>
      <c r="Q86" s="179"/>
      <c r="R86" s="37"/>
      <c r="S86" s="164"/>
      <c r="T86" s="37"/>
      <c r="U86" s="164"/>
      <c r="V86" s="164"/>
      <c r="W86" s="164"/>
      <c r="X86" s="164"/>
      <c r="Y86" s="164"/>
      <c r="Z86" s="164"/>
      <c r="AA86" s="164"/>
      <c r="AB86" s="164"/>
      <c r="AC86" s="164"/>
      <c r="AD86" s="179"/>
      <c r="AE86" s="444"/>
      <c r="AF86" s="444"/>
      <c r="AG86" s="444"/>
      <c r="AH86" s="444"/>
      <c r="AI86" s="444"/>
      <c r="AJ86" s="42"/>
      <c r="AK86" s="42"/>
      <c r="AL86" s="42"/>
    </row>
    <row r="87" spans="1:38" hidden="1" x14ac:dyDescent="0.25">
      <c r="A87" s="996"/>
      <c r="B87" s="996"/>
      <c r="C87" s="996"/>
      <c r="D87" s="996"/>
      <c r="E87" s="996"/>
      <c r="F87" s="993"/>
      <c r="G87" s="993"/>
      <c r="H87" s="466"/>
      <c r="J87" s="466"/>
      <c r="L87" s="466"/>
      <c r="N87" s="466"/>
      <c r="O87" s="466"/>
      <c r="P87" s="466"/>
      <c r="Q87" s="466"/>
      <c r="R87" s="466"/>
      <c r="S87" s="182"/>
      <c r="T87" s="466"/>
      <c r="U87" s="444"/>
      <c r="V87" s="444"/>
      <c r="W87" s="444"/>
      <c r="X87" s="444"/>
      <c r="Y87" s="444"/>
      <c r="Z87" s="444"/>
      <c r="AA87" s="444"/>
      <c r="AB87" s="466"/>
      <c r="AC87" s="182"/>
      <c r="AD87" s="182"/>
      <c r="AE87" s="444"/>
      <c r="AF87" s="444"/>
      <c r="AG87" s="444"/>
      <c r="AH87" s="444"/>
      <c r="AI87" s="444"/>
      <c r="AJ87" s="42"/>
      <c r="AK87" s="42"/>
      <c r="AL87" s="42"/>
    </row>
    <row r="88" spans="1:38" ht="16.5" thickBot="1" x14ac:dyDescent="0.3">
      <c r="A88" s="996" t="s">
        <v>20</v>
      </c>
      <c r="B88" s="996"/>
      <c r="C88" s="996"/>
      <c r="D88" s="996"/>
      <c r="E88" s="996"/>
      <c r="F88" s="454"/>
      <c r="G88" s="993"/>
      <c r="H88" s="224">
        <f>H14+H31+H46+H60+H84</f>
        <v>20868394</v>
      </c>
      <c r="J88" s="224">
        <f>J14+J31+J46+J60+J84</f>
        <v>4328334</v>
      </c>
      <c r="L88" s="224">
        <f>L14+L31+L46+L60+L84</f>
        <v>6755102</v>
      </c>
      <c r="N88" s="224">
        <f>N14+N31+N46+N60+N84</f>
        <v>18554286</v>
      </c>
      <c r="O88" s="454"/>
      <c r="P88" s="224">
        <f>P14+P31+P46+P60+P84</f>
        <v>23633797</v>
      </c>
      <c r="Q88" s="454"/>
      <c r="R88" s="224">
        <f>R14+R31+R46+R60+R84</f>
        <v>27865384</v>
      </c>
      <c r="S88" s="182"/>
      <c r="T88" s="224">
        <f>T14+T31+T46+T60+T84</f>
        <v>28400613</v>
      </c>
      <c r="U88" s="444"/>
      <c r="V88" s="454"/>
      <c r="W88" s="444"/>
      <c r="X88" s="444"/>
      <c r="Y88" s="444"/>
      <c r="Z88" s="444"/>
      <c r="AA88" s="444"/>
      <c r="AB88" s="454"/>
      <c r="AC88" s="182"/>
      <c r="AD88" s="181"/>
      <c r="AE88" s="444"/>
      <c r="AF88" s="444"/>
      <c r="AG88" s="444"/>
      <c r="AH88" s="444"/>
      <c r="AI88" s="444"/>
      <c r="AJ88" s="42"/>
      <c r="AK88" s="42"/>
      <c r="AL88" s="42"/>
    </row>
    <row r="89" spans="1:38" ht="16.5" thickTop="1" x14ac:dyDescent="0.25">
      <c r="A89" s="996"/>
      <c r="B89" s="996"/>
      <c r="C89" s="996"/>
      <c r="D89" s="996"/>
      <c r="E89" s="996"/>
      <c r="F89" s="454"/>
      <c r="G89" s="993"/>
      <c r="H89" s="454"/>
      <c r="J89" s="454"/>
      <c r="L89" s="454"/>
      <c r="N89" s="454"/>
      <c r="O89" s="454"/>
      <c r="P89" s="454"/>
      <c r="Q89" s="454"/>
      <c r="R89" s="161"/>
      <c r="S89" s="182"/>
      <c r="T89" s="454"/>
      <c r="U89" s="444"/>
      <c r="V89" s="444"/>
      <c r="W89" s="444"/>
      <c r="X89" s="444"/>
      <c r="Y89" s="444"/>
      <c r="Z89" s="444"/>
      <c r="AA89" s="444"/>
      <c r="AB89" s="454"/>
      <c r="AC89" s="182"/>
      <c r="AD89" s="181"/>
      <c r="AE89" s="444"/>
      <c r="AF89" s="444"/>
      <c r="AG89" s="444"/>
      <c r="AH89" s="444"/>
      <c r="AI89" s="444"/>
      <c r="AJ89" s="42"/>
      <c r="AK89" s="42"/>
      <c r="AL89" s="42"/>
    </row>
    <row r="90" spans="1:38" x14ac:dyDescent="0.25">
      <c r="A90" s="1194"/>
      <c r="B90" s="337"/>
      <c r="C90" s="996"/>
      <c r="D90" s="996"/>
      <c r="E90" s="996"/>
      <c r="F90" s="993"/>
      <c r="G90" s="993"/>
      <c r="H90" s="179"/>
      <c r="I90" s="44"/>
      <c r="J90" s="179"/>
      <c r="K90" s="44"/>
      <c r="L90" s="179"/>
      <c r="M90" s="44"/>
      <c r="N90" s="179"/>
      <c r="O90" s="179"/>
      <c r="P90" s="179"/>
      <c r="Q90" s="179"/>
      <c r="R90" s="159"/>
      <c r="S90" s="164"/>
      <c r="T90" s="179"/>
      <c r="U90" s="164"/>
      <c r="V90" s="164"/>
      <c r="W90" s="164"/>
      <c r="X90" s="164"/>
      <c r="Y90" s="164"/>
      <c r="Z90" s="164"/>
      <c r="AA90" s="164"/>
      <c r="AB90" s="164"/>
      <c r="AC90" s="164"/>
      <c r="AD90" s="179"/>
      <c r="AE90" s="444"/>
      <c r="AF90" s="444"/>
      <c r="AG90" s="444"/>
      <c r="AH90" s="444"/>
      <c r="AI90" s="444"/>
      <c r="AJ90" s="42"/>
      <c r="AK90" s="42"/>
      <c r="AL90" s="42"/>
    </row>
    <row r="91" spans="1:38" x14ac:dyDescent="0.25">
      <c r="A91" s="241"/>
      <c r="B91" s="337"/>
      <c r="C91" s="996"/>
      <c r="D91" s="996"/>
      <c r="E91" s="996"/>
      <c r="F91" s="993"/>
      <c r="G91" s="993"/>
      <c r="H91" s="179"/>
      <c r="I91" s="44"/>
      <c r="J91" s="179"/>
      <c r="K91" s="44"/>
      <c r="L91" s="179"/>
      <c r="M91" s="44"/>
      <c r="N91" s="179"/>
      <c r="O91" s="179"/>
      <c r="P91" s="179"/>
      <c r="Q91" s="179"/>
      <c r="R91" s="159"/>
      <c r="S91" s="164"/>
      <c r="T91" s="179"/>
      <c r="U91" s="164"/>
      <c r="V91" s="164"/>
      <c r="W91" s="164"/>
      <c r="X91" s="164"/>
      <c r="Y91" s="164"/>
      <c r="Z91" s="164"/>
      <c r="AA91" s="164"/>
      <c r="AB91" s="164"/>
      <c r="AC91" s="164"/>
      <c r="AD91" s="179"/>
      <c r="AE91" s="444"/>
      <c r="AF91" s="444"/>
      <c r="AG91" s="444"/>
      <c r="AH91" s="444"/>
      <c r="AI91" s="444"/>
      <c r="AJ91" s="42"/>
      <c r="AK91" s="42"/>
      <c r="AL91" s="42"/>
    </row>
    <row r="92" spans="1:38" x14ac:dyDescent="0.25">
      <c r="A92" s="241"/>
      <c r="B92" s="337"/>
      <c r="C92" s="996"/>
      <c r="D92" s="996"/>
      <c r="E92" s="996"/>
      <c r="F92" s="993"/>
      <c r="G92" s="993"/>
      <c r="H92" s="179"/>
      <c r="I92" s="44"/>
      <c r="J92" s="179"/>
      <c r="K92" s="44"/>
      <c r="L92" s="179"/>
      <c r="M92" s="44"/>
      <c r="N92" s="179"/>
      <c r="O92" s="179"/>
      <c r="P92" s="179"/>
      <c r="Q92" s="179"/>
      <c r="R92" s="159"/>
      <c r="S92" s="164"/>
      <c r="T92" s="179"/>
      <c r="U92" s="164"/>
      <c r="V92" s="164"/>
      <c r="W92" s="164"/>
      <c r="X92" s="164"/>
      <c r="Y92" s="164"/>
      <c r="Z92" s="164"/>
      <c r="AA92" s="164"/>
      <c r="AB92" s="164"/>
      <c r="AC92" s="164"/>
      <c r="AD92" s="179"/>
      <c r="AE92" s="444"/>
      <c r="AF92" s="444"/>
      <c r="AG92" s="444"/>
      <c r="AH92" s="444"/>
      <c r="AI92" s="444"/>
      <c r="AJ92" s="42"/>
      <c r="AK92" s="42"/>
      <c r="AL92" s="42"/>
    </row>
    <row r="93" spans="1:38" x14ac:dyDescent="0.25">
      <c r="A93" s="223"/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/>
      <c r="P93" s="223"/>
      <c r="Q93" s="223"/>
      <c r="R93" s="223"/>
      <c r="S93" s="223"/>
      <c r="T93" s="223"/>
      <c r="U93" s="223"/>
      <c r="V93" s="201"/>
      <c r="W93" s="201"/>
      <c r="X93" s="201"/>
      <c r="Y93" s="201"/>
      <c r="Z93" s="201"/>
      <c r="AA93" s="201"/>
      <c r="AB93" s="1115"/>
      <c r="AC93" s="1115"/>
      <c r="AD93" s="1115"/>
      <c r="AE93" s="182"/>
      <c r="AF93" s="182"/>
      <c r="AG93" s="182"/>
      <c r="AH93" s="182"/>
      <c r="AI93" s="182"/>
      <c r="AJ93" s="42"/>
      <c r="AK93" s="42"/>
      <c r="AL93" s="42"/>
    </row>
    <row r="94" spans="1:38" ht="16.5" customHeight="1" x14ac:dyDescent="0.25">
      <c r="A94" s="223"/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/>
      <c r="M94" s="223"/>
      <c r="N94" s="223"/>
      <c r="O94" s="223"/>
      <c r="P94" s="223"/>
      <c r="Q94" s="223"/>
      <c r="R94" s="223"/>
      <c r="S94" s="223"/>
      <c r="T94" s="223"/>
      <c r="U94" s="223"/>
      <c r="V94" s="201"/>
      <c r="W94" s="201"/>
      <c r="X94" s="201"/>
      <c r="Y94" s="201"/>
      <c r="Z94" s="201"/>
      <c r="AA94" s="201"/>
      <c r="AB94" s="1115"/>
      <c r="AC94" s="1115"/>
      <c r="AD94" s="1115"/>
      <c r="AE94" s="182"/>
      <c r="AF94" s="182"/>
      <c r="AG94" s="182"/>
      <c r="AH94" s="182"/>
      <c r="AI94" s="182"/>
      <c r="AJ94" s="42"/>
      <c r="AK94" s="42"/>
      <c r="AL94" s="42"/>
    </row>
    <row r="95" spans="1:38" x14ac:dyDescent="0.25">
      <c r="A95" s="223" t="str">
        <f>INFO!A26</f>
        <v>(See Accountants' Report)</v>
      </c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01"/>
      <c r="W95" s="201"/>
      <c r="X95" s="201"/>
      <c r="Y95" s="201"/>
      <c r="Z95" s="201"/>
      <c r="AA95" s="201"/>
      <c r="AB95" s="1115"/>
      <c r="AC95" s="1115"/>
      <c r="AD95" s="1115"/>
      <c r="AE95" s="182"/>
      <c r="AF95" s="182"/>
      <c r="AG95" s="182"/>
      <c r="AH95" s="182"/>
      <c r="AI95" s="182"/>
      <c r="AJ95" s="42"/>
      <c r="AK95" s="42"/>
      <c r="AL95" s="42"/>
    </row>
    <row r="96" spans="1:38" x14ac:dyDescent="0.25">
      <c r="A96" s="223"/>
      <c r="B96" s="223"/>
      <c r="C96" s="223"/>
      <c r="D96" s="223"/>
      <c r="E96" s="223"/>
      <c r="F96" s="223"/>
      <c r="G96" s="223"/>
      <c r="H96" s="140"/>
      <c r="I96" s="140"/>
      <c r="J96" s="140"/>
      <c r="K96" s="140"/>
      <c r="L96" s="140"/>
      <c r="M96" s="140"/>
      <c r="N96" s="140"/>
      <c r="O96" s="140"/>
      <c r="P96" s="140"/>
      <c r="Q96" s="140"/>
      <c r="R96" s="140"/>
      <c r="S96" s="140"/>
      <c r="T96" s="140"/>
      <c r="U96" s="140"/>
      <c r="AG96" s="182"/>
      <c r="AH96" s="182"/>
      <c r="AI96" s="182"/>
      <c r="AJ96" s="42"/>
      <c r="AK96" s="42"/>
      <c r="AL96" s="42"/>
    </row>
    <row r="97" spans="1:38" x14ac:dyDescent="0.25">
      <c r="A97" s="223">
        <f>'Min Bal'!A166+1</f>
        <v>40</v>
      </c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/>
      <c r="P97" s="223"/>
      <c r="Q97" s="223"/>
      <c r="R97" s="223"/>
      <c r="S97" s="223"/>
      <c r="T97" s="223"/>
      <c r="U97" s="223"/>
      <c r="V97" s="201"/>
      <c r="W97" s="201"/>
      <c r="X97" s="201"/>
      <c r="Y97" s="201"/>
      <c r="Z97" s="201"/>
      <c r="AA97" s="201"/>
      <c r="AB97" s="1115"/>
      <c r="AC97" s="1115"/>
      <c r="AD97" s="1115"/>
      <c r="AG97" s="182"/>
      <c r="AH97" s="182"/>
      <c r="AI97" s="182"/>
      <c r="AJ97" s="42"/>
      <c r="AK97" s="42"/>
      <c r="AL97" s="42"/>
    </row>
    <row r="98" spans="1:38" ht="16.5" thickBot="1" x14ac:dyDescent="0.3">
      <c r="H98" s="588"/>
      <c r="I98" s="588"/>
      <c r="J98" s="589"/>
      <c r="K98" s="588"/>
      <c r="L98" s="589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8"/>
      <c r="X98" s="588"/>
      <c r="Y98" s="588"/>
      <c r="Z98" s="588"/>
      <c r="AA98" s="588"/>
      <c r="AB98" s="287"/>
      <c r="AG98" s="182"/>
      <c r="AH98" s="182"/>
      <c r="AI98" s="182"/>
      <c r="AJ98" s="42"/>
      <c r="AK98" s="42"/>
      <c r="AL98" s="42"/>
    </row>
    <row r="99" spans="1:38" ht="16.5" thickTop="1" x14ac:dyDescent="0.25">
      <c r="H99" s="588"/>
      <c r="I99" s="588"/>
      <c r="J99" s="588"/>
      <c r="K99" s="588"/>
      <c r="L99" s="588"/>
      <c r="M99" s="588"/>
      <c r="N99" s="588"/>
      <c r="O99" s="588"/>
      <c r="P99" s="588"/>
      <c r="Q99" s="588"/>
      <c r="R99" s="588"/>
      <c r="S99" s="588"/>
      <c r="T99" s="588"/>
      <c r="U99" s="588"/>
      <c r="V99" s="588"/>
      <c r="W99" s="588"/>
      <c r="X99" s="588"/>
      <c r="Y99" s="588"/>
      <c r="Z99" s="588"/>
      <c r="AA99" s="588"/>
      <c r="AB99" s="284"/>
      <c r="AG99" s="182"/>
      <c r="AH99" s="182"/>
      <c r="AI99" s="182"/>
      <c r="AJ99" s="42"/>
      <c r="AK99" s="42"/>
      <c r="AL99" s="42"/>
    </row>
    <row r="100" spans="1:38" x14ac:dyDescent="0.25">
      <c r="J100" s="466"/>
      <c r="L100" s="466"/>
      <c r="AG100" s="182"/>
      <c r="AH100" s="182"/>
      <c r="AI100" s="182"/>
      <c r="AJ100" s="42"/>
      <c r="AK100" s="42"/>
      <c r="AL100" s="42"/>
    </row>
    <row r="101" spans="1:38" x14ac:dyDescent="0.25">
      <c r="A101" s="432"/>
      <c r="B101" s="201"/>
      <c r="AG101" s="182"/>
      <c r="AH101" s="182"/>
      <c r="AI101" s="182"/>
      <c r="AJ101" s="42"/>
      <c r="AK101" s="42"/>
      <c r="AL101" s="42"/>
    </row>
    <row r="102" spans="1:38" x14ac:dyDescent="0.25">
      <c r="AG102" s="182"/>
      <c r="AH102" s="182"/>
      <c r="AI102" s="182"/>
      <c r="AJ102" s="42"/>
      <c r="AK102" s="42"/>
      <c r="AL102" s="42"/>
    </row>
    <row r="103" spans="1:38" x14ac:dyDescent="0.25">
      <c r="L103" s="466"/>
      <c r="AG103" s="182"/>
      <c r="AH103" s="182"/>
      <c r="AI103" s="182"/>
      <c r="AJ103" s="42"/>
      <c r="AK103" s="42"/>
      <c r="AL103" s="42"/>
    </row>
    <row r="104" spans="1:38" x14ac:dyDescent="0.25">
      <c r="A104" s="139"/>
      <c r="B104" s="1195"/>
      <c r="AG104" s="182"/>
      <c r="AH104" s="182"/>
      <c r="AI104" s="182"/>
      <c r="AJ104" s="42"/>
      <c r="AK104" s="42"/>
      <c r="AL104" s="42"/>
    </row>
    <row r="105" spans="1:38" x14ac:dyDescent="0.25">
      <c r="L105" s="466"/>
      <c r="AG105" s="182"/>
      <c r="AH105" s="182"/>
      <c r="AI105" s="182"/>
      <c r="AJ105" s="42"/>
      <c r="AK105" s="42"/>
      <c r="AL105" s="42"/>
    </row>
    <row r="106" spans="1:38" x14ac:dyDescent="0.25">
      <c r="AG106" s="182"/>
      <c r="AH106" s="182"/>
      <c r="AI106" s="182"/>
      <c r="AJ106" s="42"/>
      <c r="AK106" s="42"/>
      <c r="AL106" s="42"/>
    </row>
    <row r="107" spans="1:38" x14ac:dyDescent="0.25">
      <c r="AG107" s="182"/>
      <c r="AH107" s="182"/>
      <c r="AI107" s="182"/>
      <c r="AJ107" s="42"/>
      <c r="AK107" s="42"/>
      <c r="AL107" s="42"/>
    </row>
    <row r="108" spans="1:38" x14ac:dyDescent="0.25">
      <c r="L108" s="466"/>
      <c r="AG108" s="182"/>
      <c r="AH108" s="182"/>
      <c r="AI108" s="182"/>
      <c r="AJ108" s="42"/>
      <c r="AK108" s="42"/>
      <c r="AL108" s="42"/>
    </row>
    <row r="109" spans="1:38" x14ac:dyDescent="0.25">
      <c r="AG109" s="182"/>
      <c r="AH109" s="182"/>
      <c r="AI109" s="182"/>
      <c r="AJ109" s="42"/>
      <c r="AK109" s="42"/>
      <c r="AL109" s="42"/>
    </row>
    <row r="110" spans="1:38" x14ac:dyDescent="0.25">
      <c r="AG110" s="182"/>
      <c r="AH110" s="182"/>
      <c r="AI110" s="182"/>
      <c r="AJ110" s="42"/>
      <c r="AK110" s="42"/>
      <c r="AL110" s="42"/>
    </row>
    <row r="111" spans="1:38" x14ac:dyDescent="0.25">
      <c r="AG111" s="182"/>
      <c r="AH111" s="182"/>
      <c r="AI111" s="182"/>
      <c r="AJ111" s="42"/>
      <c r="AK111" s="42"/>
      <c r="AL111" s="42"/>
    </row>
    <row r="112" spans="1:38" x14ac:dyDescent="0.25">
      <c r="AG112" s="182"/>
      <c r="AH112" s="182"/>
      <c r="AI112" s="182"/>
      <c r="AJ112" s="42"/>
      <c r="AK112" s="42"/>
      <c r="AL112" s="42"/>
    </row>
    <row r="113" spans="33:38" x14ac:dyDescent="0.25">
      <c r="AG113" s="182"/>
      <c r="AH113" s="182"/>
      <c r="AI113" s="182"/>
      <c r="AJ113" s="42"/>
      <c r="AK113" s="42"/>
      <c r="AL113" s="42"/>
    </row>
  </sheetData>
  <mergeCells count="1">
    <mergeCell ref="H6:R6"/>
  </mergeCells>
  <printOptions horizontalCentered="1"/>
  <pageMargins left="0.7" right="0.7" top="0.75" bottom="0.25" header="0.3" footer="0.3"/>
  <pageSetup scale="53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C78"/>
  <sheetViews>
    <sheetView view="pageBreakPreview" zoomScale="80" zoomScaleNormal="100" zoomScaleSheetLayoutView="80" workbookViewId="0">
      <selection activeCell="V56" sqref="V56"/>
    </sheetView>
  </sheetViews>
  <sheetFormatPr defaultColWidth="15.7109375" defaultRowHeight="15.75" x14ac:dyDescent="0.25"/>
  <cols>
    <col min="1" max="1" width="9.140625" style="534" bestFit="1" customWidth="1"/>
    <col min="2" max="2" width="1.7109375" style="534" customWidth="1"/>
    <col min="3" max="3" width="12.7109375" style="534" customWidth="1"/>
    <col min="4" max="4" width="1.7109375" style="534" customWidth="1"/>
    <col min="5" max="5" width="12.7109375" style="534" customWidth="1"/>
    <col min="6" max="6" width="3.85546875" style="534" customWidth="1"/>
    <col min="7" max="7" width="12.7109375" style="534" customWidth="1"/>
    <col min="8" max="8" width="1.7109375" style="534" customWidth="1"/>
    <col min="9" max="9" width="17.7109375" style="534" customWidth="1"/>
    <col min="10" max="10" width="1.7109375" style="534" customWidth="1"/>
    <col min="11" max="11" width="17.7109375" style="534" customWidth="1"/>
    <col min="12" max="12" width="1.7109375" style="534" customWidth="1"/>
    <col min="13" max="13" width="17.7109375" style="534" customWidth="1"/>
    <col min="14" max="14" width="2.28515625" style="534" customWidth="1"/>
    <col min="15" max="15" width="15.140625" style="534" bestFit="1" customWidth="1"/>
    <col min="16" max="16" width="10.42578125" style="534" customWidth="1"/>
    <col min="17" max="17" width="15.7109375" style="534" bestFit="1" customWidth="1"/>
    <col min="18" max="18" width="13.28515625" style="534" bestFit="1" customWidth="1"/>
    <col min="19" max="19" width="2.7109375" style="534" customWidth="1"/>
    <col min="20" max="20" width="17" style="534" bestFit="1" customWidth="1"/>
    <col min="21" max="21" width="2.7109375" style="534" customWidth="1"/>
    <col min="22" max="22" width="16.42578125" style="534" customWidth="1"/>
    <col min="23" max="23" width="2.7109375" style="534" customWidth="1"/>
    <col min="24" max="24" width="15.7109375" style="534"/>
    <col min="25" max="25" width="2.7109375" style="534" customWidth="1"/>
    <col min="26" max="26" width="15.7109375" style="534"/>
    <col min="27" max="27" width="2.7109375" style="534" customWidth="1"/>
    <col min="28" max="16384" width="15.7109375" style="534"/>
  </cols>
  <sheetData>
    <row r="1" spans="1:29" x14ac:dyDescent="0.25">
      <c r="A1" s="530" t="str">
        <f>[43]INFO!B1</f>
        <v>EVANSVILLE (INDIANA) WATERWORKS DISTRICT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  <c r="O1" s="1324"/>
      <c r="P1" s="564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</row>
    <row r="2" spans="1:29" x14ac:dyDescent="0.25">
      <c r="A2" s="535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6"/>
      <c r="N2" s="532"/>
      <c r="O2" s="1325"/>
      <c r="P2" s="564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</row>
    <row r="3" spans="1:29" x14ac:dyDescent="0.25">
      <c r="A3" s="538" t="str">
        <f>"SCHEDULE OF AMORTIZATION OF $"&amp;TEXT($E$58*1000, "00,000,000")&amp;" PRINCIPAL AMOUNT OF"</f>
        <v>SCHEDULE OF AMORTIZATION OF $34,860,000 PRINCIPAL AMOUNT OF</v>
      </c>
      <c r="B3" s="539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2"/>
      <c r="O3" s="1325"/>
      <c r="P3" s="564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</row>
    <row r="4" spans="1:29" x14ac:dyDescent="0.25">
      <c r="A4" s="538" t="s">
        <v>631</v>
      </c>
      <c r="B4" s="539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2"/>
      <c r="O4" s="564"/>
      <c r="P4" s="564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40"/>
      <c r="AC4" s="537"/>
    </row>
    <row r="5" spans="1:29" x14ac:dyDescent="0.25">
      <c r="A5" s="541" t="s">
        <v>231</v>
      </c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2"/>
      <c r="O5" s="540"/>
      <c r="P5" s="564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40"/>
      <c r="AC5" s="537"/>
    </row>
    <row r="6" spans="1:29" x14ac:dyDescent="0.25">
      <c r="A6" s="541" t="s">
        <v>132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2"/>
      <c r="O6" s="564"/>
      <c r="P6" s="564"/>
      <c r="Q6" s="537"/>
      <c r="R6" s="543"/>
      <c r="S6" s="543"/>
      <c r="T6" s="543"/>
      <c r="U6" s="543"/>
      <c r="V6" s="543"/>
      <c r="W6" s="543"/>
      <c r="X6" s="537"/>
      <c r="Y6" s="537"/>
      <c r="Z6" s="537"/>
      <c r="AA6" s="537"/>
      <c r="AB6" s="540"/>
      <c r="AC6" s="537"/>
    </row>
    <row r="7" spans="1:29" x14ac:dyDescent="0.25">
      <c r="A7" s="541" t="s">
        <v>612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2"/>
      <c r="O7" s="564"/>
      <c r="P7" s="564"/>
      <c r="Q7" s="537"/>
      <c r="R7" s="1326"/>
      <c r="S7" s="537"/>
      <c r="T7" s="546"/>
      <c r="U7" s="546"/>
      <c r="V7" s="546"/>
      <c r="W7" s="537"/>
      <c r="X7" s="537"/>
      <c r="Y7" s="537"/>
      <c r="Z7" s="537"/>
      <c r="AA7" s="537"/>
      <c r="AB7" s="537"/>
      <c r="AC7" s="537"/>
    </row>
    <row r="8" spans="1:29" hidden="1" x14ac:dyDescent="0.25">
      <c r="A8" s="541" t="s">
        <v>628</v>
      </c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2"/>
      <c r="O8" s="564"/>
      <c r="P8" s="564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40"/>
      <c r="AC8" s="537"/>
    </row>
    <row r="9" spans="1:29" x14ac:dyDescent="0.25">
      <c r="A9" s="541"/>
      <c r="B9" s="531"/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2"/>
      <c r="O9" s="564"/>
      <c r="P9" s="564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40"/>
      <c r="AC9" s="537"/>
    </row>
    <row r="10" spans="1:29" x14ac:dyDescent="0.25">
      <c r="A10" s="541"/>
      <c r="B10" s="531"/>
      <c r="C10" s="531"/>
      <c r="D10" s="531"/>
      <c r="E10" s="531"/>
      <c r="F10" s="531"/>
      <c r="G10" s="531"/>
      <c r="H10" s="532"/>
      <c r="I10" s="532"/>
      <c r="J10" s="532"/>
      <c r="K10" s="532"/>
      <c r="L10" s="532"/>
      <c r="M10" s="532"/>
      <c r="N10" s="532"/>
      <c r="O10" s="564"/>
      <c r="P10" s="564"/>
      <c r="Q10" s="537"/>
      <c r="R10" s="549"/>
      <c r="S10" s="537"/>
      <c r="T10" s="537"/>
      <c r="U10" s="537"/>
      <c r="V10" s="549"/>
      <c r="W10" s="537"/>
      <c r="X10" s="537"/>
      <c r="Y10" s="537"/>
      <c r="Z10" s="537"/>
      <c r="AA10" s="537"/>
      <c r="AB10" s="540"/>
      <c r="AC10" s="537"/>
    </row>
    <row r="11" spans="1:29" x14ac:dyDescent="0.25">
      <c r="A11" s="544" t="s">
        <v>29</v>
      </c>
      <c r="B11" s="545"/>
      <c r="C11" s="544" t="s">
        <v>30</v>
      </c>
      <c r="D11" s="545"/>
      <c r="E11" s="545"/>
      <c r="F11" s="545"/>
      <c r="G11" s="546" t="s">
        <v>31</v>
      </c>
      <c r="H11" s="545"/>
      <c r="I11" s="542" t="s">
        <v>32</v>
      </c>
      <c r="J11" s="542"/>
      <c r="K11" s="542"/>
      <c r="L11" s="545"/>
      <c r="M11" s="544" t="s">
        <v>33</v>
      </c>
      <c r="N11" s="532"/>
      <c r="O11" s="564"/>
      <c r="P11" s="564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40"/>
      <c r="AC11" s="537"/>
    </row>
    <row r="12" spans="1:29" x14ac:dyDescent="0.25">
      <c r="A12" s="547" t="s">
        <v>9</v>
      </c>
      <c r="B12" s="545"/>
      <c r="C12" s="547" t="s">
        <v>34</v>
      </c>
      <c r="D12" s="545"/>
      <c r="E12" s="547" t="s">
        <v>30</v>
      </c>
      <c r="F12" s="544"/>
      <c r="G12" s="547" t="s">
        <v>479</v>
      </c>
      <c r="H12" s="545"/>
      <c r="I12" s="547" t="s">
        <v>31</v>
      </c>
      <c r="J12" s="548"/>
      <c r="K12" s="547" t="s">
        <v>35</v>
      </c>
      <c r="L12" s="545"/>
      <c r="M12" s="547" t="s">
        <v>35</v>
      </c>
      <c r="N12" s="532"/>
      <c r="O12" s="564"/>
      <c r="P12" s="564"/>
      <c r="Q12" s="537"/>
      <c r="R12" s="549"/>
      <c r="S12" s="537"/>
      <c r="T12" s="549"/>
      <c r="U12" s="549"/>
      <c r="V12" s="1327"/>
      <c r="W12" s="537"/>
      <c r="X12" s="537"/>
      <c r="Y12" s="537"/>
      <c r="Z12" s="537"/>
      <c r="AA12" s="537"/>
      <c r="AB12" s="537"/>
      <c r="AC12" s="537"/>
    </row>
    <row r="13" spans="1:29" x14ac:dyDescent="0.25">
      <c r="A13" s="550"/>
      <c r="B13" s="545"/>
      <c r="C13" s="551" t="s">
        <v>122</v>
      </c>
      <c r="D13" s="531"/>
      <c r="E13" s="551"/>
      <c r="F13" s="551"/>
      <c r="G13" s="546" t="s">
        <v>36</v>
      </c>
      <c r="H13" s="531"/>
      <c r="I13" s="551" t="s">
        <v>124</v>
      </c>
      <c r="J13" s="552"/>
      <c r="K13" s="551"/>
      <c r="L13" s="531"/>
      <c r="M13" s="551"/>
      <c r="N13" s="532"/>
      <c r="O13" s="564"/>
      <c r="P13" s="564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40"/>
      <c r="AC13" s="537"/>
    </row>
    <row r="14" spans="1:29" x14ac:dyDescent="0.25">
      <c r="A14" s="550"/>
      <c r="B14" s="545"/>
      <c r="C14" s="551"/>
      <c r="D14" s="531"/>
      <c r="E14" s="551"/>
      <c r="F14" s="551"/>
      <c r="G14" s="546"/>
      <c r="H14" s="531"/>
      <c r="I14" s="551"/>
      <c r="J14" s="552"/>
      <c r="K14" s="551"/>
      <c r="L14" s="531"/>
      <c r="M14" s="551"/>
      <c r="N14" s="532"/>
      <c r="O14" s="564"/>
      <c r="P14" s="564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40"/>
      <c r="AC14" s="537"/>
    </row>
    <row r="15" spans="1:29" hidden="1" x14ac:dyDescent="0.25">
      <c r="A15" s="553">
        <v>42917</v>
      </c>
      <c r="B15" s="545"/>
      <c r="C15" s="554"/>
      <c r="D15" s="545"/>
      <c r="E15" s="555"/>
      <c r="F15" s="555"/>
      <c r="G15" s="556"/>
      <c r="H15" s="545"/>
      <c r="I15" s="557">
        <f>ROUND((+E15*1000*G15/100/2+I16*(O5/180)),2)</f>
        <v>0</v>
      </c>
      <c r="J15" s="558"/>
      <c r="K15" s="557">
        <f t="shared" ref="K15:K56" si="0">E15*1000+I15</f>
        <v>0</v>
      </c>
      <c r="L15" s="558"/>
      <c r="M15" s="558"/>
      <c r="N15" s="558"/>
      <c r="O15" s="559"/>
      <c r="P15" s="560"/>
      <c r="Q15" s="1328"/>
      <c r="R15" s="1329"/>
      <c r="S15" s="537"/>
      <c r="T15" s="537"/>
      <c r="U15" s="537"/>
      <c r="V15" s="1328"/>
      <c r="W15" s="537"/>
      <c r="X15" s="561"/>
      <c r="Y15" s="537"/>
      <c r="Z15" s="546"/>
      <c r="AA15" s="537"/>
      <c r="AB15" s="546"/>
      <c r="AC15" s="537"/>
    </row>
    <row r="16" spans="1:29" hidden="1" x14ac:dyDescent="0.25">
      <c r="A16" s="553">
        <v>43101</v>
      </c>
      <c r="B16" s="545"/>
      <c r="C16" s="554">
        <f>E58</f>
        <v>34860</v>
      </c>
      <c r="D16" s="545"/>
      <c r="E16" s="554"/>
      <c r="F16" s="555"/>
      <c r="G16" s="562"/>
      <c r="H16" s="545"/>
      <c r="I16" s="558">
        <f t="shared" ref="I16:I56" si="1">ROUND((+E16*1000*G16/100/2+I17),2)</f>
        <v>792800</v>
      </c>
      <c r="J16" s="558"/>
      <c r="K16" s="558">
        <f t="shared" si="0"/>
        <v>792800</v>
      </c>
      <c r="L16" s="558"/>
      <c r="M16" s="557">
        <f>K15+K16</f>
        <v>792800</v>
      </c>
      <c r="N16" s="558"/>
      <c r="O16" s="559"/>
      <c r="P16" s="1330"/>
      <c r="Q16" s="1328"/>
      <c r="R16" s="1329"/>
      <c r="S16" s="537"/>
      <c r="T16" s="537"/>
      <c r="U16" s="537"/>
      <c r="V16" s="1328"/>
      <c r="W16" s="537"/>
      <c r="X16" s="561"/>
      <c r="Y16" s="537"/>
      <c r="Z16" s="546"/>
      <c r="AA16" s="537"/>
      <c r="AB16" s="546"/>
      <c r="AC16" s="537"/>
    </row>
    <row r="17" spans="1:29" hidden="1" x14ac:dyDescent="0.25">
      <c r="A17" s="553">
        <v>43282</v>
      </c>
      <c r="B17" s="545"/>
      <c r="C17" s="554"/>
      <c r="E17" s="555"/>
      <c r="G17" s="556"/>
      <c r="H17" s="545"/>
      <c r="I17" s="557">
        <f t="shared" si="1"/>
        <v>792800</v>
      </c>
      <c r="J17" s="558"/>
      <c r="K17" s="557">
        <f t="shared" si="0"/>
        <v>792800</v>
      </c>
      <c r="L17" s="558"/>
      <c r="M17" s="558"/>
      <c r="N17" s="558"/>
      <c r="O17" s="559"/>
      <c r="P17" s="560"/>
      <c r="Q17" s="1328"/>
      <c r="R17" s="1329"/>
      <c r="S17" s="537"/>
      <c r="T17" s="537"/>
      <c r="U17" s="537"/>
      <c r="V17" s="1328"/>
      <c r="W17" s="537"/>
      <c r="X17" s="1331"/>
      <c r="Y17" s="537"/>
      <c r="Z17" s="537"/>
      <c r="AA17" s="537"/>
      <c r="AB17" s="537"/>
      <c r="AC17" s="537"/>
    </row>
    <row r="18" spans="1:29" hidden="1" x14ac:dyDescent="0.25">
      <c r="A18" s="553">
        <v>43466</v>
      </c>
      <c r="B18" s="545"/>
      <c r="C18" s="554">
        <f>E58</f>
        <v>34860</v>
      </c>
      <c r="D18" s="545"/>
      <c r="E18" s="554">
        <v>1585</v>
      </c>
      <c r="F18" s="555"/>
      <c r="G18" s="556">
        <v>4</v>
      </c>
      <c r="H18" s="545"/>
      <c r="I18" s="558">
        <f t="shared" si="1"/>
        <v>792800</v>
      </c>
      <c r="J18" s="558"/>
      <c r="K18" s="558">
        <f t="shared" si="0"/>
        <v>2377800</v>
      </c>
      <c r="L18" s="558"/>
      <c r="M18" s="557">
        <f>K17+K18</f>
        <v>3170600</v>
      </c>
      <c r="N18" s="558"/>
      <c r="O18" s="559"/>
      <c r="P18" s="560"/>
      <c r="Q18" s="1328"/>
      <c r="R18" s="1329"/>
      <c r="S18" s="537"/>
      <c r="T18" s="537"/>
      <c r="U18" s="537"/>
      <c r="V18" s="564"/>
      <c r="W18" s="537"/>
      <c r="X18" s="1331"/>
      <c r="Y18" s="537"/>
      <c r="Z18" s="1331"/>
      <c r="AA18" s="537"/>
      <c r="AB18" s="1331"/>
      <c r="AC18" s="537"/>
    </row>
    <row r="19" spans="1:29" hidden="1" x14ac:dyDescent="0.25">
      <c r="A19" s="553">
        <v>43647</v>
      </c>
      <c r="B19" s="545"/>
      <c r="C19" s="563"/>
      <c r="D19" s="545"/>
      <c r="E19" s="563"/>
      <c r="F19" s="555"/>
      <c r="G19" s="556"/>
      <c r="H19" s="545"/>
      <c r="I19" s="558">
        <f t="shared" si="1"/>
        <v>761100</v>
      </c>
      <c r="J19" s="558"/>
      <c r="K19" s="558">
        <f t="shared" si="0"/>
        <v>761100</v>
      </c>
      <c r="L19" s="558"/>
      <c r="M19" s="558"/>
      <c r="N19" s="558"/>
      <c r="O19" s="559"/>
      <c r="P19" s="560"/>
      <c r="Q19" s="1328"/>
      <c r="R19" s="1329"/>
      <c r="S19" s="537"/>
      <c r="T19" s="537"/>
      <c r="U19" s="537"/>
      <c r="V19" s="564"/>
      <c r="W19" s="537"/>
      <c r="X19" s="1331"/>
      <c r="Y19" s="537"/>
      <c r="Z19" s="537"/>
      <c r="AA19" s="537"/>
      <c r="AB19" s="537"/>
      <c r="AC19" s="537"/>
    </row>
    <row r="20" spans="1:29" hidden="1" x14ac:dyDescent="0.25">
      <c r="A20" s="553">
        <v>43831</v>
      </c>
      <c r="B20" s="545"/>
      <c r="C20" s="563">
        <f>C18-E18</f>
        <v>33275</v>
      </c>
      <c r="D20" s="545"/>
      <c r="E20" s="563">
        <v>1570</v>
      </c>
      <c r="F20" s="556"/>
      <c r="G20" s="556">
        <v>4</v>
      </c>
      <c r="H20" s="545"/>
      <c r="I20" s="558">
        <f t="shared" si="1"/>
        <v>761100</v>
      </c>
      <c r="J20" s="558"/>
      <c r="K20" s="558">
        <f t="shared" si="0"/>
        <v>2331100</v>
      </c>
      <c r="L20" s="558"/>
      <c r="M20" s="558">
        <f>K19+K20</f>
        <v>3092200</v>
      </c>
      <c r="N20" s="558"/>
      <c r="O20" s="559"/>
      <c r="P20" s="560"/>
      <c r="Q20" s="1328"/>
      <c r="R20" s="1329"/>
      <c r="S20" s="537"/>
      <c r="T20" s="537"/>
      <c r="U20" s="537"/>
      <c r="V20" s="564"/>
      <c r="W20" s="537"/>
      <c r="X20" s="1331"/>
      <c r="Y20" s="537"/>
      <c r="Z20" s="1331"/>
      <c r="AA20" s="537"/>
      <c r="AB20" s="1331"/>
      <c r="AC20" s="537"/>
    </row>
    <row r="21" spans="1:29" hidden="1" x14ac:dyDescent="0.25">
      <c r="A21" s="553">
        <v>44013</v>
      </c>
      <c r="B21" s="545"/>
      <c r="C21" s="563"/>
      <c r="D21" s="545"/>
      <c r="E21" s="563"/>
      <c r="F21" s="555"/>
      <c r="G21" s="556"/>
      <c r="H21" s="545"/>
      <c r="I21" s="558">
        <f t="shared" si="1"/>
        <v>729700</v>
      </c>
      <c r="J21" s="558"/>
      <c r="K21" s="558">
        <f t="shared" si="0"/>
        <v>729700</v>
      </c>
      <c r="L21" s="558"/>
      <c r="M21" s="558"/>
      <c r="N21" s="558"/>
      <c r="O21" s="559"/>
      <c r="P21" s="560"/>
      <c r="Q21" s="1328"/>
      <c r="R21" s="1329"/>
      <c r="S21" s="537"/>
      <c r="T21" s="537"/>
      <c r="U21" s="537"/>
      <c r="V21" s="564"/>
      <c r="W21" s="537"/>
      <c r="X21" s="1331"/>
      <c r="Y21" s="537"/>
      <c r="Z21" s="537"/>
      <c r="AA21" s="537"/>
      <c r="AB21" s="537"/>
      <c r="AC21" s="537"/>
    </row>
    <row r="22" spans="1:29" hidden="1" x14ac:dyDescent="0.25">
      <c r="A22" s="553">
        <v>44197</v>
      </c>
      <c r="B22" s="545"/>
      <c r="C22" s="563">
        <f>C20-E20</f>
        <v>31705</v>
      </c>
      <c r="D22" s="545"/>
      <c r="E22" s="563">
        <v>1625</v>
      </c>
      <c r="F22" s="555"/>
      <c r="G22" s="556">
        <v>4</v>
      </c>
      <c r="H22" s="545"/>
      <c r="I22" s="558">
        <f t="shared" si="1"/>
        <v>729700</v>
      </c>
      <c r="J22" s="558"/>
      <c r="K22" s="558">
        <f t="shared" si="0"/>
        <v>2354700</v>
      </c>
      <c r="L22" s="558"/>
      <c r="M22" s="558">
        <f>K21+K22</f>
        <v>3084400</v>
      </c>
      <c r="N22" s="558"/>
      <c r="O22" s="559"/>
      <c r="P22" s="560"/>
      <c r="Q22" s="1328"/>
      <c r="R22" s="1329"/>
      <c r="S22" s="537"/>
      <c r="T22" s="537"/>
      <c r="U22" s="537"/>
      <c r="V22" s="564"/>
      <c r="W22" s="537"/>
      <c r="X22" s="1331"/>
      <c r="Y22" s="537"/>
      <c r="Z22" s="1331"/>
      <c r="AA22" s="537"/>
      <c r="AB22" s="1331"/>
      <c r="AC22" s="537"/>
    </row>
    <row r="23" spans="1:29" x14ac:dyDescent="0.25">
      <c r="A23" s="553">
        <v>44378</v>
      </c>
      <c r="B23" s="545"/>
      <c r="C23" s="563"/>
      <c r="D23" s="545"/>
      <c r="E23" s="563"/>
      <c r="F23" s="555"/>
      <c r="G23" s="556"/>
      <c r="H23" s="545"/>
      <c r="I23" s="958">
        <f t="shared" si="1"/>
        <v>697200</v>
      </c>
      <c r="J23" s="558"/>
      <c r="K23" s="958">
        <f t="shared" si="0"/>
        <v>697200</v>
      </c>
      <c r="L23" s="558"/>
      <c r="M23" s="558"/>
      <c r="N23" s="558"/>
      <c r="O23" s="559"/>
      <c r="P23" s="560"/>
      <c r="Q23" s="1328"/>
      <c r="R23" s="1329"/>
      <c r="S23" s="537"/>
      <c r="T23" s="537"/>
      <c r="U23" s="537"/>
      <c r="V23" s="564"/>
      <c r="W23" s="537"/>
      <c r="X23" s="1331"/>
      <c r="Y23" s="537"/>
      <c r="Z23" s="537"/>
      <c r="AA23" s="537"/>
      <c r="AB23" s="537"/>
      <c r="AC23" s="537"/>
    </row>
    <row r="24" spans="1:29" x14ac:dyDescent="0.25">
      <c r="A24" s="553">
        <v>44562</v>
      </c>
      <c r="B24" s="545"/>
      <c r="C24" s="573">
        <v>34860</v>
      </c>
      <c r="D24" s="545"/>
      <c r="E24" s="957">
        <v>1605</v>
      </c>
      <c r="F24" s="555"/>
      <c r="G24" s="556">
        <v>4</v>
      </c>
      <c r="H24" s="545"/>
      <c r="I24" s="558">
        <f t="shared" si="1"/>
        <v>697200</v>
      </c>
      <c r="J24" s="558"/>
      <c r="K24" s="558">
        <f t="shared" si="0"/>
        <v>2302200</v>
      </c>
      <c r="L24" s="558"/>
      <c r="M24" s="958">
        <f>K23+K24</f>
        <v>2999400</v>
      </c>
      <c r="N24" s="558"/>
      <c r="O24" s="559"/>
      <c r="P24" s="560"/>
      <c r="Q24" s="1328"/>
      <c r="R24" s="1329"/>
      <c r="S24" s="537"/>
      <c r="T24" s="537"/>
      <c r="U24" s="537"/>
      <c r="V24" s="564"/>
      <c r="W24" s="537"/>
      <c r="X24" s="1331"/>
      <c r="Y24" s="537"/>
      <c r="Z24" s="1331"/>
      <c r="AA24" s="537"/>
      <c r="AB24" s="1331"/>
      <c r="AC24" s="537"/>
    </row>
    <row r="25" spans="1:29" x14ac:dyDescent="0.25">
      <c r="A25" s="553">
        <v>44743</v>
      </c>
      <c r="B25" s="545"/>
      <c r="C25" s="563"/>
      <c r="D25" s="545"/>
      <c r="E25" s="563"/>
      <c r="F25" s="555"/>
      <c r="G25" s="556"/>
      <c r="H25" s="545"/>
      <c r="I25" s="558">
        <f t="shared" si="1"/>
        <v>665100</v>
      </c>
      <c r="J25" s="558"/>
      <c r="K25" s="558">
        <f t="shared" si="0"/>
        <v>665100</v>
      </c>
      <c r="L25" s="558"/>
      <c r="M25" s="558"/>
      <c r="N25" s="558"/>
      <c r="O25" s="559"/>
      <c r="P25" s="560"/>
      <c r="Q25" s="1328"/>
      <c r="R25" s="1329"/>
      <c r="S25" s="537"/>
      <c r="T25" s="537"/>
      <c r="U25" s="537"/>
      <c r="V25" s="564"/>
      <c r="W25" s="537"/>
      <c r="X25" s="1331"/>
      <c r="Y25" s="537"/>
      <c r="Z25" s="537"/>
      <c r="AA25" s="537"/>
      <c r="AB25" s="537"/>
      <c r="AC25" s="537"/>
    </row>
    <row r="26" spans="1:29" x14ac:dyDescent="0.25">
      <c r="A26" s="553">
        <v>44927</v>
      </c>
      <c r="B26" s="545"/>
      <c r="C26" s="563">
        <f>C24-E24</f>
        <v>33255</v>
      </c>
      <c r="D26" s="545"/>
      <c r="E26" s="563">
        <v>1620</v>
      </c>
      <c r="F26" s="555"/>
      <c r="G26" s="556">
        <v>4</v>
      </c>
      <c r="H26" s="545"/>
      <c r="I26" s="558">
        <f t="shared" si="1"/>
        <v>665100</v>
      </c>
      <c r="J26" s="558"/>
      <c r="K26" s="558">
        <f t="shared" si="0"/>
        <v>2285100</v>
      </c>
      <c r="L26" s="558"/>
      <c r="M26" s="558">
        <f>K25+K26</f>
        <v>2950200</v>
      </c>
      <c r="N26" s="558"/>
      <c r="O26" s="559"/>
      <c r="P26" s="560"/>
      <c r="Q26" s="1328"/>
      <c r="R26" s="1329"/>
      <c r="S26" s="537"/>
      <c r="T26" s="546"/>
      <c r="U26" s="537"/>
      <c r="V26" s="564"/>
      <c r="W26" s="537"/>
      <c r="X26" s="1331"/>
      <c r="Y26" s="537"/>
      <c r="Z26" s="1331"/>
      <c r="AA26" s="537"/>
      <c r="AB26" s="1331"/>
      <c r="AC26" s="537"/>
    </row>
    <row r="27" spans="1:29" x14ac:dyDescent="0.25">
      <c r="A27" s="553">
        <v>45108</v>
      </c>
      <c r="B27" s="545"/>
      <c r="C27" s="563"/>
      <c r="D27" s="545"/>
      <c r="E27" s="563"/>
      <c r="F27" s="555"/>
      <c r="G27" s="556"/>
      <c r="H27" s="545"/>
      <c r="I27" s="558">
        <f t="shared" si="1"/>
        <v>632700</v>
      </c>
      <c r="J27" s="558"/>
      <c r="K27" s="558">
        <f t="shared" si="0"/>
        <v>632700</v>
      </c>
      <c r="L27" s="558"/>
      <c r="M27" s="558"/>
      <c r="N27" s="558"/>
      <c r="O27" s="559"/>
      <c r="P27" s="560"/>
      <c r="Q27" s="1328"/>
      <c r="R27" s="1329"/>
      <c r="S27" s="537"/>
      <c r="T27" s="1329"/>
      <c r="U27" s="537"/>
      <c r="V27" s="564"/>
      <c r="W27" s="537"/>
      <c r="X27" s="1331"/>
      <c r="Y27" s="537"/>
      <c r="Z27" s="537"/>
      <c r="AA27" s="537"/>
      <c r="AB27" s="537"/>
      <c r="AC27" s="537"/>
    </row>
    <row r="28" spans="1:29" x14ac:dyDescent="0.25">
      <c r="A28" s="553">
        <v>45292</v>
      </c>
      <c r="B28" s="545"/>
      <c r="C28" s="563">
        <f>C26-E26</f>
        <v>31635</v>
      </c>
      <c r="D28" s="545"/>
      <c r="E28" s="563">
        <v>1690</v>
      </c>
      <c r="F28" s="555"/>
      <c r="G28" s="556">
        <v>4</v>
      </c>
      <c r="H28" s="545"/>
      <c r="I28" s="558">
        <f t="shared" si="1"/>
        <v>632700</v>
      </c>
      <c r="J28" s="558"/>
      <c r="K28" s="558">
        <f t="shared" si="0"/>
        <v>2322700</v>
      </c>
      <c r="L28" s="558"/>
      <c r="M28" s="558">
        <f>K27+K28</f>
        <v>2955400</v>
      </c>
      <c r="N28" s="558"/>
      <c r="O28" s="559"/>
      <c r="P28" s="560"/>
      <c r="Q28" s="1328"/>
      <c r="R28" s="1325"/>
      <c r="S28" s="537"/>
      <c r="T28" s="537"/>
      <c r="U28" s="537"/>
      <c r="V28" s="564"/>
      <c r="W28" s="537"/>
      <c r="X28" s="1331"/>
      <c r="Y28" s="537"/>
      <c r="Z28" s="1331"/>
      <c r="AA28" s="537"/>
      <c r="AB28" s="1331"/>
      <c r="AC28" s="537"/>
    </row>
    <row r="29" spans="1:29" x14ac:dyDescent="0.25">
      <c r="A29" s="553">
        <v>45474</v>
      </c>
      <c r="B29" s="545"/>
      <c r="C29" s="563"/>
      <c r="D29" s="545"/>
      <c r="E29" s="563"/>
      <c r="F29" s="555"/>
      <c r="G29" s="556"/>
      <c r="H29" s="545"/>
      <c r="I29" s="558">
        <f t="shared" si="1"/>
        <v>598900</v>
      </c>
      <c r="J29" s="558"/>
      <c r="K29" s="558">
        <f t="shared" si="0"/>
        <v>598900</v>
      </c>
      <c r="L29" s="558"/>
      <c r="M29" s="558"/>
      <c r="N29" s="558"/>
      <c r="O29" s="559"/>
      <c r="P29" s="560"/>
      <c r="Q29" s="1328"/>
      <c r="R29" s="1325"/>
      <c r="S29" s="537"/>
      <c r="T29" s="537"/>
      <c r="U29" s="537"/>
      <c r="V29" s="564"/>
      <c r="W29" s="537"/>
      <c r="X29" s="1331"/>
      <c r="Y29" s="537"/>
      <c r="Z29" s="537"/>
      <c r="AA29" s="537"/>
      <c r="AB29" s="537"/>
      <c r="AC29" s="537"/>
    </row>
    <row r="30" spans="1:29" x14ac:dyDescent="0.25">
      <c r="A30" s="553">
        <v>45658</v>
      </c>
      <c r="B30" s="545"/>
      <c r="C30" s="563">
        <f>C28-E28</f>
        <v>29945</v>
      </c>
      <c r="D30" s="545"/>
      <c r="E30" s="563">
        <v>1705</v>
      </c>
      <c r="F30" s="555"/>
      <c r="G30" s="556">
        <v>4</v>
      </c>
      <c r="H30" s="545"/>
      <c r="I30" s="558">
        <f t="shared" si="1"/>
        <v>598900</v>
      </c>
      <c r="J30" s="558"/>
      <c r="K30" s="558">
        <f t="shared" si="0"/>
        <v>2303900</v>
      </c>
      <c r="L30" s="558"/>
      <c r="M30" s="558">
        <f>K29+K30</f>
        <v>2902800</v>
      </c>
      <c r="N30" s="558"/>
      <c r="O30" s="559"/>
      <c r="P30" s="560"/>
      <c r="Q30" s="1328"/>
      <c r="R30" s="1329"/>
      <c r="S30" s="537"/>
      <c r="T30" s="537"/>
      <c r="U30" s="537"/>
      <c r="V30" s="564"/>
      <c r="W30" s="537"/>
      <c r="X30" s="1331"/>
      <c r="Y30" s="537"/>
      <c r="Z30" s="1331"/>
      <c r="AA30" s="537"/>
      <c r="AB30" s="1331"/>
      <c r="AC30" s="537"/>
    </row>
    <row r="31" spans="1:29" x14ac:dyDescent="0.25">
      <c r="A31" s="553">
        <v>45839</v>
      </c>
      <c r="B31" s="545"/>
      <c r="C31" s="563"/>
      <c r="D31" s="545"/>
      <c r="E31" s="563"/>
      <c r="F31" s="555"/>
      <c r="G31" s="556"/>
      <c r="H31" s="545"/>
      <c r="I31" s="558">
        <f t="shared" si="1"/>
        <v>564800</v>
      </c>
      <c r="J31" s="558"/>
      <c r="K31" s="558">
        <f t="shared" si="0"/>
        <v>564800</v>
      </c>
      <c r="L31" s="558"/>
      <c r="M31" s="558"/>
      <c r="N31" s="558"/>
      <c r="O31" s="559"/>
      <c r="P31" s="560"/>
      <c r="Q31" s="1328"/>
      <c r="R31" s="1329"/>
      <c r="S31" s="537"/>
      <c r="T31" s="537"/>
      <c r="U31" s="537"/>
      <c r="V31" s="564"/>
      <c r="W31" s="537"/>
      <c r="X31" s="1331"/>
      <c r="Y31" s="537"/>
      <c r="Z31" s="537"/>
      <c r="AA31" s="537"/>
      <c r="AB31" s="537"/>
      <c r="AC31" s="537"/>
    </row>
    <row r="32" spans="1:29" x14ac:dyDescent="0.25">
      <c r="A32" s="553">
        <v>46023</v>
      </c>
      <c r="B32" s="545"/>
      <c r="C32" s="563">
        <f>C30-E30</f>
        <v>28240</v>
      </c>
      <c r="D32" s="545"/>
      <c r="E32" s="563">
        <v>1595</v>
      </c>
      <c r="F32" s="555"/>
      <c r="G32" s="556">
        <v>4</v>
      </c>
      <c r="H32" s="545"/>
      <c r="I32" s="558">
        <f t="shared" si="1"/>
        <v>564800</v>
      </c>
      <c r="J32" s="558"/>
      <c r="K32" s="558">
        <f t="shared" si="0"/>
        <v>2159800</v>
      </c>
      <c r="L32" s="558"/>
      <c r="M32" s="558">
        <f>K31+K32</f>
        <v>2724600</v>
      </c>
      <c r="N32" s="558"/>
      <c r="O32" s="559"/>
      <c r="P32" s="560"/>
      <c r="Q32" s="1328"/>
      <c r="R32" s="1329"/>
      <c r="S32" s="537"/>
      <c r="T32" s="537"/>
      <c r="U32" s="537"/>
      <c r="V32" s="564"/>
      <c r="W32" s="537"/>
      <c r="X32" s="1331"/>
      <c r="Y32" s="537"/>
      <c r="Z32" s="1331"/>
      <c r="AA32" s="537"/>
      <c r="AB32" s="1331"/>
      <c r="AC32" s="537"/>
    </row>
    <row r="33" spans="1:29" x14ac:dyDescent="0.25">
      <c r="A33" s="553">
        <v>46204</v>
      </c>
      <c r="B33" s="545"/>
      <c r="C33" s="563"/>
      <c r="D33" s="545"/>
      <c r="E33" s="563"/>
      <c r="F33" s="555"/>
      <c r="G33" s="556"/>
      <c r="H33" s="545"/>
      <c r="I33" s="558">
        <f t="shared" si="1"/>
        <v>532900</v>
      </c>
      <c r="J33" s="558"/>
      <c r="K33" s="558">
        <f t="shared" si="0"/>
        <v>532900</v>
      </c>
      <c r="L33" s="558"/>
      <c r="M33" s="558"/>
      <c r="N33" s="558"/>
      <c r="O33" s="559"/>
      <c r="P33" s="560"/>
      <c r="Q33" s="1328"/>
      <c r="R33" s="1329"/>
      <c r="S33" s="537"/>
      <c r="T33" s="537"/>
      <c r="U33" s="537"/>
      <c r="V33" s="564"/>
      <c r="W33" s="537"/>
      <c r="X33" s="1331"/>
      <c r="Y33" s="537"/>
      <c r="Z33" s="537"/>
      <c r="AA33" s="537"/>
      <c r="AB33" s="537"/>
      <c r="AC33" s="537"/>
    </row>
    <row r="34" spans="1:29" x14ac:dyDescent="0.25">
      <c r="A34" s="553">
        <v>46388</v>
      </c>
      <c r="B34" s="545"/>
      <c r="C34" s="563">
        <f>C32-E32</f>
        <v>26645</v>
      </c>
      <c r="D34" s="545"/>
      <c r="E34" s="563">
        <v>1660</v>
      </c>
      <c r="F34" s="555"/>
      <c r="G34" s="556">
        <v>4</v>
      </c>
      <c r="H34" s="545"/>
      <c r="I34" s="558">
        <f t="shared" si="1"/>
        <v>532900</v>
      </c>
      <c r="J34" s="558"/>
      <c r="K34" s="558">
        <f t="shared" si="0"/>
        <v>2192900</v>
      </c>
      <c r="L34" s="558"/>
      <c r="M34" s="558">
        <f>K33+K34</f>
        <v>2725800</v>
      </c>
      <c r="N34" s="558"/>
      <c r="O34" s="559"/>
      <c r="P34" s="560"/>
      <c r="Q34" s="1328"/>
      <c r="R34" s="1329"/>
      <c r="S34" s="537"/>
      <c r="T34" s="537"/>
      <c r="U34" s="537"/>
      <c r="V34" s="564"/>
      <c r="W34" s="537"/>
      <c r="X34" s="1331"/>
      <c r="Y34" s="537"/>
      <c r="Z34" s="1331"/>
      <c r="AA34" s="537"/>
      <c r="AB34" s="1331"/>
      <c r="AC34" s="537"/>
    </row>
    <row r="35" spans="1:29" x14ac:dyDescent="0.25">
      <c r="A35" s="553">
        <v>46569</v>
      </c>
      <c r="B35" s="545"/>
      <c r="C35" s="563"/>
      <c r="D35" s="545"/>
      <c r="E35" s="563"/>
      <c r="F35" s="555"/>
      <c r="G35" s="556"/>
      <c r="H35" s="545"/>
      <c r="I35" s="558">
        <f t="shared" si="1"/>
        <v>499700</v>
      </c>
      <c r="J35" s="558"/>
      <c r="K35" s="558">
        <f t="shared" si="0"/>
        <v>499700</v>
      </c>
      <c r="L35" s="558"/>
      <c r="M35" s="558"/>
      <c r="N35" s="558"/>
      <c r="O35" s="559"/>
      <c r="P35" s="560"/>
      <c r="Q35" s="1328"/>
      <c r="R35" s="1329"/>
      <c r="S35" s="537"/>
      <c r="T35" s="537"/>
      <c r="U35" s="537"/>
      <c r="V35" s="564"/>
      <c r="W35" s="537"/>
      <c r="X35" s="1331"/>
      <c r="Y35" s="537"/>
      <c r="Z35" s="537"/>
      <c r="AA35" s="537"/>
      <c r="AB35" s="537"/>
      <c r="AC35" s="537"/>
    </row>
    <row r="36" spans="1:29" x14ac:dyDescent="0.25">
      <c r="A36" s="553">
        <v>46753</v>
      </c>
      <c r="B36" s="545"/>
      <c r="C36" s="563">
        <f>C34-E34</f>
        <v>24985</v>
      </c>
      <c r="D36" s="545"/>
      <c r="E36" s="563">
        <v>1650</v>
      </c>
      <c r="F36" s="555"/>
      <c r="G36" s="556">
        <v>4</v>
      </c>
      <c r="H36" s="545"/>
      <c r="I36" s="558">
        <f t="shared" si="1"/>
        <v>499700</v>
      </c>
      <c r="J36" s="558"/>
      <c r="K36" s="558">
        <f t="shared" si="0"/>
        <v>2149700</v>
      </c>
      <c r="L36" s="558"/>
      <c r="M36" s="558">
        <f>K35+K36</f>
        <v>2649400</v>
      </c>
      <c r="N36" s="558"/>
      <c r="O36" s="559"/>
      <c r="P36" s="560"/>
      <c r="Q36" s="1328"/>
      <c r="R36" s="1329"/>
      <c r="S36" s="537"/>
      <c r="T36" s="537"/>
      <c r="U36" s="537"/>
      <c r="V36" s="564"/>
      <c r="W36" s="537"/>
      <c r="X36" s="1331"/>
      <c r="Y36" s="537"/>
      <c r="Z36" s="1331"/>
      <c r="AA36" s="537"/>
      <c r="AB36" s="1331"/>
      <c r="AC36" s="537"/>
    </row>
    <row r="37" spans="1:29" x14ac:dyDescent="0.25">
      <c r="A37" s="553">
        <v>46935</v>
      </c>
      <c r="B37" s="545"/>
      <c r="C37" s="563"/>
      <c r="D37" s="545"/>
      <c r="E37" s="563"/>
      <c r="F37" s="555"/>
      <c r="G37" s="556"/>
      <c r="H37" s="545"/>
      <c r="I37" s="558">
        <f t="shared" si="1"/>
        <v>466700</v>
      </c>
      <c r="J37" s="558"/>
      <c r="K37" s="558">
        <f t="shared" si="0"/>
        <v>466700</v>
      </c>
      <c r="L37" s="558"/>
      <c r="M37" s="558"/>
      <c r="N37" s="558"/>
      <c r="O37" s="559"/>
      <c r="P37" s="560"/>
      <c r="Q37" s="1328"/>
      <c r="R37" s="1329"/>
      <c r="S37" s="537"/>
      <c r="T37" s="537"/>
      <c r="U37" s="537"/>
      <c r="V37" s="564"/>
      <c r="W37" s="537"/>
      <c r="X37" s="1331"/>
      <c r="Y37" s="537"/>
      <c r="Z37" s="537"/>
      <c r="AA37" s="537"/>
      <c r="AB37" s="537"/>
      <c r="AC37" s="537"/>
    </row>
    <row r="38" spans="1:29" x14ac:dyDescent="0.25">
      <c r="A38" s="553">
        <v>47119</v>
      </c>
      <c r="B38" s="545"/>
      <c r="C38" s="563">
        <f>C36-E36</f>
        <v>23335</v>
      </c>
      <c r="D38" s="545"/>
      <c r="E38" s="563">
        <v>1650</v>
      </c>
      <c r="F38" s="555"/>
      <c r="G38" s="556">
        <v>4</v>
      </c>
      <c r="H38" s="545"/>
      <c r="I38" s="558">
        <f t="shared" si="1"/>
        <v>466700</v>
      </c>
      <c r="J38" s="558"/>
      <c r="K38" s="558">
        <f t="shared" si="0"/>
        <v>2116700</v>
      </c>
      <c r="L38" s="558"/>
      <c r="M38" s="558">
        <f>K37+K38</f>
        <v>2583400</v>
      </c>
      <c r="N38" s="558"/>
      <c r="O38" s="559"/>
      <c r="P38" s="560"/>
      <c r="Q38" s="1328"/>
      <c r="R38" s="1329"/>
      <c r="S38" s="537"/>
      <c r="T38" s="537"/>
      <c r="U38" s="537"/>
      <c r="V38" s="564"/>
      <c r="W38" s="537"/>
      <c r="X38" s="1331"/>
      <c r="Y38" s="537"/>
      <c r="Z38" s="1331"/>
      <c r="AA38" s="537"/>
      <c r="AB38" s="1331"/>
      <c r="AC38" s="537"/>
    </row>
    <row r="39" spans="1:29" x14ac:dyDescent="0.25">
      <c r="A39" s="553">
        <v>47300</v>
      </c>
      <c r="B39" s="545"/>
      <c r="C39" s="563"/>
      <c r="D39" s="545"/>
      <c r="E39" s="563"/>
      <c r="F39" s="555"/>
      <c r="G39" s="556"/>
      <c r="H39" s="545"/>
      <c r="I39" s="558">
        <f t="shared" si="1"/>
        <v>433700</v>
      </c>
      <c r="J39" s="558"/>
      <c r="K39" s="558">
        <f t="shared" si="0"/>
        <v>433700</v>
      </c>
      <c r="L39" s="558"/>
      <c r="M39" s="558"/>
      <c r="N39" s="558"/>
      <c r="O39" s="559"/>
      <c r="P39" s="560"/>
      <c r="Q39" s="1328"/>
      <c r="R39" s="1329"/>
      <c r="S39" s="537"/>
      <c r="T39" s="537"/>
      <c r="U39" s="537"/>
      <c r="V39" s="564"/>
      <c r="W39" s="537"/>
      <c r="X39" s="1331"/>
      <c r="Y39" s="537"/>
      <c r="Z39" s="537"/>
      <c r="AA39" s="537"/>
      <c r="AB39" s="537"/>
      <c r="AC39" s="537"/>
    </row>
    <row r="40" spans="1:29" x14ac:dyDescent="0.25">
      <c r="A40" s="553">
        <v>47484</v>
      </c>
      <c r="B40" s="545"/>
      <c r="C40" s="563">
        <f>C38-E38</f>
        <v>21685</v>
      </c>
      <c r="D40" s="545"/>
      <c r="E40" s="563">
        <v>1670</v>
      </c>
      <c r="F40" s="555"/>
      <c r="G40" s="556">
        <v>4</v>
      </c>
      <c r="H40" s="545"/>
      <c r="I40" s="558">
        <f t="shared" si="1"/>
        <v>433700</v>
      </c>
      <c r="J40" s="558"/>
      <c r="K40" s="558">
        <f t="shared" si="0"/>
        <v>2103700</v>
      </c>
      <c r="L40" s="558"/>
      <c r="M40" s="558">
        <f>K39+K40</f>
        <v>2537400</v>
      </c>
      <c r="N40" s="558"/>
      <c r="O40" s="559"/>
      <c r="P40" s="560"/>
      <c r="Q40" s="1328"/>
      <c r="R40" s="1329"/>
      <c r="S40" s="537"/>
      <c r="T40" s="537"/>
      <c r="U40" s="537"/>
      <c r="V40" s="564"/>
      <c r="W40" s="537"/>
      <c r="X40" s="1331"/>
      <c r="Y40" s="537"/>
      <c r="Z40" s="1331"/>
      <c r="AA40" s="537"/>
      <c r="AB40" s="1331"/>
      <c r="AC40" s="537"/>
    </row>
    <row r="41" spans="1:29" x14ac:dyDescent="0.25">
      <c r="A41" s="553">
        <v>47665</v>
      </c>
      <c r="B41" s="545"/>
      <c r="C41" s="563"/>
      <c r="D41" s="545"/>
      <c r="E41" s="563"/>
      <c r="F41" s="555"/>
      <c r="G41" s="556"/>
      <c r="H41" s="545"/>
      <c r="I41" s="558">
        <f t="shared" si="1"/>
        <v>400300</v>
      </c>
      <c r="J41" s="558"/>
      <c r="K41" s="558">
        <f t="shared" si="0"/>
        <v>400300</v>
      </c>
      <c r="L41" s="558"/>
      <c r="M41" s="558"/>
      <c r="N41" s="558"/>
      <c r="O41" s="559"/>
      <c r="P41" s="560"/>
      <c r="Q41" s="1328"/>
      <c r="R41" s="1329"/>
      <c r="S41" s="537"/>
      <c r="T41" s="537"/>
      <c r="U41" s="537"/>
      <c r="V41" s="564"/>
      <c r="W41" s="537"/>
      <c r="X41" s="1331"/>
      <c r="Y41" s="537"/>
      <c r="Z41" s="537"/>
      <c r="AA41" s="537"/>
      <c r="AB41" s="537"/>
      <c r="AC41" s="537"/>
    </row>
    <row r="42" spans="1:29" x14ac:dyDescent="0.25">
      <c r="A42" s="553">
        <v>47849</v>
      </c>
      <c r="B42" s="545"/>
      <c r="C42" s="563">
        <f>C40-E40</f>
        <v>20015</v>
      </c>
      <c r="D42" s="545"/>
      <c r="E42" s="563">
        <v>1355</v>
      </c>
      <c r="F42" s="555"/>
      <c r="G42" s="556">
        <v>4</v>
      </c>
      <c r="H42" s="545"/>
      <c r="I42" s="558">
        <f t="shared" si="1"/>
        <v>400300</v>
      </c>
      <c r="J42" s="558"/>
      <c r="K42" s="558">
        <f t="shared" si="0"/>
        <v>1755300</v>
      </c>
      <c r="L42" s="558"/>
      <c r="M42" s="558">
        <f>K41+K42</f>
        <v>2155600</v>
      </c>
      <c r="N42" s="558"/>
      <c r="O42" s="559"/>
      <c r="P42" s="560"/>
      <c r="Q42" s="1328"/>
      <c r="R42" s="1329"/>
      <c r="S42" s="537"/>
      <c r="T42" s="537"/>
      <c r="U42" s="537"/>
      <c r="V42" s="564"/>
      <c r="W42" s="537"/>
      <c r="X42" s="1331"/>
      <c r="Y42" s="537"/>
      <c r="Z42" s="1331"/>
      <c r="AA42" s="537"/>
      <c r="AB42" s="1331"/>
      <c r="AC42" s="537"/>
    </row>
    <row r="43" spans="1:29" x14ac:dyDescent="0.25">
      <c r="A43" s="553">
        <v>48030</v>
      </c>
      <c r="B43" s="545"/>
      <c r="C43" s="563"/>
      <c r="D43" s="545"/>
      <c r="E43" s="563"/>
      <c r="F43" s="555"/>
      <c r="G43" s="556"/>
      <c r="H43" s="545"/>
      <c r="I43" s="558">
        <f t="shared" si="1"/>
        <v>373200</v>
      </c>
      <c r="J43" s="558"/>
      <c r="K43" s="558">
        <f t="shared" si="0"/>
        <v>373200</v>
      </c>
      <c r="L43" s="558"/>
      <c r="M43" s="558"/>
      <c r="N43" s="558"/>
      <c r="O43" s="559"/>
      <c r="P43" s="560"/>
      <c r="Q43" s="1328"/>
      <c r="R43" s="1329"/>
      <c r="S43" s="537"/>
      <c r="T43" s="537"/>
      <c r="U43" s="537"/>
      <c r="V43" s="564"/>
      <c r="W43" s="537"/>
      <c r="X43" s="1331"/>
      <c r="Y43" s="537"/>
      <c r="Z43" s="537"/>
      <c r="AA43" s="537"/>
      <c r="AB43" s="537"/>
      <c r="AC43" s="537"/>
    </row>
    <row r="44" spans="1:29" x14ac:dyDescent="0.25">
      <c r="A44" s="553">
        <v>48214</v>
      </c>
      <c r="B44" s="545"/>
      <c r="C44" s="563">
        <f>C42-E42</f>
        <v>18660</v>
      </c>
      <c r="D44" s="545"/>
      <c r="E44" s="563">
        <v>1250</v>
      </c>
      <c r="F44" s="555"/>
      <c r="G44" s="556">
        <v>4</v>
      </c>
      <c r="H44" s="545"/>
      <c r="I44" s="558">
        <f t="shared" si="1"/>
        <v>373200</v>
      </c>
      <c r="J44" s="558"/>
      <c r="K44" s="558">
        <f t="shared" si="0"/>
        <v>1623200</v>
      </c>
      <c r="L44" s="558"/>
      <c r="M44" s="558">
        <f>K43+K44</f>
        <v>1996400</v>
      </c>
      <c r="N44" s="558"/>
      <c r="O44" s="559"/>
      <c r="P44" s="560"/>
      <c r="Q44" s="1328"/>
      <c r="R44" s="1329"/>
      <c r="S44" s="537"/>
      <c r="T44" s="537"/>
      <c r="U44" s="537"/>
      <c r="V44" s="564"/>
      <c r="W44" s="537"/>
      <c r="X44" s="1331"/>
      <c r="Y44" s="537"/>
      <c r="Z44" s="1331"/>
      <c r="AA44" s="537"/>
      <c r="AB44" s="1331"/>
      <c r="AC44" s="537"/>
    </row>
    <row r="45" spans="1:29" x14ac:dyDescent="0.25">
      <c r="A45" s="553">
        <v>48396</v>
      </c>
      <c r="B45" s="545"/>
      <c r="C45" s="563"/>
      <c r="D45" s="545"/>
      <c r="E45" s="563"/>
      <c r="F45" s="555"/>
      <c r="G45" s="556"/>
      <c r="H45" s="545"/>
      <c r="I45" s="558">
        <f t="shared" si="1"/>
        <v>348200</v>
      </c>
      <c r="J45" s="558"/>
      <c r="K45" s="558">
        <f t="shared" si="0"/>
        <v>348200</v>
      </c>
      <c r="L45" s="558"/>
      <c r="M45" s="558"/>
      <c r="N45" s="558"/>
      <c r="O45" s="559"/>
      <c r="P45" s="560"/>
      <c r="Q45" s="1328"/>
      <c r="R45" s="1329"/>
      <c r="S45" s="537"/>
      <c r="T45" s="537"/>
      <c r="U45" s="537"/>
      <c r="V45" s="564"/>
      <c r="W45" s="537"/>
      <c r="X45" s="1331"/>
      <c r="Y45" s="537"/>
      <c r="Z45" s="537"/>
      <c r="AA45" s="537"/>
      <c r="AB45" s="537"/>
      <c r="AC45" s="537"/>
    </row>
    <row r="46" spans="1:29" x14ac:dyDescent="0.25">
      <c r="A46" s="553">
        <v>48580</v>
      </c>
      <c r="B46" s="545"/>
      <c r="C46" s="563">
        <f>C44-E44</f>
        <v>17410</v>
      </c>
      <c r="D46" s="545"/>
      <c r="E46" s="563">
        <v>1250</v>
      </c>
      <c r="F46" s="555"/>
      <c r="G46" s="556">
        <v>4</v>
      </c>
      <c r="H46" s="545"/>
      <c r="I46" s="558">
        <f t="shared" si="1"/>
        <v>348200</v>
      </c>
      <c r="J46" s="558"/>
      <c r="K46" s="558">
        <f t="shared" si="0"/>
        <v>1598200</v>
      </c>
      <c r="L46" s="558"/>
      <c r="M46" s="558">
        <f>K45+K46</f>
        <v>1946400</v>
      </c>
      <c r="N46" s="558"/>
      <c r="O46" s="559"/>
      <c r="P46" s="560"/>
      <c r="Q46" s="1328"/>
      <c r="R46" s="1329"/>
      <c r="S46" s="537"/>
      <c r="T46" s="537"/>
      <c r="U46" s="537"/>
      <c r="V46" s="564"/>
      <c r="W46" s="537"/>
      <c r="X46" s="1331"/>
      <c r="Y46" s="537"/>
      <c r="Z46" s="1331"/>
      <c r="AA46" s="537"/>
      <c r="AB46" s="1331"/>
      <c r="AC46" s="537"/>
    </row>
    <row r="47" spans="1:29" x14ac:dyDescent="0.25">
      <c r="A47" s="553">
        <v>48761</v>
      </c>
      <c r="B47" s="545"/>
      <c r="C47" s="563"/>
      <c r="D47" s="545"/>
      <c r="E47" s="563"/>
      <c r="F47" s="555"/>
      <c r="G47" s="556"/>
      <c r="H47" s="545"/>
      <c r="I47" s="558">
        <f t="shared" si="1"/>
        <v>323200</v>
      </c>
      <c r="J47" s="558"/>
      <c r="K47" s="558">
        <f t="shared" si="0"/>
        <v>323200</v>
      </c>
      <c r="L47" s="558"/>
      <c r="M47" s="558"/>
      <c r="N47" s="558"/>
      <c r="O47" s="559"/>
      <c r="P47" s="560"/>
      <c r="Q47" s="1328"/>
      <c r="R47" s="1329"/>
      <c r="S47" s="537"/>
      <c r="T47" s="537"/>
      <c r="U47" s="537"/>
      <c r="V47" s="564"/>
      <c r="W47" s="537"/>
      <c r="X47" s="1331"/>
      <c r="Y47" s="537"/>
      <c r="Z47" s="537"/>
      <c r="AA47" s="537"/>
      <c r="AB47" s="537"/>
      <c r="AC47" s="537"/>
    </row>
    <row r="48" spans="1:29" x14ac:dyDescent="0.25">
      <c r="A48" s="553">
        <v>48945</v>
      </c>
      <c r="B48" s="545"/>
      <c r="C48" s="563">
        <f>C46-E46</f>
        <v>16160</v>
      </c>
      <c r="D48" s="545"/>
      <c r="E48" s="563">
        <v>1260</v>
      </c>
      <c r="F48" s="555"/>
      <c r="G48" s="556">
        <v>4</v>
      </c>
      <c r="H48" s="545"/>
      <c r="I48" s="558">
        <f t="shared" si="1"/>
        <v>323200</v>
      </c>
      <c r="J48" s="558"/>
      <c r="K48" s="558">
        <f t="shared" si="0"/>
        <v>1583200</v>
      </c>
      <c r="L48" s="558"/>
      <c r="M48" s="558">
        <f>K47+K48</f>
        <v>1906400</v>
      </c>
      <c r="N48" s="558"/>
      <c r="O48" s="559"/>
      <c r="P48" s="560"/>
      <c r="Q48" s="1328"/>
      <c r="R48" s="1329"/>
      <c r="S48" s="537"/>
      <c r="T48" s="537"/>
      <c r="U48" s="537"/>
      <c r="V48" s="564"/>
      <c r="W48" s="537"/>
      <c r="X48" s="1331"/>
      <c r="Y48" s="537"/>
      <c r="Z48" s="1331"/>
      <c r="AA48" s="537"/>
      <c r="AB48" s="1331"/>
      <c r="AC48" s="537"/>
    </row>
    <row r="49" spans="1:29" x14ac:dyDescent="0.25">
      <c r="A49" s="553">
        <v>12601</v>
      </c>
      <c r="B49" s="545"/>
      <c r="C49" s="563"/>
      <c r="D49" s="545"/>
      <c r="E49" s="563"/>
      <c r="F49" s="555"/>
      <c r="G49" s="556"/>
      <c r="H49" s="545"/>
      <c r="I49" s="558">
        <f t="shared" si="1"/>
        <v>298000</v>
      </c>
      <c r="J49" s="558"/>
      <c r="K49" s="558">
        <f t="shared" si="0"/>
        <v>298000</v>
      </c>
      <c r="L49" s="558"/>
      <c r="M49" s="558"/>
      <c r="N49" s="558"/>
      <c r="O49" s="559"/>
      <c r="P49" s="560"/>
      <c r="Q49" s="1328"/>
      <c r="R49" s="1329"/>
      <c r="S49" s="537"/>
      <c r="T49" s="537"/>
      <c r="U49" s="537"/>
      <c r="V49" s="564"/>
      <c r="W49" s="537"/>
      <c r="X49" s="1331"/>
      <c r="Y49" s="537"/>
      <c r="Z49" s="537"/>
      <c r="AA49" s="537"/>
      <c r="AB49" s="537"/>
      <c r="AC49" s="537"/>
    </row>
    <row r="50" spans="1:29" x14ac:dyDescent="0.25">
      <c r="A50" s="553">
        <v>12785</v>
      </c>
      <c r="B50" s="545"/>
      <c r="C50" s="563">
        <f>C48-E48</f>
        <v>14900</v>
      </c>
      <c r="D50" s="545"/>
      <c r="E50" s="563">
        <v>1295</v>
      </c>
      <c r="F50" s="563"/>
      <c r="G50" s="556">
        <v>4</v>
      </c>
      <c r="H50" s="545"/>
      <c r="I50" s="558">
        <f t="shared" si="1"/>
        <v>298000</v>
      </c>
      <c r="J50" s="558"/>
      <c r="K50" s="558">
        <f t="shared" si="0"/>
        <v>1593000</v>
      </c>
      <c r="L50" s="558"/>
      <c r="M50" s="558">
        <f>K49+K50</f>
        <v>1891000</v>
      </c>
      <c r="N50" s="558"/>
      <c r="O50" s="559"/>
      <c r="P50" s="560"/>
      <c r="Q50" s="1328"/>
      <c r="R50" s="1329"/>
      <c r="S50" s="537"/>
      <c r="T50" s="537"/>
      <c r="U50" s="537"/>
      <c r="V50" s="564"/>
      <c r="W50" s="537"/>
      <c r="X50" s="1331"/>
      <c r="Y50" s="537"/>
      <c r="Z50" s="1331"/>
      <c r="AA50" s="537"/>
      <c r="AB50" s="1331"/>
      <c r="AC50" s="537"/>
    </row>
    <row r="51" spans="1:29" x14ac:dyDescent="0.25">
      <c r="A51" s="553">
        <v>49491</v>
      </c>
      <c r="B51" s="545"/>
      <c r="C51" s="563"/>
      <c r="D51" s="545"/>
      <c r="E51" s="563"/>
      <c r="F51" s="563"/>
      <c r="G51" s="556"/>
      <c r="H51" s="545"/>
      <c r="I51" s="558">
        <f t="shared" si="1"/>
        <v>272100</v>
      </c>
      <c r="J51" s="558"/>
      <c r="K51" s="558">
        <f t="shared" si="0"/>
        <v>272100</v>
      </c>
      <c r="L51" s="558"/>
      <c r="M51" s="558"/>
      <c r="N51" s="558"/>
      <c r="O51" s="559"/>
      <c r="P51" s="560"/>
      <c r="Q51" s="1328"/>
      <c r="R51" s="1329"/>
      <c r="S51" s="537"/>
      <c r="T51" s="537"/>
      <c r="U51" s="537"/>
      <c r="V51" s="564"/>
      <c r="W51" s="537"/>
      <c r="X51" s="1331"/>
      <c r="Y51" s="537"/>
      <c r="Z51" s="537"/>
      <c r="AA51" s="537"/>
      <c r="AB51" s="537"/>
      <c r="AC51" s="537"/>
    </row>
    <row r="52" spans="1:29" x14ac:dyDescent="0.25">
      <c r="A52" s="553">
        <v>86199</v>
      </c>
      <c r="B52" s="545"/>
      <c r="C52" s="563">
        <f>C50-E50</f>
        <v>13605</v>
      </c>
      <c r="D52" s="545"/>
      <c r="E52" s="563">
        <v>3370</v>
      </c>
      <c r="F52" s="563"/>
      <c r="G52" s="556">
        <v>4</v>
      </c>
      <c r="H52" s="545"/>
      <c r="I52" s="558">
        <f t="shared" si="1"/>
        <v>272100</v>
      </c>
      <c r="J52" s="558"/>
      <c r="K52" s="558">
        <f t="shared" si="0"/>
        <v>3642100</v>
      </c>
      <c r="L52" s="558"/>
      <c r="M52" s="558">
        <f>K51+K52</f>
        <v>3914200</v>
      </c>
      <c r="N52" s="558"/>
      <c r="O52" s="559"/>
      <c r="P52" s="560"/>
      <c r="Q52" s="1328"/>
      <c r="R52" s="1329"/>
      <c r="S52" s="537"/>
      <c r="T52" s="537"/>
      <c r="U52" s="537"/>
      <c r="V52" s="564"/>
      <c r="W52" s="537"/>
      <c r="X52" s="1331"/>
      <c r="Y52" s="537"/>
      <c r="Z52" s="1331"/>
      <c r="AA52" s="537"/>
      <c r="AB52" s="1331"/>
      <c r="AC52" s="537"/>
    </row>
    <row r="53" spans="1:29" x14ac:dyDescent="0.25">
      <c r="A53" s="553">
        <v>122905</v>
      </c>
      <c r="B53" s="545"/>
      <c r="C53" s="563"/>
      <c r="D53" s="545"/>
      <c r="E53" s="563"/>
      <c r="F53" s="563"/>
      <c r="G53" s="556"/>
      <c r="H53" s="545"/>
      <c r="I53" s="558">
        <f t="shared" si="1"/>
        <v>204700</v>
      </c>
      <c r="J53" s="558"/>
      <c r="K53" s="558">
        <f t="shared" si="0"/>
        <v>204700</v>
      </c>
      <c r="L53" s="558"/>
      <c r="M53" s="558"/>
      <c r="N53" s="558"/>
      <c r="O53" s="559"/>
      <c r="P53" s="560"/>
      <c r="Q53" s="1328"/>
      <c r="R53" s="1329"/>
      <c r="S53" s="537"/>
      <c r="T53" s="537"/>
      <c r="U53" s="537"/>
      <c r="V53" s="564"/>
      <c r="W53" s="537"/>
      <c r="X53" s="1331"/>
      <c r="Y53" s="537"/>
      <c r="Z53" s="537"/>
      <c r="AA53" s="537"/>
      <c r="AB53" s="537"/>
      <c r="AC53" s="537"/>
    </row>
    <row r="54" spans="1:29" x14ac:dyDescent="0.25">
      <c r="A54" s="553">
        <v>159613</v>
      </c>
      <c r="B54" s="545"/>
      <c r="C54" s="563">
        <f>C52-E52</f>
        <v>10235</v>
      </c>
      <c r="D54" s="545"/>
      <c r="E54" s="563">
        <v>5015</v>
      </c>
      <c r="F54" s="565" t="s">
        <v>83</v>
      </c>
      <c r="G54" s="556">
        <v>4</v>
      </c>
      <c r="H54" s="545"/>
      <c r="I54" s="558">
        <f t="shared" si="1"/>
        <v>204700</v>
      </c>
      <c r="J54" s="558"/>
      <c r="K54" s="566">
        <f t="shared" si="0"/>
        <v>5219700</v>
      </c>
      <c r="L54" s="558"/>
      <c r="M54" s="566">
        <f>K53+K54</f>
        <v>5424400</v>
      </c>
      <c r="N54" s="558"/>
      <c r="O54" s="559"/>
      <c r="P54" s="560"/>
      <c r="Q54" s="1328"/>
      <c r="R54" s="1329"/>
      <c r="S54" s="537"/>
      <c r="T54" s="537"/>
      <c r="U54" s="537"/>
      <c r="V54" s="564"/>
      <c r="W54" s="537"/>
      <c r="X54" s="1331"/>
      <c r="Y54" s="537"/>
      <c r="Z54" s="1331"/>
      <c r="AA54" s="537"/>
      <c r="AB54" s="1331"/>
      <c r="AC54" s="537"/>
    </row>
    <row r="55" spans="1:29" x14ac:dyDescent="0.25">
      <c r="A55" s="553">
        <v>196319</v>
      </c>
      <c r="B55" s="545"/>
      <c r="C55" s="563"/>
      <c r="D55" s="545"/>
      <c r="E55" s="563"/>
      <c r="F55" s="563"/>
      <c r="G55" s="556"/>
      <c r="H55" s="545"/>
      <c r="I55" s="558">
        <f t="shared" si="1"/>
        <v>104400</v>
      </c>
      <c r="J55" s="558"/>
      <c r="K55" s="566">
        <f t="shared" si="0"/>
        <v>104400</v>
      </c>
      <c r="L55" s="558"/>
      <c r="M55" s="566"/>
      <c r="N55" s="558"/>
      <c r="O55" s="559"/>
      <c r="P55" s="560"/>
      <c r="Q55" s="1328"/>
      <c r="R55" s="1329"/>
      <c r="S55" s="537"/>
      <c r="T55" s="537"/>
      <c r="U55" s="537"/>
      <c r="V55" s="564"/>
      <c r="W55" s="537"/>
      <c r="X55" s="1331"/>
      <c r="Y55" s="537"/>
      <c r="Z55" s="537"/>
      <c r="AA55" s="537"/>
      <c r="AB55" s="537"/>
      <c r="AC55" s="537"/>
    </row>
    <row r="56" spans="1:29" x14ac:dyDescent="0.25">
      <c r="A56" s="553">
        <v>233027</v>
      </c>
      <c r="B56" s="545"/>
      <c r="C56" s="563">
        <f>C54-E54</f>
        <v>5220</v>
      </c>
      <c r="D56" s="545"/>
      <c r="E56" s="563">
        <v>5220</v>
      </c>
      <c r="F56" s="565" t="s">
        <v>83</v>
      </c>
      <c r="G56" s="556">
        <v>4</v>
      </c>
      <c r="H56" s="545"/>
      <c r="I56" s="558">
        <f t="shared" si="1"/>
        <v>104400</v>
      </c>
      <c r="J56" s="558"/>
      <c r="K56" s="566">
        <f t="shared" si="0"/>
        <v>5324400</v>
      </c>
      <c r="L56" s="558"/>
      <c r="M56" s="566">
        <f>K55+K56</f>
        <v>5428800</v>
      </c>
      <c r="N56" s="558"/>
      <c r="O56" s="559"/>
      <c r="P56" s="560"/>
      <c r="Q56" s="1328"/>
      <c r="R56" s="1329"/>
      <c r="S56" s="537"/>
      <c r="T56" s="537"/>
      <c r="U56" s="537"/>
      <c r="V56" s="564"/>
      <c r="W56" s="537"/>
      <c r="X56" s="1331"/>
      <c r="Y56" s="537"/>
      <c r="Z56" s="1331"/>
      <c r="AA56" s="537"/>
      <c r="AB56" s="1331"/>
      <c r="AC56" s="537"/>
    </row>
    <row r="57" spans="1:29" x14ac:dyDescent="0.25">
      <c r="A57" s="567"/>
      <c r="B57" s="545"/>
      <c r="C57" s="545"/>
      <c r="D57" s="545"/>
      <c r="E57" s="568"/>
      <c r="F57" s="563"/>
      <c r="G57" s="569"/>
      <c r="H57" s="545"/>
      <c r="I57" s="570"/>
      <c r="J57" s="558"/>
      <c r="K57" s="570"/>
      <c r="L57" s="558"/>
      <c r="M57" s="570"/>
      <c r="N57" s="558"/>
      <c r="O57" s="564"/>
      <c r="P57" s="564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</row>
    <row r="58" spans="1:29" ht="16.5" thickBot="1" x14ac:dyDescent="0.3">
      <c r="A58" s="571" t="s">
        <v>27</v>
      </c>
      <c r="B58" s="545"/>
      <c r="D58" s="545"/>
      <c r="E58" s="572">
        <f>SUM(E23:E56)</f>
        <v>34860</v>
      </c>
      <c r="F58" s="573"/>
      <c r="G58" s="545"/>
      <c r="H58" s="545"/>
      <c r="I58" s="574">
        <f>SUM(I23:I56)</f>
        <v>14831600</v>
      </c>
      <c r="J58" s="557"/>
      <c r="K58" s="574">
        <f>SUM(K23:K56)</f>
        <v>49691600</v>
      </c>
      <c r="L58" s="557"/>
      <c r="M58" s="574">
        <f>SUM(M23:M56)</f>
        <v>49691600</v>
      </c>
      <c r="N58" s="558"/>
      <c r="O58" s="575"/>
      <c r="P58" s="564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</row>
    <row r="59" spans="1:29" ht="16.5" thickTop="1" x14ac:dyDescent="0.25">
      <c r="A59" s="571"/>
      <c r="B59" s="545"/>
      <c r="D59" s="545"/>
      <c r="E59" s="573"/>
      <c r="F59" s="573"/>
      <c r="G59" s="545"/>
      <c r="H59" s="545"/>
      <c r="I59" s="575"/>
      <c r="J59" s="557"/>
      <c r="K59" s="575"/>
      <c r="L59" s="557"/>
      <c r="M59" s="575"/>
      <c r="N59" s="558"/>
      <c r="O59" s="575"/>
      <c r="P59" s="564"/>
      <c r="Q59" s="563"/>
      <c r="R59" s="563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</row>
    <row r="60" spans="1:29" x14ac:dyDescent="0.25">
      <c r="A60" s="576"/>
      <c r="B60" s="577"/>
      <c r="C60" s="578"/>
      <c r="D60" s="543"/>
      <c r="E60" s="543"/>
      <c r="F60" s="543"/>
      <c r="G60" s="543"/>
      <c r="H60" s="543"/>
      <c r="I60" s="579"/>
      <c r="J60" s="579"/>
      <c r="K60" s="579"/>
      <c r="L60" s="579"/>
      <c r="M60" s="580"/>
      <c r="N60" s="558"/>
      <c r="O60" s="575"/>
      <c r="P60" s="564"/>
      <c r="Q60" s="1332"/>
      <c r="R60" s="1332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</row>
    <row r="61" spans="1:29" x14ac:dyDescent="0.25">
      <c r="A61" s="581" t="s">
        <v>629</v>
      </c>
      <c r="B61" s="577"/>
      <c r="C61" s="578"/>
      <c r="D61" s="543"/>
      <c r="E61" s="543"/>
      <c r="F61" s="543"/>
      <c r="G61" s="543"/>
      <c r="H61" s="543"/>
      <c r="I61" s="579"/>
      <c r="J61" s="579"/>
      <c r="K61" s="579"/>
      <c r="L61" s="579"/>
      <c r="M61" s="580"/>
      <c r="N61" s="558"/>
      <c r="O61" s="575"/>
      <c r="P61" s="564"/>
      <c r="Q61" s="1332"/>
      <c r="R61" s="1332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</row>
    <row r="62" spans="1:29" x14ac:dyDescent="0.25">
      <c r="A62" s="576"/>
      <c r="B62" s="577"/>
      <c r="C62" s="578"/>
      <c r="D62" s="543"/>
      <c r="E62" s="543"/>
      <c r="F62" s="543"/>
      <c r="G62" s="543"/>
      <c r="H62" s="543"/>
      <c r="I62" s="579"/>
      <c r="J62" s="579"/>
      <c r="K62" s="579"/>
      <c r="L62" s="579"/>
      <c r="M62" s="580"/>
      <c r="N62" s="558"/>
      <c r="O62" s="575"/>
      <c r="P62" s="564"/>
      <c r="Q62" s="1332"/>
      <c r="R62" s="1332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</row>
    <row r="63" spans="1:29" x14ac:dyDescent="0.25">
      <c r="A63" s="576"/>
      <c r="B63" s="577"/>
      <c r="C63" s="578"/>
      <c r="D63" s="543"/>
      <c r="E63" s="543"/>
      <c r="F63" s="543"/>
      <c r="G63" s="543"/>
      <c r="H63" s="543"/>
      <c r="I63" s="579"/>
      <c r="J63" s="579"/>
      <c r="K63" s="579"/>
      <c r="L63" s="579"/>
      <c r="M63" s="580"/>
      <c r="N63" s="558"/>
      <c r="O63" s="575"/>
      <c r="P63" s="564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</row>
    <row r="64" spans="1:29" x14ac:dyDescent="0.25">
      <c r="A64" s="576"/>
      <c r="B64" s="577"/>
      <c r="C64" s="578"/>
      <c r="D64" s="543"/>
      <c r="E64" s="543"/>
      <c r="F64" s="543"/>
      <c r="G64" s="543"/>
      <c r="H64" s="543"/>
      <c r="I64" s="579"/>
      <c r="J64" s="579"/>
      <c r="K64" s="579"/>
      <c r="L64" s="579"/>
      <c r="M64" s="580"/>
      <c r="N64" s="558"/>
      <c r="O64" s="575"/>
      <c r="P64" s="564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</row>
    <row r="65" spans="1:29" x14ac:dyDescent="0.25">
      <c r="A65" s="576"/>
      <c r="B65" s="577"/>
      <c r="C65" s="578"/>
      <c r="D65" s="543"/>
      <c r="E65" s="543"/>
      <c r="F65" s="543"/>
      <c r="G65" s="543"/>
      <c r="H65" s="543"/>
      <c r="I65" s="579"/>
      <c r="J65" s="579"/>
      <c r="K65" s="579"/>
      <c r="L65" s="579"/>
      <c r="M65" s="580"/>
      <c r="N65" s="558"/>
      <c r="O65" s="575"/>
      <c r="P65" s="564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537"/>
      <c r="AB65" s="537"/>
      <c r="AC65" s="537"/>
    </row>
    <row r="66" spans="1:29" x14ac:dyDescent="0.25">
      <c r="A66" s="576" t="str">
        <f>INFO!A26</f>
        <v>(See Accountants' Report)</v>
      </c>
      <c r="B66" s="577"/>
      <c r="C66" s="578"/>
      <c r="D66" s="543"/>
      <c r="E66" s="543"/>
      <c r="F66" s="543"/>
      <c r="G66" s="543"/>
      <c r="H66" s="543"/>
      <c r="I66" s="579"/>
      <c r="J66" s="579"/>
      <c r="K66" s="579"/>
      <c r="L66" s="579"/>
      <c r="M66" s="580"/>
      <c r="N66" s="558"/>
      <c r="O66" s="575"/>
      <c r="P66" s="564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</row>
    <row r="67" spans="1:29" x14ac:dyDescent="0.25">
      <c r="A67" s="576"/>
      <c r="B67" s="577"/>
      <c r="C67" s="578"/>
      <c r="D67" s="543"/>
      <c r="E67" s="543"/>
      <c r="F67" s="543"/>
      <c r="G67" s="543"/>
      <c r="H67" s="543"/>
      <c r="I67" s="579"/>
      <c r="J67" s="579"/>
      <c r="K67" s="579"/>
      <c r="L67" s="579"/>
      <c r="M67" s="580"/>
      <c r="N67" s="558"/>
      <c r="O67" s="575"/>
      <c r="P67" s="564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</row>
    <row r="68" spans="1:29" x14ac:dyDescent="0.25">
      <c r="A68" s="1469">
        <f>'Det Oper Exp'!A97+1</f>
        <v>41</v>
      </c>
      <c r="B68" s="1469"/>
      <c r="C68" s="1469"/>
      <c r="D68" s="1469"/>
      <c r="E68" s="1469"/>
      <c r="F68" s="1469"/>
      <c r="G68" s="1469"/>
      <c r="H68" s="1469"/>
      <c r="I68" s="1469"/>
      <c r="J68" s="1469"/>
      <c r="K68" s="1469"/>
      <c r="L68" s="1469"/>
      <c r="M68" s="1469"/>
      <c r="N68" s="1469"/>
      <c r="O68" s="575"/>
      <c r="P68" s="564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</row>
    <row r="69" spans="1:29" x14ac:dyDescent="0.25">
      <c r="A69" s="550"/>
      <c r="C69" s="555"/>
      <c r="D69" s="550"/>
      <c r="E69" s="550"/>
      <c r="F69" s="550"/>
      <c r="G69" s="550"/>
      <c r="H69" s="550"/>
      <c r="I69" s="566"/>
      <c r="J69" s="566"/>
      <c r="K69" s="566"/>
      <c r="L69" s="566"/>
      <c r="M69" s="575"/>
      <c r="N69" s="558"/>
      <c r="O69" s="575"/>
      <c r="P69" s="564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</row>
    <row r="70" spans="1:29" s="537" customFormat="1" x14ac:dyDescent="0.25">
      <c r="A70" s="563"/>
      <c r="B70" s="566"/>
      <c r="C70" s="566"/>
      <c r="D70" s="566"/>
      <c r="F70" s="566"/>
      <c r="G70" s="566"/>
      <c r="H70" s="566"/>
      <c r="I70" s="566"/>
      <c r="J70" s="566"/>
      <c r="K70" s="566"/>
      <c r="L70" s="566"/>
      <c r="M70" s="566"/>
      <c r="N70" s="566"/>
      <c r="O70" s="564"/>
      <c r="P70" s="564"/>
    </row>
    <row r="71" spans="1:29" s="537" customFormat="1" x14ac:dyDescent="0.25">
      <c r="A71" s="578"/>
      <c r="B71" s="582"/>
      <c r="C71" s="582"/>
      <c r="D71" s="582"/>
      <c r="F71" s="582"/>
      <c r="G71" s="582"/>
      <c r="H71" s="582"/>
      <c r="I71" s="582"/>
      <c r="J71" s="582"/>
      <c r="K71" s="582"/>
      <c r="L71" s="582"/>
      <c r="M71" s="582"/>
      <c r="N71" s="564"/>
      <c r="O71" s="564"/>
      <c r="P71" s="564"/>
    </row>
    <row r="72" spans="1:29" s="537" customFormat="1" hidden="1" x14ac:dyDescent="0.25">
      <c r="A72" s="578"/>
      <c r="B72" s="582"/>
      <c r="C72" s="582"/>
      <c r="D72" s="582"/>
      <c r="E72" s="582"/>
      <c r="F72" s="582"/>
      <c r="G72" s="582"/>
      <c r="H72" s="582"/>
      <c r="I72" s="582"/>
      <c r="J72" s="582"/>
      <c r="K72" s="582"/>
      <c r="L72" s="582"/>
      <c r="M72" s="582"/>
      <c r="N72" s="564"/>
      <c r="O72" s="564"/>
      <c r="P72" s="564"/>
    </row>
    <row r="73" spans="1:29" x14ac:dyDescent="0.25">
      <c r="A73" s="578"/>
      <c r="B73" s="582"/>
      <c r="C73" s="582"/>
      <c r="D73" s="582"/>
      <c r="E73" s="582"/>
      <c r="F73" s="582"/>
      <c r="G73" s="582"/>
      <c r="H73" s="582"/>
      <c r="I73" s="582"/>
      <c r="J73" s="582"/>
      <c r="K73" s="582"/>
      <c r="L73" s="582"/>
      <c r="M73" s="582"/>
      <c r="N73" s="533"/>
      <c r="O73" s="533"/>
      <c r="P73" s="533"/>
    </row>
    <row r="74" spans="1:29" x14ac:dyDescent="0.25">
      <c r="N74" s="533"/>
      <c r="O74" s="533"/>
      <c r="P74" s="533"/>
    </row>
    <row r="75" spans="1:29" x14ac:dyDescent="0.25">
      <c r="A75" s="576"/>
      <c r="B75" s="577"/>
      <c r="C75" s="577"/>
      <c r="D75" s="577"/>
      <c r="E75" s="577"/>
      <c r="F75" s="577"/>
      <c r="G75" s="577"/>
      <c r="H75" s="577"/>
      <c r="I75" s="577"/>
      <c r="J75" s="577"/>
      <c r="K75" s="577"/>
      <c r="L75" s="577"/>
      <c r="M75" s="577"/>
    </row>
    <row r="76" spans="1:29" x14ac:dyDescent="0.25">
      <c r="A76" s="553"/>
      <c r="B76" s="545"/>
      <c r="C76" s="554"/>
      <c r="D76" s="545"/>
      <c r="E76" s="554"/>
      <c r="F76" s="555"/>
      <c r="G76" s="556"/>
      <c r="H76" s="545"/>
      <c r="I76" s="557"/>
      <c r="J76" s="558"/>
      <c r="K76" s="557"/>
      <c r="L76" s="558"/>
      <c r="M76" s="557"/>
    </row>
    <row r="77" spans="1:29" x14ac:dyDescent="0.25">
      <c r="B77" s="545"/>
    </row>
    <row r="78" spans="1:29" x14ac:dyDescent="0.25">
      <c r="B78" s="550"/>
    </row>
  </sheetData>
  <mergeCells count="1">
    <mergeCell ref="A68:N68"/>
  </mergeCells>
  <conditionalFormatting sqref="O20:O50">
    <cfRule type="colorScale" priority="1">
      <colorScale>
        <cfvo type="min"/>
        <cfvo type="max"/>
        <color rgb="FF00B050"/>
        <color rgb="FFFF0000"/>
      </colorScale>
    </cfRule>
  </conditionalFormatting>
  <printOptions horizontalCentered="1"/>
  <pageMargins left="0.75" right="0.75" top="0.75" bottom="0.25" header="0.3" footer="0.3"/>
  <pageSetup scale="7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F87"/>
  <sheetViews>
    <sheetView view="pageBreakPreview" topLeftCell="A11" zoomScale="60" zoomScaleNormal="100" workbookViewId="0">
      <selection activeCell="Y70" sqref="Y70"/>
    </sheetView>
  </sheetViews>
  <sheetFormatPr defaultColWidth="15.7109375" defaultRowHeight="15.75" x14ac:dyDescent="0.25"/>
  <cols>
    <col min="1" max="1" width="9.140625" style="534" bestFit="1" customWidth="1"/>
    <col min="2" max="2" width="1.7109375" style="534" customWidth="1"/>
    <col min="3" max="3" width="12.7109375" style="534" customWidth="1"/>
    <col min="4" max="4" width="1.7109375" style="534" customWidth="1"/>
    <col min="5" max="5" width="12.7109375" style="534" customWidth="1"/>
    <col min="6" max="6" width="1.7109375" style="534" customWidth="1"/>
    <col min="7" max="7" width="12.7109375" style="534" customWidth="1"/>
    <col min="8" max="8" width="1.7109375" style="534" customWidth="1"/>
    <col min="9" max="9" width="17.7109375" style="534" customWidth="1"/>
    <col min="10" max="10" width="1.7109375" style="534" customWidth="1"/>
    <col min="11" max="11" width="17.7109375" style="534" customWidth="1"/>
    <col min="12" max="12" width="1.7109375" style="534" customWidth="1"/>
    <col min="13" max="13" width="17.7109375" style="534" customWidth="1"/>
    <col min="14" max="14" width="2.28515625" style="534" customWidth="1"/>
    <col min="15" max="15" width="15.140625" style="534" bestFit="1" customWidth="1"/>
    <col min="16" max="16" width="10.42578125" style="534" customWidth="1"/>
    <col min="17" max="17" width="12.7109375" style="534" bestFit="1" customWidth="1"/>
    <col min="18" max="18" width="13.28515625" style="534" bestFit="1" customWidth="1"/>
    <col min="19" max="19" width="2.7109375" style="534" customWidth="1"/>
    <col min="20" max="20" width="13.140625" style="534" customWidth="1"/>
    <col min="21" max="21" width="2.7109375" style="534" customWidth="1"/>
    <col min="22" max="22" width="13.85546875" style="534" customWidth="1"/>
    <col min="23" max="23" width="2.7109375" style="534" customWidth="1"/>
    <col min="24" max="24" width="15.7109375" style="534"/>
    <col min="25" max="25" width="2.7109375" style="534" customWidth="1"/>
    <col min="26" max="26" width="15.7109375" style="534"/>
    <col min="27" max="27" width="2.7109375" style="534" customWidth="1"/>
    <col min="28" max="16384" width="15.7109375" style="534"/>
  </cols>
  <sheetData>
    <row r="1" spans="1:32" x14ac:dyDescent="0.25">
      <c r="A1" s="530" t="s">
        <v>232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2"/>
      <c r="O1" s="1324"/>
      <c r="P1" s="564"/>
      <c r="Q1" s="537"/>
      <c r="R1" s="537"/>
      <c r="S1" s="537"/>
      <c r="T1" s="537"/>
      <c r="U1" s="537"/>
      <c r="V1" s="537"/>
      <c r="W1" s="537"/>
      <c r="X1" s="537"/>
      <c r="Y1" s="537"/>
      <c r="Z1" s="537"/>
      <c r="AA1" s="537"/>
      <c r="AB1" s="537"/>
      <c r="AC1" s="537"/>
      <c r="AD1" s="537"/>
      <c r="AE1" s="537"/>
      <c r="AF1" s="537"/>
    </row>
    <row r="2" spans="1:32" x14ac:dyDescent="0.25">
      <c r="A2" s="535"/>
      <c r="B2" s="531"/>
      <c r="C2" s="531"/>
      <c r="D2" s="531"/>
      <c r="E2" s="531"/>
      <c r="F2" s="531"/>
      <c r="G2" s="531"/>
      <c r="H2" s="531"/>
      <c r="I2" s="531"/>
      <c r="J2" s="531"/>
      <c r="K2" s="531"/>
      <c r="L2" s="531"/>
      <c r="M2" s="536"/>
      <c r="N2" s="532"/>
      <c r="O2" s="1325"/>
      <c r="P2" s="564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37"/>
      <c r="AF2" s="537"/>
    </row>
    <row r="3" spans="1:32" x14ac:dyDescent="0.25">
      <c r="A3" s="538" t="str">
        <f>"SCHEDULE OF AMORTIZATION OF $"&amp;TEXT($E$58*1000, "00,000,000")&amp;" PRINCIPAL AMOUNT OF"</f>
        <v>SCHEDULE OF AMORTIZATION OF $26,775,000 PRINCIPAL AMOUNT OF</v>
      </c>
      <c r="B3" s="539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  <c r="N3" s="532"/>
      <c r="O3" s="1325"/>
      <c r="P3" s="564"/>
      <c r="Q3" s="537"/>
      <c r="R3" s="537"/>
      <c r="S3" s="537"/>
      <c r="T3" s="537"/>
      <c r="U3" s="537"/>
      <c r="V3" s="537"/>
      <c r="W3" s="537"/>
      <c r="X3" s="537"/>
      <c r="Y3" s="537"/>
      <c r="Z3" s="537"/>
      <c r="AA3" s="537"/>
      <c r="AB3" s="537"/>
      <c r="AC3" s="537"/>
      <c r="AD3" s="537"/>
      <c r="AE3" s="537"/>
      <c r="AF3" s="537"/>
    </row>
    <row r="4" spans="1:32" x14ac:dyDescent="0.25">
      <c r="A4" s="538" t="s">
        <v>630</v>
      </c>
      <c r="B4" s="539"/>
      <c r="C4" s="531"/>
      <c r="D4" s="531"/>
      <c r="E4" s="531"/>
      <c r="F4" s="531"/>
      <c r="G4" s="531"/>
      <c r="H4" s="531"/>
      <c r="I4" s="531"/>
      <c r="J4" s="531"/>
      <c r="K4" s="531"/>
      <c r="L4" s="531"/>
      <c r="M4" s="531"/>
      <c r="N4" s="532"/>
      <c r="O4" s="564"/>
      <c r="P4" s="564"/>
      <c r="Q4" s="537"/>
      <c r="R4" s="537"/>
      <c r="S4" s="537"/>
      <c r="T4" s="537"/>
      <c r="U4" s="537"/>
      <c r="V4" s="537"/>
      <c r="W4" s="537"/>
      <c r="X4" s="537"/>
      <c r="Y4" s="537"/>
      <c r="Z4" s="537"/>
      <c r="AA4" s="537"/>
      <c r="AB4" s="540"/>
      <c r="AC4" s="537"/>
      <c r="AD4" s="537"/>
      <c r="AE4" s="537"/>
      <c r="AF4" s="537"/>
    </row>
    <row r="5" spans="1:32" x14ac:dyDescent="0.25">
      <c r="A5" s="541" t="s">
        <v>231</v>
      </c>
      <c r="B5" s="531"/>
      <c r="C5" s="531"/>
      <c r="D5" s="531"/>
      <c r="E5" s="531"/>
      <c r="F5" s="531"/>
      <c r="G5" s="531"/>
      <c r="H5" s="531"/>
      <c r="I5" s="531"/>
      <c r="J5" s="531"/>
      <c r="K5" s="531"/>
      <c r="L5" s="531"/>
      <c r="M5" s="531"/>
      <c r="N5" s="532"/>
      <c r="O5" s="540"/>
      <c r="P5" s="564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40"/>
      <c r="AC5" s="537"/>
      <c r="AD5" s="537"/>
      <c r="AE5" s="537"/>
      <c r="AF5" s="537"/>
    </row>
    <row r="6" spans="1:32" x14ac:dyDescent="0.25">
      <c r="A6" s="541" t="s">
        <v>132</v>
      </c>
      <c r="B6" s="531"/>
      <c r="C6" s="531"/>
      <c r="D6" s="531"/>
      <c r="E6" s="531"/>
      <c r="F6" s="531"/>
      <c r="G6" s="531"/>
      <c r="H6" s="531"/>
      <c r="I6" s="531"/>
      <c r="J6" s="531"/>
      <c r="K6" s="531"/>
      <c r="L6" s="531"/>
      <c r="M6" s="531"/>
      <c r="N6" s="532"/>
      <c r="O6" s="564"/>
      <c r="P6" s="564"/>
      <c r="Q6" s="537"/>
      <c r="R6" s="543"/>
      <c r="S6" s="543"/>
      <c r="T6" s="543"/>
      <c r="U6" s="543"/>
      <c r="V6" s="543"/>
      <c r="W6" s="543"/>
      <c r="X6" s="537"/>
      <c r="Y6" s="537"/>
      <c r="Z6" s="537"/>
      <c r="AA6" s="537"/>
      <c r="AB6" s="540"/>
      <c r="AC6" s="537"/>
      <c r="AD6" s="537"/>
      <c r="AE6" s="537"/>
      <c r="AF6" s="537"/>
    </row>
    <row r="7" spans="1:32" x14ac:dyDescent="0.25">
      <c r="A7" s="541" t="s">
        <v>28</v>
      </c>
      <c r="B7" s="531"/>
      <c r="C7" s="531"/>
      <c r="D7" s="531"/>
      <c r="E7" s="531"/>
      <c r="F7" s="531"/>
      <c r="G7" s="531"/>
      <c r="H7" s="531"/>
      <c r="I7" s="531"/>
      <c r="J7" s="531"/>
      <c r="K7" s="531"/>
      <c r="L7" s="531"/>
      <c r="M7" s="531"/>
      <c r="N7" s="532"/>
      <c r="O7" s="564"/>
      <c r="P7" s="564"/>
      <c r="Q7" s="537"/>
      <c r="R7" s="1326"/>
      <c r="S7" s="537"/>
      <c r="T7" s="546"/>
      <c r="U7" s="546"/>
      <c r="V7" s="546"/>
      <c r="W7" s="537"/>
      <c r="X7" s="537"/>
      <c r="Y7" s="537"/>
      <c r="Z7" s="537"/>
      <c r="AA7" s="537"/>
      <c r="AB7" s="537"/>
      <c r="AC7" s="537"/>
      <c r="AD7" s="537"/>
      <c r="AE7" s="537"/>
      <c r="AF7" s="537"/>
    </row>
    <row r="8" spans="1:32" hidden="1" x14ac:dyDescent="0.25">
      <c r="A8" s="541" t="s">
        <v>628</v>
      </c>
      <c r="B8" s="531"/>
      <c r="C8" s="531"/>
      <c r="D8" s="531"/>
      <c r="E8" s="531"/>
      <c r="F8" s="531"/>
      <c r="G8" s="531"/>
      <c r="H8" s="531"/>
      <c r="I8" s="531"/>
      <c r="J8" s="531"/>
      <c r="K8" s="531"/>
      <c r="L8" s="531"/>
      <c r="M8" s="531"/>
      <c r="N8" s="532"/>
      <c r="O8" s="564"/>
      <c r="P8" s="564"/>
      <c r="Q8" s="537"/>
      <c r="R8" s="537"/>
      <c r="S8" s="537"/>
      <c r="T8" s="537"/>
      <c r="U8" s="537"/>
      <c r="V8" s="537"/>
      <c r="W8" s="537"/>
      <c r="X8" s="537"/>
      <c r="Y8" s="537"/>
      <c r="Z8" s="537"/>
      <c r="AA8" s="537"/>
      <c r="AB8" s="540"/>
      <c r="AC8" s="537"/>
      <c r="AD8" s="537"/>
      <c r="AE8" s="537"/>
      <c r="AF8" s="537"/>
    </row>
    <row r="9" spans="1:32" x14ac:dyDescent="0.25">
      <c r="A9" s="541"/>
      <c r="B9" s="531"/>
      <c r="C9" s="531"/>
      <c r="D9" s="531"/>
      <c r="E9" s="531"/>
      <c r="F9" s="531"/>
      <c r="G9" s="531"/>
      <c r="H9" s="531"/>
      <c r="I9" s="531"/>
      <c r="J9" s="531"/>
      <c r="K9" s="531"/>
      <c r="L9" s="531"/>
      <c r="M9" s="531"/>
      <c r="N9" s="532"/>
      <c r="O9" s="564"/>
      <c r="P9" s="564"/>
      <c r="Q9" s="537"/>
      <c r="R9" s="537"/>
      <c r="S9" s="537"/>
      <c r="T9" s="537"/>
      <c r="U9" s="537"/>
      <c r="V9" s="537"/>
      <c r="W9" s="537"/>
      <c r="X9" s="537"/>
      <c r="Y9" s="537"/>
      <c r="Z9" s="537"/>
      <c r="AA9" s="537"/>
      <c r="AB9" s="540"/>
      <c r="AC9" s="537"/>
      <c r="AD9" s="537"/>
      <c r="AE9" s="537"/>
      <c r="AF9" s="537"/>
    </row>
    <row r="10" spans="1:32" x14ac:dyDescent="0.25">
      <c r="A10" s="541"/>
      <c r="B10" s="531"/>
      <c r="C10" s="531"/>
      <c r="D10" s="531"/>
      <c r="E10" s="531"/>
      <c r="F10" s="531"/>
      <c r="G10" s="531"/>
      <c r="H10" s="532"/>
      <c r="I10" s="532"/>
      <c r="J10" s="532"/>
      <c r="K10" s="532"/>
      <c r="L10" s="532"/>
      <c r="M10" s="532"/>
      <c r="N10" s="532"/>
      <c r="O10" s="564"/>
      <c r="P10" s="564"/>
      <c r="Q10" s="537"/>
      <c r="R10" s="549"/>
      <c r="S10" s="537"/>
      <c r="T10" s="537"/>
      <c r="U10" s="537"/>
      <c r="V10" s="537"/>
      <c r="W10" s="537"/>
      <c r="X10" s="537"/>
      <c r="Y10" s="537"/>
      <c r="Z10" s="537"/>
      <c r="AA10" s="537"/>
      <c r="AB10" s="540"/>
      <c r="AC10" s="537"/>
      <c r="AD10" s="537"/>
      <c r="AE10" s="537"/>
      <c r="AF10" s="537"/>
    </row>
    <row r="11" spans="1:32" x14ac:dyDescent="0.25">
      <c r="A11" s="544" t="s">
        <v>29</v>
      </c>
      <c r="B11" s="545"/>
      <c r="C11" s="544" t="s">
        <v>30</v>
      </c>
      <c r="D11" s="545"/>
      <c r="E11" s="545"/>
      <c r="F11" s="545"/>
      <c r="G11" s="546" t="s">
        <v>31</v>
      </c>
      <c r="H11" s="545"/>
      <c r="I11" s="542" t="s">
        <v>32</v>
      </c>
      <c r="J11" s="542"/>
      <c r="K11" s="542"/>
      <c r="L11" s="545"/>
      <c r="M11" s="544" t="s">
        <v>33</v>
      </c>
      <c r="N11" s="532"/>
      <c r="O11" s="564"/>
      <c r="P11" s="564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7"/>
      <c r="AB11" s="540"/>
      <c r="AC11" s="537"/>
      <c r="AD11" s="537"/>
      <c r="AE11" s="537"/>
      <c r="AF11" s="537"/>
    </row>
    <row r="12" spans="1:32" x14ac:dyDescent="0.25">
      <c r="A12" s="547" t="s">
        <v>9</v>
      </c>
      <c r="B12" s="545"/>
      <c r="C12" s="547" t="s">
        <v>34</v>
      </c>
      <c r="D12" s="545"/>
      <c r="E12" s="547" t="s">
        <v>30</v>
      </c>
      <c r="F12" s="544"/>
      <c r="G12" s="547" t="s">
        <v>603</v>
      </c>
      <c r="H12" s="545"/>
      <c r="I12" s="547" t="s">
        <v>31</v>
      </c>
      <c r="J12" s="548"/>
      <c r="K12" s="547" t="s">
        <v>35</v>
      </c>
      <c r="L12" s="545"/>
      <c r="M12" s="547" t="s">
        <v>35</v>
      </c>
      <c r="N12" s="532"/>
      <c r="O12" s="564"/>
      <c r="P12" s="564"/>
      <c r="Q12" s="537"/>
      <c r="R12" s="549"/>
      <c r="S12" s="537"/>
      <c r="T12" s="549"/>
      <c r="U12" s="549"/>
      <c r="V12" s="1327"/>
      <c r="W12" s="537"/>
      <c r="X12" s="537"/>
      <c r="Y12" s="537"/>
      <c r="Z12" s="537"/>
      <c r="AA12" s="537"/>
      <c r="AB12" s="537"/>
      <c r="AC12" s="537"/>
      <c r="AD12" s="537"/>
      <c r="AE12" s="537"/>
      <c r="AF12" s="537"/>
    </row>
    <row r="13" spans="1:32" x14ac:dyDescent="0.25">
      <c r="A13" s="550"/>
      <c r="B13" s="545"/>
      <c r="C13" s="551" t="s">
        <v>122</v>
      </c>
      <c r="D13" s="531"/>
      <c r="E13" s="551"/>
      <c r="F13" s="551"/>
      <c r="G13" s="546" t="s">
        <v>36</v>
      </c>
      <c r="H13" s="531"/>
      <c r="I13" s="551" t="s">
        <v>124</v>
      </c>
      <c r="J13" s="552"/>
      <c r="K13" s="551"/>
      <c r="L13" s="531"/>
      <c r="M13" s="551"/>
      <c r="N13" s="532"/>
      <c r="O13" s="564"/>
      <c r="P13" s="564"/>
      <c r="Q13" s="537"/>
      <c r="R13" s="537"/>
      <c r="S13" s="537"/>
      <c r="T13" s="537"/>
      <c r="U13" s="537"/>
      <c r="V13" s="537"/>
      <c r="W13" s="537"/>
      <c r="X13" s="537"/>
      <c r="Y13" s="537"/>
      <c r="Z13" s="537"/>
      <c r="AA13" s="537"/>
      <c r="AB13" s="540"/>
      <c r="AC13" s="537"/>
      <c r="AD13" s="537"/>
      <c r="AE13" s="537"/>
      <c r="AF13" s="537"/>
    </row>
    <row r="14" spans="1:32" x14ac:dyDescent="0.25">
      <c r="A14" s="550"/>
      <c r="B14" s="545"/>
      <c r="C14" s="551"/>
      <c r="D14" s="531"/>
      <c r="E14" s="551"/>
      <c r="F14" s="551"/>
      <c r="G14" s="546"/>
      <c r="H14" s="531"/>
      <c r="I14" s="551"/>
      <c r="J14" s="552"/>
      <c r="K14" s="551"/>
      <c r="L14" s="531"/>
      <c r="M14" s="551"/>
      <c r="N14" s="532"/>
      <c r="O14" s="564"/>
      <c r="P14" s="564"/>
      <c r="Q14" s="537"/>
      <c r="R14" s="537"/>
      <c r="S14" s="537"/>
      <c r="T14" s="537"/>
      <c r="U14" s="537"/>
      <c r="V14" s="537"/>
      <c r="W14" s="537"/>
      <c r="X14" s="537"/>
      <c r="Y14" s="537"/>
      <c r="Z14" s="537"/>
      <c r="AA14" s="537"/>
      <c r="AB14" s="540"/>
      <c r="AC14" s="537"/>
      <c r="AD14" s="537"/>
      <c r="AE14" s="537"/>
      <c r="AF14" s="537"/>
    </row>
    <row r="15" spans="1:32" hidden="1" x14ac:dyDescent="0.25">
      <c r="A15" s="553">
        <v>42917</v>
      </c>
      <c r="B15" s="545"/>
      <c r="C15" s="554"/>
      <c r="D15" s="545"/>
      <c r="E15" s="555"/>
      <c r="F15" s="555"/>
      <c r="G15" s="556"/>
      <c r="H15" s="545"/>
      <c r="I15" s="557">
        <f>ROUND((+E15*1000*G15/100/2+I16*(O5/180)),2)</f>
        <v>0</v>
      </c>
      <c r="J15" s="558"/>
      <c r="K15" s="557">
        <f t="shared" ref="K15:K56" si="0">E15*1000+I15</f>
        <v>0</v>
      </c>
      <c r="L15" s="558"/>
      <c r="M15" s="558"/>
      <c r="N15" s="558"/>
      <c r="O15" s="559"/>
      <c r="P15" s="560"/>
      <c r="Q15" s="1328"/>
      <c r="R15" s="1329"/>
      <c r="S15" s="537"/>
      <c r="T15" s="537"/>
      <c r="U15" s="537"/>
      <c r="V15" s="1328"/>
      <c r="W15" s="537"/>
      <c r="X15" s="561"/>
      <c r="Y15" s="537"/>
      <c r="Z15" s="546"/>
      <c r="AA15" s="537"/>
      <c r="AB15" s="546"/>
      <c r="AC15" s="537"/>
      <c r="AD15" s="537"/>
      <c r="AE15" s="537"/>
      <c r="AF15" s="537"/>
    </row>
    <row r="16" spans="1:32" hidden="1" x14ac:dyDescent="0.25">
      <c r="A16" s="553">
        <v>43101</v>
      </c>
      <c r="B16" s="545"/>
      <c r="C16" s="554">
        <f>E58</f>
        <v>26775</v>
      </c>
      <c r="D16" s="545"/>
      <c r="E16" s="554">
        <v>1100</v>
      </c>
      <c r="F16" s="555"/>
      <c r="G16" s="556">
        <v>2</v>
      </c>
      <c r="H16" s="545"/>
      <c r="I16" s="558">
        <f>ROUND((+E16*1000*G16/100/2+I17),2)</f>
        <v>507246.88</v>
      </c>
      <c r="J16" s="558"/>
      <c r="K16" s="558">
        <f t="shared" si="0"/>
        <v>1607246.88</v>
      </c>
      <c r="L16" s="558"/>
      <c r="M16" s="557">
        <f>K15+K16</f>
        <v>1607246.88</v>
      </c>
      <c r="N16" s="558"/>
      <c r="O16" s="559"/>
      <c r="P16" s="1330"/>
      <c r="Q16" s="1328"/>
      <c r="R16" s="1329"/>
      <c r="S16" s="537"/>
      <c r="T16" s="537"/>
      <c r="U16" s="537"/>
      <c r="V16" s="1328"/>
      <c r="W16" s="537"/>
      <c r="X16" s="561"/>
      <c r="Y16" s="537"/>
      <c r="Z16" s="546"/>
      <c r="AA16" s="537"/>
      <c r="AB16" s="546"/>
      <c r="AC16" s="537"/>
      <c r="AD16" s="537"/>
      <c r="AE16" s="537"/>
      <c r="AF16" s="537"/>
    </row>
    <row r="17" spans="1:32" hidden="1" x14ac:dyDescent="0.25">
      <c r="A17" s="553">
        <v>43282</v>
      </c>
      <c r="B17" s="545"/>
      <c r="C17" s="555"/>
      <c r="E17" s="555"/>
      <c r="G17" s="556"/>
      <c r="H17" s="545"/>
      <c r="I17" s="557">
        <f t="shared" ref="I17:I56" si="1">ROUND((+E17*1000*G17/100/2+I18),2)</f>
        <v>496246.88</v>
      </c>
      <c r="J17" s="558"/>
      <c r="K17" s="557">
        <f t="shared" si="0"/>
        <v>496246.88</v>
      </c>
      <c r="L17" s="558"/>
      <c r="M17" s="558"/>
      <c r="N17" s="558"/>
      <c r="O17" s="564"/>
      <c r="P17" s="560"/>
      <c r="Q17" s="1328"/>
      <c r="R17" s="1329"/>
      <c r="S17" s="537"/>
      <c r="T17" s="546"/>
      <c r="U17" s="537"/>
      <c r="V17" s="1328"/>
      <c r="W17" s="537"/>
      <c r="X17" s="1331"/>
      <c r="Y17" s="537"/>
      <c r="Z17" s="537"/>
      <c r="AA17" s="537"/>
      <c r="AB17" s="537"/>
      <c r="AC17" s="537"/>
      <c r="AD17" s="537"/>
      <c r="AE17" s="537"/>
      <c r="AF17" s="537"/>
    </row>
    <row r="18" spans="1:32" hidden="1" x14ac:dyDescent="0.25">
      <c r="A18" s="553">
        <v>43466</v>
      </c>
      <c r="B18" s="545"/>
      <c r="C18" s="554">
        <f>E58</f>
        <v>26775</v>
      </c>
      <c r="D18" s="545"/>
      <c r="E18" s="554">
        <v>1145</v>
      </c>
      <c r="F18" s="555"/>
      <c r="G18" s="556">
        <v>2</v>
      </c>
      <c r="H18" s="545"/>
      <c r="I18" s="558">
        <f t="shared" si="1"/>
        <v>496246.88</v>
      </c>
      <c r="J18" s="558"/>
      <c r="K18" s="558">
        <f t="shared" si="0"/>
        <v>1641246.88</v>
      </c>
      <c r="L18" s="558"/>
      <c r="M18" s="557">
        <f>K17+K18</f>
        <v>2137493.7599999998</v>
      </c>
      <c r="N18" s="558"/>
      <c r="O18" s="564"/>
      <c r="P18" s="560"/>
      <c r="Q18" s="1328"/>
      <c r="R18" s="1329"/>
      <c r="S18" s="537"/>
      <c r="T18" s="1329"/>
      <c r="U18" s="537"/>
      <c r="V18" s="564"/>
      <c r="W18" s="537"/>
      <c r="X18" s="1331"/>
      <c r="Y18" s="537"/>
      <c r="Z18" s="1331"/>
      <c r="AA18" s="537"/>
      <c r="AB18" s="1331"/>
      <c r="AC18" s="537"/>
      <c r="AD18" s="537"/>
      <c r="AE18" s="537"/>
      <c r="AF18" s="537"/>
    </row>
    <row r="19" spans="1:32" hidden="1" x14ac:dyDescent="0.25">
      <c r="A19" s="553">
        <v>43647</v>
      </c>
      <c r="B19" s="545"/>
      <c r="C19" s="555"/>
      <c r="D19" s="545"/>
      <c r="E19" s="563"/>
      <c r="F19" s="555"/>
      <c r="G19" s="556"/>
      <c r="H19" s="545"/>
      <c r="I19" s="558">
        <f t="shared" si="1"/>
        <v>484796.88</v>
      </c>
      <c r="J19" s="558"/>
      <c r="K19" s="558">
        <f t="shared" si="0"/>
        <v>484796.88</v>
      </c>
      <c r="L19" s="558"/>
      <c r="M19" s="558"/>
      <c r="N19" s="558"/>
      <c r="O19" s="564"/>
      <c r="P19" s="560"/>
      <c r="Q19" s="1328"/>
      <c r="R19" s="1325"/>
      <c r="S19" s="537"/>
      <c r="T19" s="537"/>
      <c r="U19" s="537"/>
      <c r="V19" s="564"/>
      <c r="W19" s="537"/>
      <c r="X19" s="1331"/>
      <c r="Y19" s="537"/>
      <c r="Z19" s="537"/>
      <c r="AA19" s="537"/>
      <c r="AB19" s="537"/>
      <c r="AC19" s="537"/>
      <c r="AD19" s="537"/>
      <c r="AE19" s="537"/>
      <c r="AF19" s="537"/>
    </row>
    <row r="20" spans="1:32" hidden="1" x14ac:dyDescent="0.25">
      <c r="A20" s="553">
        <v>43831</v>
      </c>
      <c r="B20" s="545"/>
      <c r="C20" s="555">
        <f>C18-E18</f>
        <v>25630</v>
      </c>
      <c r="D20" s="545"/>
      <c r="E20" s="563">
        <v>1165</v>
      </c>
      <c r="F20" s="556"/>
      <c r="G20" s="556">
        <v>2</v>
      </c>
      <c r="H20" s="545"/>
      <c r="I20" s="558">
        <f t="shared" si="1"/>
        <v>484796.88</v>
      </c>
      <c r="J20" s="558"/>
      <c r="K20" s="558">
        <f t="shared" si="0"/>
        <v>1649796.88</v>
      </c>
      <c r="L20" s="558"/>
      <c r="M20" s="558">
        <f>K19+K20</f>
        <v>2134593.7599999998</v>
      </c>
      <c r="N20" s="558"/>
      <c r="O20" s="564"/>
      <c r="P20" s="560"/>
      <c r="Q20" s="1328"/>
      <c r="R20" s="1325"/>
      <c r="S20" s="537"/>
      <c r="T20" s="537"/>
      <c r="U20" s="537"/>
      <c r="V20" s="564"/>
      <c r="W20" s="537"/>
      <c r="X20" s="1331"/>
      <c r="Y20" s="537"/>
      <c r="Z20" s="1331"/>
      <c r="AA20" s="537"/>
      <c r="AB20" s="1331"/>
      <c r="AC20" s="537"/>
      <c r="AD20" s="537"/>
      <c r="AE20" s="537"/>
      <c r="AF20" s="537"/>
    </row>
    <row r="21" spans="1:32" hidden="1" x14ac:dyDescent="0.25">
      <c r="A21" s="553">
        <v>44013</v>
      </c>
      <c r="B21" s="545"/>
      <c r="C21" s="555"/>
      <c r="D21" s="545"/>
      <c r="E21" s="563"/>
      <c r="F21" s="555"/>
      <c r="G21" s="556"/>
      <c r="H21" s="545"/>
      <c r="I21" s="558">
        <f t="shared" si="1"/>
        <v>473146.88</v>
      </c>
      <c r="J21" s="558"/>
      <c r="K21" s="558">
        <f t="shared" si="0"/>
        <v>473146.88</v>
      </c>
      <c r="L21" s="558"/>
      <c r="M21" s="558"/>
      <c r="N21" s="558"/>
      <c r="O21" s="564"/>
      <c r="P21" s="560"/>
      <c r="Q21" s="1328"/>
      <c r="R21" s="1329"/>
      <c r="S21" s="537"/>
      <c r="T21" s="537"/>
      <c r="U21" s="537"/>
      <c r="V21" s="564"/>
      <c r="W21" s="537"/>
      <c r="X21" s="1331"/>
      <c r="Y21" s="537"/>
      <c r="Z21" s="537"/>
      <c r="AA21" s="537"/>
      <c r="AB21" s="537"/>
      <c r="AC21" s="537"/>
      <c r="AD21" s="537"/>
      <c r="AE21" s="537"/>
      <c r="AF21" s="537"/>
    </row>
    <row r="22" spans="1:32" hidden="1" x14ac:dyDescent="0.25">
      <c r="A22" s="553">
        <v>44197</v>
      </c>
      <c r="B22" s="545"/>
      <c r="C22" s="555">
        <f>C20-E20</f>
        <v>24465</v>
      </c>
      <c r="D22" s="545"/>
      <c r="E22" s="563">
        <v>1185</v>
      </c>
      <c r="F22" s="555"/>
      <c r="G22" s="556">
        <v>3</v>
      </c>
      <c r="H22" s="545"/>
      <c r="I22" s="558">
        <f t="shared" si="1"/>
        <v>473146.88</v>
      </c>
      <c r="J22" s="558"/>
      <c r="K22" s="558">
        <f t="shared" si="0"/>
        <v>1658146.88</v>
      </c>
      <c r="L22" s="558"/>
      <c r="M22" s="558">
        <f>K21+K22</f>
        <v>2131293.7599999998</v>
      </c>
      <c r="N22" s="558"/>
      <c r="O22" s="564"/>
      <c r="P22" s="560"/>
      <c r="Q22" s="1328"/>
      <c r="R22" s="1329"/>
      <c r="S22" s="537"/>
      <c r="T22" s="537"/>
      <c r="U22" s="537"/>
      <c r="V22" s="564"/>
      <c r="W22" s="537"/>
      <c r="X22" s="1331"/>
      <c r="Y22" s="537"/>
      <c r="Z22" s="1331"/>
      <c r="AA22" s="537"/>
      <c r="AB22" s="1331"/>
      <c r="AC22" s="537"/>
      <c r="AD22" s="537"/>
      <c r="AE22" s="537"/>
      <c r="AF22" s="537"/>
    </row>
    <row r="23" spans="1:32" x14ac:dyDescent="0.25">
      <c r="A23" s="553">
        <v>44378</v>
      </c>
      <c r="B23" s="545"/>
      <c r="C23" s="555"/>
      <c r="D23" s="545"/>
      <c r="E23" s="563"/>
      <c r="F23" s="555"/>
      <c r="G23" s="556"/>
      <c r="H23" s="545"/>
      <c r="I23" s="557">
        <f t="shared" si="1"/>
        <v>455371.88</v>
      </c>
      <c r="J23" s="558"/>
      <c r="K23" s="557">
        <f t="shared" si="0"/>
        <v>455371.88</v>
      </c>
      <c r="L23" s="558"/>
      <c r="M23" s="558"/>
      <c r="N23" s="558"/>
      <c r="O23" s="564"/>
      <c r="P23" s="560"/>
      <c r="Q23" s="1328"/>
      <c r="R23" s="1329"/>
      <c r="S23" s="537"/>
      <c r="T23" s="537"/>
      <c r="U23" s="537"/>
      <c r="V23" s="564"/>
      <c r="W23" s="537"/>
      <c r="X23" s="1331"/>
      <c r="Y23" s="537"/>
      <c r="Z23" s="537"/>
      <c r="AA23" s="537"/>
      <c r="AB23" s="537"/>
      <c r="AC23" s="537"/>
      <c r="AD23" s="537"/>
      <c r="AE23" s="537"/>
      <c r="AF23" s="537"/>
    </row>
    <row r="24" spans="1:32" x14ac:dyDescent="0.25">
      <c r="A24" s="553">
        <v>44562</v>
      </c>
      <c r="B24" s="545"/>
      <c r="C24" s="554">
        <v>26775</v>
      </c>
      <c r="D24" s="545"/>
      <c r="E24" s="554">
        <v>1215</v>
      </c>
      <c r="F24" s="555"/>
      <c r="G24" s="556">
        <v>3</v>
      </c>
      <c r="H24" s="545"/>
      <c r="I24" s="558">
        <f t="shared" si="1"/>
        <v>455371.88</v>
      </c>
      <c r="J24" s="558"/>
      <c r="K24" s="558">
        <f t="shared" si="0"/>
        <v>1670371.88</v>
      </c>
      <c r="L24" s="558"/>
      <c r="M24" s="557">
        <f>K23+K24</f>
        <v>2125743.7599999998</v>
      </c>
      <c r="N24" s="558"/>
      <c r="O24" s="564"/>
      <c r="P24" s="560"/>
      <c r="Q24" s="1328"/>
      <c r="R24" s="1329"/>
      <c r="S24" s="537"/>
      <c r="T24" s="537"/>
      <c r="U24" s="537"/>
      <c r="V24" s="564"/>
      <c r="W24" s="537"/>
      <c r="X24" s="1331"/>
      <c r="Y24" s="537"/>
      <c r="Z24" s="1331"/>
      <c r="AA24" s="537"/>
      <c r="AB24" s="1331"/>
      <c r="AC24" s="537"/>
      <c r="AD24" s="537"/>
      <c r="AE24" s="537"/>
      <c r="AF24" s="537"/>
    </row>
    <row r="25" spans="1:32" x14ac:dyDescent="0.25">
      <c r="A25" s="553">
        <v>44743</v>
      </c>
      <c r="B25" s="545"/>
      <c r="C25" s="555"/>
      <c r="D25" s="545"/>
      <c r="E25" s="563"/>
      <c r="F25" s="555"/>
      <c r="G25" s="556"/>
      <c r="H25" s="545"/>
      <c r="I25" s="558">
        <f t="shared" si="1"/>
        <v>437146.88</v>
      </c>
      <c r="J25" s="558"/>
      <c r="K25" s="558">
        <f t="shared" si="0"/>
        <v>437146.88</v>
      </c>
      <c r="L25" s="558"/>
      <c r="M25" s="558"/>
      <c r="N25" s="558"/>
      <c r="O25" s="564"/>
      <c r="P25" s="560"/>
      <c r="Q25" s="1328"/>
      <c r="R25" s="1329"/>
      <c r="S25" s="537"/>
      <c r="T25" s="537"/>
      <c r="U25" s="537"/>
      <c r="V25" s="564"/>
      <c r="W25" s="537"/>
      <c r="X25" s="1331"/>
      <c r="Y25" s="537"/>
      <c r="Z25" s="537"/>
      <c r="AA25" s="537"/>
      <c r="AB25" s="537"/>
      <c r="AC25" s="537"/>
      <c r="AD25" s="537"/>
      <c r="AE25" s="537"/>
      <c r="AF25" s="537"/>
    </row>
    <row r="26" spans="1:32" x14ac:dyDescent="0.25">
      <c r="A26" s="553">
        <v>44927</v>
      </c>
      <c r="B26" s="545"/>
      <c r="C26" s="555">
        <f>C24-E24</f>
        <v>25560</v>
      </c>
      <c r="D26" s="545"/>
      <c r="E26" s="563">
        <v>1240</v>
      </c>
      <c r="F26" s="555"/>
      <c r="G26" s="556">
        <v>3</v>
      </c>
      <c r="H26" s="545"/>
      <c r="I26" s="558">
        <f t="shared" si="1"/>
        <v>437146.88</v>
      </c>
      <c r="J26" s="558"/>
      <c r="K26" s="558">
        <f t="shared" si="0"/>
        <v>1677146.88</v>
      </c>
      <c r="L26" s="558"/>
      <c r="M26" s="558">
        <f>K25+K26</f>
        <v>2114293.7599999998</v>
      </c>
      <c r="N26" s="558"/>
      <c r="O26" s="564"/>
      <c r="P26" s="560"/>
      <c r="Q26" s="1328"/>
      <c r="R26" s="1329"/>
      <c r="S26" s="537"/>
      <c r="T26" s="537"/>
      <c r="U26" s="537"/>
      <c r="V26" s="564"/>
      <c r="W26" s="537"/>
      <c r="X26" s="1331"/>
      <c r="Y26" s="537"/>
      <c r="Z26" s="1331"/>
      <c r="AA26" s="537"/>
      <c r="AB26" s="1331"/>
      <c r="AC26" s="537"/>
      <c r="AD26" s="537"/>
      <c r="AE26" s="537"/>
      <c r="AF26" s="537"/>
    </row>
    <row r="27" spans="1:32" x14ac:dyDescent="0.25">
      <c r="A27" s="553">
        <v>45108</v>
      </c>
      <c r="B27" s="545"/>
      <c r="C27" s="555"/>
      <c r="D27" s="545"/>
      <c r="E27" s="563"/>
      <c r="F27" s="555"/>
      <c r="G27" s="556"/>
      <c r="H27" s="545"/>
      <c r="I27" s="558">
        <f t="shared" si="1"/>
        <v>418546.88</v>
      </c>
      <c r="J27" s="558"/>
      <c r="K27" s="558">
        <f t="shared" si="0"/>
        <v>418546.88</v>
      </c>
      <c r="L27" s="558"/>
      <c r="M27" s="558"/>
      <c r="N27" s="558"/>
      <c r="O27" s="564"/>
      <c r="P27" s="560"/>
      <c r="Q27" s="1328"/>
      <c r="R27" s="1329"/>
      <c r="S27" s="537"/>
      <c r="T27" s="537"/>
      <c r="U27" s="537"/>
      <c r="V27" s="564"/>
      <c r="W27" s="537"/>
      <c r="X27" s="1331"/>
      <c r="Y27" s="537"/>
      <c r="Z27" s="537"/>
      <c r="AA27" s="537"/>
      <c r="AB27" s="537"/>
      <c r="AC27" s="537"/>
      <c r="AD27" s="537"/>
      <c r="AE27" s="537"/>
      <c r="AF27" s="537"/>
    </row>
    <row r="28" spans="1:32" x14ac:dyDescent="0.25">
      <c r="A28" s="553">
        <v>45292</v>
      </c>
      <c r="B28" s="545"/>
      <c r="C28" s="555">
        <f>C26-E26</f>
        <v>24320</v>
      </c>
      <c r="D28" s="545"/>
      <c r="E28" s="563">
        <v>1260</v>
      </c>
      <c r="F28" s="555"/>
      <c r="G28" s="556">
        <v>3</v>
      </c>
      <c r="H28" s="545"/>
      <c r="I28" s="558">
        <f t="shared" si="1"/>
        <v>418546.88</v>
      </c>
      <c r="J28" s="558"/>
      <c r="K28" s="558">
        <f t="shared" si="0"/>
        <v>1678546.88</v>
      </c>
      <c r="L28" s="558"/>
      <c r="M28" s="558">
        <f>K27+K28</f>
        <v>2097093.7599999998</v>
      </c>
      <c r="N28" s="558"/>
      <c r="O28" s="564"/>
      <c r="P28" s="560"/>
      <c r="Q28" s="1328"/>
      <c r="R28" s="1329"/>
      <c r="S28" s="537"/>
      <c r="T28" s="537"/>
      <c r="U28" s="537"/>
      <c r="V28" s="564"/>
      <c r="W28" s="537"/>
      <c r="X28" s="1331"/>
      <c r="Y28" s="537"/>
      <c r="Z28" s="1331"/>
      <c r="AA28" s="537"/>
      <c r="AB28" s="1331"/>
      <c r="AC28" s="537"/>
      <c r="AD28" s="537"/>
      <c r="AE28" s="537"/>
      <c r="AF28" s="537"/>
    </row>
    <row r="29" spans="1:32" x14ac:dyDescent="0.25">
      <c r="A29" s="553">
        <v>45474</v>
      </c>
      <c r="B29" s="545"/>
      <c r="C29" s="555"/>
      <c r="D29" s="545"/>
      <c r="E29" s="563"/>
      <c r="F29" s="555"/>
      <c r="G29" s="556"/>
      <c r="H29" s="545"/>
      <c r="I29" s="558">
        <f t="shared" si="1"/>
        <v>399646.88</v>
      </c>
      <c r="J29" s="558"/>
      <c r="K29" s="558">
        <f t="shared" si="0"/>
        <v>399646.88</v>
      </c>
      <c r="L29" s="558"/>
      <c r="M29" s="558"/>
      <c r="N29" s="558"/>
      <c r="O29" s="564"/>
      <c r="P29" s="560"/>
      <c r="Q29" s="1328"/>
      <c r="R29" s="1329"/>
      <c r="S29" s="537"/>
      <c r="T29" s="537"/>
      <c r="U29" s="537"/>
      <c r="V29" s="564"/>
      <c r="W29" s="537"/>
      <c r="X29" s="1331"/>
      <c r="Y29" s="537"/>
      <c r="Z29" s="537"/>
      <c r="AA29" s="537"/>
      <c r="AB29" s="537"/>
      <c r="AC29" s="537"/>
      <c r="AD29" s="537"/>
      <c r="AE29" s="537"/>
      <c r="AF29" s="537"/>
    </row>
    <row r="30" spans="1:32" x14ac:dyDescent="0.25">
      <c r="A30" s="553">
        <v>45658</v>
      </c>
      <c r="B30" s="545"/>
      <c r="C30" s="555">
        <f>C28-E28</f>
        <v>23060</v>
      </c>
      <c r="D30" s="545"/>
      <c r="E30" s="563">
        <v>1295</v>
      </c>
      <c r="F30" s="555"/>
      <c r="G30" s="556">
        <v>3</v>
      </c>
      <c r="H30" s="545"/>
      <c r="I30" s="558">
        <f t="shared" si="1"/>
        <v>399646.88</v>
      </c>
      <c r="J30" s="558"/>
      <c r="K30" s="558">
        <f t="shared" si="0"/>
        <v>1694646.88</v>
      </c>
      <c r="L30" s="558"/>
      <c r="M30" s="558">
        <f>K29+K30</f>
        <v>2094293.7599999998</v>
      </c>
      <c r="N30" s="558"/>
      <c r="O30" s="564"/>
      <c r="P30" s="560"/>
      <c r="Q30" s="1328"/>
      <c r="R30" s="1329"/>
      <c r="S30" s="537"/>
      <c r="T30" s="537"/>
      <c r="U30" s="537"/>
      <c r="V30" s="564"/>
      <c r="W30" s="537"/>
      <c r="X30" s="1331"/>
      <c r="Y30" s="537"/>
      <c r="Z30" s="1331"/>
      <c r="AA30" s="537"/>
      <c r="AB30" s="1331"/>
      <c r="AC30" s="537"/>
      <c r="AD30" s="537"/>
      <c r="AE30" s="537"/>
      <c r="AF30" s="537"/>
    </row>
    <row r="31" spans="1:32" x14ac:dyDescent="0.25">
      <c r="A31" s="553">
        <v>45839</v>
      </c>
      <c r="B31" s="545"/>
      <c r="C31" s="555"/>
      <c r="D31" s="545"/>
      <c r="E31" s="563"/>
      <c r="F31" s="555"/>
      <c r="G31" s="556"/>
      <c r="H31" s="545"/>
      <c r="I31" s="558">
        <f t="shared" si="1"/>
        <v>380221.88</v>
      </c>
      <c r="J31" s="558"/>
      <c r="K31" s="558">
        <f t="shared" si="0"/>
        <v>380221.88</v>
      </c>
      <c r="L31" s="558"/>
      <c r="M31" s="558"/>
      <c r="N31" s="558"/>
      <c r="O31" s="564"/>
      <c r="P31" s="560"/>
      <c r="Q31" s="1328"/>
      <c r="R31" s="1329"/>
      <c r="S31" s="537"/>
      <c r="T31" s="537"/>
      <c r="U31" s="537"/>
      <c r="V31" s="564"/>
      <c r="W31" s="537"/>
      <c r="X31" s="1331"/>
      <c r="Y31" s="537"/>
      <c r="Z31" s="537"/>
      <c r="AA31" s="537"/>
      <c r="AB31" s="537"/>
      <c r="AC31" s="537"/>
      <c r="AD31" s="537"/>
      <c r="AE31" s="537"/>
      <c r="AF31" s="537"/>
    </row>
    <row r="32" spans="1:32" x14ac:dyDescent="0.25">
      <c r="A32" s="553">
        <v>46023</v>
      </c>
      <c r="B32" s="545"/>
      <c r="C32" s="555">
        <f>C30-E30</f>
        <v>21765</v>
      </c>
      <c r="D32" s="545"/>
      <c r="E32" s="563">
        <v>4085</v>
      </c>
      <c r="F32" s="555"/>
      <c r="G32" s="556">
        <v>3</v>
      </c>
      <c r="H32" s="545"/>
      <c r="I32" s="558">
        <f t="shared" si="1"/>
        <v>380221.88</v>
      </c>
      <c r="J32" s="558"/>
      <c r="K32" s="558">
        <f t="shared" si="0"/>
        <v>4465221.88</v>
      </c>
      <c r="L32" s="558"/>
      <c r="M32" s="558">
        <f>K31+K32</f>
        <v>4845443.76</v>
      </c>
      <c r="N32" s="558"/>
      <c r="O32" s="564"/>
      <c r="P32" s="560"/>
      <c r="Q32" s="1328"/>
      <c r="R32" s="1329"/>
      <c r="S32" s="537"/>
      <c r="T32" s="537"/>
      <c r="U32" s="537"/>
      <c r="V32" s="564"/>
      <c r="W32" s="537"/>
      <c r="X32" s="1331"/>
      <c r="Y32" s="537"/>
      <c r="Z32" s="1331"/>
      <c r="AA32" s="537"/>
      <c r="AB32" s="1331"/>
      <c r="AC32" s="537"/>
      <c r="AD32" s="537"/>
      <c r="AE32" s="537"/>
      <c r="AF32" s="537"/>
    </row>
    <row r="33" spans="1:32" x14ac:dyDescent="0.25">
      <c r="A33" s="553">
        <v>46204</v>
      </c>
      <c r="B33" s="545"/>
      <c r="C33" s="555"/>
      <c r="D33" s="545"/>
      <c r="E33" s="563"/>
      <c r="F33" s="555"/>
      <c r="G33" s="556"/>
      <c r="H33" s="545"/>
      <c r="I33" s="558">
        <f t="shared" si="1"/>
        <v>318946.88</v>
      </c>
      <c r="J33" s="558"/>
      <c r="K33" s="558">
        <f t="shared" si="0"/>
        <v>318946.88</v>
      </c>
      <c r="L33" s="558"/>
      <c r="M33" s="558"/>
      <c r="N33" s="558"/>
      <c r="O33" s="564"/>
      <c r="P33" s="560"/>
      <c r="Q33" s="1328"/>
      <c r="R33" s="1329"/>
      <c r="S33" s="537"/>
      <c r="T33" s="537"/>
      <c r="U33" s="537"/>
      <c r="V33" s="564"/>
      <c r="W33" s="537"/>
      <c r="X33" s="1331"/>
      <c r="Y33" s="537"/>
      <c r="Z33" s="537"/>
      <c r="AA33" s="537"/>
      <c r="AB33" s="537"/>
      <c r="AC33" s="537"/>
      <c r="AD33" s="537"/>
      <c r="AE33" s="537"/>
      <c r="AF33" s="537"/>
    </row>
    <row r="34" spans="1:32" x14ac:dyDescent="0.25">
      <c r="A34" s="553">
        <v>46388</v>
      </c>
      <c r="B34" s="545"/>
      <c r="C34" s="555">
        <f>C32-E32</f>
        <v>17680</v>
      </c>
      <c r="D34" s="545"/>
      <c r="E34" s="563">
        <v>4205</v>
      </c>
      <c r="F34" s="555"/>
      <c r="G34" s="556">
        <v>3.125</v>
      </c>
      <c r="H34" s="545"/>
      <c r="I34" s="558">
        <f t="shared" si="1"/>
        <v>318946.88</v>
      </c>
      <c r="J34" s="558"/>
      <c r="K34" s="558">
        <f t="shared" si="0"/>
        <v>4523946.88</v>
      </c>
      <c r="L34" s="558"/>
      <c r="M34" s="558">
        <f>K33+K34</f>
        <v>4842893.76</v>
      </c>
      <c r="N34" s="558"/>
      <c r="O34" s="564"/>
      <c r="P34" s="560"/>
      <c r="Q34" s="1328"/>
      <c r="R34" s="1329"/>
      <c r="S34" s="537"/>
      <c r="T34" s="537"/>
      <c r="U34" s="537"/>
      <c r="V34" s="564"/>
      <c r="W34" s="537"/>
      <c r="X34" s="1331"/>
      <c r="Y34" s="537"/>
      <c r="Z34" s="1331"/>
      <c r="AA34" s="537"/>
      <c r="AB34" s="1331"/>
      <c r="AC34" s="537"/>
      <c r="AD34" s="537"/>
      <c r="AE34" s="537"/>
      <c r="AF34" s="537"/>
    </row>
    <row r="35" spans="1:32" x14ac:dyDescent="0.25">
      <c r="A35" s="553">
        <v>46569</v>
      </c>
      <c r="B35" s="545"/>
      <c r="C35" s="555"/>
      <c r="D35" s="545"/>
      <c r="E35" s="563"/>
      <c r="F35" s="555"/>
      <c r="G35" s="556"/>
      <c r="H35" s="545"/>
      <c r="I35" s="558">
        <f t="shared" si="1"/>
        <v>253243.75</v>
      </c>
      <c r="J35" s="558"/>
      <c r="K35" s="558">
        <f t="shared" si="0"/>
        <v>253243.75</v>
      </c>
      <c r="L35" s="558"/>
      <c r="M35" s="558"/>
      <c r="N35" s="558"/>
      <c r="O35" s="564"/>
      <c r="P35" s="560"/>
      <c r="Q35" s="1328"/>
      <c r="R35" s="1329"/>
      <c r="S35" s="537"/>
      <c r="T35" s="537"/>
      <c r="U35" s="537"/>
      <c r="V35" s="564"/>
      <c r="W35" s="537"/>
      <c r="X35" s="1331"/>
      <c r="Y35" s="537"/>
      <c r="Z35" s="537"/>
      <c r="AA35" s="537"/>
      <c r="AB35" s="537"/>
      <c r="AC35" s="537"/>
      <c r="AD35" s="537"/>
      <c r="AE35" s="537"/>
      <c r="AF35" s="537"/>
    </row>
    <row r="36" spans="1:32" x14ac:dyDescent="0.25">
      <c r="A36" s="553">
        <v>46753</v>
      </c>
      <c r="B36" s="545"/>
      <c r="C36" s="555">
        <f>C34-E34</f>
        <v>13475</v>
      </c>
      <c r="D36" s="545"/>
      <c r="E36" s="563">
        <v>4335</v>
      </c>
      <c r="F36" s="555"/>
      <c r="G36" s="556">
        <v>3.25</v>
      </c>
      <c r="H36" s="545"/>
      <c r="I36" s="558">
        <f t="shared" si="1"/>
        <v>253243.75</v>
      </c>
      <c r="J36" s="558"/>
      <c r="K36" s="558">
        <f t="shared" si="0"/>
        <v>4588243.75</v>
      </c>
      <c r="L36" s="558"/>
      <c r="M36" s="558">
        <f>K35+K36</f>
        <v>4841487.5</v>
      </c>
      <c r="N36" s="558"/>
      <c r="O36" s="564"/>
      <c r="P36" s="560"/>
      <c r="Q36" s="1328"/>
      <c r="R36" s="1329"/>
      <c r="S36" s="537"/>
      <c r="T36" s="537"/>
      <c r="U36" s="537"/>
      <c r="V36" s="564"/>
      <c r="W36" s="537"/>
      <c r="X36" s="1331"/>
      <c r="Y36" s="537"/>
      <c r="Z36" s="1331"/>
      <c r="AA36" s="537"/>
      <c r="AB36" s="1331"/>
      <c r="AC36" s="537"/>
      <c r="AD36" s="537"/>
      <c r="AE36" s="537"/>
      <c r="AF36" s="537"/>
    </row>
    <row r="37" spans="1:32" x14ac:dyDescent="0.25">
      <c r="A37" s="553">
        <v>46935</v>
      </c>
      <c r="B37" s="545"/>
      <c r="C37" s="555"/>
      <c r="D37" s="545"/>
      <c r="E37" s="563"/>
      <c r="F37" s="555"/>
      <c r="G37" s="556"/>
      <c r="H37" s="545"/>
      <c r="I37" s="558">
        <f t="shared" si="1"/>
        <v>182800</v>
      </c>
      <c r="J37" s="558"/>
      <c r="K37" s="558">
        <f t="shared" si="0"/>
        <v>182800</v>
      </c>
      <c r="L37" s="558"/>
      <c r="M37" s="558"/>
      <c r="N37" s="558"/>
      <c r="O37" s="564"/>
      <c r="P37" s="560"/>
      <c r="Q37" s="1328"/>
      <c r="R37" s="1329"/>
      <c r="S37" s="537"/>
      <c r="T37" s="537"/>
      <c r="U37" s="537"/>
      <c r="V37" s="564"/>
      <c r="W37" s="537"/>
      <c r="X37" s="1331"/>
      <c r="Y37" s="537"/>
      <c r="Z37" s="537"/>
      <c r="AA37" s="537"/>
      <c r="AB37" s="537"/>
      <c r="AC37" s="537"/>
      <c r="AD37" s="537"/>
      <c r="AE37" s="537"/>
      <c r="AF37" s="537"/>
    </row>
    <row r="38" spans="1:32" x14ac:dyDescent="0.25">
      <c r="A38" s="553">
        <v>47119</v>
      </c>
      <c r="B38" s="545"/>
      <c r="C38" s="555">
        <f>C36-E36</f>
        <v>9140</v>
      </c>
      <c r="D38" s="545"/>
      <c r="E38" s="563">
        <v>4480</v>
      </c>
      <c r="F38" s="555"/>
      <c r="G38" s="556">
        <v>4</v>
      </c>
      <c r="H38" s="545"/>
      <c r="I38" s="558">
        <f t="shared" si="1"/>
        <v>182800</v>
      </c>
      <c r="J38" s="558"/>
      <c r="K38" s="558">
        <f t="shared" si="0"/>
        <v>4662800</v>
      </c>
      <c r="L38" s="558"/>
      <c r="M38" s="558">
        <f>K37+K38</f>
        <v>4845600</v>
      </c>
      <c r="N38" s="558"/>
      <c r="O38" s="564"/>
      <c r="P38" s="560"/>
      <c r="Q38" s="1328"/>
      <c r="R38" s="1329"/>
      <c r="S38" s="537"/>
      <c r="T38" s="537"/>
      <c r="U38" s="537"/>
      <c r="V38" s="564"/>
      <c r="W38" s="537"/>
      <c r="X38" s="1331"/>
      <c r="Y38" s="537"/>
      <c r="Z38" s="1331"/>
      <c r="AA38" s="537"/>
      <c r="AB38" s="1331"/>
      <c r="AC38" s="537"/>
      <c r="AD38" s="537"/>
      <c r="AE38" s="537"/>
      <c r="AF38" s="537"/>
    </row>
    <row r="39" spans="1:32" x14ac:dyDescent="0.25">
      <c r="A39" s="553">
        <v>47300</v>
      </c>
      <c r="B39" s="545"/>
      <c r="C39" s="555"/>
      <c r="D39" s="545"/>
      <c r="E39" s="563"/>
      <c r="F39" s="555"/>
      <c r="G39" s="556"/>
      <c r="H39" s="545"/>
      <c r="I39" s="558">
        <f t="shared" si="1"/>
        <v>93200</v>
      </c>
      <c r="J39" s="558"/>
      <c r="K39" s="558">
        <f t="shared" si="0"/>
        <v>93200</v>
      </c>
      <c r="L39" s="558"/>
      <c r="M39" s="558"/>
      <c r="N39" s="558"/>
      <c r="O39" s="564"/>
      <c r="P39" s="560"/>
      <c r="Q39" s="1328"/>
      <c r="R39" s="1329"/>
      <c r="S39" s="537"/>
      <c r="T39" s="537"/>
      <c r="U39" s="537"/>
      <c r="V39" s="564"/>
      <c r="W39" s="537"/>
      <c r="X39" s="1331"/>
      <c r="Y39" s="537"/>
      <c r="Z39" s="537"/>
      <c r="AA39" s="537"/>
      <c r="AB39" s="537"/>
      <c r="AC39" s="537"/>
      <c r="AD39" s="537"/>
      <c r="AE39" s="537"/>
      <c r="AF39" s="537"/>
    </row>
    <row r="40" spans="1:32" x14ac:dyDescent="0.25">
      <c r="A40" s="553">
        <v>47484</v>
      </c>
      <c r="B40" s="545"/>
      <c r="C40" s="555">
        <f>C38-E38</f>
        <v>4660</v>
      </c>
      <c r="D40" s="545"/>
      <c r="E40" s="563">
        <v>4660</v>
      </c>
      <c r="F40" s="555"/>
      <c r="G40" s="556">
        <v>4</v>
      </c>
      <c r="H40" s="545"/>
      <c r="I40" s="558">
        <f t="shared" si="1"/>
        <v>93200</v>
      </c>
      <c r="J40" s="558"/>
      <c r="K40" s="558">
        <f t="shared" si="0"/>
        <v>4753200</v>
      </c>
      <c r="L40" s="558"/>
      <c r="M40" s="558">
        <f>K39+K40</f>
        <v>4846400</v>
      </c>
      <c r="N40" s="558"/>
      <c r="O40" s="564"/>
      <c r="P40" s="560"/>
      <c r="Q40" s="1328"/>
      <c r="R40" s="1329"/>
      <c r="S40" s="537"/>
      <c r="T40" s="537"/>
      <c r="U40" s="537"/>
      <c r="V40" s="564"/>
      <c r="W40" s="537"/>
      <c r="X40" s="1331"/>
      <c r="Y40" s="537"/>
      <c r="Z40" s="1331"/>
      <c r="AA40" s="537"/>
      <c r="AB40" s="1331"/>
      <c r="AC40" s="537"/>
      <c r="AD40" s="537"/>
      <c r="AE40" s="537"/>
      <c r="AF40" s="537"/>
    </row>
    <row r="41" spans="1:32" hidden="1" x14ac:dyDescent="0.25">
      <c r="A41" s="553">
        <v>47665</v>
      </c>
      <c r="B41" s="545"/>
      <c r="C41" s="555"/>
      <c r="D41" s="545"/>
      <c r="E41" s="563"/>
      <c r="F41" s="555"/>
      <c r="G41" s="556"/>
      <c r="H41" s="545"/>
      <c r="I41" s="558">
        <f t="shared" si="1"/>
        <v>0</v>
      </c>
      <c r="J41" s="558"/>
      <c r="K41" s="558">
        <f t="shared" si="0"/>
        <v>0</v>
      </c>
      <c r="L41" s="558"/>
      <c r="M41" s="558"/>
      <c r="N41" s="558"/>
      <c r="O41" s="564"/>
      <c r="P41" s="560"/>
      <c r="Q41" s="1328"/>
      <c r="R41" s="1329"/>
      <c r="S41" s="537"/>
      <c r="T41" s="537"/>
      <c r="U41" s="537"/>
      <c r="V41" s="564"/>
      <c r="W41" s="537"/>
      <c r="X41" s="1331"/>
      <c r="Y41" s="537"/>
      <c r="Z41" s="537"/>
      <c r="AA41" s="537"/>
      <c r="AB41" s="537"/>
      <c r="AC41" s="537"/>
      <c r="AD41" s="537"/>
      <c r="AE41" s="537"/>
      <c r="AF41" s="537"/>
    </row>
    <row r="42" spans="1:32" hidden="1" x14ac:dyDescent="0.25">
      <c r="A42" s="553">
        <v>47849</v>
      </c>
      <c r="B42" s="545"/>
      <c r="C42" s="555">
        <f>C40-E40</f>
        <v>0</v>
      </c>
      <c r="D42" s="545"/>
      <c r="E42" s="563">
        <v>0</v>
      </c>
      <c r="F42" s="555"/>
      <c r="G42" s="556">
        <f>AB42*100</f>
        <v>0</v>
      </c>
      <c r="H42" s="545"/>
      <c r="I42" s="558">
        <f t="shared" si="1"/>
        <v>0</v>
      </c>
      <c r="J42" s="558"/>
      <c r="K42" s="558">
        <f t="shared" si="0"/>
        <v>0</v>
      </c>
      <c r="L42" s="558"/>
      <c r="M42" s="558">
        <f>K41+K42</f>
        <v>0</v>
      </c>
      <c r="N42" s="558"/>
      <c r="O42" s="564"/>
      <c r="P42" s="560"/>
      <c r="Q42" s="1328"/>
      <c r="R42" s="1329"/>
      <c r="S42" s="537"/>
      <c r="T42" s="537"/>
      <c r="U42" s="537"/>
      <c r="V42" s="564"/>
      <c r="W42" s="537"/>
      <c r="X42" s="1331"/>
      <c r="Y42" s="537"/>
      <c r="Z42" s="1331"/>
      <c r="AA42" s="537"/>
      <c r="AB42" s="1331"/>
      <c r="AC42" s="537"/>
      <c r="AD42" s="537"/>
      <c r="AE42" s="537"/>
      <c r="AF42" s="537"/>
    </row>
    <row r="43" spans="1:32" hidden="1" x14ac:dyDescent="0.25">
      <c r="A43" s="553">
        <v>48030</v>
      </c>
      <c r="B43" s="545"/>
      <c r="C43" s="555"/>
      <c r="D43" s="545"/>
      <c r="E43" s="563"/>
      <c r="F43" s="555"/>
      <c r="G43" s="556"/>
      <c r="H43" s="545"/>
      <c r="I43" s="558">
        <f t="shared" si="1"/>
        <v>0</v>
      </c>
      <c r="J43" s="558"/>
      <c r="K43" s="558">
        <f t="shared" si="0"/>
        <v>0</v>
      </c>
      <c r="L43" s="558"/>
      <c r="M43" s="558"/>
      <c r="N43" s="558"/>
      <c r="O43" s="564"/>
      <c r="P43" s="560"/>
      <c r="Q43" s="1328"/>
      <c r="R43" s="1329"/>
      <c r="S43" s="537"/>
      <c r="T43" s="537"/>
      <c r="U43" s="537"/>
      <c r="V43" s="564"/>
      <c r="W43" s="537"/>
      <c r="X43" s="1331"/>
      <c r="Y43" s="537"/>
      <c r="Z43" s="537"/>
      <c r="AA43" s="537"/>
      <c r="AB43" s="537"/>
      <c r="AC43" s="537"/>
      <c r="AD43" s="537"/>
      <c r="AE43" s="537"/>
      <c r="AF43" s="537"/>
    </row>
    <row r="44" spans="1:32" hidden="1" x14ac:dyDescent="0.25">
      <c r="A44" s="553">
        <v>48214</v>
      </c>
      <c r="B44" s="545"/>
      <c r="C44" s="555">
        <f>C42-E42</f>
        <v>0</v>
      </c>
      <c r="D44" s="545"/>
      <c r="E44" s="563"/>
      <c r="F44" s="555"/>
      <c r="G44" s="556">
        <f>AB44*100</f>
        <v>0</v>
      </c>
      <c r="H44" s="545"/>
      <c r="I44" s="558">
        <f t="shared" si="1"/>
        <v>0</v>
      </c>
      <c r="J44" s="558"/>
      <c r="K44" s="558">
        <f t="shared" si="0"/>
        <v>0</v>
      </c>
      <c r="L44" s="558"/>
      <c r="M44" s="558">
        <f>K43+K44</f>
        <v>0</v>
      </c>
      <c r="N44" s="558"/>
      <c r="O44" s="564"/>
      <c r="P44" s="560"/>
      <c r="Q44" s="1328"/>
      <c r="R44" s="1329"/>
      <c r="S44" s="537"/>
      <c r="T44" s="537"/>
      <c r="U44" s="537"/>
      <c r="V44" s="564"/>
      <c r="W44" s="537"/>
      <c r="X44" s="1331"/>
      <c r="Y44" s="537"/>
      <c r="Z44" s="1331"/>
      <c r="AA44" s="537"/>
      <c r="AB44" s="1331"/>
      <c r="AC44" s="537"/>
      <c r="AD44" s="537"/>
      <c r="AE44" s="537"/>
      <c r="AF44" s="537"/>
    </row>
    <row r="45" spans="1:32" hidden="1" x14ac:dyDescent="0.25">
      <c r="A45" s="553">
        <v>48396</v>
      </c>
      <c r="B45" s="545"/>
      <c r="C45" s="555"/>
      <c r="D45" s="545"/>
      <c r="E45" s="563"/>
      <c r="F45" s="555"/>
      <c r="G45" s="556"/>
      <c r="H45" s="545"/>
      <c r="I45" s="558">
        <f t="shared" si="1"/>
        <v>0</v>
      </c>
      <c r="J45" s="558"/>
      <c r="K45" s="558">
        <f t="shared" si="0"/>
        <v>0</v>
      </c>
      <c r="L45" s="558"/>
      <c r="M45" s="558"/>
      <c r="N45" s="558"/>
      <c r="O45" s="564"/>
      <c r="P45" s="560"/>
      <c r="Q45" s="1328"/>
      <c r="R45" s="1329"/>
      <c r="S45" s="537"/>
      <c r="T45" s="537"/>
      <c r="U45" s="537"/>
      <c r="V45" s="564"/>
      <c r="W45" s="537"/>
      <c r="X45" s="1331"/>
      <c r="Y45" s="537"/>
      <c r="Z45" s="537"/>
      <c r="AA45" s="537"/>
      <c r="AB45" s="537"/>
      <c r="AC45" s="537"/>
      <c r="AD45" s="537"/>
      <c r="AE45" s="537"/>
      <c r="AF45" s="537"/>
    </row>
    <row r="46" spans="1:32" hidden="1" x14ac:dyDescent="0.25">
      <c r="A46" s="553">
        <v>48580</v>
      </c>
      <c r="B46" s="545"/>
      <c r="C46" s="555">
        <f>C44-E44</f>
        <v>0</v>
      </c>
      <c r="D46" s="545"/>
      <c r="E46" s="563"/>
      <c r="F46" s="555"/>
      <c r="G46" s="556">
        <f>AB46*100</f>
        <v>0</v>
      </c>
      <c r="H46" s="545"/>
      <c r="I46" s="558">
        <f t="shared" si="1"/>
        <v>0</v>
      </c>
      <c r="J46" s="558"/>
      <c r="K46" s="558">
        <f t="shared" si="0"/>
        <v>0</v>
      </c>
      <c r="L46" s="558"/>
      <c r="M46" s="558">
        <f>K45+K46</f>
        <v>0</v>
      </c>
      <c r="N46" s="558"/>
      <c r="O46" s="564"/>
      <c r="P46" s="560"/>
      <c r="Q46" s="1328"/>
      <c r="R46" s="1329"/>
      <c r="S46" s="537"/>
      <c r="T46" s="537"/>
      <c r="U46" s="537"/>
      <c r="V46" s="564"/>
      <c r="W46" s="537"/>
      <c r="X46" s="1331"/>
      <c r="Y46" s="537"/>
      <c r="Z46" s="1331"/>
      <c r="AA46" s="537"/>
      <c r="AB46" s="1331"/>
      <c r="AC46" s="537"/>
      <c r="AD46" s="537"/>
      <c r="AE46" s="537"/>
      <c r="AF46" s="537"/>
    </row>
    <row r="47" spans="1:32" hidden="1" x14ac:dyDescent="0.25">
      <c r="A47" s="553">
        <v>48761</v>
      </c>
      <c r="B47" s="545"/>
      <c r="C47" s="555"/>
      <c r="D47" s="545"/>
      <c r="E47" s="563"/>
      <c r="F47" s="555"/>
      <c r="G47" s="556"/>
      <c r="H47" s="545"/>
      <c r="I47" s="558">
        <f t="shared" si="1"/>
        <v>0</v>
      </c>
      <c r="J47" s="558"/>
      <c r="K47" s="558">
        <f t="shared" si="0"/>
        <v>0</v>
      </c>
      <c r="L47" s="558"/>
      <c r="M47" s="558"/>
      <c r="N47" s="558"/>
      <c r="O47" s="564"/>
      <c r="P47" s="560"/>
      <c r="Q47" s="1328"/>
      <c r="R47" s="1329"/>
      <c r="S47" s="537"/>
      <c r="T47" s="537"/>
      <c r="U47" s="537"/>
      <c r="V47" s="564"/>
      <c r="W47" s="537"/>
      <c r="X47" s="1331"/>
      <c r="Y47" s="537"/>
      <c r="Z47" s="537"/>
      <c r="AA47" s="537"/>
      <c r="AB47" s="537"/>
      <c r="AC47" s="537"/>
      <c r="AD47" s="537"/>
      <c r="AE47" s="537"/>
      <c r="AF47" s="537"/>
    </row>
    <row r="48" spans="1:32" hidden="1" x14ac:dyDescent="0.25">
      <c r="A48" s="553">
        <v>48945</v>
      </c>
      <c r="B48" s="545"/>
      <c r="C48" s="555">
        <f>C46-E46</f>
        <v>0</v>
      </c>
      <c r="D48" s="545"/>
      <c r="E48" s="563"/>
      <c r="F48" s="555"/>
      <c r="G48" s="556">
        <f>AB48*100</f>
        <v>0</v>
      </c>
      <c r="H48" s="545"/>
      <c r="I48" s="558">
        <f t="shared" si="1"/>
        <v>0</v>
      </c>
      <c r="J48" s="558"/>
      <c r="K48" s="558">
        <f t="shared" si="0"/>
        <v>0</v>
      </c>
      <c r="L48" s="558"/>
      <c r="M48" s="558">
        <f>K47+K48</f>
        <v>0</v>
      </c>
      <c r="N48" s="558"/>
      <c r="O48" s="564"/>
      <c r="P48" s="560"/>
      <c r="Q48" s="1328"/>
      <c r="R48" s="1329"/>
      <c r="S48" s="537"/>
      <c r="T48" s="537"/>
      <c r="U48" s="537"/>
      <c r="V48" s="564"/>
      <c r="W48" s="537"/>
      <c r="X48" s="1331"/>
      <c r="Y48" s="537"/>
      <c r="Z48" s="1331"/>
      <c r="AA48" s="537"/>
      <c r="AB48" s="1331"/>
      <c r="AC48" s="537"/>
      <c r="AD48" s="537"/>
      <c r="AE48" s="537"/>
      <c r="AF48" s="537"/>
    </row>
    <row r="49" spans="1:32" hidden="1" x14ac:dyDescent="0.25">
      <c r="A49" s="553">
        <v>12601</v>
      </c>
      <c r="B49" s="545"/>
      <c r="C49" s="555"/>
      <c r="D49" s="545"/>
      <c r="E49" s="563"/>
      <c r="F49" s="555"/>
      <c r="G49" s="556"/>
      <c r="H49" s="545"/>
      <c r="I49" s="558">
        <f t="shared" si="1"/>
        <v>0</v>
      </c>
      <c r="J49" s="558"/>
      <c r="K49" s="558">
        <f t="shared" si="0"/>
        <v>0</v>
      </c>
      <c r="L49" s="558"/>
      <c r="M49" s="558"/>
      <c r="N49" s="558"/>
      <c r="O49" s="564"/>
      <c r="P49" s="560"/>
      <c r="Q49" s="1328"/>
      <c r="R49" s="1329"/>
      <c r="S49" s="537"/>
      <c r="T49" s="537"/>
      <c r="U49" s="537"/>
      <c r="V49" s="564"/>
      <c r="W49" s="537"/>
      <c r="X49" s="1331"/>
      <c r="Y49" s="537"/>
      <c r="Z49" s="537"/>
      <c r="AA49" s="537"/>
      <c r="AB49" s="537"/>
      <c r="AC49" s="537"/>
      <c r="AD49" s="537"/>
      <c r="AE49" s="537"/>
      <c r="AF49" s="537"/>
    </row>
    <row r="50" spans="1:32" hidden="1" x14ac:dyDescent="0.25">
      <c r="A50" s="553">
        <v>12785</v>
      </c>
      <c r="B50" s="545"/>
      <c r="C50" s="555">
        <f>C48-E48</f>
        <v>0</v>
      </c>
      <c r="D50" s="545"/>
      <c r="E50" s="563"/>
      <c r="F50" s="563"/>
      <c r="G50" s="556">
        <f>AB50*100</f>
        <v>0</v>
      </c>
      <c r="H50" s="545"/>
      <c r="I50" s="558">
        <f t="shared" si="1"/>
        <v>0</v>
      </c>
      <c r="J50" s="558"/>
      <c r="K50" s="558">
        <f t="shared" si="0"/>
        <v>0</v>
      </c>
      <c r="L50" s="558"/>
      <c r="M50" s="558">
        <f>K49+K50</f>
        <v>0</v>
      </c>
      <c r="N50" s="558"/>
      <c r="O50" s="564"/>
      <c r="P50" s="560"/>
      <c r="Q50" s="1328"/>
      <c r="R50" s="1329"/>
      <c r="S50" s="537"/>
      <c r="T50" s="537"/>
      <c r="U50" s="537"/>
      <c r="V50" s="564"/>
      <c r="W50" s="537"/>
      <c r="X50" s="1331"/>
      <c r="Y50" s="537"/>
      <c r="Z50" s="1331"/>
      <c r="AA50" s="537"/>
      <c r="AB50" s="1331"/>
      <c r="AC50" s="537"/>
      <c r="AD50" s="537"/>
      <c r="AE50" s="537"/>
      <c r="AF50" s="537"/>
    </row>
    <row r="51" spans="1:32" hidden="1" x14ac:dyDescent="0.25">
      <c r="A51" s="553">
        <v>49491</v>
      </c>
      <c r="B51" s="545"/>
      <c r="C51" s="555"/>
      <c r="D51" s="545"/>
      <c r="E51" s="563"/>
      <c r="F51" s="563"/>
      <c r="G51" s="556"/>
      <c r="H51" s="545"/>
      <c r="I51" s="558">
        <f t="shared" si="1"/>
        <v>0</v>
      </c>
      <c r="J51" s="558"/>
      <c r="K51" s="558">
        <f t="shared" si="0"/>
        <v>0</v>
      </c>
      <c r="L51" s="558"/>
      <c r="M51" s="558"/>
      <c r="N51" s="558"/>
      <c r="O51" s="564"/>
      <c r="P51" s="560"/>
      <c r="Q51" s="1328"/>
      <c r="R51" s="1329"/>
      <c r="S51" s="537"/>
      <c r="T51" s="537"/>
      <c r="U51" s="537"/>
      <c r="V51" s="564"/>
      <c r="W51" s="537"/>
      <c r="X51" s="1331"/>
      <c r="Y51" s="537"/>
      <c r="Z51" s="537"/>
      <c r="AA51" s="537"/>
      <c r="AB51" s="537"/>
      <c r="AC51" s="537"/>
      <c r="AD51" s="537"/>
      <c r="AE51" s="537"/>
      <c r="AF51" s="537"/>
    </row>
    <row r="52" spans="1:32" hidden="1" x14ac:dyDescent="0.25">
      <c r="A52" s="553">
        <v>86199</v>
      </c>
      <c r="B52" s="545"/>
      <c r="C52" s="555">
        <f>C50-E50</f>
        <v>0</v>
      </c>
      <c r="D52" s="545"/>
      <c r="E52" s="563"/>
      <c r="F52" s="563"/>
      <c r="G52" s="556">
        <f>AB52*100</f>
        <v>0</v>
      </c>
      <c r="H52" s="545"/>
      <c r="I52" s="558">
        <f t="shared" si="1"/>
        <v>0</v>
      </c>
      <c r="J52" s="558"/>
      <c r="K52" s="558">
        <f t="shared" si="0"/>
        <v>0</v>
      </c>
      <c r="L52" s="558"/>
      <c r="M52" s="558">
        <f>K51+K52</f>
        <v>0</v>
      </c>
      <c r="N52" s="558"/>
      <c r="O52" s="564"/>
      <c r="P52" s="560"/>
      <c r="Q52" s="1328"/>
      <c r="R52" s="1329"/>
      <c r="S52" s="537"/>
      <c r="T52" s="537"/>
      <c r="U52" s="537"/>
      <c r="V52" s="564"/>
      <c r="W52" s="537"/>
      <c r="X52" s="1331"/>
      <c r="Y52" s="537"/>
      <c r="Z52" s="1331"/>
      <c r="AA52" s="537"/>
      <c r="AB52" s="1331"/>
      <c r="AC52" s="537"/>
      <c r="AD52" s="537"/>
      <c r="AE52" s="537"/>
      <c r="AF52" s="537"/>
    </row>
    <row r="53" spans="1:32" hidden="1" x14ac:dyDescent="0.25">
      <c r="A53" s="553">
        <v>122905</v>
      </c>
      <c r="B53" s="545"/>
      <c r="C53" s="555"/>
      <c r="D53" s="545"/>
      <c r="E53" s="563"/>
      <c r="F53" s="563"/>
      <c r="G53" s="556"/>
      <c r="H53" s="545"/>
      <c r="I53" s="558">
        <f t="shared" si="1"/>
        <v>0</v>
      </c>
      <c r="J53" s="558"/>
      <c r="K53" s="558">
        <f t="shared" si="0"/>
        <v>0</v>
      </c>
      <c r="L53" s="558"/>
      <c r="M53" s="558"/>
      <c r="N53" s="558"/>
      <c r="O53" s="564"/>
      <c r="P53" s="560"/>
      <c r="Q53" s="1328"/>
      <c r="R53" s="1329"/>
      <c r="S53" s="537"/>
      <c r="T53" s="537"/>
      <c r="U53" s="537"/>
      <c r="V53" s="564"/>
      <c r="W53" s="537"/>
      <c r="X53" s="1331"/>
      <c r="Y53" s="537"/>
      <c r="Z53" s="537"/>
      <c r="AA53" s="537"/>
      <c r="AB53" s="537"/>
      <c r="AC53" s="537"/>
      <c r="AD53" s="537"/>
      <c r="AE53" s="537"/>
      <c r="AF53" s="537"/>
    </row>
    <row r="54" spans="1:32" hidden="1" x14ac:dyDescent="0.25">
      <c r="A54" s="553">
        <v>159613</v>
      </c>
      <c r="B54" s="545"/>
      <c r="C54" s="555">
        <f>C52-E52</f>
        <v>0</v>
      </c>
      <c r="D54" s="545"/>
      <c r="E54" s="563"/>
      <c r="F54" s="563"/>
      <c r="G54" s="556">
        <f>AB54*100</f>
        <v>0</v>
      </c>
      <c r="H54" s="545"/>
      <c r="I54" s="558">
        <f t="shared" si="1"/>
        <v>0</v>
      </c>
      <c r="J54" s="558"/>
      <c r="K54" s="566">
        <f t="shared" si="0"/>
        <v>0</v>
      </c>
      <c r="L54" s="558"/>
      <c r="M54" s="566">
        <f>K53+K54</f>
        <v>0</v>
      </c>
      <c r="N54" s="558"/>
      <c r="O54" s="564"/>
      <c r="P54" s="560"/>
      <c r="Q54" s="1328"/>
      <c r="R54" s="1329"/>
      <c r="S54" s="537"/>
      <c r="T54" s="537"/>
      <c r="U54" s="537"/>
      <c r="V54" s="564"/>
      <c r="W54" s="537"/>
      <c r="X54" s="1331"/>
      <c r="Y54" s="537"/>
      <c r="Z54" s="1331"/>
      <c r="AA54" s="537"/>
      <c r="AB54" s="1331"/>
      <c r="AC54" s="537"/>
      <c r="AD54" s="537"/>
      <c r="AE54" s="537"/>
      <c r="AF54" s="537"/>
    </row>
    <row r="55" spans="1:32" hidden="1" x14ac:dyDescent="0.25">
      <c r="A55" s="553">
        <v>196319</v>
      </c>
      <c r="B55" s="545"/>
      <c r="C55" s="555"/>
      <c r="D55" s="545"/>
      <c r="E55" s="563"/>
      <c r="F55" s="563"/>
      <c r="G55" s="556"/>
      <c r="H55" s="545"/>
      <c r="I55" s="558">
        <f t="shared" si="1"/>
        <v>0</v>
      </c>
      <c r="J55" s="558"/>
      <c r="K55" s="566">
        <f t="shared" si="0"/>
        <v>0</v>
      </c>
      <c r="L55" s="558"/>
      <c r="M55" s="566"/>
      <c r="N55" s="558"/>
      <c r="O55" s="564"/>
      <c r="P55" s="560"/>
      <c r="Q55" s="1328"/>
      <c r="R55" s="1329"/>
      <c r="S55" s="537"/>
      <c r="T55" s="537"/>
      <c r="U55" s="537"/>
      <c r="V55" s="564"/>
      <c r="W55" s="537"/>
      <c r="X55" s="1331"/>
      <c r="Y55" s="537"/>
      <c r="Z55" s="537"/>
      <c r="AA55" s="537"/>
      <c r="AB55" s="537"/>
      <c r="AC55" s="537"/>
      <c r="AD55" s="537"/>
      <c r="AE55" s="537"/>
      <c r="AF55" s="537"/>
    </row>
    <row r="56" spans="1:32" hidden="1" x14ac:dyDescent="0.25">
      <c r="A56" s="553">
        <v>233027</v>
      </c>
      <c r="B56" s="545"/>
      <c r="C56" s="555">
        <f>C54-E54</f>
        <v>0</v>
      </c>
      <c r="D56" s="545"/>
      <c r="E56" s="563"/>
      <c r="F56" s="563"/>
      <c r="G56" s="556">
        <f>AB56*100</f>
        <v>0</v>
      </c>
      <c r="H56" s="545"/>
      <c r="I56" s="558">
        <f t="shared" si="1"/>
        <v>0</v>
      </c>
      <c r="J56" s="558"/>
      <c r="K56" s="566">
        <f t="shared" si="0"/>
        <v>0</v>
      </c>
      <c r="L56" s="558"/>
      <c r="M56" s="566">
        <f>K55+K56</f>
        <v>0</v>
      </c>
      <c r="N56" s="558"/>
      <c r="O56" s="564"/>
      <c r="P56" s="560"/>
      <c r="Q56" s="1328"/>
      <c r="R56" s="1329"/>
      <c r="S56" s="537"/>
      <c r="T56" s="537"/>
      <c r="U56" s="537"/>
      <c r="V56" s="564"/>
      <c r="W56" s="537"/>
      <c r="X56" s="1331"/>
      <c r="Y56" s="537"/>
      <c r="Z56" s="1331"/>
      <c r="AA56" s="537"/>
      <c r="AB56" s="1331"/>
      <c r="AC56" s="537"/>
      <c r="AD56" s="537"/>
      <c r="AE56" s="537"/>
      <c r="AF56" s="537"/>
    </row>
    <row r="57" spans="1:32" x14ac:dyDescent="0.25">
      <c r="A57" s="567"/>
      <c r="B57" s="545"/>
      <c r="C57" s="545"/>
      <c r="D57" s="545"/>
      <c r="E57" s="568"/>
      <c r="F57" s="563"/>
      <c r="G57" s="569"/>
      <c r="H57" s="545"/>
      <c r="I57" s="570"/>
      <c r="J57" s="558"/>
      <c r="K57" s="570"/>
      <c r="L57" s="558"/>
      <c r="M57" s="570"/>
      <c r="N57" s="558"/>
      <c r="O57" s="564"/>
      <c r="P57" s="564"/>
      <c r="Q57" s="537"/>
      <c r="R57" s="537"/>
      <c r="S57" s="537"/>
      <c r="T57" s="537"/>
      <c r="U57" s="537"/>
      <c r="V57" s="537"/>
      <c r="W57" s="537"/>
      <c r="X57" s="537"/>
      <c r="Y57" s="537"/>
      <c r="Z57" s="537"/>
      <c r="AA57" s="537"/>
      <c r="AB57" s="537"/>
      <c r="AC57" s="537"/>
      <c r="AD57" s="537"/>
      <c r="AE57" s="537"/>
      <c r="AF57" s="537"/>
    </row>
    <row r="58" spans="1:32" ht="16.5" thickBot="1" x14ac:dyDescent="0.3">
      <c r="A58" s="571" t="s">
        <v>27</v>
      </c>
      <c r="B58" s="545"/>
      <c r="D58" s="545"/>
      <c r="E58" s="572">
        <f>SUM(E23:E56)</f>
        <v>26775</v>
      </c>
      <c r="F58" s="573"/>
      <c r="G58" s="545"/>
      <c r="H58" s="545"/>
      <c r="I58" s="574">
        <f>SUM(I23:I56)</f>
        <v>5878250.0599999996</v>
      </c>
      <c r="J58" s="557"/>
      <c r="K58" s="574">
        <f>SUM(K23:K56)</f>
        <v>32653250.060000002</v>
      </c>
      <c r="L58" s="557"/>
      <c r="M58" s="574">
        <f>SUM(M23:M56)</f>
        <v>32653250.059999999</v>
      </c>
      <c r="N58" s="558"/>
      <c r="O58" s="575"/>
      <c r="P58" s="564"/>
      <c r="Q58" s="537"/>
      <c r="R58" s="537"/>
      <c r="S58" s="537"/>
      <c r="T58" s="537"/>
      <c r="U58" s="537"/>
      <c r="V58" s="537"/>
      <c r="W58" s="537"/>
      <c r="X58" s="537"/>
      <c r="Y58" s="537"/>
      <c r="Z58" s="537"/>
      <c r="AA58" s="537"/>
      <c r="AB58" s="537"/>
      <c r="AC58" s="537"/>
      <c r="AD58" s="537"/>
      <c r="AE58" s="537"/>
      <c r="AF58" s="537"/>
    </row>
    <row r="59" spans="1:32" ht="16.5" thickTop="1" x14ac:dyDescent="0.25">
      <c r="A59" s="571"/>
      <c r="B59" s="545"/>
      <c r="D59" s="545"/>
      <c r="E59" s="573"/>
      <c r="F59" s="573"/>
      <c r="G59" s="545"/>
      <c r="H59" s="545"/>
      <c r="I59" s="575"/>
      <c r="J59" s="557"/>
      <c r="K59" s="575"/>
      <c r="L59" s="557"/>
      <c r="M59" s="575"/>
      <c r="N59" s="558"/>
      <c r="O59" s="575"/>
      <c r="P59" s="564"/>
      <c r="Q59" s="537"/>
      <c r="R59" s="537"/>
      <c r="S59" s="537"/>
      <c r="T59" s="537"/>
      <c r="U59" s="537"/>
      <c r="V59" s="537"/>
      <c r="W59" s="537"/>
      <c r="X59" s="537"/>
      <c r="Y59" s="537"/>
      <c r="Z59" s="537"/>
      <c r="AA59" s="537"/>
      <c r="AB59" s="537"/>
      <c r="AC59" s="537"/>
      <c r="AD59" s="537"/>
      <c r="AE59" s="537"/>
      <c r="AF59" s="537"/>
    </row>
    <row r="60" spans="1:32" x14ac:dyDescent="0.25">
      <c r="A60" s="583"/>
      <c r="B60" s="550"/>
      <c r="C60" s="563"/>
      <c r="D60" s="550"/>
      <c r="E60" s="550"/>
      <c r="F60" s="550"/>
      <c r="G60" s="550"/>
      <c r="H60" s="550"/>
      <c r="I60" s="566"/>
      <c r="J60" s="566"/>
      <c r="K60" s="566"/>
      <c r="L60" s="566"/>
      <c r="M60" s="575"/>
      <c r="N60" s="558"/>
      <c r="O60" s="575"/>
      <c r="P60" s="564"/>
      <c r="Q60" s="537"/>
      <c r="R60" s="537"/>
      <c r="S60" s="537"/>
      <c r="T60" s="537"/>
      <c r="U60" s="537"/>
      <c r="V60" s="537"/>
      <c r="W60" s="537"/>
      <c r="X60" s="537"/>
      <c r="Y60" s="537"/>
      <c r="Z60" s="537"/>
      <c r="AA60" s="537"/>
      <c r="AB60" s="537"/>
      <c r="AC60" s="537"/>
      <c r="AD60" s="537"/>
      <c r="AE60" s="537"/>
      <c r="AF60" s="537"/>
    </row>
    <row r="61" spans="1:32" x14ac:dyDescent="0.25">
      <c r="A61" s="571"/>
      <c r="B61" s="545"/>
      <c r="C61" s="563"/>
      <c r="D61" s="550"/>
      <c r="E61" s="550"/>
      <c r="F61" s="550"/>
      <c r="G61" s="550"/>
      <c r="H61" s="550"/>
      <c r="I61" s="566"/>
      <c r="J61" s="566"/>
      <c r="K61" s="566"/>
      <c r="L61" s="566"/>
      <c r="M61" s="575"/>
      <c r="N61" s="558"/>
      <c r="O61" s="575"/>
      <c r="P61" s="564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</row>
    <row r="62" spans="1:32" x14ac:dyDescent="0.25">
      <c r="A62" s="571"/>
      <c r="B62" s="545"/>
      <c r="C62" s="563"/>
      <c r="D62" s="550"/>
      <c r="E62" s="550"/>
      <c r="F62" s="550"/>
      <c r="G62" s="550"/>
      <c r="H62" s="550"/>
      <c r="I62" s="566"/>
      <c r="J62" s="566"/>
      <c r="K62" s="566"/>
      <c r="L62" s="566"/>
      <c r="M62" s="575"/>
      <c r="N62" s="558"/>
      <c r="O62" s="575"/>
      <c r="P62" s="564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</row>
    <row r="63" spans="1:32" x14ac:dyDescent="0.25">
      <c r="A63" s="584"/>
      <c r="B63" s="545"/>
      <c r="D63" s="550"/>
      <c r="E63" s="550"/>
      <c r="F63" s="550"/>
      <c r="G63" s="550"/>
      <c r="H63" s="550"/>
      <c r="I63" s="566"/>
      <c r="J63" s="566"/>
      <c r="K63" s="566"/>
      <c r="L63" s="566"/>
      <c r="M63" s="575"/>
      <c r="N63" s="558"/>
      <c r="O63" s="575"/>
      <c r="P63" s="564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</row>
    <row r="64" spans="1:32" x14ac:dyDescent="0.25">
      <c r="A64" s="584"/>
      <c r="B64" s="545"/>
      <c r="D64" s="550"/>
      <c r="E64" s="550"/>
      <c r="F64" s="550"/>
      <c r="G64" s="550"/>
      <c r="H64" s="550"/>
      <c r="I64" s="566"/>
      <c r="J64" s="566"/>
      <c r="K64" s="566"/>
      <c r="L64" s="566"/>
      <c r="M64" s="575"/>
      <c r="N64" s="558"/>
      <c r="O64" s="575"/>
      <c r="P64" s="564"/>
      <c r="Q64" s="537"/>
      <c r="R64" s="537"/>
      <c r="S64" s="537"/>
      <c r="T64" s="537"/>
      <c r="U64" s="537"/>
      <c r="V64" s="537"/>
      <c r="W64" s="537"/>
      <c r="X64" s="537"/>
      <c r="Y64" s="537"/>
      <c r="Z64" s="537"/>
      <c r="AA64" s="537"/>
      <c r="AB64" s="537"/>
      <c r="AC64" s="537"/>
      <c r="AD64" s="537"/>
      <c r="AE64" s="537"/>
      <c r="AF64" s="537"/>
    </row>
    <row r="65" spans="1:32" x14ac:dyDescent="0.25">
      <c r="A65" s="584"/>
      <c r="B65" s="545"/>
      <c r="D65" s="550"/>
      <c r="E65" s="550"/>
      <c r="F65" s="550"/>
      <c r="G65" s="550"/>
      <c r="H65" s="550"/>
      <c r="I65" s="566"/>
      <c r="J65" s="566"/>
      <c r="K65" s="566"/>
      <c r="L65" s="566"/>
      <c r="M65" s="575"/>
      <c r="N65" s="558"/>
      <c r="O65" s="575"/>
      <c r="P65" s="564"/>
      <c r="Q65" s="537"/>
      <c r="R65" s="537"/>
      <c r="S65" s="537"/>
      <c r="T65" s="537"/>
      <c r="U65" s="537"/>
      <c r="V65" s="537"/>
      <c r="W65" s="537"/>
      <c r="X65" s="537"/>
      <c r="Y65" s="537"/>
      <c r="Z65" s="537"/>
      <c r="AA65" s="537"/>
      <c r="AB65" s="537"/>
      <c r="AC65" s="537"/>
      <c r="AD65" s="537"/>
      <c r="AE65" s="537"/>
      <c r="AF65" s="537"/>
    </row>
    <row r="66" spans="1:32" x14ac:dyDescent="0.25">
      <c r="A66" s="584"/>
      <c r="B66" s="545"/>
      <c r="D66" s="550"/>
      <c r="E66" s="550"/>
      <c r="F66" s="550"/>
      <c r="G66" s="550"/>
      <c r="H66" s="550"/>
      <c r="I66" s="566"/>
      <c r="J66" s="566"/>
      <c r="K66" s="566"/>
      <c r="L66" s="566"/>
      <c r="M66" s="575"/>
      <c r="N66" s="558"/>
      <c r="O66" s="575"/>
      <c r="P66" s="564"/>
      <c r="Q66" s="537"/>
      <c r="R66" s="537"/>
      <c r="S66" s="537"/>
      <c r="T66" s="537"/>
      <c r="U66" s="537"/>
      <c r="V66" s="537"/>
      <c r="W66" s="537"/>
      <c r="X66" s="537"/>
      <c r="Y66" s="537"/>
      <c r="Z66" s="537"/>
      <c r="AA66" s="537"/>
      <c r="AB66" s="537"/>
      <c r="AC66" s="537"/>
      <c r="AD66" s="537"/>
      <c r="AE66" s="537"/>
      <c r="AF66" s="537"/>
    </row>
    <row r="67" spans="1:32" x14ac:dyDescent="0.25">
      <c r="A67" s="584"/>
      <c r="B67" s="545"/>
      <c r="D67" s="550"/>
      <c r="E67" s="550"/>
      <c r="F67" s="550"/>
      <c r="G67" s="550"/>
      <c r="H67" s="550"/>
      <c r="I67" s="566"/>
      <c r="J67" s="566"/>
      <c r="K67" s="566"/>
      <c r="L67" s="566"/>
      <c r="M67" s="575"/>
      <c r="N67" s="558"/>
      <c r="O67" s="575"/>
      <c r="P67" s="564"/>
      <c r="Q67" s="537"/>
      <c r="R67" s="537"/>
      <c r="S67" s="537"/>
      <c r="T67" s="537"/>
      <c r="U67" s="537"/>
      <c r="V67" s="537"/>
      <c r="W67" s="537"/>
      <c r="X67" s="537"/>
      <c r="Y67" s="537"/>
      <c r="Z67" s="537"/>
      <c r="AA67" s="537"/>
      <c r="AB67" s="537"/>
      <c r="AC67" s="537"/>
      <c r="AD67" s="537"/>
      <c r="AE67" s="537"/>
      <c r="AF67" s="537"/>
    </row>
    <row r="68" spans="1:32" x14ac:dyDescent="0.25">
      <c r="A68" s="584"/>
      <c r="B68" s="545"/>
      <c r="D68" s="550"/>
      <c r="E68" s="550"/>
      <c r="F68" s="550"/>
      <c r="G68" s="550"/>
      <c r="H68" s="550"/>
      <c r="I68" s="566"/>
      <c r="J68" s="566"/>
      <c r="K68" s="566"/>
      <c r="L68" s="566"/>
      <c r="M68" s="575"/>
      <c r="N68" s="558"/>
      <c r="O68" s="575"/>
      <c r="P68" s="564"/>
      <c r="Q68" s="537"/>
      <c r="R68" s="537"/>
      <c r="S68" s="537"/>
      <c r="T68" s="537"/>
      <c r="U68" s="537"/>
      <c r="V68" s="537"/>
      <c r="W68" s="537"/>
      <c r="X68" s="537"/>
      <c r="Y68" s="537"/>
      <c r="Z68" s="537"/>
      <c r="AA68" s="537"/>
      <c r="AB68" s="537"/>
      <c r="AC68" s="537"/>
      <c r="AD68" s="537"/>
      <c r="AE68" s="537"/>
      <c r="AF68" s="537"/>
    </row>
    <row r="69" spans="1:32" x14ac:dyDescent="0.25">
      <c r="A69" s="584"/>
      <c r="B69" s="545"/>
      <c r="D69" s="550"/>
      <c r="E69" s="550"/>
      <c r="F69" s="550"/>
      <c r="G69" s="550"/>
      <c r="H69" s="550"/>
      <c r="I69" s="566"/>
      <c r="J69" s="566"/>
      <c r="K69" s="566"/>
      <c r="L69" s="566"/>
      <c r="M69" s="575"/>
      <c r="N69" s="558"/>
      <c r="O69" s="575"/>
      <c r="P69" s="564"/>
      <c r="Q69" s="537"/>
      <c r="R69" s="537"/>
      <c r="S69" s="537"/>
      <c r="T69" s="537"/>
      <c r="U69" s="537"/>
      <c r="V69" s="537"/>
      <c r="W69" s="537"/>
      <c r="X69" s="537"/>
      <c r="Y69" s="537"/>
      <c r="Z69" s="537"/>
      <c r="AA69" s="537"/>
      <c r="AB69" s="537"/>
      <c r="AC69" s="537"/>
      <c r="AD69" s="537"/>
      <c r="AE69" s="537"/>
      <c r="AF69" s="537"/>
    </row>
    <row r="70" spans="1:32" x14ac:dyDescent="0.25">
      <c r="A70" s="584"/>
      <c r="B70" s="545"/>
      <c r="D70" s="550"/>
      <c r="E70" s="550"/>
      <c r="F70" s="550"/>
      <c r="G70" s="550"/>
      <c r="H70" s="550"/>
      <c r="I70" s="566"/>
      <c r="J70" s="566"/>
      <c r="K70" s="566"/>
      <c r="L70" s="566"/>
      <c r="M70" s="575"/>
      <c r="N70" s="558"/>
      <c r="O70" s="575"/>
      <c r="P70" s="564"/>
      <c r="Q70" s="537"/>
      <c r="R70" s="537"/>
      <c r="S70" s="537"/>
      <c r="T70" s="537"/>
      <c r="U70" s="537"/>
      <c r="V70" s="537"/>
      <c r="W70" s="537"/>
      <c r="X70" s="537"/>
      <c r="Y70" s="537"/>
      <c r="Z70" s="537"/>
      <c r="AA70" s="537"/>
      <c r="AB70" s="537"/>
      <c r="AC70" s="537"/>
      <c r="AD70" s="537"/>
      <c r="AE70" s="537"/>
      <c r="AF70" s="537"/>
    </row>
    <row r="71" spans="1:32" x14ac:dyDescent="0.25">
      <c r="A71" s="584"/>
      <c r="B71" s="545"/>
      <c r="D71" s="550"/>
      <c r="E71" s="550"/>
      <c r="F71" s="550"/>
      <c r="G71" s="550"/>
      <c r="H71" s="550"/>
      <c r="I71" s="566"/>
      <c r="J71" s="566"/>
      <c r="K71" s="566"/>
      <c r="L71" s="566"/>
      <c r="M71" s="575"/>
      <c r="N71" s="558"/>
      <c r="O71" s="575"/>
      <c r="P71" s="564"/>
      <c r="Q71" s="537"/>
      <c r="R71" s="537"/>
      <c r="S71" s="537"/>
      <c r="T71" s="537"/>
      <c r="U71" s="537"/>
      <c r="V71" s="537"/>
      <c r="W71" s="537"/>
      <c r="X71" s="537"/>
      <c r="Y71" s="537"/>
      <c r="Z71" s="537"/>
      <c r="AA71" s="537"/>
      <c r="AB71" s="537"/>
      <c r="AC71" s="537"/>
      <c r="AD71" s="537"/>
      <c r="AE71" s="537"/>
      <c r="AF71" s="537"/>
    </row>
    <row r="72" spans="1:32" x14ac:dyDescent="0.25">
      <c r="A72" s="584"/>
      <c r="B72" s="545"/>
      <c r="D72" s="550"/>
      <c r="E72" s="550"/>
      <c r="F72" s="550"/>
      <c r="G72" s="550"/>
      <c r="H72" s="550"/>
      <c r="I72" s="566"/>
      <c r="J72" s="566"/>
      <c r="K72" s="566"/>
      <c r="L72" s="566"/>
      <c r="M72" s="575"/>
      <c r="N72" s="558"/>
      <c r="O72" s="557"/>
      <c r="P72" s="533"/>
    </row>
    <row r="73" spans="1:32" x14ac:dyDescent="0.25">
      <c r="A73" s="584"/>
      <c r="B73" s="545"/>
      <c r="D73" s="550"/>
      <c r="E73" s="550"/>
      <c r="F73" s="550"/>
      <c r="G73" s="550"/>
      <c r="H73" s="550"/>
      <c r="I73" s="566"/>
      <c r="J73" s="566"/>
      <c r="K73" s="566"/>
      <c r="L73" s="566"/>
      <c r="M73" s="575"/>
      <c r="N73" s="558"/>
      <c r="O73" s="557"/>
      <c r="P73" s="533"/>
    </row>
    <row r="74" spans="1:32" x14ac:dyDescent="0.25">
      <c r="A74" s="584"/>
      <c r="B74" s="545"/>
      <c r="D74" s="550"/>
      <c r="E74" s="550"/>
      <c r="F74" s="550"/>
      <c r="G74" s="550"/>
      <c r="H74" s="550"/>
      <c r="I74" s="566"/>
      <c r="J74" s="566"/>
      <c r="K74" s="566"/>
      <c r="L74" s="566"/>
      <c r="M74" s="575"/>
      <c r="N74" s="558"/>
      <c r="O74" s="557"/>
      <c r="P74" s="533"/>
    </row>
    <row r="75" spans="1:32" x14ac:dyDescent="0.25">
      <c r="A75" s="584"/>
      <c r="B75" s="545"/>
      <c r="D75" s="550"/>
      <c r="E75" s="550"/>
      <c r="F75" s="550"/>
      <c r="G75" s="550"/>
      <c r="H75" s="550"/>
      <c r="I75" s="566"/>
      <c r="J75" s="566"/>
      <c r="K75" s="566"/>
      <c r="L75" s="566"/>
      <c r="M75" s="575"/>
      <c r="N75" s="558"/>
      <c r="O75" s="557"/>
      <c r="P75" s="533"/>
    </row>
    <row r="76" spans="1:32" x14ac:dyDescent="0.25">
      <c r="A76" s="584"/>
      <c r="B76" s="545"/>
      <c r="D76" s="550"/>
      <c r="E76" s="550"/>
      <c r="F76" s="550"/>
      <c r="G76" s="550"/>
      <c r="H76" s="550"/>
      <c r="I76" s="566"/>
      <c r="J76" s="566"/>
      <c r="K76" s="566"/>
      <c r="L76" s="566"/>
      <c r="M76" s="575"/>
      <c r="N76" s="558"/>
      <c r="O76" s="557"/>
      <c r="P76" s="533"/>
    </row>
    <row r="77" spans="1:32" x14ac:dyDescent="0.25">
      <c r="A77" s="584"/>
      <c r="B77" s="545"/>
      <c r="D77" s="550"/>
      <c r="E77" s="550"/>
      <c r="F77" s="550"/>
      <c r="G77" s="550"/>
      <c r="H77" s="550"/>
      <c r="I77" s="566"/>
      <c r="J77" s="566"/>
      <c r="K77" s="566"/>
      <c r="L77" s="566"/>
      <c r="M77" s="575"/>
      <c r="N77" s="558"/>
      <c r="O77" s="557"/>
      <c r="P77" s="533"/>
    </row>
    <row r="78" spans="1:32" x14ac:dyDescent="0.25">
      <c r="A78" s="584"/>
      <c r="B78" s="545"/>
      <c r="D78" s="550"/>
      <c r="E78" s="550"/>
      <c r="F78" s="550"/>
      <c r="G78" s="550"/>
      <c r="H78" s="550"/>
      <c r="I78" s="566"/>
      <c r="J78" s="566"/>
      <c r="K78" s="566"/>
      <c r="L78" s="566"/>
      <c r="M78" s="575"/>
      <c r="N78" s="558"/>
      <c r="O78" s="557"/>
      <c r="P78" s="533"/>
    </row>
    <row r="79" spans="1:32" x14ac:dyDescent="0.25">
      <c r="A79" s="543"/>
      <c r="B79" s="577"/>
      <c r="C79" s="585"/>
      <c r="D79" s="543"/>
      <c r="E79" s="543"/>
      <c r="F79" s="543"/>
      <c r="G79" s="543"/>
      <c r="H79" s="543"/>
      <c r="I79" s="579"/>
      <c r="J79" s="579"/>
      <c r="K79" s="579"/>
      <c r="L79" s="579"/>
      <c r="M79" s="580"/>
      <c r="N79" s="558"/>
      <c r="O79" s="557"/>
      <c r="P79" s="533"/>
    </row>
    <row r="80" spans="1:32" s="537" customFormat="1" x14ac:dyDescent="0.25">
      <c r="A80" s="543"/>
      <c r="B80" s="579"/>
      <c r="C80" s="579"/>
      <c r="D80" s="579"/>
      <c r="E80" s="579"/>
      <c r="F80" s="579"/>
      <c r="G80" s="579"/>
      <c r="H80" s="579"/>
      <c r="I80" s="579"/>
      <c r="J80" s="579"/>
      <c r="K80" s="579"/>
      <c r="L80" s="579"/>
      <c r="M80" s="579"/>
      <c r="N80" s="566"/>
      <c r="O80" s="564"/>
      <c r="P80" s="564"/>
    </row>
    <row r="81" spans="1:16" s="537" customFormat="1" x14ac:dyDescent="0.25">
      <c r="A81" s="543" t="str">
        <f>'2016A'!A66</f>
        <v>(See Accountants' Report)</v>
      </c>
      <c r="B81" s="582"/>
      <c r="C81" s="582"/>
      <c r="D81" s="582"/>
      <c r="E81" s="582"/>
      <c r="F81" s="582"/>
      <c r="G81" s="582"/>
      <c r="H81" s="582"/>
      <c r="I81" s="582"/>
      <c r="J81" s="582"/>
      <c r="K81" s="582"/>
      <c r="L81" s="582"/>
      <c r="M81" s="582"/>
      <c r="N81" s="564"/>
      <c r="O81" s="564"/>
      <c r="P81" s="564"/>
    </row>
    <row r="82" spans="1:16" s="537" customFormat="1" hidden="1" x14ac:dyDescent="0.25">
      <c r="A82" s="578"/>
      <c r="B82" s="582"/>
      <c r="C82" s="582"/>
      <c r="D82" s="582"/>
      <c r="E82" s="582"/>
      <c r="F82" s="582"/>
      <c r="G82" s="582"/>
      <c r="H82" s="582"/>
      <c r="I82" s="582"/>
      <c r="J82" s="582"/>
      <c r="K82" s="582"/>
      <c r="L82" s="582"/>
      <c r="M82" s="582"/>
      <c r="N82" s="564"/>
      <c r="O82" s="564"/>
      <c r="P82" s="564"/>
    </row>
    <row r="83" spans="1:16" x14ac:dyDescent="0.25">
      <c r="A83" s="578"/>
      <c r="B83" s="582"/>
      <c r="C83" s="582"/>
      <c r="D83" s="582"/>
      <c r="E83" s="582"/>
      <c r="F83" s="582"/>
      <c r="G83" s="582"/>
      <c r="H83" s="582"/>
      <c r="I83" s="582"/>
      <c r="J83" s="582"/>
      <c r="K83" s="582"/>
      <c r="L83" s="582"/>
      <c r="M83" s="582"/>
      <c r="N83" s="533"/>
      <c r="O83" s="533"/>
      <c r="P83" s="533"/>
    </row>
    <row r="84" spans="1:16" x14ac:dyDescent="0.25">
      <c r="A84" s="1470">
        <f>'2016A'!A68:N68+1</f>
        <v>42</v>
      </c>
      <c r="B84" s="1470"/>
      <c r="C84" s="1470"/>
      <c r="D84" s="1470"/>
      <c r="E84" s="1470"/>
      <c r="F84" s="1470"/>
      <c r="G84" s="1470"/>
      <c r="H84" s="1470"/>
      <c r="I84" s="1470"/>
      <c r="J84" s="1470"/>
      <c r="K84" s="1470"/>
      <c r="L84" s="1470"/>
      <c r="M84" s="1470"/>
    </row>
    <row r="85" spans="1:16" x14ac:dyDescent="0.25">
      <c r="A85" s="553"/>
      <c r="B85" s="545"/>
      <c r="C85" s="554"/>
      <c r="D85" s="545"/>
      <c r="E85" s="554"/>
      <c r="F85" s="555"/>
      <c r="G85" s="556"/>
      <c r="H85" s="545"/>
      <c r="I85" s="557"/>
      <c r="J85" s="558"/>
      <c r="K85" s="557"/>
      <c r="L85" s="558"/>
      <c r="M85" s="557"/>
    </row>
    <row r="86" spans="1:16" x14ac:dyDescent="0.25">
      <c r="B86" s="545"/>
    </row>
    <row r="87" spans="1:16" x14ac:dyDescent="0.25">
      <c r="B87" s="550"/>
    </row>
  </sheetData>
  <mergeCells count="1">
    <mergeCell ref="A84:M84"/>
  </mergeCells>
  <printOptions horizontalCentered="1"/>
  <pageMargins left="0.75" right="0.75" top="0.75" bottom="0.25" header="0.3" footer="0.3"/>
  <pageSetup scale="81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G156"/>
  <sheetViews>
    <sheetView view="pageBreakPreview" zoomScale="80" zoomScaleNormal="100" zoomScaleSheetLayoutView="80" workbookViewId="0">
      <selection activeCell="A92" sqref="A92"/>
    </sheetView>
  </sheetViews>
  <sheetFormatPr defaultColWidth="15.7109375" defaultRowHeight="15.75" x14ac:dyDescent="0.25"/>
  <cols>
    <col min="1" max="1" width="9.140625" style="851" customWidth="1"/>
    <col min="2" max="2" width="1.7109375" style="851" customWidth="1"/>
    <col min="3" max="3" width="12" style="851" bestFit="1" customWidth="1"/>
    <col min="4" max="4" width="1.7109375" style="851" customWidth="1"/>
    <col min="5" max="5" width="13.85546875" style="851" bestFit="1" customWidth="1"/>
    <col min="6" max="6" width="1.7109375" style="851" customWidth="1"/>
    <col min="7" max="7" width="9" style="851" bestFit="1" customWidth="1"/>
    <col min="8" max="8" width="1.7109375" style="851" customWidth="1"/>
    <col min="9" max="9" width="13.28515625" style="851" bestFit="1" customWidth="1"/>
    <col min="10" max="10" width="2.85546875" style="851" customWidth="1"/>
    <col min="11" max="11" width="19.85546875" style="851" hidden="1" customWidth="1"/>
    <col min="12" max="12" width="1.7109375" style="851" hidden="1" customWidth="1"/>
    <col min="13" max="13" width="15" style="851" bestFit="1" customWidth="1"/>
    <col min="14" max="14" width="1.7109375" style="851" customWidth="1"/>
    <col min="15" max="15" width="15" style="851" bestFit="1" customWidth="1"/>
    <col min="16" max="16" width="2.28515625" style="851" customWidth="1"/>
    <col min="17" max="17" width="16.28515625" style="851" customWidth="1"/>
    <col min="18" max="18" width="11.28515625" style="851" bestFit="1" customWidth="1"/>
    <col min="19" max="19" width="19.42578125" style="851" bestFit="1" customWidth="1"/>
    <col min="20" max="20" width="16.5703125" style="851" customWidth="1"/>
    <col min="21" max="21" width="2.7109375" style="851" customWidth="1"/>
    <col min="22" max="22" width="14.42578125" style="851" bestFit="1" customWidth="1"/>
    <col min="23" max="23" width="2.7109375" style="851" customWidth="1"/>
    <col min="24" max="24" width="16.85546875" style="851" customWidth="1"/>
    <col min="25" max="25" width="2.7109375" style="851" customWidth="1"/>
    <col min="26" max="26" width="15.7109375" style="851"/>
    <col min="27" max="27" width="16.85546875" style="851" bestFit="1" customWidth="1"/>
    <col min="28" max="28" width="2.7109375" style="851" customWidth="1"/>
    <col min="29" max="16384" width="15.7109375" style="851"/>
  </cols>
  <sheetData>
    <row r="1" spans="1:33" x14ac:dyDescent="0.25">
      <c r="A1" s="1472" t="s">
        <v>232</v>
      </c>
      <c r="B1" s="1472"/>
      <c r="C1" s="1472"/>
      <c r="D1" s="1472"/>
      <c r="E1" s="1472"/>
      <c r="F1" s="1472"/>
      <c r="G1" s="1472"/>
      <c r="H1" s="1472"/>
      <c r="I1" s="1472"/>
      <c r="J1" s="1472"/>
      <c r="K1" s="1472"/>
      <c r="L1" s="1472"/>
      <c r="M1" s="1472"/>
      <c r="N1" s="1472"/>
      <c r="O1" s="1472"/>
      <c r="P1" s="846"/>
      <c r="Q1" s="1333"/>
      <c r="R1" s="848"/>
      <c r="S1" s="849"/>
      <c r="T1" s="850"/>
      <c r="U1" s="850"/>
      <c r="V1" s="850"/>
      <c r="W1" s="850"/>
      <c r="X1" s="850"/>
      <c r="Y1" s="850"/>
      <c r="Z1" s="850"/>
      <c r="AA1" s="850"/>
      <c r="AB1" s="850"/>
      <c r="AC1" s="850"/>
      <c r="AD1" s="850"/>
      <c r="AE1" s="850"/>
      <c r="AF1" s="850"/>
      <c r="AG1" s="850"/>
    </row>
    <row r="2" spans="1:33" x14ac:dyDescent="0.25">
      <c r="A2" s="852"/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53"/>
      <c r="P2" s="846"/>
      <c r="Q2" s="1334"/>
      <c r="R2" s="1334"/>
      <c r="S2" s="849"/>
      <c r="T2" s="850"/>
      <c r="U2" s="850"/>
      <c r="V2" s="850"/>
      <c r="W2" s="850"/>
      <c r="X2" s="850"/>
      <c r="Y2" s="850"/>
      <c r="Z2" s="850"/>
      <c r="AA2" s="850"/>
      <c r="AB2" s="850"/>
      <c r="AC2" s="850"/>
      <c r="AD2" s="850"/>
      <c r="AE2" s="850"/>
      <c r="AF2" s="850"/>
      <c r="AG2" s="850"/>
    </row>
    <row r="3" spans="1:33" x14ac:dyDescent="0.25">
      <c r="A3" s="1473" t="str">
        <f>"SCHEDULE OF AMORTIZATION OF $"&amp;TEXT($E$57, "0,000,000")&amp;" PRINCIPAL AMOUNT OF"</f>
        <v>SCHEDULE OF AMORTIZATION OF $2,509,697 PRINCIPAL AMOUNT OF</v>
      </c>
      <c r="B3" s="1473"/>
      <c r="C3" s="1473"/>
      <c r="D3" s="1473"/>
      <c r="E3" s="1473"/>
      <c r="F3" s="1473"/>
      <c r="G3" s="1473"/>
      <c r="H3" s="1473"/>
      <c r="I3" s="1473"/>
      <c r="J3" s="1473"/>
      <c r="K3" s="1473"/>
      <c r="L3" s="1473"/>
      <c r="M3" s="1473"/>
      <c r="N3" s="1473"/>
      <c r="O3" s="1473"/>
      <c r="P3" s="846"/>
      <c r="Q3" s="1334"/>
      <c r="R3" s="1334"/>
      <c r="S3" s="849"/>
      <c r="T3" s="850"/>
      <c r="U3" s="850"/>
      <c r="V3" s="850"/>
      <c r="W3" s="850"/>
      <c r="X3" s="850"/>
      <c r="Y3" s="850"/>
      <c r="Z3" s="850"/>
      <c r="AA3" s="850"/>
      <c r="AB3" s="850"/>
      <c r="AC3" s="850"/>
      <c r="AD3" s="850"/>
      <c r="AE3" s="850"/>
      <c r="AF3" s="850"/>
      <c r="AG3" s="850"/>
    </row>
    <row r="4" spans="1:33" x14ac:dyDescent="0.25">
      <c r="A4" s="1473" t="s">
        <v>712</v>
      </c>
      <c r="B4" s="1473"/>
      <c r="C4" s="1473"/>
      <c r="D4" s="1473"/>
      <c r="E4" s="1473"/>
      <c r="F4" s="1473"/>
      <c r="G4" s="1473"/>
      <c r="H4" s="1473"/>
      <c r="I4" s="1473"/>
      <c r="J4" s="1473"/>
      <c r="K4" s="1473"/>
      <c r="L4" s="1473"/>
      <c r="M4" s="1473"/>
      <c r="N4" s="1473"/>
      <c r="O4" s="1473"/>
      <c r="P4" s="846"/>
      <c r="Q4" s="848"/>
      <c r="R4" s="848"/>
      <c r="S4" s="849"/>
      <c r="T4" s="850"/>
      <c r="U4" s="850"/>
      <c r="V4" s="850"/>
      <c r="W4" s="850"/>
      <c r="X4" s="850"/>
      <c r="Y4" s="850"/>
      <c r="Z4" s="850"/>
      <c r="AA4" s="850"/>
      <c r="AB4" s="850"/>
      <c r="AC4" s="857"/>
      <c r="AD4" s="850"/>
      <c r="AE4" s="850"/>
      <c r="AF4" s="850"/>
      <c r="AG4" s="850"/>
    </row>
    <row r="5" spans="1:33" x14ac:dyDescent="0.25">
      <c r="A5" s="1474" t="s">
        <v>231</v>
      </c>
      <c r="B5" s="1474"/>
      <c r="C5" s="1474"/>
      <c r="D5" s="1474"/>
      <c r="E5" s="1474"/>
      <c r="F5" s="1474"/>
      <c r="G5" s="1474"/>
      <c r="H5" s="1474"/>
      <c r="I5" s="1474"/>
      <c r="J5" s="1474"/>
      <c r="K5" s="1474"/>
      <c r="L5" s="1474"/>
      <c r="M5" s="1474"/>
      <c r="N5" s="1474"/>
      <c r="O5" s="1474"/>
      <c r="P5" s="846"/>
      <c r="Q5" s="857"/>
      <c r="R5" s="857"/>
      <c r="S5" s="850"/>
      <c r="T5" s="850"/>
      <c r="U5" s="850"/>
      <c r="V5" s="850"/>
      <c r="W5" s="850"/>
      <c r="X5" s="850"/>
      <c r="Y5" s="850"/>
      <c r="Z5" s="850"/>
      <c r="AA5" s="850"/>
      <c r="AB5" s="850"/>
      <c r="AC5" s="857"/>
      <c r="AD5" s="850"/>
      <c r="AE5" s="850"/>
      <c r="AF5" s="850"/>
      <c r="AG5" s="850"/>
    </row>
    <row r="6" spans="1:33" x14ac:dyDescent="0.25">
      <c r="A6" s="1474" t="s">
        <v>132</v>
      </c>
      <c r="B6" s="1474"/>
      <c r="C6" s="1474"/>
      <c r="D6" s="1474"/>
      <c r="E6" s="1474"/>
      <c r="F6" s="1474"/>
      <c r="G6" s="1474"/>
      <c r="H6" s="1474"/>
      <c r="I6" s="1474"/>
      <c r="J6" s="1474"/>
      <c r="K6" s="1474"/>
      <c r="L6" s="1474"/>
      <c r="M6" s="1474"/>
      <c r="N6" s="1474"/>
      <c r="O6" s="1474"/>
      <c r="P6" s="846"/>
      <c r="Q6" s="848"/>
      <c r="R6" s="848"/>
      <c r="S6" s="858"/>
      <c r="T6" s="859"/>
      <c r="U6" s="859"/>
      <c r="V6" s="859"/>
      <c r="W6" s="859"/>
      <c r="X6" s="859"/>
      <c r="Y6" s="860"/>
      <c r="Z6" s="850"/>
      <c r="AA6" s="850"/>
      <c r="AB6" s="850"/>
      <c r="AC6" s="857"/>
      <c r="AD6" s="850"/>
      <c r="AE6" s="850"/>
      <c r="AF6" s="850"/>
      <c r="AG6" s="850"/>
    </row>
    <row r="7" spans="1:33" x14ac:dyDescent="0.25">
      <c r="A7" s="1474" t="s">
        <v>612</v>
      </c>
      <c r="B7" s="1474"/>
      <c r="C7" s="1474"/>
      <c r="D7" s="1474"/>
      <c r="E7" s="1474"/>
      <c r="F7" s="1474"/>
      <c r="G7" s="1474"/>
      <c r="H7" s="1474"/>
      <c r="I7" s="1474"/>
      <c r="J7" s="1474"/>
      <c r="K7" s="1474"/>
      <c r="L7" s="1474"/>
      <c r="M7" s="1474"/>
      <c r="N7" s="1474"/>
      <c r="O7" s="1474"/>
      <c r="P7" s="846"/>
      <c r="Q7" s="848"/>
      <c r="R7" s="848"/>
      <c r="S7" s="858"/>
      <c r="T7" s="861"/>
      <c r="U7" s="858"/>
      <c r="V7" s="862"/>
      <c r="W7" s="858"/>
      <c r="X7" s="862"/>
      <c r="Y7" s="850"/>
      <c r="Z7" s="850"/>
      <c r="AA7" s="850"/>
      <c r="AB7" s="850"/>
      <c r="AC7" s="850"/>
      <c r="AD7" s="850"/>
      <c r="AE7" s="850"/>
      <c r="AF7" s="850"/>
      <c r="AG7" s="850"/>
    </row>
    <row r="8" spans="1:33" x14ac:dyDescent="0.25">
      <c r="A8" s="1474" t="str">
        <f>'[44]Proposed Bonds 2018A1'!A9:O9</f>
        <v>(Debt Service Reserve Portion)</v>
      </c>
      <c r="B8" s="1474"/>
      <c r="C8" s="1474"/>
      <c r="D8" s="1474"/>
      <c r="E8" s="1474"/>
      <c r="F8" s="1474"/>
      <c r="G8" s="1474"/>
      <c r="H8" s="1474"/>
      <c r="I8" s="1474"/>
      <c r="J8" s="1474"/>
      <c r="K8" s="1474"/>
      <c r="L8" s="1474"/>
      <c r="M8" s="1474"/>
      <c r="N8" s="1474"/>
      <c r="O8" s="1474"/>
      <c r="P8" s="846"/>
      <c r="Q8" s="848"/>
      <c r="R8" s="848"/>
      <c r="S8" s="858"/>
      <c r="T8" s="858"/>
      <c r="U8" s="858"/>
      <c r="V8" s="858"/>
      <c r="W8" s="858"/>
      <c r="X8" s="858"/>
      <c r="Y8" s="850"/>
      <c r="Z8" s="850"/>
      <c r="AA8" s="850"/>
      <c r="AB8" s="850"/>
      <c r="AC8" s="857"/>
      <c r="AD8" s="850"/>
      <c r="AE8" s="850"/>
      <c r="AF8" s="850"/>
      <c r="AG8" s="850"/>
    </row>
    <row r="9" spans="1:33" x14ac:dyDescent="0.25">
      <c r="A9" s="863"/>
      <c r="B9" s="863"/>
      <c r="C9" s="863"/>
      <c r="D9" s="863"/>
      <c r="E9" s="863"/>
      <c r="F9" s="863"/>
      <c r="G9" s="863"/>
      <c r="H9" s="863"/>
      <c r="I9" s="863"/>
      <c r="J9" s="863"/>
      <c r="K9" s="863"/>
      <c r="L9" s="863"/>
      <c r="M9" s="863"/>
      <c r="N9" s="863"/>
      <c r="O9" s="863"/>
      <c r="P9" s="846"/>
      <c r="Q9" s="848"/>
      <c r="R9" s="848"/>
      <c r="S9" s="858"/>
      <c r="T9" s="858"/>
      <c r="U9" s="858"/>
      <c r="V9" s="858"/>
      <c r="W9" s="858"/>
      <c r="X9" s="858"/>
      <c r="Y9" s="850"/>
      <c r="Z9" s="850"/>
      <c r="AA9" s="850"/>
      <c r="AB9" s="850"/>
      <c r="AC9" s="857"/>
      <c r="AD9" s="850"/>
      <c r="AE9" s="850"/>
      <c r="AF9" s="850"/>
      <c r="AG9" s="850"/>
    </row>
    <row r="10" spans="1:33" x14ac:dyDescent="0.25">
      <c r="A10" s="864" t="s">
        <v>29</v>
      </c>
      <c r="B10" s="865"/>
      <c r="C10" s="864" t="s">
        <v>30</v>
      </c>
      <c r="D10" s="865"/>
      <c r="E10" s="865"/>
      <c r="F10" s="865"/>
      <c r="G10" s="866" t="s">
        <v>31</v>
      </c>
      <c r="H10" s="865"/>
      <c r="I10" s="867" t="s">
        <v>32</v>
      </c>
      <c r="J10" s="867"/>
      <c r="K10" s="867"/>
      <c r="L10" s="867"/>
      <c r="M10" s="867"/>
      <c r="N10" s="865"/>
      <c r="O10" s="864" t="s">
        <v>33</v>
      </c>
      <c r="P10" s="846"/>
      <c r="Q10" s="848"/>
      <c r="R10" s="848"/>
      <c r="S10" s="858"/>
      <c r="T10" s="858"/>
      <c r="U10" s="858"/>
      <c r="V10" s="858"/>
      <c r="W10" s="858"/>
      <c r="X10" s="858"/>
      <c r="Y10" s="850"/>
      <c r="Z10" s="850"/>
      <c r="AA10" s="850"/>
      <c r="AB10" s="850"/>
      <c r="AC10" s="857"/>
      <c r="AD10" s="850"/>
      <c r="AE10" s="850"/>
      <c r="AF10" s="850"/>
      <c r="AG10" s="850"/>
    </row>
    <row r="11" spans="1:33" x14ac:dyDescent="0.25">
      <c r="A11" s="868" t="s">
        <v>9</v>
      </c>
      <c r="B11" s="865"/>
      <c r="C11" s="868" t="s">
        <v>34</v>
      </c>
      <c r="D11" s="865"/>
      <c r="E11" s="868" t="s">
        <v>30</v>
      </c>
      <c r="F11" s="864"/>
      <c r="G11" s="868" t="s">
        <v>479</v>
      </c>
      <c r="H11" s="865"/>
      <c r="I11" s="868" t="s">
        <v>31</v>
      </c>
      <c r="J11" s="866"/>
      <c r="K11" s="869" t="s">
        <v>682</v>
      </c>
      <c r="L11" s="870"/>
      <c r="M11" s="868" t="s">
        <v>35</v>
      </c>
      <c r="N11" s="865"/>
      <c r="O11" s="868" t="s">
        <v>35</v>
      </c>
      <c r="P11" s="871"/>
      <c r="Q11" s="848"/>
      <c r="R11" s="848"/>
      <c r="S11" s="537"/>
      <c r="T11" s="537"/>
      <c r="U11" s="537"/>
      <c r="V11" s="537"/>
      <c r="W11" s="537"/>
      <c r="X11" s="537"/>
      <c r="Y11" s="850"/>
      <c r="Z11" s="850"/>
      <c r="AA11" s="850"/>
      <c r="AB11" s="850"/>
      <c r="AC11" s="850"/>
      <c r="AD11" s="850"/>
      <c r="AE11" s="850"/>
      <c r="AF11" s="850"/>
      <c r="AG11" s="850"/>
    </row>
    <row r="12" spans="1:33" x14ac:dyDescent="0.25">
      <c r="A12" s="872"/>
      <c r="B12" s="865"/>
      <c r="C12" s="1475" t="s">
        <v>713</v>
      </c>
      <c r="D12" s="1475"/>
      <c r="E12" s="1475"/>
      <c r="F12" s="873"/>
      <c r="G12" s="866" t="s">
        <v>36</v>
      </c>
      <c r="H12" s="845"/>
      <c r="I12" s="1475" t="s">
        <v>124</v>
      </c>
      <c r="J12" s="1475"/>
      <c r="K12" s="1475"/>
      <c r="L12" s="1475"/>
      <c r="M12" s="1475"/>
      <c r="N12" s="1475"/>
      <c r="O12" s="1475"/>
      <c r="P12" s="871"/>
      <c r="Q12" s="848"/>
      <c r="R12" s="848"/>
      <c r="S12" s="537"/>
      <c r="T12" s="543"/>
      <c r="U12" s="543"/>
      <c r="V12" s="543"/>
      <c r="W12" s="543"/>
      <c r="X12" s="543"/>
      <c r="Y12" s="850"/>
      <c r="Z12" s="850"/>
      <c r="AA12" s="850"/>
      <c r="AB12" s="850"/>
      <c r="AC12" s="857"/>
      <c r="AD12" s="850"/>
      <c r="AE12" s="850"/>
      <c r="AF12" s="850"/>
      <c r="AG12" s="850"/>
    </row>
    <row r="13" spans="1:33" x14ac:dyDescent="0.25">
      <c r="A13" s="872"/>
      <c r="B13" s="865"/>
      <c r="C13" s="873"/>
      <c r="D13" s="845"/>
      <c r="E13" s="873"/>
      <c r="F13" s="873"/>
      <c r="G13" s="866"/>
      <c r="H13" s="845"/>
      <c r="I13" s="873"/>
      <c r="J13" s="873"/>
      <c r="K13" s="873"/>
      <c r="L13" s="874"/>
      <c r="M13" s="873"/>
      <c r="N13" s="845"/>
      <c r="O13" s="873"/>
      <c r="P13" s="871"/>
      <c r="Q13" s="875"/>
      <c r="R13" s="848"/>
      <c r="S13" s="537"/>
      <c r="T13" s="1326"/>
      <c r="U13" s="537"/>
      <c r="V13" s="546"/>
      <c r="W13" s="546"/>
      <c r="X13" s="546"/>
      <c r="Y13" s="850"/>
      <c r="Z13" s="850"/>
      <c r="AA13" s="850"/>
      <c r="AB13" s="850"/>
      <c r="AC13" s="857"/>
      <c r="AD13" s="850"/>
      <c r="AE13" s="850"/>
      <c r="AF13" s="850"/>
      <c r="AG13" s="850"/>
    </row>
    <row r="14" spans="1:33" hidden="1" x14ac:dyDescent="0.25">
      <c r="A14" s="876">
        <v>43647</v>
      </c>
      <c r="B14" s="865"/>
      <c r="C14" s="877"/>
      <c r="D14" s="865"/>
      <c r="E14" s="878"/>
      <c r="F14" s="878"/>
      <c r="G14" s="879"/>
      <c r="H14" s="865"/>
      <c r="I14" s="880">
        <f>ROUND((+E14*G14/100/2+I15*(Q5/180)),2)</f>
        <v>0</v>
      </c>
      <c r="J14" s="880"/>
      <c r="K14" s="880"/>
      <c r="L14" s="881"/>
      <c r="M14" s="880">
        <f>E14*1000+I14+K14</f>
        <v>0</v>
      </c>
      <c r="N14" s="881"/>
      <c r="O14" s="881"/>
      <c r="P14" s="882"/>
      <c r="Q14" s="848"/>
      <c r="R14" s="883"/>
      <c r="S14" s="537"/>
      <c r="T14" s="537"/>
      <c r="U14" s="537"/>
      <c r="V14" s="537"/>
      <c r="W14" s="537"/>
      <c r="X14" s="537"/>
      <c r="Y14" s="850"/>
      <c r="Z14" s="884"/>
      <c r="AA14" s="850"/>
      <c r="AB14" s="850"/>
      <c r="AC14" s="850"/>
      <c r="AD14" s="850"/>
      <c r="AE14" s="850"/>
      <c r="AF14" s="850"/>
      <c r="AG14" s="850"/>
    </row>
    <row r="15" spans="1:33" hidden="1" x14ac:dyDescent="0.25">
      <c r="A15" s="876">
        <v>43831</v>
      </c>
      <c r="B15" s="865"/>
      <c r="C15" s="877">
        <f>E57</f>
        <v>2509697</v>
      </c>
      <c r="D15" s="865"/>
      <c r="E15" s="877"/>
      <c r="F15" s="878"/>
      <c r="G15" s="885"/>
      <c r="H15" s="865"/>
      <c r="I15" s="881">
        <f t="shared" ref="I15:I21" si="0">ROUND((+E15*G15/100/2+I16),2)</f>
        <v>86255</v>
      </c>
      <c r="J15" s="881"/>
      <c r="K15" s="881"/>
      <c r="L15" s="881"/>
      <c r="M15" s="881">
        <f t="shared" ref="M15:M54" si="1">E15*1000+I15</f>
        <v>86255</v>
      </c>
      <c r="N15" s="881"/>
      <c r="O15" s="880">
        <f>M14+M15</f>
        <v>86255</v>
      </c>
      <c r="P15" s="882"/>
      <c r="Q15" s="848"/>
      <c r="R15" s="887"/>
      <c r="S15" s="537"/>
      <c r="T15" s="537"/>
      <c r="U15" s="537"/>
      <c r="V15" s="537"/>
      <c r="W15" s="537"/>
      <c r="X15" s="537"/>
      <c r="Y15" s="850"/>
      <c r="Z15" s="884"/>
      <c r="AA15" s="850"/>
      <c r="AB15" s="850"/>
      <c r="AC15" s="850"/>
      <c r="AD15" s="850"/>
      <c r="AE15" s="850"/>
      <c r="AF15" s="850"/>
      <c r="AG15" s="850"/>
    </row>
    <row r="16" spans="1:33" hidden="1" x14ac:dyDescent="0.25">
      <c r="A16" s="876">
        <v>44013</v>
      </c>
      <c r="B16" s="865"/>
      <c r="C16" s="878"/>
      <c r="E16" s="878"/>
      <c r="G16" s="879"/>
      <c r="H16" s="865"/>
      <c r="I16" s="888">
        <f t="shared" si="0"/>
        <v>86255</v>
      </c>
      <c r="J16" s="881"/>
      <c r="K16" s="881"/>
      <c r="L16" s="881"/>
      <c r="M16" s="888">
        <f t="shared" si="1"/>
        <v>86255</v>
      </c>
      <c r="N16" s="881"/>
      <c r="O16" s="881"/>
      <c r="P16" s="882"/>
      <c r="Q16" s="848"/>
      <c r="R16" s="883"/>
      <c r="S16" s="537"/>
      <c r="T16" s="549"/>
      <c r="U16" s="537"/>
      <c r="V16" s="537"/>
      <c r="W16" s="537"/>
      <c r="X16" s="537"/>
      <c r="Y16" s="850"/>
      <c r="Z16" s="889"/>
      <c r="AA16" s="890"/>
      <c r="AB16" s="850"/>
      <c r="AC16" s="850"/>
      <c r="AD16" s="850"/>
      <c r="AE16" s="850"/>
      <c r="AF16" s="850"/>
      <c r="AG16" s="850"/>
    </row>
    <row r="17" spans="1:33" hidden="1" x14ac:dyDescent="0.25">
      <c r="A17" s="876">
        <v>44197</v>
      </c>
      <c r="B17" s="865"/>
      <c r="C17" s="891">
        <v>5308000</v>
      </c>
      <c r="D17" s="865"/>
      <c r="E17" s="877">
        <v>2798303</v>
      </c>
      <c r="F17" s="878"/>
      <c r="G17" s="879">
        <v>3.25</v>
      </c>
      <c r="H17" s="865"/>
      <c r="I17" s="881">
        <f t="shared" si="0"/>
        <v>86255</v>
      </c>
      <c r="J17" s="881"/>
      <c r="K17" s="881"/>
      <c r="L17" s="881"/>
      <c r="M17" s="881">
        <f>E17+I17</f>
        <v>2884558</v>
      </c>
      <c r="N17" s="881"/>
      <c r="O17" s="888">
        <f>M16+M17</f>
        <v>2970813</v>
      </c>
      <c r="P17" s="882"/>
      <c r="Q17" s="848"/>
      <c r="R17" s="883"/>
      <c r="S17" s="537"/>
      <c r="T17" s="537"/>
      <c r="U17" s="537"/>
      <c r="V17" s="537"/>
      <c r="W17" s="537"/>
      <c r="X17" s="537"/>
      <c r="Y17" s="850"/>
      <c r="Z17" s="889"/>
      <c r="AA17" s="890"/>
      <c r="AB17" s="850"/>
      <c r="AC17" s="850"/>
      <c r="AD17" s="850"/>
      <c r="AE17" s="850"/>
      <c r="AF17" s="850"/>
      <c r="AG17" s="850"/>
    </row>
    <row r="18" spans="1:33" x14ac:dyDescent="0.25">
      <c r="A18" s="876">
        <v>44378</v>
      </c>
      <c r="B18" s="865"/>
      <c r="C18" s="878"/>
      <c r="D18" s="865"/>
      <c r="E18" s="878"/>
      <c r="F18" s="878"/>
      <c r="G18" s="879"/>
      <c r="H18" s="865"/>
      <c r="I18" s="880">
        <f t="shared" si="0"/>
        <v>40782.58</v>
      </c>
      <c r="J18" s="881"/>
      <c r="K18" s="881"/>
      <c r="L18" s="881"/>
      <c r="M18" s="880">
        <f t="shared" si="1"/>
        <v>40782.58</v>
      </c>
      <c r="N18" s="881"/>
      <c r="O18" s="881"/>
      <c r="P18" s="882"/>
      <c r="Q18" s="848"/>
      <c r="R18" s="883"/>
      <c r="S18" s="537"/>
      <c r="T18" s="549"/>
      <c r="U18" s="537"/>
      <c r="V18" s="549"/>
      <c r="W18" s="549"/>
      <c r="X18" s="1327"/>
      <c r="Y18" s="850"/>
      <c r="Z18" s="889"/>
      <c r="AA18" s="892"/>
      <c r="AB18" s="850"/>
      <c r="AC18" s="850"/>
      <c r="AD18" s="850"/>
      <c r="AE18" s="850"/>
      <c r="AF18" s="850"/>
      <c r="AG18" s="850"/>
    </row>
    <row r="19" spans="1:33" x14ac:dyDescent="0.25">
      <c r="A19" s="876">
        <v>44562</v>
      </c>
      <c r="B19" s="865"/>
      <c r="C19" s="877">
        <f>C17-E17</f>
        <v>2509697</v>
      </c>
      <c r="D19" s="865"/>
      <c r="E19" s="877">
        <v>2509697</v>
      </c>
      <c r="F19" s="879"/>
      <c r="G19" s="879">
        <f>G17</f>
        <v>3.25</v>
      </c>
      <c r="H19" s="865"/>
      <c r="I19" s="881">
        <f t="shared" si="0"/>
        <v>40782.58</v>
      </c>
      <c r="J19" s="881"/>
      <c r="K19" s="881"/>
      <c r="L19" s="881"/>
      <c r="M19" s="881">
        <f>E19+I19</f>
        <v>2550479.58</v>
      </c>
      <c r="N19" s="881"/>
      <c r="O19" s="880">
        <f>M18+M19</f>
        <v>2591262.16</v>
      </c>
      <c r="P19" s="882"/>
      <c r="Q19" s="848"/>
      <c r="R19" s="883"/>
      <c r="S19" s="889"/>
      <c r="T19" s="890"/>
      <c r="U19" s="850"/>
      <c r="V19" s="850"/>
      <c r="W19" s="850"/>
      <c r="X19" s="850"/>
      <c r="Y19" s="850"/>
      <c r="Z19" s="889"/>
      <c r="AA19" s="892"/>
      <c r="AB19" s="850"/>
      <c r="AC19" s="850"/>
      <c r="AD19" s="850"/>
      <c r="AE19" s="850"/>
      <c r="AF19" s="850"/>
      <c r="AG19" s="850"/>
    </row>
    <row r="20" spans="1:33" hidden="1" x14ac:dyDescent="0.25">
      <c r="A20" s="876">
        <v>44743</v>
      </c>
      <c r="B20" s="865"/>
      <c r="C20" s="878"/>
      <c r="D20" s="865"/>
      <c r="E20" s="894"/>
      <c r="F20" s="878"/>
      <c r="G20" s="879"/>
      <c r="H20" s="865"/>
      <c r="I20" s="881">
        <f t="shared" si="0"/>
        <v>0</v>
      </c>
      <c r="J20" s="881"/>
      <c r="K20" s="881"/>
      <c r="L20" s="881"/>
      <c r="M20" s="881">
        <f t="shared" si="1"/>
        <v>0</v>
      </c>
      <c r="N20" s="881"/>
      <c r="O20" s="881"/>
      <c r="P20" s="882"/>
      <c r="Q20" s="848"/>
      <c r="R20" s="883"/>
      <c r="S20" s="889"/>
      <c r="T20" s="890"/>
      <c r="U20" s="850"/>
      <c r="V20" s="850"/>
      <c r="W20" s="850"/>
      <c r="X20" s="850"/>
      <c r="Y20" s="850"/>
      <c r="Z20" s="889"/>
      <c r="AA20" s="890"/>
      <c r="AB20" s="850"/>
      <c r="AC20" s="850"/>
      <c r="AD20" s="850"/>
      <c r="AE20" s="850"/>
      <c r="AF20" s="850"/>
      <c r="AG20" s="850"/>
    </row>
    <row r="21" spans="1:33" hidden="1" x14ac:dyDescent="0.25">
      <c r="A21" s="876">
        <v>44927</v>
      </c>
      <c r="B21" s="865"/>
      <c r="C21" s="878">
        <f>C19-E19</f>
        <v>0</v>
      </c>
      <c r="D21" s="865"/>
      <c r="E21" s="878">
        <v>0</v>
      </c>
      <c r="F21" s="878"/>
      <c r="G21" s="879">
        <v>0</v>
      </c>
      <c r="H21" s="865"/>
      <c r="I21" s="881">
        <f t="shared" si="0"/>
        <v>0</v>
      </c>
      <c r="J21" s="881"/>
      <c r="K21" s="881"/>
      <c r="L21" s="881"/>
      <c r="M21" s="881">
        <f>E21+I21</f>
        <v>0</v>
      </c>
      <c r="N21" s="881"/>
      <c r="O21" s="881">
        <f>M20+M21</f>
        <v>0</v>
      </c>
      <c r="P21" s="882"/>
      <c r="Q21" s="848"/>
      <c r="R21" s="883"/>
      <c r="S21" s="889"/>
      <c r="T21" s="890"/>
      <c r="U21" s="850"/>
      <c r="V21" s="850"/>
      <c r="W21" s="850"/>
      <c r="X21" s="850"/>
      <c r="Y21" s="850"/>
      <c r="Z21" s="889"/>
      <c r="AA21" s="892"/>
      <c r="AB21" s="850"/>
      <c r="AC21" s="850"/>
      <c r="AD21" s="850"/>
      <c r="AE21" s="850"/>
      <c r="AF21" s="850"/>
      <c r="AG21" s="850"/>
    </row>
    <row r="22" spans="1:33" hidden="1" x14ac:dyDescent="0.25">
      <c r="A22" s="876">
        <v>45108</v>
      </c>
      <c r="B22" s="865"/>
      <c r="C22" s="878"/>
      <c r="D22" s="865"/>
      <c r="E22" s="894"/>
      <c r="F22" s="878"/>
      <c r="G22" s="879"/>
      <c r="H22" s="865"/>
      <c r="I22" s="881">
        <f t="shared" ref="I22:I51" si="2">ROUND((+E22*1000*G22/100/2+I23),2)</f>
        <v>0</v>
      </c>
      <c r="J22" s="881"/>
      <c r="K22" s="881"/>
      <c r="L22" s="881"/>
      <c r="M22" s="881">
        <f t="shared" si="1"/>
        <v>0</v>
      </c>
      <c r="N22" s="881"/>
      <c r="O22" s="881"/>
      <c r="P22" s="882"/>
      <c r="Q22" s="848"/>
      <c r="R22" s="883"/>
      <c r="S22" s="889"/>
      <c r="T22" s="890"/>
      <c r="U22" s="850"/>
      <c r="V22" s="850"/>
      <c r="W22" s="850"/>
      <c r="X22" s="850"/>
      <c r="Y22" s="850"/>
      <c r="Z22" s="850"/>
      <c r="AA22" s="892"/>
      <c r="AB22" s="850"/>
      <c r="AC22" s="850"/>
      <c r="AD22" s="850"/>
      <c r="AE22" s="850"/>
      <c r="AF22" s="850"/>
      <c r="AG22" s="850"/>
    </row>
    <row r="23" spans="1:33" hidden="1" x14ac:dyDescent="0.25">
      <c r="A23" s="876">
        <v>45292</v>
      </c>
      <c r="B23" s="865"/>
      <c r="C23" s="878">
        <f>C21-E21</f>
        <v>0</v>
      </c>
      <c r="D23" s="865"/>
      <c r="E23" s="894"/>
      <c r="F23" s="878"/>
      <c r="G23" s="879">
        <f>G21</f>
        <v>0</v>
      </c>
      <c r="H23" s="865"/>
      <c r="I23" s="881">
        <f t="shared" si="2"/>
        <v>0</v>
      </c>
      <c r="J23" s="881"/>
      <c r="K23" s="881"/>
      <c r="L23" s="881"/>
      <c r="M23" s="881">
        <f t="shared" si="1"/>
        <v>0</v>
      </c>
      <c r="N23" s="881"/>
      <c r="O23" s="881">
        <f>M22+M23</f>
        <v>0</v>
      </c>
      <c r="P23" s="882"/>
      <c r="Q23" s="848"/>
      <c r="R23" s="883"/>
      <c r="S23" s="889"/>
      <c r="T23" s="890"/>
      <c r="U23" s="850"/>
      <c r="V23" s="850"/>
      <c r="W23" s="850"/>
      <c r="X23" s="850"/>
      <c r="Y23" s="850"/>
      <c r="Z23" s="850"/>
      <c r="AA23" s="850"/>
      <c r="AB23" s="850"/>
      <c r="AC23" s="850"/>
      <c r="AD23" s="850"/>
      <c r="AE23" s="850"/>
      <c r="AF23" s="850"/>
      <c r="AG23" s="850"/>
    </row>
    <row r="24" spans="1:33" hidden="1" x14ac:dyDescent="0.25">
      <c r="A24" s="876">
        <v>45474</v>
      </c>
      <c r="B24" s="865"/>
      <c r="C24" s="878"/>
      <c r="D24" s="865"/>
      <c r="E24" s="894"/>
      <c r="F24" s="878"/>
      <c r="G24" s="879"/>
      <c r="H24" s="865"/>
      <c r="I24" s="881">
        <f t="shared" si="2"/>
        <v>0</v>
      </c>
      <c r="J24" s="881"/>
      <c r="K24" s="881"/>
      <c r="L24" s="881"/>
      <c r="M24" s="881">
        <f>E24*1000+I24</f>
        <v>0</v>
      </c>
      <c r="N24" s="881"/>
      <c r="O24" s="881"/>
      <c r="P24" s="882"/>
      <c r="Q24" s="848"/>
      <c r="R24" s="883"/>
      <c r="S24" s="889"/>
      <c r="T24" s="890"/>
      <c r="U24" s="850"/>
      <c r="V24" s="850"/>
      <c r="W24" s="850"/>
      <c r="X24" s="850"/>
      <c r="Y24" s="850"/>
      <c r="Z24" s="850"/>
      <c r="AA24" s="895"/>
      <c r="AB24" s="850"/>
      <c r="AC24" s="850"/>
      <c r="AD24" s="850"/>
      <c r="AE24" s="850"/>
      <c r="AF24" s="850"/>
      <c r="AG24" s="850"/>
    </row>
    <row r="25" spans="1:33" hidden="1" x14ac:dyDescent="0.25">
      <c r="A25" s="876">
        <v>45658</v>
      </c>
      <c r="B25" s="865"/>
      <c r="C25" s="878">
        <f>C23-E23</f>
        <v>0</v>
      </c>
      <c r="D25" s="865"/>
      <c r="E25" s="894"/>
      <c r="F25" s="878"/>
      <c r="G25" s="879">
        <f>G23</f>
        <v>0</v>
      </c>
      <c r="H25" s="865"/>
      <c r="I25" s="881">
        <f t="shared" si="2"/>
        <v>0</v>
      </c>
      <c r="J25" s="881"/>
      <c r="K25" s="881"/>
      <c r="L25" s="881"/>
      <c r="M25" s="881">
        <f>E25*1000+I25</f>
        <v>0</v>
      </c>
      <c r="N25" s="881"/>
      <c r="O25" s="881">
        <f>M24+M25</f>
        <v>0</v>
      </c>
      <c r="P25" s="882"/>
      <c r="Q25" s="848"/>
      <c r="R25" s="883"/>
      <c r="S25" s="889"/>
      <c r="T25" s="890"/>
      <c r="U25" s="850"/>
      <c r="V25" s="850"/>
      <c r="W25" s="850"/>
      <c r="X25" s="850"/>
      <c r="Y25" s="850"/>
      <c r="Z25" s="850"/>
      <c r="AA25" s="850"/>
      <c r="AB25" s="850"/>
      <c r="AC25" s="850"/>
      <c r="AD25" s="850"/>
      <c r="AE25" s="850"/>
      <c r="AF25" s="850"/>
      <c r="AG25" s="850"/>
    </row>
    <row r="26" spans="1:33" hidden="1" x14ac:dyDescent="0.25">
      <c r="A26" s="876">
        <v>45839</v>
      </c>
      <c r="B26" s="865"/>
      <c r="C26" s="878"/>
      <c r="D26" s="865"/>
      <c r="E26" s="894"/>
      <c r="F26" s="878"/>
      <c r="G26" s="879"/>
      <c r="H26" s="865"/>
      <c r="I26" s="881">
        <f t="shared" si="2"/>
        <v>0</v>
      </c>
      <c r="J26" s="881"/>
      <c r="K26" s="881"/>
      <c r="L26" s="881"/>
      <c r="M26" s="881">
        <f t="shared" si="1"/>
        <v>0</v>
      </c>
      <c r="N26" s="881"/>
      <c r="O26" s="881"/>
      <c r="P26" s="882"/>
      <c r="Q26" s="848"/>
      <c r="R26" s="883"/>
      <c r="S26" s="889"/>
      <c r="T26" s="890"/>
      <c r="U26" s="850"/>
      <c r="V26" s="850"/>
      <c r="W26" s="850"/>
      <c r="X26" s="850"/>
      <c r="Y26" s="850"/>
      <c r="Z26" s="850"/>
      <c r="AA26" s="850"/>
      <c r="AB26" s="850"/>
      <c r="AC26" s="850"/>
      <c r="AD26" s="850"/>
      <c r="AE26" s="850"/>
      <c r="AF26" s="850"/>
      <c r="AG26" s="850"/>
    </row>
    <row r="27" spans="1:33" hidden="1" x14ac:dyDescent="0.25">
      <c r="A27" s="876">
        <v>46023</v>
      </c>
      <c r="B27" s="865"/>
      <c r="C27" s="878">
        <f>C25-E25</f>
        <v>0</v>
      </c>
      <c r="D27" s="865"/>
      <c r="E27" s="894"/>
      <c r="F27" s="878"/>
      <c r="G27" s="879">
        <f>G25</f>
        <v>0</v>
      </c>
      <c r="H27" s="865"/>
      <c r="I27" s="881">
        <f t="shared" si="2"/>
        <v>0</v>
      </c>
      <c r="J27" s="881"/>
      <c r="K27" s="881"/>
      <c r="L27" s="881"/>
      <c r="M27" s="881">
        <f t="shared" si="1"/>
        <v>0</v>
      </c>
      <c r="N27" s="881"/>
      <c r="O27" s="881">
        <f>M26+M27</f>
        <v>0</v>
      </c>
      <c r="P27" s="882"/>
      <c r="Q27" s="848"/>
      <c r="R27" s="883"/>
      <c r="S27" s="889"/>
      <c r="T27" s="890"/>
      <c r="U27" s="850"/>
      <c r="V27" s="850"/>
      <c r="W27" s="850"/>
      <c r="X27" s="850"/>
      <c r="Y27" s="850"/>
      <c r="Z27" s="850"/>
      <c r="AA27" s="850"/>
      <c r="AB27" s="850"/>
      <c r="AC27" s="850"/>
      <c r="AD27" s="850"/>
      <c r="AE27" s="850"/>
      <c r="AF27" s="850"/>
      <c r="AG27" s="850"/>
    </row>
    <row r="28" spans="1:33" hidden="1" x14ac:dyDescent="0.25">
      <c r="A28" s="876">
        <v>46204</v>
      </c>
      <c r="B28" s="865"/>
      <c r="C28" s="878"/>
      <c r="D28" s="865"/>
      <c r="E28" s="894"/>
      <c r="F28" s="878"/>
      <c r="G28" s="879"/>
      <c r="H28" s="865"/>
      <c r="I28" s="881">
        <f t="shared" si="2"/>
        <v>0</v>
      </c>
      <c r="J28" s="881"/>
      <c r="K28" s="881"/>
      <c r="L28" s="881"/>
      <c r="M28" s="881">
        <f t="shared" si="1"/>
        <v>0</v>
      </c>
      <c r="N28" s="881"/>
      <c r="O28" s="881"/>
      <c r="P28" s="882"/>
      <c r="Q28" s="848"/>
      <c r="R28" s="883"/>
      <c r="S28" s="889"/>
      <c r="T28" s="890"/>
      <c r="U28" s="850"/>
      <c r="V28" s="850"/>
      <c r="W28" s="850"/>
      <c r="X28" s="848"/>
      <c r="Y28" s="850"/>
      <c r="Z28" s="884"/>
      <c r="AA28" s="882"/>
      <c r="AB28" s="850"/>
      <c r="AC28" s="850"/>
      <c r="AD28" s="850"/>
      <c r="AE28" s="850"/>
      <c r="AF28" s="850"/>
      <c r="AG28" s="850"/>
    </row>
    <row r="29" spans="1:33" hidden="1" x14ac:dyDescent="0.25">
      <c r="A29" s="876">
        <v>46388</v>
      </c>
      <c r="B29" s="865"/>
      <c r="C29" s="878">
        <f>C27-E27</f>
        <v>0</v>
      </c>
      <c r="D29" s="865"/>
      <c r="E29" s="894"/>
      <c r="F29" s="878"/>
      <c r="G29" s="879">
        <f>G27</f>
        <v>0</v>
      </c>
      <c r="H29" s="865"/>
      <c r="I29" s="881">
        <f t="shared" si="2"/>
        <v>0</v>
      </c>
      <c r="J29" s="881"/>
      <c r="K29" s="881"/>
      <c r="L29" s="881"/>
      <c r="M29" s="881">
        <f t="shared" si="1"/>
        <v>0</v>
      </c>
      <c r="N29" s="881"/>
      <c r="O29" s="881">
        <f>M28+M29</f>
        <v>0</v>
      </c>
      <c r="P29" s="882"/>
      <c r="Q29" s="848"/>
      <c r="R29" s="883"/>
      <c r="S29" s="889"/>
      <c r="T29" s="890"/>
      <c r="U29" s="850"/>
      <c r="V29" s="850"/>
      <c r="W29" s="850"/>
      <c r="X29" s="896"/>
      <c r="Y29" s="850"/>
      <c r="Z29" s="884"/>
      <c r="AA29" s="850"/>
      <c r="AB29" s="850"/>
      <c r="AC29" s="850"/>
      <c r="AD29" s="850"/>
      <c r="AE29" s="850"/>
      <c r="AF29" s="850"/>
      <c r="AG29" s="850"/>
    </row>
    <row r="30" spans="1:33" hidden="1" x14ac:dyDescent="0.25">
      <c r="A30" s="876">
        <v>46569</v>
      </c>
      <c r="B30" s="865"/>
      <c r="C30" s="878"/>
      <c r="D30" s="865"/>
      <c r="E30" s="894"/>
      <c r="F30" s="878"/>
      <c r="G30" s="879"/>
      <c r="H30" s="865"/>
      <c r="I30" s="881">
        <f t="shared" si="2"/>
        <v>0</v>
      </c>
      <c r="J30" s="881"/>
      <c r="K30" s="881"/>
      <c r="L30" s="881"/>
      <c r="M30" s="881">
        <f t="shared" si="1"/>
        <v>0</v>
      </c>
      <c r="N30" s="881"/>
      <c r="O30" s="881"/>
      <c r="P30" s="882"/>
      <c r="Q30" s="848"/>
      <c r="R30" s="883"/>
      <c r="S30" s="889"/>
      <c r="T30" s="890"/>
      <c r="U30" s="850"/>
      <c r="V30" s="850"/>
      <c r="W30" s="850"/>
      <c r="X30" s="848"/>
      <c r="Y30" s="850"/>
      <c r="Z30" s="884"/>
      <c r="AA30" s="850"/>
      <c r="AB30" s="850"/>
      <c r="AC30" s="850"/>
      <c r="AD30" s="850"/>
      <c r="AE30" s="850"/>
      <c r="AF30" s="850"/>
      <c r="AG30" s="850"/>
    </row>
    <row r="31" spans="1:33" hidden="1" x14ac:dyDescent="0.25">
      <c r="A31" s="876">
        <v>46753</v>
      </c>
      <c r="B31" s="865"/>
      <c r="C31" s="878">
        <f>C29-E29</f>
        <v>0</v>
      </c>
      <c r="D31" s="865"/>
      <c r="E31" s="894"/>
      <c r="F31" s="878"/>
      <c r="G31" s="879">
        <f>G29</f>
        <v>0</v>
      </c>
      <c r="H31" s="865"/>
      <c r="I31" s="881">
        <f t="shared" si="2"/>
        <v>0</v>
      </c>
      <c r="J31" s="881"/>
      <c r="K31" s="881"/>
      <c r="L31" s="881"/>
      <c r="M31" s="881">
        <f t="shared" si="1"/>
        <v>0</v>
      </c>
      <c r="N31" s="881"/>
      <c r="O31" s="881">
        <f>M30+M31</f>
        <v>0</v>
      </c>
      <c r="P31" s="882"/>
      <c r="Q31" s="848"/>
      <c r="R31" s="883"/>
      <c r="S31" s="889"/>
      <c r="T31" s="890"/>
      <c r="U31" s="850"/>
      <c r="V31" s="850"/>
      <c r="W31" s="850"/>
      <c r="X31" s="848"/>
      <c r="Y31" s="850"/>
      <c r="Z31" s="884"/>
      <c r="AA31" s="850"/>
      <c r="AB31" s="850"/>
      <c r="AC31" s="850"/>
      <c r="AD31" s="850"/>
      <c r="AE31" s="850"/>
      <c r="AF31" s="850"/>
      <c r="AG31" s="850"/>
    </row>
    <row r="32" spans="1:33" hidden="1" x14ac:dyDescent="0.25">
      <c r="A32" s="876">
        <v>46935</v>
      </c>
      <c r="B32" s="865"/>
      <c r="C32" s="878"/>
      <c r="D32" s="865"/>
      <c r="E32" s="894"/>
      <c r="F32" s="878"/>
      <c r="G32" s="879"/>
      <c r="H32" s="865"/>
      <c r="I32" s="881">
        <f t="shared" si="2"/>
        <v>0</v>
      </c>
      <c r="J32" s="881"/>
      <c r="K32" s="881"/>
      <c r="L32" s="881"/>
      <c r="M32" s="881">
        <f t="shared" si="1"/>
        <v>0</v>
      </c>
      <c r="N32" s="881"/>
      <c r="O32" s="881"/>
      <c r="P32" s="882"/>
      <c r="Q32" s="848"/>
      <c r="R32" s="883"/>
      <c r="S32" s="889"/>
      <c r="T32" s="890"/>
      <c r="U32" s="850"/>
      <c r="V32" s="850"/>
      <c r="W32" s="850"/>
      <c r="X32" s="848"/>
      <c r="Y32" s="850"/>
      <c r="Z32" s="884"/>
      <c r="AA32" s="850"/>
      <c r="AB32" s="850"/>
      <c r="AC32" s="850"/>
      <c r="AD32" s="850"/>
      <c r="AE32" s="850"/>
      <c r="AF32" s="850"/>
      <c r="AG32" s="850"/>
    </row>
    <row r="33" spans="1:33" hidden="1" x14ac:dyDescent="0.25">
      <c r="A33" s="876">
        <v>47119</v>
      </c>
      <c r="B33" s="865"/>
      <c r="C33" s="878">
        <f>C31-E31</f>
        <v>0</v>
      </c>
      <c r="D33" s="865"/>
      <c r="E33" s="894"/>
      <c r="F33" s="878"/>
      <c r="G33" s="879">
        <f>G31</f>
        <v>0</v>
      </c>
      <c r="H33" s="865"/>
      <c r="I33" s="881">
        <f t="shared" si="2"/>
        <v>0</v>
      </c>
      <c r="J33" s="881"/>
      <c r="K33" s="881"/>
      <c r="L33" s="881"/>
      <c r="M33" s="881">
        <f t="shared" si="1"/>
        <v>0</v>
      </c>
      <c r="N33" s="881"/>
      <c r="O33" s="881">
        <f>M32+M33</f>
        <v>0</v>
      </c>
      <c r="P33" s="882"/>
      <c r="Q33" s="848"/>
      <c r="R33" s="883"/>
      <c r="S33" s="889"/>
      <c r="T33" s="890"/>
      <c r="U33" s="850"/>
      <c r="V33" s="850"/>
      <c r="W33" s="850"/>
      <c r="X33" s="848"/>
      <c r="Y33" s="850"/>
      <c r="Z33" s="884"/>
      <c r="AA33" s="850"/>
      <c r="AB33" s="850"/>
      <c r="AC33" s="850"/>
      <c r="AD33" s="850"/>
      <c r="AE33" s="850"/>
      <c r="AF33" s="850"/>
      <c r="AG33" s="850"/>
    </row>
    <row r="34" spans="1:33" hidden="1" x14ac:dyDescent="0.25">
      <c r="A34" s="876">
        <v>47300</v>
      </c>
      <c r="B34" s="865"/>
      <c r="C34" s="878"/>
      <c r="D34" s="865"/>
      <c r="E34" s="894"/>
      <c r="F34" s="878"/>
      <c r="G34" s="879"/>
      <c r="H34" s="865"/>
      <c r="I34" s="881">
        <f t="shared" si="2"/>
        <v>0</v>
      </c>
      <c r="J34" s="881"/>
      <c r="K34" s="881"/>
      <c r="L34" s="881"/>
      <c r="M34" s="881">
        <f t="shared" si="1"/>
        <v>0</v>
      </c>
      <c r="N34" s="881"/>
      <c r="O34" s="881"/>
      <c r="P34" s="882"/>
      <c r="Q34" s="848"/>
      <c r="R34" s="883"/>
      <c r="S34" s="889"/>
      <c r="T34" s="890"/>
      <c r="U34" s="850"/>
      <c r="V34" s="850"/>
      <c r="W34" s="850"/>
      <c r="X34" s="848"/>
      <c r="Y34" s="850"/>
      <c r="Z34" s="884"/>
      <c r="AA34" s="850"/>
      <c r="AB34" s="850"/>
      <c r="AC34" s="850"/>
      <c r="AD34" s="850"/>
      <c r="AE34" s="850"/>
      <c r="AF34" s="850"/>
      <c r="AG34" s="850"/>
    </row>
    <row r="35" spans="1:33" hidden="1" x14ac:dyDescent="0.25">
      <c r="A35" s="876">
        <v>47484</v>
      </c>
      <c r="B35" s="865"/>
      <c r="C35" s="878">
        <f>C33-E33</f>
        <v>0</v>
      </c>
      <c r="D35" s="865"/>
      <c r="E35" s="894"/>
      <c r="F35" s="878"/>
      <c r="G35" s="879">
        <f>G33</f>
        <v>0</v>
      </c>
      <c r="H35" s="865"/>
      <c r="I35" s="881">
        <f t="shared" si="2"/>
        <v>0</v>
      </c>
      <c r="J35" s="881"/>
      <c r="K35" s="881"/>
      <c r="L35" s="881"/>
      <c r="M35" s="881">
        <f t="shared" si="1"/>
        <v>0</v>
      </c>
      <c r="N35" s="881"/>
      <c r="O35" s="881">
        <f>M34+M35</f>
        <v>0</v>
      </c>
      <c r="P35" s="882"/>
      <c r="Q35" s="848"/>
      <c r="R35" s="883"/>
      <c r="S35" s="889"/>
      <c r="T35" s="890"/>
      <c r="U35" s="850"/>
      <c r="V35" s="850"/>
      <c r="W35" s="850"/>
      <c r="X35" s="848"/>
      <c r="Y35" s="850"/>
      <c r="Z35" s="884"/>
      <c r="AA35" s="850"/>
      <c r="AB35" s="850"/>
      <c r="AC35" s="850"/>
      <c r="AD35" s="850"/>
      <c r="AE35" s="850"/>
      <c r="AF35" s="850"/>
      <c r="AG35" s="850"/>
    </row>
    <row r="36" spans="1:33" hidden="1" x14ac:dyDescent="0.25">
      <c r="A36" s="876">
        <v>47665</v>
      </c>
      <c r="B36" s="865"/>
      <c r="C36" s="878"/>
      <c r="D36" s="865"/>
      <c r="E36" s="894"/>
      <c r="F36" s="878"/>
      <c r="G36" s="879"/>
      <c r="H36" s="865"/>
      <c r="I36" s="881">
        <f t="shared" si="2"/>
        <v>0</v>
      </c>
      <c r="J36" s="881"/>
      <c r="K36" s="881"/>
      <c r="L36" s="881"/>
      <c r="M36" s="881">
        <f t="shared" si="1"/>
        <v>0</v>
      </c>
      <c r="N36" s="881"/>
      <c r="O36" s="881"/>
      <c r="P36" s="882"/>
      <c r="Q36" s="848"/>
      <c r="R36" s="883"/>
      <c r="S36" s="889"/>
      <c r="T36" s="890"/>
      <c r="U36" s="850"/>
      <c r="V36" s="850"/>
      <c r="W36" s="850"/>
      <c r="X36" s="848"/>
      <c r="Y36" s="850"/>
      <c r="Z36" s="884"/>
      <c r="AA36" s="850"/>
      <c r="AB36" s="850"/>
      <c r="AC36" s="850"/>
      <c r="AD36" s="850"/>
      <c r="AE36" s="850"/>
      <c r="AF36" s="850"/>
      <c r="AG36" s="850"/>
    </row>
    <row r="37" spans="1:33" hidden="1" x14ac:dyDescent="0.25">
      <c r="A37" s="876">
        <v>47849</v>
      </c>
      <c r="B37" s="865"/>
      <c r="C37" s="878">
        <f>C35-E35</f>
        <v>0</v>
      </c>
      <c r="D37" s="865"/>
      <c r="E37" s="894"/>
      <c r="F37" s="878"/>
      <c r="G37" s="879">
        <f>G35</f>
        <v>0</v>
      </c>
      <c r="H37" s="865"/>
      <c r="I37" s="881">
        <f t="shared" si="2"/>
        <v>0</v>
      </c>
      <c r="J37" s="881"/>
      <c r="K37" s="881"/>
      <c r="L37" s="881"/>
      <c r="M37" s="881">
        <f t="shared" si="1"/>
        <v>0</v>
      </c>
      <c r="N37" s="881"/>
      <c r="O37" s="881">
        <f>M36+M37</f>
        <v>0</v>
      </c>
      <c r="P37" s="882"/>
      <c r="Q37" s="848"/>
      <c r="R37" s="883"/>
      <c r="S37" s="889"/>
      <c r="T37" s="890"/>
      <c r="U37" s="850"/>
      <c r="V37" s="850"/>
      <c r="W37" s="850"/>
      <c r="X37" s="848"/>
      <c r="Y37" s="850"/>
      <c r="Z37" s="884"/>
      <c r="AA37" s="850"/>
      <c r="AB37" s="850"/>
      <c r="AC37" s="850"/>
      <c r="AD37" s="850"/>
      <c r="AE37" s="850"/>
      <c r="AF37" s="850"/>
      <c r="AG37" s="850"/>
    </row>
    <row r="38" spans="1:33" hidden="1" x14ac:dyDescent="0.25">
      <c r="A38" s="876">
        <v>48030</v>
      </c>
      <c r="B38" s="865"/>
      <c r="C38" s="878"/>
      <c r="D38" s="865"/>
      <c r="E38" s="894"/>
      <c r="F38" s="878"/>
      <c r="G38" s="879"/>
      <c r="H38" s="865"/>
      <c r="I38" s="881">
        <f t="shared" si="2"/>
        <v>0</v>
      </c>
      <c r="J38" s="881"/>
      <c r="K38" s="881"/>
      <c r="L38" s="881"/>
      <c r="M38" s="881">
        <f t="shared" si="1"/>
        <v>0</v>
      </c>
      <c r="N38" s="881"/>
      <c r="O38" s="881"/>
      <c r="P38" s="882"/>
      <c r="Q38" s="848"/>
      <c r="R38" s="883"/>
      <c r="S38" s="889"/>
      <c r="T38" s="890"/>
      <c r="U38" s="850"/>
      <c r="V38" s="850"/>
      <c r="W38" s="850"/>
      <c r="X38" s="848"/>
      <c r="Y38" s="850"/>
      <c r="Z38" s="884"/>
      <c r="AA38" s="850"/>
      <c r="AB38" s="850"/>
      <c r="AC38" s="850"/>
      <c r="AD38" s="850"/>
      <c r="AE38" s="850"/>
      <c r="AF38" s="850"/>
      <c r="AG38" s="850"/>
    </row>
    <row r="39" spans="1:33" hidden="1" x14ac:dyDescent="0.25">
      <c r="A39" s="876">
        <v>48214</v>
      </c>
      <c r="B39" s="865"/>
      <c r="C39" s="878">
        <f>C37-E37</f>
        <v>0</v>
      </c>
      <c r="D39" s="865"/>
      <c r="E39" s="894"/>
      <c r="F39" s="878"/>
      <c r="G39" s="879">
        <f>G37</f>
        <v>0</v>
      </c>
      <c r="H39" s="865"/>
      <c r="I39" s="881">
        <f t="shared" si="2"/>
        <v>0</v>
      </c>
      <c r="J39" s="881"/>
      <c r="K39" s="881"/>
      <c r="L39" s="881"/>
      <c r="M39" s="881">
        <f t="shared" si="1"/>
        <v>0</v>
      </c>
      <c r="N39" s="881"/>
      <c r="O39" s="881">
        <f>M38+M39</f>
        <v>0</v>
      </c>
      <c r="P39" s="882"/>
      <c r="Q39" s="848"/>
      <c r="R39" s="883"/>
      <c r="S39" s="889"/>
      <c r="T39" s="890"/>
      <c r="U39" s="850"/>
      <c r="V39" s="850"/>
      <c r="W39" s="850"/>
      <c r="X39" s="848"/>
      <c r="Y39" s="850"/>
      <c r="Z39" s="884"/>
      <c r="AA39" s="850"/>
      <c r="AB39" s="850"/>
      <c r="AC39" s="850"/>
      <c r="AD39" s="850"/>
      <c r="AE39" s="850"/>
      <c r="AF39" s="850"/>
      <c r="AG39" s="850"/>
    </row>
    <row r="40" spans="1:33" hidden="1" x14ac:dyDescent="0.25">
      <c r="A40" s="876">
        <v>48396</v>
      </c>
      <c r="B40" s="865"/>
      <c r="C40" s="878"/>
      <c r="D40" s="865"/>
      <c r="E40" s="894"/>
      <c r="F40" s="878"/>
      <c r="G40" s="879"/>
      <c r="H40" s="865"/>
      <c r="I40" s="881">
        <f t="shared" si="2"/>
        <v>0</v>
      </c>
      <c r="J40" s="881"/>
      <c r="K40" s="881"/>
      <c r="L40" s="881"/>
      <c r="M40" s="881">
        <f t="shared" si="1"/>
        <v>0</v>
      </c>
      <c r="N40" s="881"/>
      <c r="O40" s="881"/>
      <c r="P40" s="882"/>
      <c r="Q40" s="848"/>
      <c r="R40" s="883"/>
      <c r="S40" s="889"/>
      <c r="T40" s="890"/>
      <c r="U40" s="850"/>
      <c r="V40" s="850"/>
      <c r="W40" s="850"/>
      <c r="X40" s="848"/>
      <c r="Y40" s="850"/>
      <c r="Z40" s="884"/>
      <c r="AA40" s="850"/>
      <c r="AB40" s="850"/>
      <c r="AC40" s="850"/>
      <c r="AD40" s="850"/>
      <c r="AE40" s="850"/>
      <c r="AF40" s="850"/>
      <c r="AG40" s="850"/>
    </row>
    <row r="41" spans="1:33" hidden="1" x14ac:dyDescent="0.25">
      <c r="A41" s="876">
        <v>48580</v>
      </c>
      <c r="B41" s="865"/>
      <c r="C41" s="878">
        <f>C39-E39</f>
        <v>0</v>
      </c>
      <c r="D41" s="865"/>
      <c r="E41" s="894"/>
      <c r="F41" s="878"/>
      <c r="G41" s="879">
        <f>G39</f>
        <v>0</v>
      </c>
      <c r="H41" s="865"/>
      <c r="I41" s="881">
        <f t="shared" si="2"/>
        <v>0</v>
      </c>
      <c r="J41" s="881"/>
      <c r="K41" s="881"/>
      <c r="L41" s="881"/>
      <c r="M41" s="881">
        <f t="shared" si="1"/>
        <v>0</v>
      </c>
      <c r="N41" s="881"/>
      <c r="O41" s="881">
        <f>M40+M41</f>
        <v>0</v>
      </c>
      <c r="P41" s="882"/>
      <c r="Q41" s="848"/>
      <c r="R41" s="883"/>
      <c r="S41" s="889"/>
      <c r="T41" s="890"/>
      <c r="U41" s="850"/>
      <c r="V41" s="850"/>
      <c r="W41" s="850"/>
      <c r="X41" s="848"/>
      <c r="Y41" s="850"/>
      <c r="Z41" s="884"/>
      <c r="AA41" s="850"/>
      <c r="AB41" s="850"/>
      <c r="AC41" s="850"/>
      <c r="AD41" s="850"/>
      <c r="AE41" s="850"/>
      <c r="AF41" s="850"/>
      <c r="AG41" s="850"/>
    </row>
    <row r="42" spans="1:33" hidden="1" x14ac:dyDescent="0.25">
      <c r="A42" s="876">
        <v>48761</v>
      </c>
      <c r="B42" s="865"/>
      <c r="C42" s="878"/>
      <c r="D42" s="865"/>
      <c r="E42" s="894"/>
      <c r="F42" s="878"/>
      <c r="G42" s="879"/>
      <c r="H42" s="865"/>
      <c r="I42" s="881">
        <f t="shared" si="2"/>
        <v>0</v>
      </c>
      <c r="J42" s="881"/>
      <c r="K42" s="881"/>
      <c r="L42" s="881"/>
      <c r="M42" s="881">
        <f t="shared" si="1"/>
        <v>0</v>
      </c>
      <c r="N42" s="881"/>
      <c r="O42" s="881"/>
      <c r="P42" s="882"/>
      <c r="Q42" s="848"/>
      <c r="R42" s="883"/>
      <c r="S42" s="889"/>
      <c r="T42" s="890"/>
      <c r="U42" s="850"/>
      <c r="V42" s="850"/>
      <c r="W42" s="850"/>
      <c r="X42" s="848"/>
      <c r="Y42" s="850"/>
      <c r="Z42" s="884"/>
      <c r="AA42" s="850"/>
      <c r="AB42" s="850"/>
      <c r="AC42" s="850"/>
      <c r="AD42" s="850"/>
      <c r="AE42" s="850"/>
      <c r="AF42" s="850"/>
      <c r="AG42" s="850"/>
    </row>
    <row r="43" spans="1:33" hidden="1" x14ac:dyDescent="0.25">
      <c r="A43" s="876">
        <v>48945</v>
      </c>
      <c r="B43" s="865"/>
      <c r="C43" s="878">
        <f>C41-E41</f>
        <v>0</v>
      </c>
      <c r="D43" s="865"/>
      <c r="E43" s="894"/>
      <c r="F43" s="878"/>
      <c r="G43" s="879">
        <f>G41</f>
        <v>0</v>
      </c>
      <c r="H43" s="865"/>
      <c r="I43" s="881">
        <f t="shared" si="2"/>
        <v>0</v>
      </c>
      <c r="J43" s="881"/>
      <c r="K43" s="881"/>
      <c r="L43" s="881"/>
      <c r="M43" s="881">
        <f t="shared" si="1"/>
        <v>0</v>
      </c>
      <c r="N43" s="881"/>
      <c r="O43" s="881">
        <f>M42+M43</f>
        <v>0</v>
      </c>
      <c r="P43" s="882"/>
      <c r="Q43" s="848"/>
      <c r="R43" s="883"/>
      <c r="S43" s="889"/>
      <c r="T43" s="890"/>
      <c r="U43" s="850"/>
      <c r="V43" s="850"/>
      <c r="W43" s="850"/>
      <c r="X43" s="848"/>
      <c r="Y43" s="850"/>
      <c r="Z43" s="884"/>
      <c r="AA43" s="850"/>
      <c r="AB43" s="850"/>
      <c r="AC43" s="850"/>
      <c r="AD43" s="850"/>
      <c r="AE43" s="850"/>
      <c r="AF43" s="850"/>
      <c r="AG43" s="850"/>
    </row>
    <row r="44" spans="1:33" hidden="1" x14ac:dyDescent="0.25">
      <c r="A44" s="876">
        <v>49126</v>
      </c>
      <c r="B44" s="865"/>
      <c r="C44" s="878"/>
      <c r="D44" s="865"/>
      <c r="E44" s="894"/>
      <c r="F44" s="878"/>
      <c r="G44" s="879"/>
      <c r="H44" s="865"/>
      <c r="I44" s="881">
        <f t="shared" si="2"/>
        <v>0</v>
      </c>
      <c r="J44" s="881"/>
      <c r="K44" s="881"/>
      <c r="L44" s="881"/>
      <c r="M44" s="881">
        <f t="shared" si="1"/>
        <v>0</v>
      </c>
      <c r="N44" s="881"/>
      <c r="O44" s="881"/>
      <c r="P44" s="882"/>
      <c r="Q44" s="848"/>
      <c r="R44" s="883"/>
      <c r="S44" s="889"/>
      <c r="T44" s="890"/>
      <c r="U44" s="850"/>
      <c r="V44" s="850"/>
      <c r="W44" s="850"/>
      <c r="X44" s="848"/>
      <c r="Y44" s="850"/>
      <c r="Z44" s="884"/>
      <c r="AA44" s="850"/>
      <c r="AB44" s="850"/>
      <c r="AC44" s="850"/>
      <c r="AD44" s="850"/>
      <c r="AE44" s="850"/>
      <c r="AF44" s="850"/>
      <c r="AG44" s="850"/>
    </row>
    <row r="45" spans="1:33" hidden="1" x14ac:dyDescent="0.25">
      <c r="A45" s="876">
        <v>49310</v>
      </c>
      <c r="B45" s="865"/>
      <c r="C45" s="878">
        <f>C43-E43</f>
        <v>0</v>
      </c>
      <c r="D45" s="865"/>
      <c r="E45" s="894"/>
      <c r="F45" s="878"/>
      <c r="G45" s="879">
        <f>G43</f>
        <v>0</v>
      </c>
      <c r="H45" s="865"/>
      <c r="I45" s="881">
        <f t="shared" si="2"/>
        <v>0</v>
      </c>
      <c r="J45" s="881"/>
      <c r="K45" s="881"/>
      <c r="L45" s="881"/>
      <c r="M45" s="881">
        <f t="shared" si="1"/>
        <v>0</v>
      </c>
      <c r="N45" s="881"/>
      <c r="O45" s="881">
        <f>M44+M45</f>
        <v>0</v>
      </c>
      <c r="P45" s="882"/>
      <c r="Q45" s="848"/>
      <c r="R45" s="883"/>
      <c r="S45" s="889"/>
      <c r="T45" s="890"/>
      <c r="U45" s="850"/>
      <c r="V45" s="850"/>
      <c r="W45" s="850"/>
      <c r="X45" s="848"/>
      <c r="Y45" s="850"/>
      <c r="Z45" s="884"/>
      <c r="AA45" s="850"/>
      <c r="AB45" s="850"/>
      <c r="AC45" s="850"/>
      <c r="AD45" s="850"/>
      <c r="AE45" s="850"/>
      <c r="AF45" s="850"/>
      <c r="AG45" s="850"/>
    </row>
    <row r="46" spans="1:33" hidden="1" x14ac:dyDescent="0.25">
      <c r="A46" s="876">
        <v>49491</v>
      </c>
      <c r="B46" s="865"/>
      <c r="C46" s="878"/>
      <c r="D46" s="865"/>
      <c r="E46" s="894"/>
      <c r="F46" s="878"/>
      <c r="G46" s="879"/>
      <c r="H46" s="865"/>
      <c r="I46" s="881">
        <f t="shared" si="2"/>
        <v>0</v>
      </c>
      <c r="J46" s="881"/>
      <c r="K46" s="881"/>
      <c r="L46" s="881"/>
      <c r="M46" s="881">
        <f t="shared" si="1"/>
        <v>0</v>
      </c>
      <c r="N46" s="881"/>
      <c r="O46" s="881"/>
      <c r="P46" s="882"/>
      <c r="Q46" s="848"/>
      <c r="R46" s="883"/>
      <c r="S46" s="889"/>
      <c r="T46" s="890"/>
      <c r="U46" s="850"/>
      <c r="V46" s="850"/>
      <c r="W46" s="850"/>
      <c r="X46" s="848"/>
      <c r="Y46" s="850"/>
      <c r="Z46" s="884"/>
      <c r="AA46" s="850"/>
      <c r="AB46" s="850"/>
      <c r="AC46" s="850"/>
      <c r="AD46" s="850"/>
      <c r="AE46" s="850"/>
      <c r="AF46" s="850"/>
      <c r="AG46" s="850"/>
    </row>
    <row r="47" spans="1:33" hidden="1" x14ac:dyDescent="0.25">
      <c r="A47" s="876">
        <v>49675</v>
      </c>
      <c r="B47" s="865"/>
      <c r="C47" s="878">
        <f>C45-E45</f>
        <v>0</v>
      </c>
      <c r="D47" s="865"/>
      <c r="E47" s="894"/>
      <c r="F47" s="878"/>
      <c r="G47" s="879">
        <f>G45</f>
        <v>0</v>
      </c>
      <c r="H47" s="865"/>
      <c r="I47" s="881">
        <f t="shared" si="2"/>
        <v>0</v>
      </c>
      <c r="J47" s="881"/>
      <c r="K47" s="881"/>
      <c r="L47" s="881"/>
      <c r="M47" s="881">
        <f t="shared" si="1"/>
        <v>0</v>
      </c>
      <c r="N47" s="881"/>
      <c r="O47" s="881">
        <f>M46+M47</f>
        <v>0</v>
      </c>
      <c r="P47" s="882"/>
      <c r="Q47" s="848"/>
      <c r="R47" s="883"/>
      <c r="S47" s="889"/>
      <c r="T47" s="890"/>
      <c r="U47" s="850"/>
      <c r="V47" s="850"/>
      <c r="W47" s="850"/>
      <c r="X47" s="848"/>
      <c r="Y47" s="850"/>
      <c r="Z47" s="884"/>
      <c r="AA47" s="850"/>
      <c r="AB47" s="850"/>
      <c r="AC47" s="850"/>
      <c r="AD47" s="850"/>
      <c r="AE47" s="850"/>
      <c r="AF47" s="850"/>
      <c r="AG47" s="850"/>
    </row>
    <row r="48" spans="1:33" hidden="1" x14ac:dyDescent="0.25">
      <c r="A48" s="876">
        <v>49857</v>
      </c>
      <c r="B48" s="865"/>
      <c r="C48" s="878"/>
      <c r="D48" s="865"/>
      <c r="E48" s="894"/>
      <c r="F48" s="878"/>
      <c r="G48" s="879"/>
      <c r="H48" s="865"/>
      <c r="I48" s="881">
        <f t="shared" si="2"/>
        <v>0</v>
      </c>
      <c r="J48" s="881"/>
      <c r="K48" s="881"/>
      <c r="L48" s="881"/>
      <c r="M48" s="881">
        <f t="shared" si="1"/>
        <v>0</v>
      </c>
      <c r="N48" s="881"/>
      <c r="O48" s="881"/>
      <c r="P48" s="882"/>
      <c r="Q48" s="848"/>
      <c r="R48" s="883"/>
      <c r="S48" s="889"/>
      <c r="T48" s="890"/>
      <c r="U48" s="850"/>
      <c r="V48" s="850"/>
      <c r="W48" s="850"/>
      <c r="X48" s="848"/>
      <c r="Y48" s="850"/>
      <c r="Z48" s="884"/>
      <c r="AA48" s="850"/>
      <c r="AB48" s="850"/>
      <c r="AC48" s="850"/>
      <c r="AD48" s="850"/>
      <c r="AE48" s="850"/>
      <c r="AF48" s="850"/>
      <c r="AG48" s="850"/>
    </row>
    <row r="49" spans="1:33" hidden="1" x14ac:dyDescent="0.25">
      <c r="A49" s="876">
        <v>50041</v>
      </c>
      <c r="B49" s="865"/>
      <c r="C49" s="878">
        <f>C47-E47</f>
        <v>0</v>
      </c>
      <c r="D49" s="865"/>
      <c r="E49" s="894"/>
      <c r="F49" s="889"/>
      <c r="G49" s="879">
        <f>G47</f>
        <v>0</v>
      </c>
      <c r="H49" s="865"/>
      <c r="I49" s="881">
        <f t="shared" si="2"/>
        <v>0</v>
      </c>
      <c r="J49" s="881"/>
      <c r="K49" s="881"/>
      <c r="L49" s="881"/>
      <c r="M49" s="881">
        <f>E49*1000+I49</f>
        <v>0</v>
      </c>
      <c r="N49" s="881"/>
      <c r="O49" s="881">
        <f>M48+M49</f>
        <v>0</v>
      </c>
      <c r="P49" s="882"/>
      <c r="Q49" s="848"/>
      <c r="R49" s="883"/>
      <c r="S49" s="889"/>
      <c r="T49" s="890"/>
      <c r="U49" s="850"/>
      <c r="V49" s="850"/>
      <c r="W49" s="850"/>
      <c r="X49" s="848"/>
      <c r="Y49" s="850"/>
      <c r="Z49" s="884"/>
      <c r="AA49" s="850"/>
      <c r="AB49" s="850"/>
      <c r="AC49" s="850"/>
      <c r="AD49" s="850"/>
      <c r="AE49" s="850"/>
      <c r="AF49" s="850"/>
      <c r="AG49" s="850"/>
    </row>
    <row r="50" spans="1:33" hidden="1" x14ac:dyDescent="0.25">
      <c r="A50" s="876">
        <v>50222</v>
      </c>
      <c r="B50" s="865"/>
      <c r="C50" s="878"/>
      <c r="D50" s="865"/>
      <c r="E50" s="894"/>
      <c r="F50" s="889"/>
      <c r="G50" s="879"/>
      <c r="H50" s="865"/>
      <c r="I50" s="881">
        <f t="shared" si="2"/>
        <v>0</v>
      </c>
      <c r="J50" s="881"/>
      <c r="K50" s="881"/>
      <c r="L50" s="881"/>
      <c r="M50" s="881">
        <f t="shared" si="1"/>
        <v>0</v>
      </c>
      <c r="N50" s="881"/>
      <c r="O50" s="881"/>
      <c r="P50" s="882"/>
      <c r="Q50" s="848"/>
      <c r="R50" s="883"/>
      <c r="S50" s="889"/>
      <c r="T50" s="890"/>
      <c r="U50" s="850"/>
      <c r="V50" s="850"/>
      <c r="W50" s="850"/>
      <c r="X50" s="848"/>
      <c r="Y50" s="850"/>
      <c r="Z50" s="884"/>
      <c r="AA50" s="850"/>
      <c r="AB50" s="850"/>
      <c r="AC50" s="850"/>
      <c r="AD50" s="850"/>
      <c r="AE50" s="850"/>
      <c r="AF50" s="850"/>
      <c r="AG50" s="850"/>
    </row>
    <row r="51" spans="1:33" hidden="1" x14ac:dyDescent="0.25">
      <c r="A51" s="876">
        <v>50406</v>
      </c>
      <c r="B51" s="865"/>
      <c r="C51" s="878">
        <f>C49-E49</f>
        <v>0</v>
      </c>
      <c r="D51" s="865"/>
      <c r="E51" s="894"/>
      <c r="F51" s="889"/>
      <c r="G51" s="879">
        <f>G49</f>
        <v>0</v>
      </c>
      <c r="H51" s="865"/>
      <c r="I51" s="881">
        <f t="shared" si="2"/>
        <v>0</v>
      </c>
      <c r="J51" s="881"/>
      <c r="K51" s="881"/>
      <c r="L51" s="881"/>
      <c r="M51" s="881">
        <f t="shared" si="1"/>
        <v>0</v>
      </c>
      <c r="N51" s="881"/>
      <c r="O51" s="881">
        <f>M50+M51</f>
        <v>0</v>
      </c>
      <c r="P51" s="882"/>
      <c r="Q51" s="848"/>
      <c r="R51" s="883"/>
      <c r="S51" s="889"/>
      <c r="T51" s="890"/>
      <c r="U51" s="850"/>
      <c r="V51" s="850"/>
      <c r="W51" s="850"/>
      <c r="X51" s="848"/>
      <c r="Y51" s="850"/>
      <c r="Z51" s="884"/>
      <c r="AA51" s="850"/>
      <c r="AB51" s="850"/>
      <c r="AC51" s="850"/>
      <c r="AD51" s="850"/>
      <c r="AE51" s="850"/>
      <c r="AF51" s="850"/>
      <c r="AG51" s="850"/>
    </row>
    <row r="52" spans="1:33" hidden="1" x14ac:dyDescent="0.25">
      <c r="A52" s="876">
        <v>50587</v>
      </c>
      <c r="B52" s="865"/>
      <c r="C52" s="878">
        <f>C51-E51</f>
        <v>0</v>
      </c>
      <c r="D52" s="865"/>
      <c r="E52" s="894"/>
      <c r="F52" s="889"/>
      <c r="G52" s="879">
        <f>G51</f>
        <v>0</v>
      </c>
      <c r="H52" s="865"/>
      <c r="I52" s="881">
        <f>ROUND((+E52*1000*G52/100/2+I53),2)</f>
        <v>0</v>
      </c>
      <c r="J52" s="881"/>
      <c r="K52" s="881"/>
      <c r="L52" s="881"/>
      <c r="M52" s="881">
        <f t="shared" si="1"/>
        <v>0</v>
      </c>
      <c r="N52" s="881"/>
      <c r="O52" s="881"/>
      <c r="P52" s="882"/>
      <c r="Q52" s="848"/>
      <c r="R52" s="883"/>
      <c r="S52" s="889"/>
      <c r="T52" s="890"/>
      <c r="U52" s="850"/>
      <c r="V52" s="850"/>
      <c r="W52" s="850"/>
      <c r="X52" s="848"/>
      <c r="Y52" s="850"/>
      <c r="Z52" s="884"/>
      <c r="AA52" s="850"/>
      <c r="AB52" s="850"/>
      <c r="AC52" s="850"/>
      <c r="AD52" s="850"/>
      <c r="AE52" s="850"/>
      <c r="AF52" s="850"/>
      <c r="AG52" s="850"/>
    </row>
    <row r="53" spans="1:33" hidden="1" x14ac:dyDescent="0.25">
      <c r="A53" s="876">
        <v>50771</v>
      </c>
      <c r="B53" s="865"/>
      <c r="C53" s="878">
        <f>C52-E52</f>
        <v>0</v>
      </c>
      <c r="D53" s="865"/>
      <c r="E53" s="894"/>
      <c r="F53" s="889"/>
      <c r="G53" s="879">
        <f>G52</f>
        <v>0</v>
      </c>
      <c r="H53" s="865"/>
      <c r="I53" s="882">
        <f>ROUND((+E53*1000*G53/100/2+I54),2)</f>
        <v>0</v>
      </c>
      <c r="J53" s="882"/>
      <c r="K53" s="882"/>
      <c r="L53" s="881"/>
      <c r="M53" s="882">
        <f t="shared" si="1"/>
        <v>0</v>
      </c>
      <c r="N53" s="881"/>
      <c r="O53" s="882">
        <f>M52+M53</f>
        <v>0</v>
      </c>
      <c r="P53" s="882"/>
      <c r="Q53" s="848"/>
      <c r="R53" s="883"/>
      <c r="S53" s="889"/>
      <c r="T53" s="890"/>
      <c r="U53" s="850"/>
      <c r="V53" s="850"/>
      <c r="W53" s="850"/>
      <c r="X53" s="848"/>
      <c r="Y53" s="850"/>
      <c r="Z53" s="884"/>
      <c r="AA53" s="850"/>
      <c r="AB53" s="850"/>
      <c r="AC53" s="850"/>
      <c r="AD53" s="850"/>
      <c r="AE53" s="850"/>
      <c r="AF53" s="850"/>
      <c r="AG53" s="850"/>
    </row>
    <row r="54" spans="1:33" hidden="1" x14ac:dyDescent="0.25">
      <c r="A54" s="876">
        <v>50952</v>
      </c>
      <c r="B54" s="865"/>
      <c r="C54" s="878">
        <f>C53-E53</f>
        <v>0</v>
      </c>
      <c r="D54" s="865"/>
      <c r="E54" s="894"/>
      <c r="F54" s="889"/>
      <c r="G54" s="879">
        <f>G53</f>
        <v>0</v>
      </c>
      <c r="H54" s="865"/>
      <c r="I54" s="882">
        <f>ROUND((+E54*1000*G54/100/2+I55),2)</f>
        <v>0</v>
      </c>
      <c r="J54" s="882"/>
      <c r="K54" s="882"/>
      <c r="L54" s="881"/>
      <c r="M54" s="882">
        <f t="shared" si="1"/>
        <v>0</v>
      </c>
      <c r="N54" s="881"/>
      <c r="O54" s="882"/>
      <c r="P54" s="882"/>
      <c r="Q54" s="848"/>
      <c r="R54" s="883"/>
      <c r="S54" s="889"/>
      <c r="T54" s="890"/>
      <c r="U54" s="850"/>
      <c r="V54" s="850"/>
      <c r="W54" s="850"/>
      <c r="X54" s="848"/>
      <c r="Y54" s="850"/>
      <c r="Z54" s="884"/>
      <c r="AA54" s="850"/>
      <c r="AB54" s="850"/>
      <c r="AC54" s="850"/>
      <c r="AD54" s="850"/>
      <c r="AE54" s="850"/>
      <c r="AF54" s="850"/>
      <c r="AG54" s="850"/>
    </row>
    <row r="55" spans="1:33" hidden="1" x14ac:dyDescent="0.25">
      <c r="A55" s="876">
        <v>51136</v>
      </c>
      <c r="B55" s="865"/>
      <c r="C55" s="878">
        <f>C54-E54</f>
        <v>0</v>
      </c>
      <c r="D55" s="865"/>
      <c r="E55" s="894"/>
      <c r="F55" s="889"/>
      <c r="G55" s="879">
        <f>G54</f>
        <v>0</v>
      </c>
      <c r="H55" s="865"/>
      <c r="I55" s="882">
        <f>ROUND((+E55*1000*G55/100/2+I56),2)</f>
        <v>0</v>
      </c>
      <c r="J55" s="882"/>
      <c r="K55" s="897"/>
      <c r="L55" s="881"/>
      <c r="M55" s="882">
        <f>E55*1000+I55</f>
        <v>0</v>
      </c>
      <c r="N55" s="881"/>
      <c r="O55" s="882">
        <f>M54+M55</f>
        <v>0</v>
      </c>
      <c r="P55" s="882"/>
      <c r="Q55" s="848"/>
      <c r="R55" s="883"/>
      <c r="S55" s="889"/>
      <c r="T55" s="890"/>
      <c r="U55" s="850"/>
      <c r="V55" s="850"/>
      <c r="W55" s="850"/>
      <c r="X55" s="848"/>
      <c r="Y55" s="850"/>
      <c r="Z55" s="884"/>
      <c r="AA55" s="850"/>
      <c r="AB55" s="850"/>
      <c r="AC55" s="850"/>
      <c r="AD55" s="850"/>
      <c r="AE55" s="850"/>
      <c r="AF55" s="850"/>
      <c r="AG55" s="850"/>
    </row>
    <row r="56" spans="1:33" x14ac:dyDescent="0.25">
      <c r="A56" s="898"/>
      <c r="B56" s="865"/>
      <c r="C56" s="865"/>
      <c r="D56" s="865"/>
      <c r="E56" s="899"/>
      <c r="F56" s="889"/>
      <c r="G56" s="894"/>
      <c r="H56" s="865"/>
      <c r="I56" s="900"/>
      <c r="J56" s="882"/>
      <c r="K56" s="882"/>
      <c r="L56" s="881"/>
      <c r="M56" s="900"/>
      <c r="N56" s="881"/>
      <c r="O56" s="900"/>
      <c r="P56" s="882"/>
      <c r="Q56" s="848"/>
      <c r="R56" s="848"/>
      <c r="S56" s="850"/>
      <c r="T56" s="850"/>
      <c r="U56" s="850"/>
      <c r="V56" s="850"/>
      <c r="W56" s="850"/>
      <c r="X56" s="850"/>
      <c r="Y56" s="850"/>
      <c r="Z56" s="850"/>
      <c r="AA56" s="850"/>
      <c r="AB56" s="850"/>
      <c r="AC56" s="850"/>
      <c r="AD56" s="850"/>
      <c r="AE56" s="850"/>
      <c r="AF56" s="850"/>
      <c r="AG56" s="850"/>
    </row>
    <row r="57" spans="1:33" ht="16.5" thickBot="1" x14ac:dyDescent="0.3">
      <c r="A57" s="901" t="s">
        <v>27</v>
      </c>
      <c r="B57" s="865"/>
      <c r="D57" s="865"/>
      <c r="E57" s="902">
        <f>SUBTOTAL(109,E18:E56)</f>
        <v>2509697</v>
      </c>
      <c r="F57" s="903"/>
      <c r="G57" s="865"/>
      <c r="H57" s="865"/>
      <c r="I57" s="904">
        <f>SUBTOTAL(109,I18:I56)</f>
        <v>81565.16</v>
      </c>
      <c r="J57" s="886"/>
      <c r="K57" s="905">
        <f>SUM(K14:K56)</f>
        <v>0</v>
      </c>
      <c r="L57" s="880"/>
      <c r="M57" s="904">
        <f>SUBTOTAL(109,M18:M56)</f>
        <v>2591262.16</v>
      </c>
      <c r="N57" s="880"/>
      <c r="O57" s="904">
        <f>SUBTOTAL(109,O18:O56)</f>
        <v>2591262.16</v>
      </c>
      <c r="P57" s="882"/>
      <c r="Q57" s="886"/>
      <c r="R57" s="850"/>
      <c r="S57" s="848"/>
      <c r="T57" s="906"/>
      <c r="U57" s="850"/>
      <c r="V57" s="850"/>
      <c r="W57" s="850"/>
      <c r="X57" s="850"/>
      <c r="Y57" s="850"/>
      <c r="Z57" s="850"/>
      <c r="AA57" s="850"/>
      <c r="AB57" s="850"/>
      <c r="AC57" s="850"/>
      <c r="AD57" s="850"/>
      <c r="AE57" s="850"/>
      <c r="AF57" s="850"/>
      <c r="AG57" s="850"/>
    </row>
    <row r="58" spans="1:33" ht="16.5" thickTop="1" x14ac:dyDescent="0.25">
      <c r="A58" s="907"/>
      <c r="B58" s="865"/>
      <c r="D58" s="865"/>
      <c r="E58" s="908"/>
      <c r="F58" s="908"/>
      <c r="G58" s="865"/>
      <c r="H58" s="865"/>
      <c r="I58" s="886"/>
      <c r="J58" s="886"/>
      <c r="K58" s="886"/>
      <c r="L58" s="880"/>
      <c r="M58" s="909" t="s">
        <v>332</v>
      </c>
      <c r="N58" s="880"/>
      <c r="O58" s="886"/>
      <c r="P58" s="882"/>
      <c r="Q58" s="886"/>
      <c r="R58" s="850"/>
      <c r="S58" s="848"/>
      <c r="T58" s="906"/>
      <c r="U58" s="850"/>
      <c r="V58" s="850"/>
      <c r="W58" s="850"/>
      <c r="X58" s="850"/>
      <c r="Y58" s="850"/>
      <c r="Z58" s="850"/>
      <c r="AA58" s="850"/>
      <c r="AB58" s="850"/>
      <c r="AC58" s="850"/>
      <c r="AD58" s="850"/>
      <c r="AE58" s="850"/>
      <c r="AF58" s="850"/>
      <c r="AG58" s="850"/>
    </row>
    <row r="59" spans="1:33" x14ac:dyDescent="0.25">
      <c r="A59" s="907"/>
      <c r="B59" s="865"/>
      <c r="C59" s="889"/>
      <c r="D59" s="872"/>
      <c r="E59" s="872"/>
      <c r="F59" s="872"/>
      <c r="G59" s="872"/>
      <c r="H59" s="872"/>
      <c r="I59" s="882"/>
      <c r="J59" s="882"/>
      <c r="K59" s="882"/>
      <c r="L59" s="882"/>
      <c r="M59" s="882"/>
      <c r="N59" s="882"/>
      <c r="O59" s="886"/>
      <c r="P59" s="882"/>
      <c r="Q59" s="886"/>
      <c r="R59" s="850"/>
      <c r="S59" s="848"/>
      <c r="T59" s="906"/>
      <c r="U59" s="850"/>
      <c r="V59" s="850"/>
      <c r="W59" s="850"/>
      <c r="X59" s="850"/>
      <c r="Y59" s="850"/>
      <c r="Z59" s="850"/>
      <c r="AA59" s="850"/>
      <c r="AB59" s="850"/>
      <c r="AC59" s="850"/>
      <c r="AD59" s="850"/>
      <c r="AE59" s="850"/>
      <c r="AF59" s="850"/>
      <c r="AG59" s="850"/>
    </row>
    <row r="60" spans="1:33" x14ac:dyDescent="0.25">
      <c r="A60" s="910"/>
      <c r="B60" s="865"/>
      <c r="C60" s="889"/>
      <c r="D60" s="872"/>
      <c r="E60" s="872"/>
      <c r="F60" s="872"/>
      <c r="G60" s="872"/>
      <c r="H60" s="872"/>
      <c r="I60" s="882"/>
      <c r="J60" s="882"/>
      <c r="K60" s="882"/>
      <c r="L60" s="882"/>
      <c r="M60" s="882"/>
      <c r="N60" s="882"/>
      <c r="O60" s="886"/>
      <c r="P60" s="882"/>
      <c r="Q60" s="886"/>
      <c r="R60" s="848"/>
      <c r="S60" s="850"/>
      <c r="T60" s="850"/>
      <c r="U60" s="850"/>
      <c r="V60" s="850"/>
      <c r="W60" s="850"/>
      <c r="X60" s="850"/>
      <c r="Y60" s="850"/>
      <c r="Z60" s="850"/>
      <c r="AA60" s="850"/>
      <c r="AB60" s="850"/>
      <c r="AC60" s="850"/>
      <c r="AD60" s="850"/>
      <c r="AE60" s="850"/>
      <c r="AF60" s="850"/>
      <c r="AG60" s="850"/>
    </row>
    <row r="61" spans="1:33" x14ac:dyDescent="0.25">
      <c r="A61" s="911"/>
      <c r="B61" s="865"/>
      <c r="C61" s="889"/>
      <c r="D61" s="872"/>
      <c r="E61" s="872"/>
      <c r="F61" s="872"/>
      <c r="G61" s="872"/>
      <c r="H61" s="872"/>
      <c r="I61" s="882"/>
      <c r="J61" s="882"/>
      <c r="K61" s="882"/>
      <c r="L61" s="882"/>
      <c r="M61" s="882"/>
      <c r="N61" s="882"/>
      <c r="O61" s="886"/>
      <c r="P61" s="882"/>
      <c r="Q61" s="886"/>
      <c r="R61" s="848"/>
      <c r="S61" s="850"/>
      <c r="T61" s="850"/>
      <c r="U61" s="850"/>
      <c r="V61" s="850"/>
      <c r="W61" s="850"/>
      <c r="X61" s="850"/>
      <c r="Y61" s="850"/>
      <c r="Z61" s="850"/>
      <c r="AA61" s="850"/>
      <c r="AB61" s="850"/>
      <c r="AC61" s="850"/>
      <c r="AD61" s="850"/>
      <c r="AE61" s="850"/>
      <c r="AF61" s="850"/>
      <c r="AG61" s="850"/>
    </row>
    <row r="62" spans="1:33" x14ac:dyDescent="0.25">
      <c r="A62" s="912"/>
      <c r="B62" s="865"/>
      <c r="C62" s="889"/>
      <c r="D62" s="872"/>
      <c r="E62" s="872"/>
      <c r="F62" s="872"/>
      <c r="G62" s="872"/>
      <c r="H62" s="872"/>
      <c r="I62" s="882"/>
      <c r="J62" s="882"/>
      <c r="K62" s="882"/>
      <c r="L62" s="882"/>
      <c r="M62" s="882"/>
      <c r="N62" s="882"/>
      <c r="O62" s="886"/>
      <c r="P62" s="882"/>
      <c r="Q62" s="886"/>
      <c r="R62" s="848"/>
      <c r="S62" s="850"/>
      <c r="T62" s="850"/>
      <c r="U62" s="850"/>
      <c r="V62" s="850"/>
      <c r="W62" s="850"/>
      <c r="X62" s="850"/>
      <c r="Y62" s="850"/>
      <c r="Z62" s="850"/>
      <c r="AA62" s="850"/>
      <c r="AB62" s="850"/>
      <c r="AC62" s="850"/>
      <c r="AD62" s="850"/>
      <c r="AE62" s="850"/>
      <c r="AF62" s="850"/>
      <c r="AG62" s="850"/>
    </row>
    <row r="63" spans="1:33" x14ac:dyDescent="0.25">
      <c r="A63" s="912"/>
      <c r="B63" s="865"/>
      <c r="C63" s="889"/>
      <c r="D63" s="872"/>
      <c r="E63" s="872"/>
      <c r="F63" s="872"/>
      <c r="G63" s="872"/>
      <c r="H63" s="872"/>
      <c r="I63" s="882"/>
      <c r="J63" s="882"/>
      <c r="K63" s="882"/>
      <c r="L63" s="882"/>
      <c r="M63" s="882"/>
      <c r="N63" s="882"/>
      <c r="O63" s="886"/>
      <c r="P63" s="882"/>
      <c r="Q63" s="886"/>
      <c r="R63" s="848"/>
      <c r="S63" s="850"/>
      <c r="T63" s="850"/>
      <c r="U63" s="850"/>
      <c r="V63" s="850"/>
      <c r="W63" s="850"/>
      <c r="X63" s="850"/>
      <c r="Y63" s="850"/>
      <c r="Z63" s="850"/>
      <c r="AA63" s="850"/>
      <c r="AB63" s="850"/>
      <c r="AC63" s="850"/>
      <c r="AD63" s="850"/>
      <c r="AE63" s="850"/>
      <c r="AF63" s="850"/>
      <c r="AG63" s="850"/>
    </row>
    <row r="64" spans="1:33" x14ac:dyDescent="0.25">
      <c r="A64" s="912"/>
      <c r="B64" s="865"/>
      <c r="C64" s="889"/>
      <c r="D64" s="872"/>
      <c r="E64" s="872"/>
      <c r="F64" s="872"/>
      <c r="G64" s="872"/>
      <c r="H64" s="872"/>
      <c r="I64" s="882"/>
      <c r="J64" s="882"/>
      <c r="K64" s="882"/>
      <c r="L64" s="882"/>
      <c r="M64" s="882"/>
      <c r="N64" s="882"/>
      <c r="O64" s="886"/>
      <c r="P64" s="882"/>
      <c r="Q64" s="886"/>
      <c r="R64" s="848"/>
      <c r="S64" s="850"/>
      <c r="T64" s="850"/>
      <c r="U64" s="850"/>
      <c r="V64" s="850"/>
      <c r="W64" s="850"/>
      <c r="X64" s="850"/>
      <c r="Y64" s="850"/>
      <c r="Z64" s="850"/>
      <c r="AA64" s="850"/>
      <c r="AB64" s="850"/>
      <c r="AC64" s="850"/>
      <c r="AD64" s="850"/>
      <c r="AE64" s="850"/>
      <c r="AF64" s="850"/>
      <c r="AG64" s="850"/>
    </row>
    <row r="65" spans="1:33" x14ac:dyDescent="0.25">
      <c r="A65" s="912"/>
      <c r="B65" s="865"/>
      <c r="C65" s="889"/>
      <c r="D65" s="872"/>
      <c r="E65" s="872"/>
      <c r="F65" s="872"/>
      <c r="G65" s="872"/>
      <c r="H65" s="872"/>
      <c r="I65" s="882"/>
      <c r="J65" s="882"/>
      <c r="K65" s="882"/>
      <c r="L65" s="882"/>
      <c r="M65" s="882"/>
      <c r="N65" s="882"/>
      <c r="O65" s="886"/>
      <c r="P65" s="882"/>
      <c r="Q65" s="886"/>
      <c r="R65" s="848"/>
      <c r="S65" s="850"/>
      <c r="T65" s="850"/>
      <c r="U65" s="850"/>
      <c r="V65" s="850"/>
      <c r="W65" s="850"/>
      <c r="X65" s="850"/>
      <c r="Y65" s="850"/>
      <c r="Z65" s="850"/>
      <c r="AA65" s="850"/>
      <c r="AB65" s="850"/>
      <c r="AC65" s="850"/>
      <c r="AD65" s="850"/>
      <c r="AE65" s="850"/>
      <c r="AF65" s="850"/>
      <c r="AG65" s="850"/>
    </row>
    <row r="66" spans="1:33" x14ac:dyDescent="0.25">
      <c r="A66" s="912"/>
      <c r="B66" s="865"/>
      <c r="C66" s="889"/>
      <c r="D66" s="872"/>
      <c r="E66" s="872"/>
      <c r="F66" s="872"/>
      <c r="G66" s="872"/>
      <c r="H66" s="872"/>
      <c r="I66" s="882"/>
      <c r="J66" s="882"/>
      <c r="K66" s="882"/>
      <c r="L66" s="882"/>
      <c r="M66" s="882"/>
      <c r="N66" s="882"/>
      <c r="O66" s="886"/>
      <c r="P66" s="882"/>
      <c r="Q66" s="886"/>
      <c r="R66" s="848"/>
      <c r="S66" s="850"/>
      <c r="T66" s="850"/>
      <c r="U66" s="850"/>
      <c r="V66" s="850"/>
      <c r="W66" s="850"/>
      <c r="X66" s="850"/>
      <c r="Y66" s="850"/>
      <c r="Z66" s="850"/>
      <c r="AA66" s="850"/>
      <c r="AB66" s="850"/>
      <c r="AC66" s="850"/>
      <c r="AD66" s="850"/>
      <c r="AE66" s="850"/>
      <c r="AF66" s="850"/>
      <c r="AG66" s="850"/>
    </row>
    <row r="67" spans="1:33" x14ac:dyDescent="0.25">
      <c r="A67" s="912"/>
      <c r="B67" s="865"/>
      <c r="C67" s="889"/>
      <c r="D67" s="872"/>
      <c r="E67" s="872"/>
      <c r="F67" s="872"/>
      <c r="G67" s="872"/>
      <c r="H67" s="872"/>
      <c r="I67" s="882"/>
      <c r="J67" s="882"/>
      <c r="K67" s="882"/>
      <c r="L67" s="882"/>
      <c r="M67" s="882"/>
      <c r="N67" s="882"/>
      <c r="O67" s="886"/>
      <c r="P67" s="882"/>
      <c r="Q67" s="886"/>
      <c r="R67" s="848"/>
      <c r="S67" s="850"/>
      <c r="T67" s="850"/>
      <c r="U67" s="850"/>
      <c r="V67" s="850"/>
      <c r="W67" s="850"/>
      <c r="X67" s="850"/>
      <c r="Y67" s="850"/>
      <c r="Z67" s="850"/>
      <c r="AA67" s="850"/>
      <c r="AB67" s="850"/>
      <c r="AC67" s="850"/>
      <c r="AD67" s="850"/>
      <c r="AE67" s="850"/>
      <c r="AF67" s="850"/>
      <c r="AG67" s="850"/>
    </row>
    <row r="68" spans="1:33" x14ac:dyDescent="0.25">
      <c r="A68" s="912"/>
      <c r="B68" s="865"/>
      <c r="C68" s="889"/>
      <c r="D68" s="872"/>
      <c r="E68" s="872"/>
      <c r="F68" s="872"/>
      <c r="G68" s="872"/>
      <c r="H68" s="872"/>
      <c r="I68" s="882"/>
      <c r="J68" s="882"/>
      <c r="K68" s="882"/>
      <c r="L68" s="882"/>
      <c r="M68" s="882"/>
      <c r="N68" s="882"/>
      <c r="O68" s="886"/>
      <c r="P68" s="882"/>
      <c r="Q68" s="886"/>
      <c r="R68" s="848"/>
      <c r="S68" s="850"/>
      <c r="T68" s="850"/>
      <c r="U68" s="850"/>
      <c r="V68" s="850"/>
      <c r="W68" s="850"/>
      <c r="X68" s="850"/>
      <c r="Y68" s="850"/>
      <c r="Z68" s="850"/>
      <c r="AA68" s="850"/>
      <c r="AB68" s="850"/>
      <c r="AC68" s="850"/>
      <c r="AD68" s="850"/>
      <c r="AE68" s="850"/>
      <c r="AF68" s="850"/>
      <c r="AG68" s="850"/>
    </row>
    <row r="69" spans="1:33" x14ac:dyDescent="0.25">
      <c r="A69" s="912"/>
      <c r="B69" s="865"/>
      <c r="C69" s="889"/>
      <c r="D69" s="872"/>
      <c r="E69" s="872"/>
      <c r="F69" s="872"/>
      <c r="G69" s="872"/>
      <c r="H69" s="872"/>
      <c r="I69" s="882"/>
      <c r="J69" s="882"/>
      <c r="K69" s="882"/>
      <c r="L69" s="882"/>
      <c r="M69" s="882"/>
      <c r="N69" s="882"/>
      <c r="O69" s="886"/>
      <c r="P69" s="882"/>
      <c r="Q69" s="886"/>
      <c r="R69" s="848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</row>
    <row r="70" spans="1:33" x14ac:dyDescent="0.25">
      <c r="A70" s="912"/>
      <c r="B70" s="865"/>
      <c r="C70" s="889"/>
      <c r="D70" s="872"/>
      <c r="E70" s="872"/>
      <c r="F70" s="872"/>
      <c r="G70" s="872"/>
      <c r="H70" s="872"/>
      <c r="I70" s="882"/>
      <c r="J70" s="882"/>
      <c r="K70" s="882"/>
      <c r="L70" s="882"/>
      <c r="M70" s="882"/>
      <c r="N70" s="882"/>
      <c r="O70" s="886"/>
      <c r="P70" s="882"/>
      <c r="Q70" s="886"/>
      <c r="R70" s="848"/>
      <c r="S70" s="850"/>
      <c r="T70" s="850"/>
      <c r="U70" s="850"/>
      <c r="V70" s="850"/>
      <c r="W70" s="850"/>
      <c r="X70" s="850"/>
      <c r="Y70" s="850"/>
      <c r="Z70" s="850"/>
      <c r="AA70" s="850"/>
      <c r="AB70" s="850"/>
      <c r="AC70" s="850"/>
      <c r="AD70" s="850"/>
      <c r="AE70" s="850"/>
      <c r="AF70" s="850"/>
      <c r="AG70" s="850"/>
    </row>
    <row r="71" spans="1:33" x14ac:dyDescent="0.25">
      <c r="A71" s="912"/>
      <c r="B71" s="865"/>
      <c r="C71" s="889"/>
      <c r="D71" s="872"/>
      <c r="E71" s="872"/>
      <c r="F71" s="872"/>
      <c r="G71" s="872"/>
      <c r="H71" s="872"/>
      <c r="I71" s="882"/>
      <c r="J71" s="882"/>
      <c r="K71" s="882"/>
      <c r="L71" s="882"/>
      <c r="M71" s="882"/>
      <c r="N71" s="882"/>
      <c r="O71" s="886"/>
      <c r="P71" s="882"/>
      <c r="Q71" s="886"/>
      <c r="R71" s="848"/>
      <c r="S71" s="850"/>
      <c r="T71" s="850"/>
      <c r="U71" s="850"/>
      <c r="V71" s="850"/>
      <c r="W71" s="850"/>
      <c r="X71" s="850"/>
      <c r="Y71" s="850"/>
      <c r="Z71" s="850"/>
      <c r="AA71" s="850"/>
      <c r="AB71" s="850"/>
      <c r="AC71" s="850"/>
      <c r="AD71" s="850"/>
      <c r="AE71" s="850"/>
      <c r="AF71" s="850"/>
      <c r="AG71" s="850"/>
    </row>
    <row r="72" spans="1:33" x14ac:dyDescent="0.25">
      <c r="A72" s="912"/>
      <c r="B72" s="865"/>
      <c r="C72" s="889"/>
      <c r="D72" s="872"/>
      <c r="E72" s="872"/>
      <c r="F72" s="872"/>
      <c r="G72" s="872"/>
      <c r="H72" s="872"/>
      <c r="I72" s="882"/>
      <c r="J72" s="882"/>
      <c r="K72" s="882"/>
      <c r="L72" s="882"/>
      <c r="M72" s="882"/>
      <c r="N72" s="882"/>
      <c r="O72" s="886"/>
      <c r="P72" s="882"/>
      <c r="Q72" s="886"/>
      <c r="R72" s="848"/>
      <c r="S72" s="850"/>
      <c r="T72" s="850"/>
      <c r="U72" s="850"/>
      <c r="V72" s="850"/>
      <c r="W72" s="850"/>
      <c r="X72" s="850"/>
      <c r="Y72" s="850"/>
      <c r="Z72" s="850"/>
      <c r="AA72" s="850"/>
      <c r="AB72" s="850"/>
      <c r="AC72" s="850"/>
      <c r="AD72" s="850"/>
      <c r="AE72" s="850"/>
      <c r="AF72" s="850"/>
      <c r="AG72" s="850"/>
    </row>
    <row r="73" spans="1:33" x14ac:dyDescent="0.25">
      <c r="A73" s="912"/>
      <c r="B73" s="865"/>
      <c r="C73" s="889"/>
      <c r="D73" s="872"/>
      <c r="E73" s="872"/>
      <c r="F73" s="872"/>
      <c r="G73" s="872"/>
      <c r="H73" s="872"/>
      <c r="I73" s="882"/>
      <c r="J73" s="882"/>
      <c r="K73" s="882"/>
      <c r="L73" s="882"/>
      <c r="M73" s="882"/>
      <c r="N73" s="882"/>
      <c r="O73" s="886"/>
      <c r="P73" s="882"/>
      <c r="Q73" s="886"/>
      <c r="R73" s="848"/>
      <c r="S73" s="850"/>
      <c r="T73" s="850"/>
      <c r="U73" s="850"/>
      <c r="V73" s="850"/>
      <c r="W73" s="850"/>
      <c r="X73" s="850"/>
      <c r="Y73" s="850"/>
      <c r="Z73" s="850"/>
      <c r="AA73" s="850"/>
      <c r="AB73" s="850"/>
      <c r="AC73" s="850"/>
      <c r="AD73" s="850"/>
      <c r="AE73" s="850"/>
      <c r="AF73" s="850"/>
      <c r="AG73" s="850"/>
    </row>
    <row r="74" spans="1:33" x14ac:dyDescent="0.25">
      <c r="A74" s="912"/>
      <c r="B74" s="865"/>
      <c r="C74" s="889"/>
      <c r="D74" s="872"/>
      <c r="E74" s="872"/>
      <c r="F74" s="872"/>
      <c r="G74" s="872"/>
      <c r="H74" s="872"/>
      <c r="I74" s="882"/>
      <c r="J74" s="882"/>
      <c r="K74" s="882"/>
      <c r="L74" s="882"/>
      <c r="M74" s="882"/>
      <c r="N74" s="882"/>
      <c r="O74" s="886"/>
      <c r="P74" s="882"/>
      <c r="Q74" s="886"/>
      <c r="R74" s="848"/>
      <c r="S74" s="850"/>
      <c r="T74" s="850"/>
      <c r="U74" s="850"/>
      <c r="V74" s="850"/>
      <c r="W74" s="850"/>
      <c r="X74" s="850"/>
      <c r="Y74" s="850"/>
      <c r="Z74" s="850"/>
      <c r="AA74" s="850"/>
      <c r="AB74" s="850"/>
      <c r="AC74" s="850"/>
      <c r="AD74" s="850"/>
      <c r="AE74" s="850"/>
      <c r="AF74" s="850"/>
      <c r="AG74" s="850"/>
    </row>
    <row r="75" spans="1:33" x14ac:dyDescent="0.25">
      <c r="A75" s="912"/>
      <c r="B75" s="865"/>
      <c r="C75" s="889"/>
      <c r="D75" s="872"/>
      <c r="E75" s="872"/>
      <c r="F75" s="872"/>
      <c r="G75" s="872"/>
      <c r="H75" s="872"/>
      <c r="I75" s="882"/>
      <c r="J75" s="882"/>
      <c r="K75" s="882"/>
      <c r="L75" s="882"/>
      <c r="M75" s="882"/>
      <c r="N75" s="882"/>
      <c r="O75" s="886"/>
      <c r="P75" s="882"/>
      <c r="Q75" s="886"/>
      <c r="R75" s="848"/>
      <c r="S75" s="850"/>
      <c r="T75" s="850"/>
      <c r="U75" s="850"/>
      <c r="V75" s="850"/>
      <c r="W75" s="850"/>
      <c r="X75" s="850"/>
      <c r="Y75" s="850"/>
      <c r="Z75" s="850"/>
      <c r="AA75" s="850"/>
      <c r="AB75" s="850"/>
      <c r="AC75" s="850"/>
      <c r="AD75" s="850"/>
      <c r="AE75" s="850"/>
      <c r="AF75" s="850"/>
      <c r="AG75" s="850"/>
    </row>
    <row r="76" spans="1:33" x14ac:dyDescent="0.25">
      <c r="A76" s="912"/>
      <c r="B76" s="865"/>
      <c r="C76" s="889"/>
      <c r="D76" s="872"/>
      <c r="E76" s="872"/>
      <c r="F76" s="872"/>
      <c r="G76" s="872"/>
      <c r="H76" s="872"/>
      <c r="I76" s="882"/>
      <c r="J76" s="882"/>
      <c r="K76" s="882"/>
      <c r="L76" s="882"/>
      <c r="M76" s="882"/>
      <c r="N76" s="882"/>
      <c r="O76" s="886"/>
      <c r="P76" s="882"/>
      <c r="Q76" s="886"/>
      <c r="R76" s="848"/>
      <c r="S76" s="850"/>
      <c r="T76" s="850"/>
      <c r="U76" s="850"/>
      <c r="V76" s="850"/>
      <c r="W76" s="850"/>
      <c r="X76" s="850"/>
      <c r="Y76" s="850"/>
      <c r="Z76" s="850"/>
      <c r="AA76" s="850"/>
      <c r="AB76" s="850"/>
      <c r="AC76" s="850"/>
      <c r="AD76" s="850"/>
      <c r="AE76" s="850"/>
      <c r="AF76" s="850"/>
      <c r="AG76" s="850"/>
    </row>
    <row r="77" spans="1:33" x14ac:dyDescent="0.25">
      <c r="A77" s="912"/>
      <c r="B77" s="865"/>
      <c r="C77" s="889"/>
      <c r="D77" s="872"/>
      <c r="E77" s="872"/>
      <c r="F77" s="872"/>
      <c r="G77" s="872"/>
      <c r="H77" s="872"/>
      <c r="I77" s="882"/>
      <c r="J77" s="882"/>
      <c r="K77" s="882"/>
      <c r="L77" s="882"/>
      <c r="M77" s="882"/>
      <c r="N77" s="882"/>
      <c r="O77" s="886"/>
      <c r="P77" s="882"/>
      <c r="Q77" s="886"/>
      <c r="R77" s="848"/>
      <c r="S77" s="850"/>
      <c r="T77" s="850"/>
      <c r="U77" s="850"/>
      <c r="V77" s="850"/>
      <c r="W77" s="850"/>
      <c r="X77" s="850"/>
      <c r="Y77" s="850"/>
      <c r="Z77" s="850"/>
      <c r="AA77" s="850"/>
      <c r="AB77" s="850"/>
      <c r="AC77" s="850"/>
      <c r="AD77" s="850"/>
      <c r="AE77" s="850"/>
      <c r="AF77" s="850"/>
      <c r="AG77" s="850"/>
    </row>
    <row r="78" spans="1:33" x14ac:dyDescent="0.25">
      <c r="A78" s="1196"/>
      <c r="B78" s="1196"/>
      <c r="C78" s="1196"/>
      <c r="D78" s="1196"/>
      <c r="E78" s="1196"/>
      <c r="F78" s="1196"/>
      <c r="G78" s="1196"/>
      <c r="H78" s="1196"/>
      <c r="I78" s="1196"/>
      <c r="J78" s="1196"/>
      <c r="K78" s="1196"/>
      <c r="L78" s="1196"/>
      <c r="M78" s="1196"/>
      <c r="N78" s="1196"/>
      <c r="O78" s="1196"/>
      <c r="P78" s="882"/>
      <c r="Q78" s="886"/>
      <c r="R78" s="848"/>
      <c r="S78" s="850"/>
      <c r="T78" s="850"/>
      <c r="U78" s="850"/>
      <c r="V78" s="850"/>
      <c r="W78" s="850"/>
      <c r="X78" s="850"/>
      <c r="Y78" s="850"/>
      <c r="Z78" s="850"/>
      <c r="AA78" s="850"/>
      <c r="AB78" s="850"/>
      <c r="AC78" s="850"/>
      <c r="AD78" s="850"/>
      <c r="AE78" s="850"/>
      <c r="AF78" s="850"/>
      <c r="AG78" s="850"/>
    </row>
    <row r="79" spans="1:33" x14ac:dyDescent="0.25">
      <c r="A79" s="1196"/>
      <c r="B79" s="1196"/>
      <c r="C79" s="1196"/>
      <c r="D79" s="1196"/>
      <c r="E79" s="1196"/>
      <c r="F79" s="1196"/>
      <c r="G79" s="1196"/>
      <c r="H79" s="1196"/>
      <c r="I79" s="1196"/>
      <c r="J79" s="1196"/>
      <c r="K79" s="1196"/>
      <c r="L79" s="1196"/>
      <c r="M79" s="1196"/>
      <c r="N79" s="1196"/>
      <c r="O79" s="1196"/>
      <c r="P79" s="882"/>
      <c r="Q79" s="886"/>
      <c r="R79" s="848"/>
      <c r="S79" s="850"/>
      <c r="T79" s="850"/>
      <c r="U79" s="850"/>
      <c r="V79" s="850"/>
      <c r="W79" s="850"/>
      <c r="X79" s="850"/>
      <c r="Y79" s="850"/>
      <c r="Z79" s="850"/>
      <c r="AA79" s="850"/>
      <c r="AB79" s="850"/>
      <c r="AC79" s="850"/>
      <c r="AD79" s="850"/>
      <c r="AE79" s="850"/>
      <c r="AF79" s="850"/>
      <c r="AG79" s="850"/>
    </row>
    <row r="80" spans="1:33" x14ac:dyDescent="0.25">
      <c r="A80" s="912"/>
      <c r="B80" s="865"/>
      <c r="C80" s="889"/>
      <c r="D80" s="872"/>
      <c r="E80" s="872"/>
      <c r="F80" s="872"/>
      <c r="G80" s="872"/>
      <c r="H80" s="872"/>
      <c r="I80" s="882"/>
      <c r="J80" s="882"/>
      <c r="K80" s="882"/>
      <c r="L80" s="882"/>
      <c r="M80" s="882"/>
      <c r="N80" s="882"/>
      <c r="O80" s="886"/>
      <c r="P80" s="882"/>
      <c r="Q80" s="886"/>
      <c r="R80" s="848"/>
      <c r="S80" s="850"/>
      <c r="T80" s="850"/>
      <c r="U80" s="850"/>
      <c r="V80" s="850"/>
      <c r="W80" s="850"/>
      <c r="X80" s="850"/>
      <c r="Y80" s="850"/>
      <c r="Z80" s="850"/>
      <c r="AA80" s="850"/>
      <c r="AB80" s="850"/>
      <c r="AC80" s="850"/>
      <c r="AD80" s="850"/>
      <c r="AE80" s="850"/>
      <c r="AF80" s="850"/>
      <c r="AG80" s="850"/>
    </row>
    <row r="81" spans="1:33" s="850" customFormat="1" x14ac:dyDescent="0.25">
      <c r="A81" s="1471"/>
      <c r="B81" s="1471"/>
      <c r="C81" s="1471"/>
      <c r="D81" s="1471"/>
      <c r="E81" s="1471"/>
      <c r="F81" s="1471"/>
      <c r="G81" s="1471"/>
      <c r="H81" s="1471"/>
      <c r="I81" s="1471"/>
      <c r="J81" s="1471"/>
      <c r="K81" s="1471"/>
      <c r="L81" s="1471"/>
      <c r="M81" s="1471"/>
      <c r="N81" s="1471"/>
      <c r="O81" s="1471"/>
      <c r="P81" s="848"/>
      <c r="Q81" s="848"/>
      <c r="R81" s="848"/>
    </row>
    <row r="82" spans="1:33" x14ac:dyDescent="0.25">
      <c r="A82" s="1478"/>
      <c r="B82" s="1478"/>
      <c r="C82" s="1478"/>
      <c r="D82" s="1478"/>
      <c r="E82" s="1478"/>
      <c r="F82" s="1478"/>
      <c r="G82" s="1478"/>
      <c r="H82" s="1478"/>
      <c r="I82" s="1478"/>
      <c r="J82" s="1478"/>
      <c r="K82" s="1478"/>
      <c r="L82" s="1478"/>
      <c r="M82" s="1478"/>
      <c r="N82" s="1478"/>
      <c r="O82" s="1478"/>
      <c r="P82" s="850"/>
      <c r="Q82" s="850"/>
      <c r="R82" s="850"/>
      <c r="S82" s="850"/>
      <c r="T82" s="850"/>
      <c r="U82" s="850"/>
      <c r="V82" s="850"/>
      <c r="W82" s="850"/>
      <c r="X82" s="850"/>
      <c r="Y82" s="850"/>
      <c r="Z82" s="850"/>
      <c r="AA82" s="850"/>
      <c r="AB82" s="850"/>
      <c r="AC82" s="850"/>
      <c r="AD82" s="850"/>
      <c r="AE82" s="850"/>
      <c r="AF82" s="850"/>
      <c r="AG82" s="850"/>
    </row>
    <row r="83" spans="1:33" x14ac:dyDescent="0.25">
      <c r="A83" s="914"/>
      <c r="B83" s="873"/>
      <c r="C83" s="873"/>
      <c r="D83" s="873"/>
      <c r="E83" s="873"/>
      <c r="F83" s="873"/>
      <c r="G83" s="873"/>
      <c r="H83" s="873"/>
      <c r="I83" s="873"/>
      <c r="J83" s="873"/>
      <c r="K83" s="873"/>
      <c r="L83" s="873"/>
      <c r="M83" s="873"/>
      <c r="N83" s="873"/>
      <c r="O83" s="915"/>
      <c r="P83" s="850"/>
      <c r="Q83" s="850"/>
      <c r="R83" s="850"/>
      <c r="S83" s="850"/>
      <c r="T83" s="850"/>
      <c r="U83" s="850"/>
      <c r="V83" s="850"/>
      <c r="W83" s="850"/>
      <c r="X83" s="850"/>
      <c r="Y83" s="850"/>
      <c r="Z83" s="850"/>
      <c r="AA83" s="850"/>
      <c r="AB83" s="850"/>
      <c r="AC83" s="850"/>
      <c r="AD83" s="850"/>
      <c r="AE83" s="850"/>
      <c r="AF83" s="850"/>
      <c r="AG83" s="850"/>
    </row>
    <row r="84" spans="1:33" x14ac:dyDescent="0.25">
      <c r="A84" s="1479"/>
      <c r="B84" s="1479"/>
      <c r="C84" s="1479"/>
      <c r="D84" s="1479"/>
      <c r="E84" s="1479"/>
      <c r="F84" s="1479"/>
      <c r="G84" s="1479"/>
      <c r="H84" s="1479"/>
      <c r="I84" s="1479"/>
      <c r="J84" s="1479"/>
      <c r="K84" s="1479"/>
      <c r="L84" s="1479"/>
      <c r="M84" s="1479"/>
      <c r="N84" s="1479"/>
      <c r="O84" s="1479"/>
      <c r="P84" s="850"/>
      <c r="Q84" s="850"/>
      <c r="R84" s="850"/>
      <c r="S84" s="850"/>
      <c r="T84" s="850"/>
      <c r="U84" s="850"/>
      <c r="V84" s="850"/>
      <c r="W84" s="850"/>
      <c r="X84" s="850"/>
      <c r="Y84" s="850"/>
      <c r="Z84" s="850"/>
      <c r="AA84" s="850"/>
      <c r="AB84" s="850"/>
      <c r="AC84" s="850"/>
      <c r="AD84" s="850"/>
      <c r="AE84" s="850"/>
      <c r="AF84" s="850"/>
      <c r="AG84" s="850"/>
    </row>
    <row r="85" spans="1:33" x14ac:dyDescent="0.25">
      <c r="A85" s="1479"/>
      <c r="B85" s="1479"/>
      <c r="C85" s="1479"/>
      <c r="D85" s="1479"/>
      <c r="E85" s="1479"/>
      <c r="F85" s="1479"/>
      <c r="G85" s="1479"/>
      <c r="H85" s="1479"/>
      <c r="I85" s="1479"/>
      <c r="J85" s="1479"/>
      <c r="K85" s="1479"/>
      <c r="L85" s="1479"/>
      <c r="M85" s="1479"/>
      <c r="N85" s="1479"/>
      <c r="O85" s="1479"/>
      <c r="P85" s="850"/>
      <c r="Q85" s="850"/>
      <c r="R85" s="850"/>
      <c r="S85" s="850"/>
      <c r="T85" s="850"/>
      <c r="U85" s="850"/>
      <c r="V85" s="850"/>
      <c r="W85" s="850"/>
      <c r="X85" s="850"/>
      <c r="Y85" s="850"/>
      <c r="Z85" s="850"/>
      <c r="AA85" s="850"/>
      <c r="AB85" s="850"/>
      <c r="AC85" s="850"/>
      <c r="AD85" s="850"/>
      <c r="AE85" s="850"/>
      <c r="AF85" s="850"/>
      <c r="AG85" s="850"/>
    </row>
    <row r="86" spans="1:33" x14ac:dyDescent="0.25">
      <c r="A86" s="916"/>
      <c r="B86" s="916"/>
      <c r="C86" s="916"/>
      <c r="D86" s="916"/>
      <c r="E86" s="916"/>
      <c r="F86" s="916"/>
      <c r="G86" s="916"/>
      <c r="H86" s="916"/>
      <c r="I86" s="916"/>
      <c r="J86" s="916"/>
      <c r="K86" s="916"/>
      <c r="L86" s="916"/>
      <c r="M86" s="916"/>
      <c r="N86" s="916"/>
      <c r="O86" s="916"/>
      <c r="P86" s="850"/>
      <c r="Q86" s="850"/>
      <c r="R86" s="850"/>
      <c r="S86" s="850"/>
      <c r="T86" s="850"/>
      <c r="U86" s="850"/>
      <c r="V86" s="850"/>
      <c r="W86" s="850"/>
      <c r="X86" s="850"/>
      <c r="Y86" s="850"/>
      <c r="Z86" s="850"/>
      <c r="AA86" s="850"/>
      <c r="AB86" s="850"/>
      <c r="AC86" s="850"/>
      <c r="AD86" s="850"/>
      <c r="AE86" s="850"/>
      <c r="AF86" s="850"/>
      <c r="AG86" s="850"/>
    </row>
    <row r="87" spans="1:33" x14ac:dyDescent="0.25">
      <c r="A87" s="873"/>
      <c r="B87" s="873"/>
      <c r="C87" s="873"/>
      <c r="D87" s="873"/>
      <c r="E87" s="873"/>
      <c r="F87" s="873"/>
      <c r="G87" s="873"/>
      <c r="H87" s="873"/>
      <c r="I87" s="873"/>
      <c r="J87" s="873"/>
      <c r="K87" s="873"/>
      <c r="L87" s="873"/>
      <c r="M87" s="873"/>
      <c r="N87" s="873"/>
      <c r="O87" s="873"/>
      <c r="P87" s="850"/>
      <c r="Q87" s="850"/>
      <c r="R87" s="850"/>
      <c r="S87" s="850"/>
      <c r="T87" s="850"/>
      <c r="U87" s="850"/>
      <c r="V87" s="850"/>
      <c r="W87" s="850"/>
      <c r="X87" s="850"/>
      <c r="Y87" s="850"/>
      <c r="Z87" s="850"/>
      <c r="AA87" s="850"/>
      <c r="AB87" s="850"/>
      <c r="AC87" s="850"/>
      <c r="AD87" s="850"/>
      <c r="AE87" s="850"/>
      <c r="AF87" s="850"/>
      <c r="AG87" s="850"/>
    </row>
    <row r="88" spans="1:33" x14ac:dyDescent="0.25">
      <c r="A88" s="873"/>
      <c r="B88" s="873"/>
      <c r="C88" s="873"/>
      <c r="D88" s="873"/>
      <c r="E88" s="873"/>
      <c r="F88" s="873"/>
      <c r="G88" s="873"/>
      <c r="H88" s="873"/>
      <c r="I88" s="873"/>
      <c r="J88" s="873"/>
      <c r="K88" s="873"/>
      <c r="L88" s="873"/>
      <c r="M88" s="873"/>
      <c r="N88" s="873"/>
      <c r="O88" s="873"/>
      <c r="P88" s="850"/>
      <c r="Q88" s="850"/>
      <c r="R88" s="850"/>
      <c r="S88" s="850"/>
      <c r="T88" s="850"/>
      <c r="U88" s="850"/>
      <c r="V88" s="850"/>
      <c r="W88" s="850"/>
      <c r="X88" s="850"/>
      <c r="Y88" s="850"/>
      <c r="Z88" s="850"/>
      <c r="AA88" s="850"/>
      <c r="AB88" s="850"/>
      <c r="AC88" s="850"/>
      <c r="AD88" s="850"/>
      <c r="AE88" s="850"/>
      <c r="AF88" s="850"/>
      <c r="AG88" s="850"/>
    </row>
    <row r="89" spans="1:33" x14ac:dyDescent="0.25">
      <c r="A89" s="873" t="str">
        <f>INFO!A26</f>
        <v>(See Accountants' Report)</v>
      </c>
      <c r="B89" s="873"/>
      <c r="C89" s="873"/>
      <c r="D89" s="873"/>
      <c r="E89" s="873"/>
      <c r="F89" s="873"/>
      <c r="G89" s="873"/>
      <c r="H89" s="873"/>
      <c r="I89" s="873"/>
      <c r="J89" s="873"/>
      <c r="K89" s="873"/>
      <c r="L89" s="873"/>
      <c r="M89" s="873"/>
      <c r="N89" s="873"/>
      <c r="O89" s="873"/>
      <c r="P89" s="850"/>
      <c r="Q89" s="850"/>
      <c r="R89" s="850"/>
      <c r="S89" s="850"/>
      <c r="T89" s="850"/>
      <c r="U89" s="850"/>
      <c r="V89" s="850"/>
      <c r="W89" s="850"/>
      <c r="X89" s="850"/>
      <c r="Y89" s="850"/>
      <c r="Z89" s="850"/>
      <c r="AA89" s="850"/>
      <c r="AB89" s="850"/>
      <c r="AC89" s="850"/>
      <c r="AD89" s="850"/>
      <c r="AE89" s="850"/>
      <c r="AF89" s="850"/>
      <c r="AG89" s="850"/>
    </row>
    <row r="90" spans="1:33" x14ac:dyDescent="0.25">
      <c r="A90" s="914"/>
      <c r="B90" s="873"/>
      <c r="C90" s="873"/>
      <c r="D90" s="873"/>
      <c r="E90" s="873"/>
      <c r="F90" s="873"/>
      <c r="G90" s="873"/>
      <c r="H90" s="873"/>
      <c r="I90" s="873"/>
      <c r="J90" s="873"/>
      <c r="K90" s="873"/>
      <c r="L90" s="873"/>
      <c r="M90" s="873"/>
      <c r="N90" s="873"/>
      <c r="O90" s="873"/>
      <c r="P90" s="850"/>
      <c r="Q90" s="850"/>
      <c r="R90" s="850"/>
      <c r="S90" s="850"/>
      <c r="T90" s="850"/>
      <c r="U90" s="850"/>
      <c r="V90" s="850"/>
      <c r="W90" s="850"/>
      <c r="X90" s="850"/>
      <c r="Y90" s="850"/>
      <c r="Z90" s="850"/>
      <c r="AA90" s="850"/>
      <c r="AB90" s="850"/>
      <c r="AC90" s="850"/>
      <c r="AD90" s="850"/>
      <c r="AE90" s="850"/>
      <c r="AF90" s="850"/>
      <c r="AG90" s="850"/>
    </row>
    <row r="91" spans="1:33" x14ac:dyDescent="0.25">
      <c r="A91" s="1197">
        <v>43</v>
      </c>
      <c r="B91" s="1197"/>
      <c r="C91" s="1197"/>
      <c r="D91" s="1197"/>
      <c r="E91" s="1197"/>
      <c r="F91" s="1197"/>
      <c r="G91" s="1197"/>
      <c r="H91" s="1197"/>
      <c r="I91" s="1197"/>
      <c r="J91" s="1197"/>
      <c r="K91" s="1197"/>
      <c r="L91" s="1197"/>
      <c r="M91" s="1197"/>
      <c r="N91" s="1197"/>
      <c r="O91" s="1197"/>
      <c r="P91" s="850"/>
      <c r="Q91" s="850"/>
      <c r="R91" s="850"/>
      <c r="S91" s="850"/>
      <c r="T91" s="850"/>
      <c r="U91" s="850"/>
      <c r="V91" s="850"/>
      <c r="W91" s="850"/>
      <c r="X91" s="850"/>
      <c r="Y91" s="850"/>
      <c r="Z91" s="850"/>
      <c r="AA91" s="850"/>
      <c r="AB91" s="850"/>
      <c r="AC91" s="850"/>
      <c r="AD91" s="850"/>
      <c r="AE91" s="850"/>
      <c r="AF91" s="850"/>
      <c r="AG91" s="850"/>
    </row>
    <row r="92" spans="1:33" x14ac:dyDescent="0.25">
      <c r="A92" s="866"/>
      <c r="B92" s="872"/>
      <c r="C92" s="866"/>
      <c r="D92" s="872"/>
      <c r="E92" s="872"/>
      <c r="F92" s="872"/>
      <c r="G92" s="866"/>
      <c r="H92" s="872"/>
      <c r="I92" s="860"/>
      <c r="J92" s="860"/>
      <c r="K92" s="860"/>
      <c r="L92" s="860"/>
      <c r="M92" s="860"/>
      <c r="N92" s="872"/>
      <c r="O92" s="866"/>
      <c r="P92" s="850"/>
      <c r="Q92" s="850"/>
      <c r="R92" s="850"/>
      <c r="S92" s="850"/>
      <c r="T92" s="850"/>
      <c r="U92" s="850"/>
      <c r="V92" s="850"/>
      <c r="W92" s="850"/>
      <c r="X92" s="850"/>
      <c r="Y92" s="850"/>
      <c r="Z92" s="850"/>
      <c r="AA92" s="850"/>
      <c r="AB92" s="850"/>
      <c r="AC92" s="850"/>
      <c r="AD92" s="850"/>
      <c r="AE92" s="850"/>
      <c r="AF92" s="850"/>
      <c r="AG92" s="850"/>
    </row>
    <row r="93" spans="1:33" x14ac:dyDescent="0.25">
      <c r="A93" s="866"/>
      <c r="B93" s="872"/>
      <c r="C93" s="866"/>
      <c r="D93" s="872"/>
      <c r="E93" s="866"/>
      <c r="F93" s="866"/>
      <c r="G93" s="866"/>
      <c r="H93" s="872"/>
      <c r="I93" s="866"/>
      <c r="J93" s="866"/>
      <c r="K93" s="866"/>
      <c r="L93" s="917"/>
      <c r="M93" s="866"/>
      <c r="N93" s="872"/>
      <c r="O93" s="866"/>
      <c r="P93" s="850"/>
      <c r="Q93" s="850"/>
      <c r="R93" s="850"/>
      <c r="S93" s="850"/>
      <c r="T93" s="850"/>
      <c r="U93" s="850"/>
      <c r="V93" s="850"/>
      <c r="W93" s="850"/>
      <c r="X93" s="850"/>
      <c r="Y93" s="850"/>
      <c r="Z93" s="850"/>
      <c r="AA93" s="850"/>
      <c r="AB93" s="850"/>
      <c r="AC93" s="850"/>
      <c r="AD93" s="850"/>
      <c r="AE93" s="850"/>
      <c r="AF93" s="850"/>
      <c r="AG93" s="850"/>
    </row>
    <row r="94" spans="1:33" x14ac:dyDescent="0.25">
      <c r="A94" s="872"/>
      <c r="B94" s="872"/>
      <c r="C94" s="873"/>
      <c r="D94" s="873"/>
      <c r="E94" s="873"/>
      <c r="F94" s="873"/>
      <c r="G94" s="866"/>
      <c r="H94" s="873"/>
      <c r="I94" s="1475"/>
      <c r="J94" s="1475"/>
      <c r="K94" s="1475"/>
      <c r="L94" s="1475"/>
      <c r="M94" s="1475"/>
      <c r="N94" s="1475"/>
      <c r="O94" s="1475"/>
      <c r="P94" s="850"/>
      <c r="Q94" s="850"/>
      <c r="R94" s="850"/>
      <c r="S94" s="850"/>
      <c r="T94" s="850"/>
      <c r="U94" s="850"/>
      <c r="V94" s="850"/>
      <c r="W94" s="850"/>
      <c r="X94" s="850"/>
      <c r="Y94" s="850"/>
      <c r="Z94" s="850"/>
      <c r="AA94" s="850"/>
      <c r="AB94" s="850"/>
      <c r="AC94" s="850"/>
      <c r="AD94" s="850"/>
      <c r="AE94" s="850"/>
      <c r="AF94" s="850"/>
      <c r="AG94" s="850"/>
    </row>
    <row r="95" spans="1:33" x14ac:dyDescent="0.25">
      <c r="A95" s="918"/>
      <c r="B95" s="860"/>
      <c r="C95" s="860"/>
      <c r="D95" s="860"/>
      <c r="E95" s="860"/>
      <c r="F95" s="860"/>
      <c r="G95" s="860"/>
      <c r="H95" s="860"/>
      <c r="I95" s="860"/>
      <c r="J95" s="860"/>
      <c r="K95" s="860"/>
      <c r="L95" s="860"/>
      <c r="M95" s="860"/>
      <c r="N95" s="860"/>
      <c r="O95" s="860"/>
      <c r="P95" s="850"/>
      <c r="Q95" s="850"/>
      <c r="R95" s="850"/>
      <c r="S95" s="850"/>
      <c r="T95" s="850"/>
      <c r="U95" s="850"/>
      <c r="V95" s="850"/>
      <c r="W95" s="850"/>
      <c r="X95" s="850"/>
    </row>
    <row r="96" spans="1:33" x14ac:dyDescent="0.25">
      <c r="A96" s="919"/>
      <c r="B96" s="860"/>
      <c r="C96" s="860"/>
      <c r="D96" s="860"/>
      <c r="E96" s="920"/>
      <c r="F96" s="860"/>
      <c r="G96" s="860"/>
      <c r="H96" s="860"/>
      <c r="I96" s="886"/>
      <c r="J96" s="886"/>
      <c r="K96" s="886"/>
      <c r="L96" s="886"/>
      <c r="M96" s="886"/>
      <c r="N96" s="886"/>
      <c r="O96" s="886"/>
      <c r="P96" s="850"/>
      <c r="Q96" s="850"/>
      <c r="R96" s="850"/>
      <c r="S96" s="850"/>
      <c r="T96" s="850"/>
      <c r="U96" s="850"/>
      <c r="V96" s="850"/>
      <c r="W96" s="850"/>
      <c r="X96" s="850"/>
    </row>
    <row r="97" spans="1:24" x14ac:dyDescent="0.25">
      <c r="A97" s="850"/>
      <c r="B97" s="860"/>
      <c r="C97" s="860"/>
      <c r="D97" s="860"/>
      <c r="E97" s="860"/>
      <c r="F97" s="860"/>
      <c r="G97" s="860"/>
      <c r="H97" s="860"/>
      <c r="I97" s="860"/>
      <c r="J97" s="860"/>
      <c r="K97" s="860"/>
      <c r="L97" s="860"/>
      <c r="M97" s="860"/>
      <c r="N97" s="860"/>
      <c r="O97" s="860"/>
      <c r="P97" s="850"/>
      <c r="Q97" s="850"/>
      <c r="R97" s="850"/>
      <c r="S97" s="850"/>
      <c r="T97" s="850"/>
      <c r="U97" s="850"/>
      <c r="V97" s="850"/>
      <c r="W97" s="850"/>
      <c r="X97" s="850"/>
    </row>
    <row r="98" spans="1:24" x14ac:dyDescent="0.25">
      <c r="A98" s="921"/>
      <c r="B98" s="860"/>
      <c r="C98" s="920"/>
      <c r="D98" s="860"/>
      <c r="E98" s="889"/>
      <c r="F98" s="889"/>
      <c r="G98" s="922"/>
      <c r="H98" s="872"/>
      <c r="I98" s="882"/>
      <c r="J98" s="882"/>
      <c r="K98" s="882"/>
      <c r="L98" s="882"/>
      <c r="M98" s="882"/>
      <c r="N98" s="882"/>
      <c r="O98" s="882"/>
      <c r="P98" s="850"/>
      <c r="Q98" s="850"/>
      <c r="R98" s="850"/>
      <c r="S98" s="1476"/>
      <c r="T98" s="1476"/>
      <c r="U98" s="850"/>
      <c r="V98" s="850"/>
      <c r="W98" s="850"/>
      <c r="X98" s="850"/>
    </row>
    <row r="99" spans="1:24" x14ac:dyDescent="0.25">
      <c r="A99" s="921"/>
      <c r="B99" s="860"/>
      <c r="C99" s="889"/>
      <c r="D99" s="860"/>
      <c r="E99" s="889"/>
      <c r="F99" s="889"/>
      <c r="G99" s="922"/>
      <c r="H99" s="872"/>
      <c r="I99" s="882"/>
      <c r="J99" s="882"/>
      <c r="K99" s="882"/>
      <c r="L99" s="882"/>
      <c r="M99" s="882"/>
      <c r="N99" s="882"/>
      <c r="O99" s="882"/>
      <c r="P99" s="850"/>
      <c r="Q99" s="850"/>
      <c r="R99" s="850"/>
      <c r="S99" s="923"/>
      <c r="T99" s="890"/>
      <c r="U99" s="850"/>
      <c r="V99" s="850"/>
      <c r="W99" s="850"/>
      <c r="X99" s="850"/>
    </row>
    <row r="100" spans="1:24" x14ac:dyDescent="0.25">
      <c r="A100" s="921"/>
      <c r="B100" s="860"/>
      <c r="C100" s="889"/>
      <c r="D100" s="860"/>
      <c r="E100" s="889"/>
      <c r="F100" s="889"/>
      <c r="G100" s="922"/>
      <c r="H100" s="872"/>
      <c r="I100" s="882"/>
      <c r="J100" s="882"/>
      <c r="K100" s="882"/>
      <c r="L100" s="882"/>
      <c r="M100" s="882"/>
      <c r="N100" s="882"/>
      <c r="O100" s="882"/>
      <c r="P100" s="850"/>
      <c r="Q100" s="850"/>
      <c r="R100" s="850"/>
      <c r="S100" s="924"/>
      <c r="T100" s="890"/>
      <c r="U100" s="850"/>
      <c r="V100" s="850"/>
      <c r="W100" s="850"/>
      <c r="X100" s="850"/>
    </row>
    <row r="101" spans="1:24" x14ac:dyDescent="0.25">
      <c r="A101" s="921"/>
      <c r="B101" s="860"/>
      <c r="C101" s="889"/>
      <c r="D101" s="860"/>
      <c r="E101" s="889"/>
      <c r="F101" s="889"/>
      <c r="G101" s="922"/>
      <c r="H101" s="872"/>
      <c r="I101" s="882"/>
      <c r="J101" s="882"/>
      <c r="K101" s="882"/>
      <c r="L101" s="882"/>
      <c r="M101" s="882"/>
      <c r="N101" s="882"/>
      <c r="O101" s="882"/>
      <c r="P101" s="850"/>
      <c r="Q101" s="850"/>
      <c r="R101" s="850"/>
      <c r="S101" s="889"/>
      <c r="T101" s="890"/>
      <c r="U101" s="850"/>
      <c r="V101" s="850"/>
      <c r="W101" s="850"/>
      <c r="X101" s="850"/>
    </row>
    <row r="102" spans="1:24" x14ac:dyDescent="0.25">
      <c r="A102" s="921"/>
      <c r="B102" s="860"/>
      <c r="C102" s="889"/>
      <c r="D102" s="860"/>
      <c r="E102" s="889"/>
      <c r="F102" s="889"/>
      <c r="G102" s="922"/>
      <c r="H102" s="872"/>
      <c r="I102" s="882"/>
      <c r="J102" s="882"/>
      <c r="K102" s="882"/>
      <c r="L102" s="882"/>
      <c r="M102" s="882"/>
      <c r="N102" s="882"/>
      <c r="O102" s="882"/>
      <c r="P102" s="850"/>
      <c r="Q102" s="850"/>
      <c r="R102" s="850"/>
      <c r="S102" s="889"/>
      <c r="T102" s="890"/>
      <c r="U102" s="850"/>
      <c r="V102" s="850"/>
      <c r="W102" s="850"/>
      <c r="X102" s="850"/>
    </row>
    <row r="103" spans="1:24" x14ac:dyDescent="0.25">
      <c r="A103" s="921"/>
      <c r="B103" s="860"/>
      <c r="C103" s="889"/>
      <c r="D103" s="860"/>
      <c r="E103" s="889"/>
      <c r="F103" s="889"/>
      <c r="G103" s="922"/>
      <c r="H103" s="872"/>
      <c r="I103" s="882"/>
      <c r="J103" s="882"/>
      <c r="K103" s="882"/>
      <c r="L103" s="882"/>
      <c r="M103" s="882"/>
      <c r="N103" s="882"/>
      <c r="O103" s="882"/>
      <c r="P103" s="850"/>
      <c r="Q103" s="850"/>
      <c r="R103" s="850"/>
      <c r="S103" s="889"/>
      <c r="T103" s="890"/>
      <c r="U103" s="850"/>
      <c r="V103" s="850"/>
      <c r="W103" s="850"/>
      <c r="X103" s="850"/>
    </row>
    <row r="104" spans="1:24" x14ac:dyDescent="0.25">
      <c r="A104" s="921"/>
      <c r="B104" s="860"/>
      <c r="C104" s="889"/>
      <c r="D104" s="860"/>
      <c r="E104" s="889"/>
      <c r="F104" s="889"/>
      <c r="G104" s="922"/>
      <c r="H104" s="872"/>
      <c r="I104" s="882"/>
      <c r="J104" s="882"/>
      <c r="K104" s="882"/>
      <c r="L104" s="882"/>
      <c r="M104" s="882"/>
      <c r="N104" s="882"/>
      <c r="O104" s="882"/>
      <c r="P104" s="850"/>
      <c r="Q104" s="850"/>
      <c r="R104" s="850"/>
      <c r="S104" s="889"/>
      <c r="T104" s="890"/>
      <c r="U104" s="850"/>
      <c r="V104" s="850"/>
      <c r="W104" s="850"/>
      <c r="X104" s="850"/>
    </row>
    <row r="105" spans="1:24" x14ac:dyDescent="0.25">
      <c r="A105" s="921"/>
      <c r="B105" s="860"/>
      <c r="C105" s="889"/>
      <c r="D105" s="860"/>
      <c r="E105" s="889"/>
      <c r="F105" s="889"/>
      <c r="G105" s="922"/>
      <c r="H105" s="872"/>
      <c r="I105" s="882"/>
      <c r="J105" s="882"/>
      <c r="K105" s="882"/>
      <c r="L105" s="882"/>
      <c r="M105" s="882"/>
      <c r="N105" s="882"/>
      <c r="O105" s="882"/>
      <c r="P105" s="850"/>
      <c r="Q105" s="850"/>
      <c r="R105" s="850"/>
      <c r="S105" s="889"/>
      <c r="T105" s="890"/>
      <c r="U105" s="850"/>
      <c r="V105" s="850"/>
      <c r="W105" s="850"/>
      <c r="X105" s="850"/>
    </row>
    <row r="106" spans="1:24" x14ac:dyDescent="0.25">
      <c r="A106" s="921"/>
      <c r="B106" s="860"/>
      <c r="C106" s="889"/>
      <c r="D106" s="860"/>
      <c r="E106" s="889"/>
      <c r="F106" s="889"/>
      <c r="G106" s="922"/>
      <c r="H106" s="872"/>
      <c r="I106" s="882"/>
      <c r="J106" s="882"/>
      <c r="K106" s="882"/>
      <c r="L106" s="882"/>
      <c r="M106" s="882"/>
      <c r="N106" s="882"/>
      <c r="O106" s="882"/>
      <c r="P106" s="850"/>
      <c r="Q106" s="850"/>
      <c r="R106" s="850"/>
      <c r="S106" s="889"/>
      <c r="T106" s="890"/>
      <c r="U106" s="850"/>
      <c r="V106" s="850"/>
      <c r="W106" s="850"/>
      <c r="X106" s="850"/>
    </row>
    <row r="107" spans="1:24" x14ac:dyDescent="0.25">
      <c r="A107" s="921"/>
      <c r="B107" s="860"/>
      <c r="C107" s="889"/>
      <c r="D107" s="860"/>
      <c r="E107" s="889"/>
      <c r="F107" s="889"/>
      <c r="G107" s="922"/>
      <c r="H107" s="872"/>
      <c r="I107" s="882"/>
      <c r="J107" s="882"/>
      <c r="K107" s="882"/>
      <c r="L107" s="882"/>
      <c r="M107" s="882"/>
      <c r="N107" s="882"/>
      <c r="O107" s="882"/>
      <c r="P107" s="850"/>
      <c r="Q107" s="850"/>
      <c r="R107" s="850"/>
      <c r="S107" s="889"/>
      <c r="T107" s="890"/>
      <c r="U107" s="850"/>
      <c r="V107" s="850"/>
      <c r="W107" s="850"/>
      <c r="X107" s="850"/>
    </row>
    <row r="108" spans="1:24" x14ac:dyDescent="0.25">
      <c r="A108" s="921"/>
      <c r="B108" s="860"/>
      <c r="C108" s="889"/>
      <c r="D108" s="860"/>
      <c r="E108" s="889"/>
      <c r="F108" s="889"/>
      <c r="G108" s="922"/>
      <c r="H108" s="872"/>
      <c r="I108" s="882"/>
      <c r="J108" s="882"/>
      <c r="K108" s="882"/>
      <c r="L108" s="882"/>
      <c r="M108" s="882"/>
      <c r="N108" s="882"/>
      <c r="O108" s="882"/>
      <c r="P108" s="850"/>
      <c r="Q108" s="850"/>
      <c r="R108" s="850"/>
      <c r="S108" s="889"/>
      <c r="T108" s="890"/>
      <c r="U108" s="850"/>
      <c r="V108" s="850"/>
      <c r="W108" s="850"/>
      <c r="X108" s="850"/>
    </row>
    <row r="109" spans="1:24" x14ac:dyDescent="0.25">
      <c r="A109" s="921"/>
      <c r="B109" s="860"/>
      <c r="C109" s="889"/>
      <c r="D109" s="860"/>
      <c r="E109" s="889"/>
      <c r="F109" s="889"/>
      <c r="G109" s="922"/>
      <c r="H109" s="872"/>
      <c r="I109" s="882"/>
      <c r="J109" s="882"/>
      <c r="K109" s="882"/>
      <c r="L109" s="882"/>
      <c r="M109" s="882"/>
      <c r="N109" s="882"/>
      <c r="O109" s="882"/>
      <c r="P109" s="850"/>
      <c r="Q109" s="850"/>
      <c r="R109" s="850"/>
      <c r="S109" s="889"/>
      <c r="T109" s="890"/>
      <c r="U109" s="850"/>
      <c r="V109" s="850"/>
      <c r="W109" s="850"/>
      <c r="X109" s="850"/>
    </row>
    <row r="110" spans="1:24" x14ac:dyDescent="0.25">
      <c r="A110" s="921"/>
      <c r="B110" s="860"/>
      <c r="C110" s="889"/>
      <c r="D110" s="860"/>
      <c r="E110" s="889"/>
      <c r="F110" s="889"/>
      <c r="G110" s="922"/>
      <c r="H110" s="872"/>
      <c r="I110" s="882"/>
      <c r="J110" s="882"/>
      <c r="K110" s="882"/>
      <c r="L110" s="882"/>
      <c r="M110" s="882"/>
      <c r="N110" s="882"/>
      <c r="O110" s="882"/>
      <c r="P110" s="850"/>
      <c r="Q110" s="850"/>
      <c r="R110" s="850"/>
      <c r="S110" s="889"/>
      <c r="T110" s="890"/>
      <c r="U110" s="850"/>
      <c r="V110" s="850"/>
      <c r="W110" s="850"/>
      <c r="X110" s="850"/>
    </row>
    <row r="111" spans="1:24" x14ac:dyDescent="0.25">
      <c r="A111" s="921"/>
      <c r="B111" s="860"/>
      <c r="C111" s="889"/>
      <c r="D111" s="860"/>
      <c r="E111" s="889"/>
      <c r="F111" s="889"/>
      <c r="G111" s="922"/>
      <c r="H111" s="872"/>
      <c r="I111" s="882"/>
      <c r="J111" s="882"/>
      <c r="K111" s="882"/>
      <c r="L111" s="882"/>
      <c r="M111" s="882"/>
      <c r="N111" s="882"/>
      <c r="O111" s="882"/>
      <c r="P111" s="850"/>
      <c r="Q111" s="850"/>
      <c r="R111" s="850"/>
      <c r="S111" s="889"/>
      <c r="T111" s="890"/>
      <c r="U111" s="850"/>
      <c r="V111" s="850"/>
      <c r="W111" s="850"/>
      <c r="X111" s="850"/>
    </row>
    <row r="112" spans="1:24" x14ac:dyDescent="0.25">
      <c r="A112" s="921"/>
      <c r="B112" s="860"/>
      <c r="C112" s="889"/>
      <c r="D112" s="860"/>
      <c r="E112" s="889"/>
      <c r="F112" s="889"/>
      <c r="G112" s="922"/>
      <c r="H112" s="872"/>
      <c r="I112" s="882"/>
      <c r="J112" s="882"/>
      <c r="K112" s="882"/>
      <c r="L112" s="882"/>
      <c r="M112" s="882"/>
      <c r="N112" s="882"/>
      <c r="O112" s="882"/>
      <c r="P112" s="850"/>
      <c r="Q112" s="850"/>
      <c r="R112" s="850"/>
      <c r="S112" s="889"/>
      <c r="T112" s="890"/>
      <c r="U112" s="850"/>
      <c r="V112" s="850"/>
      <c r="W112" s="850"/>
      <c r="X112" s="850"/>
    </row>
    <row r="113" spans="1:24" x14ac:dyDescent="0.25">
      <c r="A113" s="921"/>
      <c r="B113" s="860"/>
      <c r="C113" s="889"/>
      <c r="D113" s="860"/>
      <c r="E113" s="889"/>
      <c r="F113" s="889"/>
      <c r="G113" s="922"/>
      <c r="H113" s="872"/>
      <c r="I113" s="882"/>
      <c r="J113" s="882"/>
      <c r="K113" s="882"/>
      <c r="L113" s="882"/>
      <c r="M113" s="882"/>
      <c r="N113" s="882"/>
      <c r="O113" s="882"/>
      <c r="P113" s="850"/>
      <c r="Q113" s="850"/>
      <c r="R113" s="850"/>
      <c r="S113" s="889"/>
      <c r="T113" s="890"/>
      <c r="U113" s="850"/>
      <c r="V113" s="850"/>
      <c r="W113" s="850"/>
      <c r="X113" s="850"/>
    </row>
    <row r="114" spans="1:24" x14ac:dyDescent="0.25">
      <c r="A114" s="921"/>
      <c r="B114" s="860"/>
      <c r="C114" s="889"/>
      <c r="D114" s="860"/>
      <c r="E114" s="889"/>
      <c r="F114" s="889"/>
      <c r="G114" s="922"/>
      <c r="H114" s="872"/>
      <c r="I114" s="882"/>
      <c r="J114" s="882"/>
      <c r="K114" s="882"/>
      <c r="L114" s="882"/>
      <c r="M114" s="882"/>
      <c r="N114" s="882"/>
      <c r="O114" s="882"/>
      <c r="P114" s="850"/>
      <c r="Q114" s="850"/>
      <c r="R114" s="850"/>
      <c r="S114" s="889"/>
      <c r="T114" s="890"/>
      <c r="U114" s="850"/>
      <c r="V114" s="850"/>
      <c r="W114" s="850"/>
      <c r="X114" s="850"/>
    </row>
    <row r="115" spans="1:24" x14ac:dyDescent="0.25">
      <c r="A115" s="921"/>
      <c r="B115" s="860"/>
      <c r="C115" s="889"/>
      <c r="D115" s="860"/>
      <c r="E115" s="889"/>
      <c r="F115" s="889"/>
      <c r="G115" s="922"/>
      <c r="H115" s="872"/>
      <c r="I115" s="882"/>
      <c r="J115" s="882"/>
      <c r="K115" s="882"/>
      <c r="L115" s="882"/>
      <c r="M115" s="882"/>
      <c r="N115" s="882"/>
      <c r="O115" s="882"/>
      <c r="P115" s="850"/>
      <c r="Q115" s="850"/>
      <c r="R115" s="850"/>
      <c r="S115" s="889"/>
      <c r="T115" s="890"/>
      <c r="U115" s="850"/>
      <c r="V115" s="850"/>
      <c r="W115" s="850"/>
      <c r="X115" s="850"/>
    </row>
    <row r="116" spans="1:24" x14ac:dyDescent="0.25">
      <c r="A116" s="921"/>
      <c r="B116" s="860"/>
      <c r="C116" s="889"/>
      <c r="D116" s="860"/>
      <c r="E116" s="889"/>
      <c r="F116" s="889"/>
      <c r="G116" s="922"/>
      <c r="H116" s="872"/>
      <c r="I116" s="882"/>
      <c r="J116" s="882"/>
      <c r="K116" s="882"/>
      <c r="L116" s="882"/>
      <c r="M116" s="882"/>
      <c r="N116" s="882"/>
      <c r="O116" s="882"/>
      <c r="P116" s="850"/>
      <c r="Q116" s="850"/>
      <c r="R116" s="850"/>
      <c r="S116" s="889"/>
      <c r="T116" s="890"/>
      <c r="U116" s="850"/>
      <c r="V116" s="850"/>
      <c r="W116" s="850"/>
      <c r="X116" s="850"/>
    </row>
    <row r="117" spans="1:24" x14ac:dyDescent="0.25">
      <c r="A117" s="921"/>
      <c r="B117" s="860"/>
      <c r="C117" s="889"/>
      <c r="D117" s="860"/>
      <c r="E117" s="889"/>
      <c r="F117" s="889"/>
      <c r="G117" s="922"/>
      <c r="H117" s="872"/>
      <c r="I117" s="882"/>
      <c r="J117" s="882"/>
      <c r="K117" s="882"/>
      <c r="L117" s="882"/>
      <c r="M117" s="882"/>
      <c r="N117" s="882"/>
      <c r="O117" s="882"/>
      <c r="P117" s="850"/>
      <c r="Q117" s="850"/>
      <c r="R117" s="850"/>
      <c r="S117" s="889"/>
      <c r="T117" s="890"/>
      <c r="U117" s="850"/>
      <c r="V117" s="850"/>
      <c r="W117" s="850"/>
      <c r="X117" s="850"/>
    </row>
    <row r="118" spans="1:24" x14ac:dyDescent="0.25">
      <c r="A118" s="921"/>
      <c r="B118" s="860"/>
      <c r="C118" s="889"/>
      <c r="D118" s="860"/>
      <c r="E118" s="889"/>
      <c r="F118" s="889"/>
      <c r="G118" s="922"/>
      <c r="H118" s="872"/>
      <c r="I118" s="882"/>
      <c r="J118" s="882"/>
      <c r="K118" s="882"/>
      <c r="L118" s="882"/>
      <c r="M118" s="882"/>
      <c r="N118" s="882"/>
      <c r="O118" s="882"/>
      <c r="P118" s="850"/>
      <c r="Q118" s="850"/>
      <c r="R118" s="850"/>
      <c r="S118" s="889"/>
      <c r="T118" s="890"/>
      <c r="U118" s="850"/>
      <c r="V118" s="850"/>
      <c r="W118" s="850"/>
      <c r="X118" s="850"/>
    </row>
    <row r="119" spans="1:24" x14ac:dyDescent="0.25">
      <c r="A119" s="921"/>
      <c r="B119" s="860"/>
      <c r="C119" s="889"/>
      <c r="D119" s="860"/>
      <c r="E119" s="889"/>
      <c r="F119" s="889"/>
      <c r="G119" s="922"/>
      <c r="H119" s="872"/>
      <c r="I119" s="882"/>
      <c r="J119" s="882"/>
      <c r="K119" s="882"/>
      <c r="L119" s="882"/>
      <c r="M119" s="882"/>
      <c r="N119" s="882"/>
      <c r="O119" s="882"/>
      <c r="P119" s="850"/>
      <c r="Q119" s="850"/>
      <c r="R119" s="850"/>
      <c r="S119" s="889"/>
      <c r="T119" s="890"/>
      <c r="U119" s="850"/>
      <c r="V119" s="850"/>
      <c r="W119" s="850"/>
      <c r="X119" s="850"/>
    </row>
    <row r="120" spans="1:24" x14ac:dyDescent="0.25">
      <c r="A120" s="921"/>
      <c r="B120" s="860"/>
      <c r="C120" s="889"/>
      <c r="D120" s="860"/>
      <c r="E120" s="889"/>
      <c r="F120" s="889"/>
      <c r="G120" s="922"/>
      <c r="H120" s="872"/>
      <c r="I120" s="882"/>
      <c r="J120" s="882"/>
      <c r="K120" s="882"/>
      <c r="L120" s="882"/>
      <c r="M120" s="882"/>
      <c r="N120" s="882"/>
      <c r="O120" s="882"/>
      <c r="P120" s="850"/>
      <c r="Q120" s="850"/>
      <c r="R120" s="850"/>
      <c r="S120" s="889"/>
      <c r="T120" s="890"/>
      <c r="U120" s="850"/>
      <c r="V120" s="850"/>
      <c r="W120" s="850"/>
      <c r="X120" s="850"/>
    </row>
    <row r="121" spans="1:24" x14ac:dyDescent="0.25">
      <c r="A121" s="921"/>
      <c r="B121" s="860"/>
      <c r="C121" s="889"/>
      <c r="D121" s="860"/>
      <c r="E121" s="889"/>
      <c r="F121" s="889"/>
      <c r="G121" s="922"/>
      <c r="H121" s="872"/>
      <c r="I121" s="882"/>
      <c r="J121" s="882"/>
      <c r="K121" s="882"/>
      <c r="L121" s="882"/>
      <c r="M121" s="882"/>
      <c r="N121" s="882"/>
      <c r="O121" s="882"/>
      <c r="P121" s="850"/>
      <c r="Q121" s="850"/>
      <c r="R121" s="850"/>
      <c r="S121" s="889"/>
      <c r="T121" s="890"/>
      <c r="U121" s="850"/>
      <c r="V121" s="850"/>
      <c r="W121" s="850"/>
      <c r="X121" s="850"/>
    </row>
    <row r="122" spans="1:24" x14ac:dyDescent="0.25">
      <c r="A122" s="921"/>
      <c r="B122" s="860"/>
      <c r="C122" s="889"/>
      <c r="D122" s="860"/>
      <c r="E122" s="889"/>
      <c r="F122" s="889"/>
      <c r="G122" s="922"/>
      <c r="H122" s="872"/>
      <c r="I122" s="882"/>
      <c r="J122" s="882"/>
      <c r="K122" s="882"/>
      <c r="L122" s="882"/>
      <c r="M122" s="882"/>
      <c r="N122" s="882"/>
      <c r="O122" s="882"/>
      <c r="P122" s="850"/>
      <c r="Q122" s="850"/>
      <c r="R122" s="850"/>
      <c r="S122" s="889"/>
      <c r="T122" s="890"/>
      <c r="U122" s="850"/>
      <c r="V122" s="850"/>
      <c r="W122" s="850"/>
      <c r="X122" s="850"/>
    </row>
    <row r="123" spans="1:24" x14ac:dyDescent="0.25">
      <c r="A123" s="921"/>
      <c r="B123" s="860"/>
      <c r="C123" s="889"/>
      <c r="D123" s="860"/>
      <c r="E123" s="889"/>
      <c r="F123" s="889"/>
      <c r="G123" s="922"/>
      <c r="H123" s="872"/>
      <c r="I123" s="882"/>
      <c r="J123" s="882"/>
      <c r="K123" s="882"/>
      <c r="L123" s="882"/>
      <c r="M123" s="882"/>
      <c r="N123" s="882"/>
      <c r="O123" s="882"/>
      <c r="P123" s="850"/>
      <c r="Q123" s="850"/>
      <c r="R123" s="850"/>
      <c r="S123" s="889"/>
      <c r="T123" s="890"/>
      <c r="U123" s="850"/>
      <c r="V123" s="850"/>
      <c r="W123" s="850"/>
      <c r="X123" s="850"/>
    </row>
    <row r="124" spans="1:24" x14ac:dyDescent="0.25">
      <c r="A124" s="921"/>
      <c r="B124" s="860"/>
      <c r="C124" s="889"/>
      <c r="D124" s="860"/>
      <c r="E124" s="889"/>
      <c r="F124" s="889"/>
      <c r="G124" s="922"/>
      <c r="H124" s="872"/>
      <c r="I124" s="882"/>
      <c r="J124" s="882"/>
      <c r="K124" s="882"/>
      <c r="L124" s="882"/>
      <c r="M124" s="882"/>
      <c r="N124" s="882"/>
      <c r="O124" s="882"/>
      <c r="P124" s="850"/>
      <c r="Q124" s="850"/>
      <c r="R124" s="850"/>
      <c r="S124" s="889"/>
      <c r="T124" s="890"/>
      <c r="U124" s="850"/>
      <c r="V124" s="850"/>
      <c r="W124" s="850"/>
      <c r="X124" s="850"/>
    </row>
    <row r="125" spans="1:24" x14ac:dyDescent="0.25">
      <c r="A125" s="921"/>
      <c r="B125" s="872"/>
      <c r="C125" s="889"/>
      <c r="D125" s="872"/>
      <c r="E125" s="889"/>
      <c r="F125" s="889"/>
      <c r="G125" s="922"/>
      <c r="H125" s="872"/>
      <c r="I125" s="882"/>
      <c r="J125" s="882"/>
      <c r="K125" s="882"/>
      <c r="L125" s="882"/>
      <c r="M125" s="882"/>
      <c r="N125" s="882"/>
      <c r="O125" s="882"/>
      <c r="P125" s="850"/>
      <c r="Q125" s="850"/>
      <c r="R125" s="850"/>
      <c r="S125" s="889"/>
      <c r="T125" s="890"/>
      <c r="U125" s="850"/>
      <c r="V125" s="850"/>
      <c r="W125" s="850"/>
      <c r="X125" s="850"/>
    </row>
    <row r="126" spans="1:24" x14ac:dyDescent="0.25">
      <c r="A126" s="921"/>
      <c r="B126" s="872"/>
      <c r="C126" s="889"/>
      <c r="D126" s="872"/>
      <c r="E126" s="889"/>
      <c r="F126" s="889"/>
      <c r="G126" s="922"/>
      <c r="H126" s="872"/>
      <c r="I126" s="882"/>
      <c r="J126" s="882"/>
      <c r="K126" s="882"/>
      <c r="L126" s="882"/>
      <c r="M126" s="882"/>
      <c r="N126" s="882"/>
      <c r="O126" s="882"/>
      <c r="P126" s="850"/>
      <c r="Q126" s="850"/>
      <c r="R126" s="850"/>
      <c r="S126" s="889"/>
      <c r="T126" s="890"/>
      <c r="U126" s="850"/>
      <c r="V126" s="850"/>
      <c r="W126" s="850"/>
      <c r="X126" s="850"/>
    </row>
    <row r="127" spans="1:24" x14ac:dyDescent="0.25">
      <c r="A127" s="921"/>
      <c r="B127" s="872"/>
      <c r="C127" s="889"/>
      <c r="D127" s="872"/>
      <c r="E127" s="889"/>
      <c r="F127" s="889"/>
      <c r="G127" s="922"/>
      <c r="H127" s="872"/>
      <c r="I127" s="882"/>
      <c r="J127" s="882"/>
      <c r="K127" s="882"/>
      <c r="L127" s="882"/>
      <c r="M127" s="882"/>
      <c r="N127" s="882"/>
      <c r="O127" s="882"/>
      <c r="P127" s="850"/>
      <c r="Q127" s="850"/>
      <c r="R127" s="850"/>
      <c r="S127" s="889"/>
      <c r="T127" s="890"/>
      <c r="U127" s="850"/>
      <c r="V127" s="850"/>
      <c r="W127" s="850"/>
      <c r="X127" s="850"/>
    </row>
    <row r="128" spans="1:24" x14ac:dyDescent="0.25">
      <c r="A128" s="921"/>
      <c r="B128" s="872"/>
      <c r="C128" s="908"/>
      <c r="D128" s="872"/>
      <c r="E128" s="889"/>
      <c r="F128" s="889"/>
      <c r="G128" s="925"/>
      <c r="H128" s="872"/>
      <c r="I128" s="882"/>
      <c r="J128" s="882"/>
      <c r="K128" s="882"/>
      <c r="L128" s="882"/>
      <c r="M128" s="882"/>
      <c r="N128" s="882"/>
      <c r="O128" s="882"/>
      <c r="P128" s="850"/>
      <c r="Q128" s="850"/>
      <c r="R128" s="850"/>
      <c r="S128" s="889"/>
      <c r="T128" s="890"/>
      <c r="U128" s="850"/>
      <c r="V128" s="850"/>
      <c r="W128" s="850"/>
      <c r="X128" s="850"/>
    </row>
    <row r="129" spans="1:24" x14ac:dyDescent="0.25">
      <c r="A129" s="919"/>
      <c r="B129" s="872"/>
      <c r="C129" s="850"/>
      <c r="D129" s="872"/>
      <c r="E129" s="908"/>
      <c r="F129" s="908"/>
      <c r="G129" s="872"/>
      <c r="H129" s="872"/>
      <c r="I129" s="886"/>
      <c r="J129" s="886"/>
      <c r="K129" s="886"/>
      <c r="L129" s="886"/>
      <c r="M129" s="886"/>
      <c r="N129" s="886"/>
      <c r="O129" s="886"/>
      <c r="P129" s="850"/>
      <c r="Q129" s="850"/>
      <c r="R129" s="850"/>
      <c r="S129" s="889"/>
      <c r="T129" s="890"/>
      <c r="U129" s="850"/>
      <c r="V129" s="850"/>
      <c r="W129" s="850"/>
      <c r="X129" s="850"/>
    </row>
    <row r="130" spans="1:24" x14ac:dyDescent="0.25">
      <c r="A130" s="921"/>
      <c r="B130" s="872"/>
      <c r="C130" s="908"/>
      <c r="D130" s="872"/>
      <c r="E130" s="889"/>
      <c r="F130" s="889"/>
      <c r="G130" s="925"/>
      <c r="H130" s="872"/>
      <c r="I130" s="882"/>
      <c r="J130" s="882"/>
      <c r="K130" s="882"/>
      <c r="L130" s="882"/>
      <c r="M130" s="882"/>
      <c r="N130" s="882"/>
      <c r="O130" s="882"/>
      <c r="P130" s="850"/>
      <c r="Q130" s="850"/>
      <c r="R130" s="850"/>
      <c r="S130" s="889"/>
      <c r="T130" s="890"/>
      <c r="U130" s="850"/>
      <c r="V130" s="850"/>
      <c r="W130" s="850"/>
      <c r="X130" s="850"/>
    </row>
    <row r="131" spans="1:24" x14ac:dyDescent="0.25">
      <c r="A131" s="921"/>
      <c r="B131" s="872"/>
      <c r="C131" s="908"/>
      <c r="D131" s="872"/>
      <c r="E131" s="889"/>
      <c r="F131" s="889"/>
      <c r="G131" s="925"/>
      <c r="H131" s="872"/>
      <c r="I131" s="882"/>
      <c r="J131" s="882"/>
      <c r="K131" s="882"/>
      <c r="L131" s="882"/>
      <c r="M131" s="882"/>
      <c r="N131" s="882"/>
      <c r="O131" s="882"/>
      <c r="P131" s="850"/>
      <c r="Q131" s="850"/>
      <c r="R131" s="850"/>
      <c r="S131" s="889"/>
      <c r="T131" s="890"/>
      <c r="U131" s="850"/>
      <c r="V131" s="850"/>
      <c r="W131" s="850"/>
      <c r="X131" s="850"/>
    </row>
    <row r="132" spans="1:24" x14ac:dyDescent="0.25">
      <c r="A132" s="926"/>
      <c r="B132" s="872"/>
      <c r="C132" s="908"/>
      <c r="D132" s="872"/>
      <c r="E132" s="889"/>
      <c r="F132" s="889"/>
      <c r="G132" s="925"/>
      <c r="H132" s="872"/>
      <c r="I132" s="882"/>
      <c r="J132" s="882"/>
      <c r="K132" s="882"/>
      <c r="L132" s="882"/>
      <c r="M132" s="882"/>
      <c r="N132" s="882"/>
      <c r="O132" s="882"/>
      <c r="P132" s="850"/>
      <c r="Q132" s="850"/>
      <c r="R132" s="850"/>
      <c r="S132" s="889"/>
      <c r="T132" s="890"/>
      <c r="U132" s="850"/>
      <c r="V132" s="850"/>
      <c r="W132" s="850"/>
      <c r="X132" s="850"/>
    </row>
    <row r="133" spans="1:24" x14ac:dyDescent="0.25">
      <c r="A133" s="921"/>
      <c r="B133" s="872"/>
      <c r="C133" s="908"/>
      <c r="D133" s="872"/>
      <c r="E133" s="889"/>
      <c r="F133" s="889"/>
      <c r="G133" s="925"/>
      <c r="H133" s="872"/>
      <c r="I133" s="882"/>
      <c r="J133" s="882"/>
      <c r="K133" s="882"/>
      <c r="L133" s="882"/>
      <c r="M133" s="882"/>
      <c r="N133" s="882"/>
      <c r="O133" s="882"/>
      <c r="P133" s="850"/>
      <c r="Q133" s="850"/>
      <c r="R133" s="850"/>
      <c r="S133" s="889"/>
      <c r="T133" s="890"/>
      <c r="U133" s="850"/>
      <c r="V133" s="850"/>
      <c r="W133" s="850"/>
      <c r="X133" s="850"/>
    </row>
    <row r="134" spans="1:24" x14ac:dyDescent="0.25">
      <c r="A134" s="921"/>
      <c r="B134" s="872"/>
      <c r="C134" s="908"/>
      <c r="D134" s="872"/>
      <c r="E134" s="889"/>
      <c r="F134" s="889"/>
      <c r="G134" s="925"/>
      <c r="H134" s="872"/>
      <c r="I134" s="882"/>
      <c r="J134" s="882"/>
      <c r="K134" s="882"/>
      <c r="L134" s="882"/>
      <c r="M134" s="882"/>
      <c r="N134" s="882"/>
      <c r="O134" s="882"/>
      <c r="P134" s="850"/>
      <c r="Q134" s="850"/>
      <c r="R134" s="850"/>
      <c r="S134" s="889"/>
      <c r="T134" s="890"/>
      <c r="U134" s="850"/>
      <c r="V134" s="850"/>
      <c r="W134" s="850"/>
      <c r="X134" s="850"/>
    </row>
    <row r="135" spans="1:24" x14ac:dyDescent="0.25">
      <c r="A135" s="921"/>
      <c r="B135" s="872"/>
      <c r="C135" s="908"/>
      <c r="D135" s="872"/>
      <c r="E135" s="889"/>
      <c r="F135" s="889"/>
      <c r="G135" s="925"/>
      <c r="H135" s="872"/>
      <c r="I135" s="882"/>
      <c r="J135" s="882"/>
      <c r="K135" s="882"/>
      <c r="L135" s="882"/>
      <c r="M135" s="882"/>
      <c r="N135" s="882"/>
      <c r="O135" s="882"/>
      <c r="P135" s="850"/>
      <c r="Q135" s="850"/>
      <c r="R135" s="850"/>
      <c r="S135" s="889"/>
      <c r="T135" s="890"/>
      <c r="U135" s="850"/>
      <c r="V135" s="850"/>
      <c r="W135" s="850"/>
      <c r="X135" s="850"/>
    </row>
    <row r="136" spans="1:24" x14ac:dyDescent="0.25">
      <c r="A136" s="921"/>
      <c r="B136" s="872"/>
      <c r="C136" s="908"/>
      <c r="D136" s="872"/>
      <c r="E136" s="889"/>
      <c r="F136" s="889"/>
      <c r="G136" s="925"/>
      <c r="H136" s="872"/>
      <c r="I136" s="882"/>
      <c r="J136" s="882"/>
      <c r="K136" s="882"/>
      <c r="L136" s="882"/>
      <c r="M136" s="882"/>
      <c r="N136" s="882"/>
      <c r="O136" s="882"/>
      <c r="P136" s="850"/>
      <c r="Q136" s="850"/>
      <c r="R136" s="850"/>
      <c r="S136" s="889"/>
      <c r="T136" s="890"/>
      <c r="U136" s="850"/>
      <c r="V136" s="850"/>
      <c r="W136" s="850"/>
      <c r="X136" s="850"/>
    </row>
    <row r="137" spans="1:24" x14ac:dyDescent="0.25">
      <c r="A137" s="921"/>
      <c r="B137" s="872"/>
      <c r="C137" s="908"/>
      <c r="D137" s="872"/>
      <c r="E137" s="889"/>
      <c r="F137" s="889"/>
      <c r="G137" s="925"/>
      <c r="H137" s="872"/>
      <c r="I137" s="882"/>
      <c r="J137" s="882"/>
      <c r="K137" s="882"/>
      <c r="L137" s="882"/>
      <c r="M137" s="882"/>
      <c r="N137" s="882"/>
      <c r="O137" s="882"/>
      <c r="P137" s="850"/>
      <c r="Q137" s="850"/>
      <c r="R137" s="850"/>
      <c r="S137" s="889"/>
      <c r="T137" s="890"/>
      <c r="U137" s="850"/>
      <c r="V137" s="850"/>
      <c r="W137" s="850"/>
      <c r="X137" s="850"/>
    </row>
    <row r="138" spans="1:24" x14ac:dyDescent="0.25">
      <c r="A138" s="921"/>
      <c r="B138" s="872"/>
      <c r="C138" s="908"/>
      <c r="D138" s="872"/>
      <c r="E138" s="889"/>
      <c r="F138" s="889"/>
      <c r="G138" s="925"/>
      <c r="H138" s="872"/>
      <c r="I138" s="882"/>
      <c r="J138" s="882"/>
      <c r="K138" s="882"/>
      <c r="L138" s="882"/>
      <c r="M138" s="882"/>
      <c r="N138" s="882"/>
      <c r="O138" s="882"/>
      <c r="P138" s="850"/>
      <c r="Q138" s="850"/>
      <c r="R138" s="850"/>
      <c r="S138" s="889"/>
      <c r="T138" s="890"/>
      <c r="U138" s="850"/>
      <c r="V138" s="850"/>
      <c r="W138" s="850"/>
      <c r="X138" s="850"/>
    </row>
    <row r="139" spans="1:24" x14ac:dyDescent="0.25">
      <c r="A139" s="921"/>
      <c r="B139" s="872"/>
      <c r="C139" s="908"/>
      <c r="D139" s="872"/>
      <c r="E139" s="889"/>
      <c r="F139" s="889"/>
      <c r="G139" s="925"/>
      <c r="H139" s="872"/>
      <c r="I139" s="882"/>
      <c r="J139" s="882"/>
      <c r="K139" s="882"/>
      <c r="L139" s="882"/>
      <c r="M139" s="882"/>
      <c r="N139" s="882"/>
      <c r="O139" s="882"/>
      <c r="P139" s="850"/>
      <c r="Q139" s="850"/>
      <c r="R139" s="850"/>
      <c r="S139" s="889"/>
      <c r="T139" s="890"/>
      <c r="U139" s="850"/>
      <c r="V139" s="850"/>
      <c r="W139" s="850"/>
      <c r="X139" s="850"/>
    </row>
    <row r="140" spans="1:24" x14ac:dyDescent="0.25">
      <c r="A140" s="921"/>
      <c r="B140" s="872"/>
      <c r="C140" s="908"/>
      <c r="D140" s="872"/>
      <c r="E140" s="889"/>
      <c r="F140" s="889"/>
      <c r="G140" s="925"/>
      <c r="H140" s="872"/>
      <c r="I140" s="882"/>
      <c r="J140" s="882"/>
      <c r="K140" s="882"/>
      <c r="L140" s="882"/>
      <c r="M140" s="882"/>
      <c r="N140" s="882"/>
      <c r="O140" s="882"/>
      <c r="P140" s="850"/>
      <c r="Q140" s="850"/>
      <c r="R140" s="850"/>
      <c r="S140" s="889"/>
      <c r="T140" s="890"/>
      <c r="U140" s="850"/>
      <c r="V140" s="850"/>
      <c r="W140" s="850"/>
      <c r="X140" s="850"/>
    </row>
    <row r="141" spans="1:24" x14ac:dyDescent="0.25">
      <c r="A141" s="921"/>
      <c r="B141" s="872"/>
      <c r="C141" s="908"/>
      <c r="D141" s="872"/>
      <c r="E141" s="889"/>
      <c r="F141" s="889"/>
      <c r="G141" s="925"/>
      <c r="H141" s="872"/>
      <c r="I141" s="882"/>
      <c r="J141" s="882"/>
      <c r="K141" s="882"/>
      <c r="L141" s="882"/>
      <c r="M141" s="882"/>
      <c r="N141" s="882"/>
      <c r="O141" s="882"/>
      <c r="P141" s="850"/>
      <c r="Q141" s="850"/>
      <c r="R141" s="850"/>
      <c r="S141" s="889"/>
      <c r="T141" s="890"/>
      <c r="U141" s="850"/>
      <c r="V141" s="850"/>
      <c r="W141" s="850"/>
      <c r="X141" s="850"/>
    </row>
    <row r="142" spans="1:24" x14ac:dyDescent="0.25">
      <c r="A142" s="921"/>
      <c r="B142" s="872"/>
      <c r="C142" s="908"/>
      <c r="D142" s="872"/>
      <c r="E142" s="889"/>
      <c r="F142" s="889"/>
      <c r="G142" s="925"/>
      <c r="H142" s="872"/>
      <c r="I142" s="882"/>
      <c r="J142" s="882"/>
      <c r="K142" s="882"/>
      <c r="L142" s="882"/>
      <c r="M142" s="882"/>
      <c r="N142" s="882"/>
      <c r="O142" s="882"/>
      <c r="P142" s="850"/>
      <c r="Q142" s="850"/>
      <c r="R142" s="850"/>
      <c r="S142" s="889"/>
      <c r="T142" s="890"/>
      <c r="U142" s="850"/>
      <c r="V142" s="850"/>
      <c r="W142" s="850"/>
      <c r="X142" s="850"/>
    </row>
    <row r="143" spans="1:24" x14ac:dyDescent="0.25">
      <c r="A143" s="921"/>
      <c r="B143" s="872"/>
      <c r="C143" s="908"/>
      <c r="D143" s="872"/>
      <c r="E143" s="889"/>
      <c r="F143" s="889"/>
      <c r="G143" s="925"/>
      <c r="H143" s="872"/>
      <c r="I143" s="882"/>
      <c r="J143" s="882"/>
      <c r="K143" s="882"/>
      <c r="L143" s="882"/>
      <c r="M143" s="882"/>
      <c r="N143" s="882"/>
      <c r="O143" s="882"/>
      <c r="P143" s="850"/>
      <c r="Q143" s="850"/>
      <c r="R143" s="850"/>
      <c r="S143" s="889"/>
      <c r="T143" s="890"/>
      <c r="U143" s="850"/>
      <c r="V143" s="850"/>
      <c r="W143" s="850"/>
      <c r="X143" s="850"/>
    </row>
    <row r="144" spans="1:24" x14ac:dyDescent="0.25">
      <c r="A144" s="921"/>
      <c r="B144" s="872"/>
      <c r="C144" s="908"/>
      <c r="D144" s="872"/>
      <c r="E144" s="889"/>
      <c r="F144" s="889"/>
      <c r="G144" s="925"/>
      <c r="H144" s="872"/>
      <c r="I144" s="882"/>
      <c r="J144" s="882"/>
      <c r="K144" s="882"/>
      <c r="L144" s="882"/>
      <c r="M144" s="882"/>
      <c r="N144" s="882"/>
      <c r="O144" s="882"/>
      <c r="P144" s="850"/>
      <c r="Q144" s="850"/>
      <c r="R144" s="850"/>
      <c r="S144" s="889"/>
      <c r="T144" s="890"/>
      <c r="U144" s="850"/>
      <c r="V144" s="850"/>
      <c r="W144" s="850"/>
      <c r="X144" s="850"/>
    </row>
    <row r="145" spans="1:24" x14ac:dyDescent="0.25">
      <c r="A145" s="921"/>
      <c r="B145" s="872"/>
      <c r="C145" s="908"/>
      <c r="D145" s="872"/>
      <c r="E145" s="889"/>
      <c r="F145" s="889"/>
      <c r="G145" s="925"/>
      <c r="H145" s="872"/>
      <c r="I145" s="882"/>
      <c r="J145" s="882"/>
      <c r="K145" s="882"/>
      <c r="L145" s="882"/>
      <c r="M145" s="882"/>
      <c r="N145" s="882"/>
      <c r="O145" s="882"/>
      <c r="P145" s="850"/>
      <c r="Q145" s="850"/>
      <c r="R145" s="850"/>
      <c r="S145" s="889"/>
      <c r="T145" s="890"/>
      <c r="U145" s="850"/>
      <c r="V145" s="850"/>
      <c r="W145" s="850"/>
      <c r="X145" s="850"/>
    </row>
    <row r="146" spans="1:24" x14ac:dyDescent="0.25">
      <c r="A146" s="921"/>
      <c r="B146" s="872"/>
      <c r="C146" s="908"/>
      <c r="D146" s="872"/>
      <c r="E146" s="889"/>
      <c r="F146" s="889"/>
      <c r="G146" s="925"/>
      <c r="H146" s="872"/>
      <c r="I146" s="882"/>
      <c r="J146" s="882"/>
      <c r="K146" s="882"/>
      <c r="L146" s="882"/>
      <c r="M146" s="882"/>
      <c r="N146" s="882"/>
      <c r="O146" s="882"/>
      <c r="P146" s="850"/>
      <c r="Q146" s="850"/>
      <c r="R146" s="850"/>
      <c r="S146" s="889"/>
      <c r="T146" s="890"/>
      <c r="U146" s="850"/>
      <c r="V146" s="850"/>
      <c r="W146" s="850"/>
      <c r="X146" s="850"/>
    </row>
    <row r="147" spans="1:24" x14ac:dyDescent="0.25">
      <c r="A147" s="1471"/>
      <c r="B147" s="1471"/>
      <c r="C147" s="1471"/>
      <c r="D147" s="1471"/>
      <c r="E147" s="1471"/>
      <c r="F147" s="1471"/>
      <c r="G147" s="1471"/>
      <c r="H147" s="1471"/>
      <c r="I147" s="1471"/>
      <c r="J147" s="1471"/>
      <c r="K147" s="1471"/>
      <c r="L147" s="1471"/>
      <c r="M147" s="1471"/>
      <c r="N147" s="1471"/>
      <c r="O147" s="1471"/>
      <c r="P147" s="850"/>
      <c r="Q147" s="850"/>
      <c r="R147" s="850"/>
      <c r="S147" s="889"/>
      <c r="T147" s="890"/>
      <c r="U147" s="850"/>
      <c r="V147" s="850"/>
      <c r="W147" s="850"/>
      <c r="X147" s="850"/>
    </row>
    <row r="148" spans="1:24" x14ac:dyDescent="0.25">
      <c r="A148" s="850"/>
      <c r="B148" s="872"/>
      <c r="C148" s="908"/>
      <c r="D148" s="872"/>
      <c r="E148" s="889"/>
      <c r="F148" s="889"/>
      <c r="G148" s="925"/>
      <c r="H148" s="872"/>
      <c r="I148" s="882"/>
      <c r="J148" s="882"/>
      <c r="K148" s="882"/>
      <c r="L148" s="882"/>
      <c r="M148" s="882"/>
      <c r="N148" s="882"/>
      <c r="O148" s="882"/>
      <c r="P148" s="850"/>
      <c r="Q148" s="850"/>
      <c r="R148" s="850"/>
      <c r="S148" s="850"/>
      <c r="T148" s="850"/>
      <c r="U148" s="850"/>
      <c r="V148" s="850"/>
      <c r="W148" s="850"/>
      <c r="X148" s="850"/>
    </row>
    <row r="149" spans="1:24" x14ac:dyDescent="0.25">
      <c r="A149" s="1471"/>
      <c r="B149" s="1477"/>
      <c r="C149" s="1477"/>
      <c r="D149" s="1477"/>
      <c r="E149" s="1477"/>
      <c r="F149" s="1477"/>
      <c r="G149" s="1477"/>
      <c r="H149" s="1477"/>
      <c r="I149" s="1477"/>
      <c r="J149" s="1477"/>
      <c r="K149" s="1477"/>
      <c r="L149" s="1477"/>
      <c r="M149" s="1477"/>
      <c r="N149" s="1477"/>
      <c r="O149" s="1477"/>
      <c r="P149" s="850"/>
      <c r="Q149" s="850"/>
      <c r="R149" s="850"/>
      <c r="S149" s="850"/>
      <c r="T149" s="850"/>
      <c r="U149" s="850"/>
      <c r="V149" s="850"/>
      <c r="W149" s="850"/>
      <c r="X149" s="850"/>
    </row>
    <row r="150" spans="1:24" x14ac:dyDescent="0.25">
      <c r="A150" s="921"/>
      <c r="B150" s="872"/>
      <c r="C150" s="908"/>
      <c r="D150" s="872"/>
      <c r="E150" s="929"/>
      <c r="F150" s="889"/>
      <c r="G150" s="925"/>
      <c r="H150" s="872"/>
      <c r="I150" s="882"/>
      <c r="J150" s="882"/>
      <c r="K150" s="882"/>
      <c r="L150" s="882"/>
      <c r="M150" s="882"/>
      <c r="N150" s="882"/>
      <c r="O150" s="882"/>
      <c r="P150" s="850"/>
      <c r="Q150" s="850"/>
      <c r="R150" s="850"/>
      <c r="S150" s="850"/>
      <c r="T150" s="850"/>
      <c r="U150" s="850"/>
      <c r="V150" s="850"/>
      <c r="W150" s="850"/>
      <c r="X150" s="850"/>
    </row>
    <row r="151" spans="1:24" x14ac:dyDescent="0.25">
      <c r="A151" s="921"/>
      <c r="B151" s="872"/>
      <c r="C151" s="908"/>
      <c r="D151" s="872"/>
      <c r="E151" s="889"/>
      <c r="F151" s="889"/>
      <c r="G151" s="925"/>
      <c r="H151" s="872"/>
      <c r="I151" s="882"/>
      <c r="J151" s="882"/>
      <c r="K151" s="882"/>
      <c r="L151" s="882"/>
      <c r="M151" s="882"/>
      <c r="N151" s="882"/>
      <c r="O151" s="882"/>
      <c r="P151" s="850"/>
      <c r="Q151" s="850"/>
      <c r="R151" s="850"/>
      <c r="S151" s="850"/>
      <c r="T151" s="850"/>
      <c r="U151" s="850"/>
      <c r="V151" s="850"/>
      <c r="W151" s="850"/>
      <c r="X151" s="850"/>
    </row>
    <row r="152" spans="1:24" x14ac:dyDescent="0.25">
      <c r="A152" s="921"/>
      <c r="B152" s="872"/>
      <c r="C152" s="908"/>
      <c r="D152" s="872"/>
      <c r="E152" s="850"/>
      <c r="F152" s="889"/>
      <c r="G152" s="922"/>
      <c r="H152" s="872"/>
      <c r="I152" s="886"/>
      <c r="J152" s="886"/>
      <c r="K152" s="886"/>
      <c r="L152" s="882"/>
      <c r="M152" s="886"/>
      <c r="N152" s="882"/>
      <c r="O152" s="886"/>
      <c r="P152" s="850"/>
      <c r="Q152" s="850"/>
      <c r="R152" s="850"/>
      <c r="S152" s="850"/>
      <c r="T152" s="850"/>
      <c r="U152" s="850"/>
      <c r="V152" s="850"/>
      <c r="W152" s="850"/>
      <c r="X152" s="850"/>
    </row>
    <row r="153" spans="1:24" x14ac:dyDescent="0.25">
      <c r="A153" s="850"/>
      <c r="B153" s="872"/>
      <c r="C153" s="850"/>
      <c r="D153" s="850"/>
      <c r="E153" s="930"/>
      <c r="F153" s="850"/>
      <c r="G153" s="850"/>
      <c r="H153" s="850"/>
      <c r="I153" s="850"/>
      <c r="J153" s="850"/>
      <c r="K153" s="850"/>
      <c r="L153" s="850"/>
      <c r="M153" s="850"/>
      <c r="N153" s="850"/>
      <c r="O153" s="850"/>
      <c r="P153" s="850"/>
      <c r="Q153" s="850"/>
      <c r="R153" s="850"/>
      <c r="S153" s="850"/>
      <c r="T153" s="850"/>
      <c r="U153" s="850"/>
      <c r="V153" s="850"/>
      <c r="W153" s="850"/>
      <c r="X153" s="850"/>
    </row>
    <row r="154" spans="1:24" x14ac:dyDescent="0.25">
      <c r="A154" s="850"/>
      <c r="B154" s="872"/>
      <c r="C154" s="850"/>
      <c r="D154" s="850"/>
      <c r="E154" s="906"/>
      <c r="F154" s="850"/>
      <c r="G154" s="850"/>
      <c r="H154" s="850"/>
      <c r="I154" s="850"/>
      <c r="J154" s="850"/>
      <c r="K154" s="850"/>
      <c r="L154" s="850"/>
      <c r="M154" s="850"/>
      <c r="N154" s="850"/>
      <c r="O154" s="850"/>
      <c r="P154" s="850"/>
      <c r="Q154" s="850"/>
      <c r="R154" s="850"/>
      <c r="S154" s="850"/>
      <c r="T154" s="850"/>
      <c r="U154" s="850"/>
      <c r="V154" s="850"/>
      <c r="W154" s="850"/>
      <c r="X154" s="850"/>
    </row>
    <row r="155" spans="1:24" x14ac:dyDescent="0.25">
      <c r="A155" s="850"/>
      <c r="B155" s="850"/>
      <c r="C155" s="850"/>
      <c r="D155" s="850"/>
      <c r="E155" s="906"/>
      <c r="F155" s="850"/>
      <c r="G155" s="850"/>
      <c r="H155" s="850"/>
      <c r="I155" s="850"/>
      <c r="J155" s="850"/>
      <c r="K155" s="850"/>
      <c r="L155" s="850"/>
      <c r="M155" s="850"/>
      <c r="N155" s="850"/>
      <c r="O155" s="850"/>
      <c r="P155" s="850"/>
      <c r="Q155" s="850"/>
      <c r="R155" s="850"/>
      <c r="S155" s="850"/>
      <c r="T155" s="850"/>
      <c r="U155" s="850"/>
      <c r="V155" s="850"/>
      <c r="W155" s="850"/>
      <c r="X155" s="850"/>
    </row>
    <row r="156" spans="1:24" x14ac:dyDescent="0.25">
      <c r="E156" s="931"/>
    </row>
  </sheetData>
  <mergeCells count="17">
    <mergeCell ref="I94:O94"/>
    <mergeCell ref="S98:T98"/>
    <mergeCell ref="A147:O147"/>
    <mergeCell ref="A149:O149"/>
    <mergeCell ref="A82:O82"/>
    <mergeCell ref="A84:O84"/>
    <mergeCell ref="A85:O85"/>
    <mergeCell ref="A81:O81"/>
    <mergeCell ref="A1:O1"/>
    <mergeCell ref="A3:O3"/>
    <mergeCell ref="A4:O4"/>
    <mergeCell ref="A5:O5"/>
    <mergeCell ref="A6:O6"/>
    <mergeCell ref="A7:O7"/>
    <mergeCell ref="A8:O8"/>
    <mergeCell ref="C12:E12"/>
    <mergeCell ref="I12:O12"/>
  </mergeCells>
  <conditionalFormatting sqref="Q103">
    <cfRule type="top10" dxfId="1" priority="2" rank="1"/>
  </conditionalFormatting>
  <conditionalFormatting sqref="O1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75" right="0.75" top="0.75" bottom="0.5" header="0.5" footer="0.5"/>
  <pageSetup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G137"/>
  <sheetViews>
    <sheetView view="pageBreakPreview" zoomScale="90" zoomScaleNormal="100" zoomScaleSheetLayoutView="90" workbookViewId="0">
      <selection activeCell="A71" sqref="A71"/>
    </sheetView>
  </sheetViews>
  <sheetFormatPr defaultColWidth="15.7109375" defaultRowHeight="15.75" x14ac:dyDescent="0.25"/>
  <cols>
    <col min="1" max="1" width="9.140625" style="851" customWidth="1"/>
    <col min="2" max="2" width="1.7109375" style="851" customWidth="1"/>
    <col min="3" max="3" width="13.28515625" style="851" bestFit="1" customWidth="1"/>
    <col min="4" max="4" width="1.7109375" style="851" customWidth="1"/>
    <col min="5" max="5" width="15" style="851" bestFit="1" customWidth="1"/>
    <col min="6" max="6" width="1.7109375" style="851" customWidth="1"/>
    <col min="7" max="7" width="8.28515625" style="851" bestFit="1" customWidth="1"/>
    <col min="8" max="8" width="1.7109375" style="851" customWidth="1"/>
    <col min="9" max="9" width="16.140625" style="851" bestFit="1" customWidth="1"/>
    <col min="10" max="10" width="2.85546875" style="851" customWidth="1"/>
    <col min="11" max="11" width="19.85546875" style="851" hidden="1" customWidth="1"/>
    <col min="12" max="12" width="1.7109375" style="851" hidden="1" customWidth="1"/>
    <col min="13" max="13" width="16.85546875" style="851" customWidth="1"/>
    <col min="14" max="14" width="1.7109375" style="851" customWidth="1"/>
    <col min="15" max="15" width="16.85546875" style="851" customWidth="1"/>
    <col min="16" max="16" width="3.7109375" style="851" customWidth="1"/>
    <col min="17" max="17" width="18.5703125" style="851" customWidth="1"/>
    <col min="18" max="18" width="17.7109375" style="851" customWidth="1"/>
    <col min="19" max="19" width="2.28515625" style="851" customWidth="1"/>
    <col min="20" max="20" width="16.28515625" style="851" customWidth="1"/>
    <col min="21" max="21" width="11.28515625" style="851" bestFit="1" customWidth="1"/>
    <col min="22" max="22" width="19.42578125" style="851" bestFit="1" customWidth="1"/>
    <col min="23" max="23" width="17.42578125" style="851" bestFit="1" customWidth="1"/>
    <col min="24" max="24" width="2.7109375" style="851" customWidth="1"/>
    <col min="25" max="25" width="14.42578125" style="851" bestFit="1" customWidth="1"/>
    <col min="26" max="26" width="2.7109375" style="851" customWidth="1"/>
    <col min="27" max="27" width="16.85546875" style="851" customWidth="1"/>
    <col min="28" max="28" width="2.7109375" style="851" customWidth="1"/>
    <col min="29" max="29" width="15.7109375" style="851"/>
    <col min="30" max="30" width="16.85546875" style="851" bestFit="1" customWidth="1"/>
    <col min="31" max="31" width="2.7109375" style="851" customWidth="1"/>
    <col min="32" max="16384" width="15.7109375" style="851"/>
  </cols>
  <sheetData>
    <row r="1" spans="1:33" x14ac:dyDescent="0.25">
      <c r="A1" s="1472" t="s">
        <v>232</v>
      </c>
      <c r="B1" s="1472"/>
      <c r="C1" s="1472"/>
      <c r="D1" s="1472"/>
      <c r="E1" s="1472"/>
      <c r="F1" s="1472"/>
      <c r="G1" s="1472"/>
      <c r="H1" s="1472"/>
      <c r="I1" s="1472"/>
      <c r="J1" s="1472"/>
      <c r="K1" s="1472"/>
      <c r="L1" s="1472"/>
      <c r="M1" s="1472"/>
      <c r="N1" s="1472"/>
      <c r="O1" s="1472"/>
      <c r="P1" s="845"/>
      <c r="Q1" s="845"/>
      <c r="R1" s="845"/>
      <c r="S1" s="846"/>
      <c r="T1" s="847"/>
      <c r="U1" s="848"/>
      <c r="V1" s="849"/>
      <c r="W1" s="850"/>
      <c r="X1" s="850"/>
      <c r="Y1" s="850"/>
      <c r="Z1" s="850"/>
      <c r="AA1" s="850"/>
      <c r="AB1" s="850"/>
      <c r="AC1" s="850"/>
      <c r="AD1" s="850"/>
      <c r="AE1" s="850"/>
      <c r="AF1" s="850"/>
    </row>
    <row r="2" spans="1:33" x14ac:dyDescent="0.25">
      <c r="A2" s="852"/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53"/>
      <c r="P2" s="854"/>
      <c r="Q2" s="854"/>
      <c r="R2" s="854"/>
      <c r="S2" s="846"/>
      <c r="T2" s="855"/>
      <c r="U2" s="855"/>
      <c r="V2" s="849"/>
      <c r="W2" s="850"/>
      <c r="X2" s="850"/>
      <c r="Y2" s="850"/>
      <c r="Z2" s="850"/>
      <c r="AA2" s="850"/>
      <c r="AB2" s="850"/>
      <c r="AC2" s="850"/>
      <c r="AD2" s="850"/>
      <c r="AE2" s="850"/>
      <c r="AF2" s="850"/>
      <c r="AG2" s="850"/>
    </row>
    <row r="3" spans="1:33" x14ac:dyDescent="0.25">
      <c r="A3" s="1473" t="str">
        <f>"SCHEDULE OF AMORTIZATION OF $"&amp;TEXT($E$59, "0,000,000")&amp;" PRINCIPAL AMOUNT OF"</f>
        <v>SCHEDULE OF AMORTIZATION OF $71,912,000 PRINCIPAL AMOUNT OF</v>
      </c>
      <c r="B3" s="1473"/>
      <c r="C3" s="1473"/>
      <c r="D3" s="1473"/>
      <c r="E3" s="1473"/>
      <c r="F3" s="1473"/>
      <c r="G3" s="1473"/>
      <c r="H3" s="1473"/>
      <c r="I3" s="1473"/>
      <c r="J3" s="1473"/>
      <c r="K3" s="1473"/>
      <c r="L3" s="1473"/>
      <c r="M3" s="1473"/>
      <c r="N3" s="1473"/>
      <c r="O3" s="1473"/>
      <c r="P3" s="845"/>
      <c r="Q3" s="845"/>
      <c r="R3" s="845"/>
      <c r="S3" s="846"/>
      <c r="T3" s="855"/>
      <c r="U3" s="855"/>
      <c r="V3" s="849"/>
      <c r="W3" s="850"/>
      <c r="X3" s="850"/>
      <c r="Y3" s="850"/>
      <c r="Z3" s="850"/>
      <c r="AA3" s="850"/>
      <c r="AB3" s="850"/>
      <c r="AC3" s="850"/>
      <c r="AD3" s="850"/>
      <c r="AE3" s="850"/>
      <c r="AF3" s="850"/>
      <c r="AG3" s="850"/>
    </row>
    <row r="4" spans="1:33" x14ac:dyDescent="0.25">
      <c r="A4" s="1473" t="s">
        <v>714</v>
      </c>
      <c r="B4" s="1473"/>
      <c r="C4" s="1473"/>
      <c r="D4" s="1473"/>
      <c r="E4" s="1473"/>
      <c r="F4" s="1473"/>
      <c r="G4" s="1473"/>
      <c r="H4" s="1473"/>
      <c r="I4" s="1473"/>
      <c r="J4" s="1473"/>
      <c r="K4" s="1473"/>
      <c r="L4" s="1473"/>
      <c r="M4" s="1473"/>
      <c r="N4" s="1473"/>
      <c r="O4" s="1473"/>
      <c r="P4" s="845"/>
      <c r="Q4" s="845"/>
      <c r="R4" s="845"/>
      <c r="S4" s="846"/>
      <c r="T4" s="856"/>
      <c r="U4" s="848"/>
      <c r="V4" s="849"/>
      <c r="W4" s="850"/>
      <c r="X4" s="850"/>
      <c r="Y4" s="850"/>
      <c r="Z4" s="850"/>
      <c r="AA4" s="850"/>
      <c r="AB4" s="850"/>
      <c r="AC4" s="850"/>
      <c r="AD4" s="850"/>
      <c r="AE4" s="850"/>
      <c r="AF4" s="857"/>
      <c r="AG4" s="850"/>
    </row>
    <row r="5" spans="1:33" s="865" customFormat="1" ht="15.6" customHeight="1" x14ac:dyDescent="0.25">
      <c r="A5" s="1474" t="s">
        <v>715</v>
      </c>
      <c r="B5" s="1474"/>
      <c r="C5" s="1474"/>
      <c r="D5" s="1474"/>
      <c r="E5" s="1474"/>
      <c r="F5" s="1474"/>
      <c r="G5" s="1474"/>
      <c r="H5" s="1474"/>
      <c r="I5" s="1474"/>
      <c r="J5" s="1474"/>
      <c r="K5" s="1474"/>
      <c r="L5" s="1474"/>
      <c r="M5" s="1474"/>
      <c r="N5" s="1474"/>
      <c r="O5" s="1474"/>
      <c r="P5" s="932"/>
      <c r="Q5" s="932"/>
      <c r="R5" s="932"/>
      <c r="S5" s="846"/>
      <c r="T5" s="878"/>
      <c r="U5" s="882"/>
      <c r="V5" s="872"/>
      <c r="W5" s="872"/>
      <c r="X5" s="872"/>
      <c r="Y5" s="872"/>
      <c r="Z5" s="872"/>
      <c r="AA5" s="872"/>
      <c r="AB5" s="872"/>
      <c r="AC5" s="872"/>
      <c r="AD5" s="872"/>
      <c r="AE5" s="872"/>
      <c r="AF5" s="889"/>
      <c r="AG5" s="872"/>
    </row>
    <row r="6" spans="1:33" s="865" customFormat="1" x14ac:dyDescent="0.25">
      <c r="A6" s="1474" t="s">
        <v>716</v>
      </c>
      <c r="B6" s="1474"/>
      <c r="C6" s="1474"/>
      <c r="D6" s="1474"/>
      <c r="E6" s="1474"/>
      <c r="F6" s="1474"/>
      <c r="G6" s="1474"/>
      <c r="H6" s="1474"/>
      <c r="I6" s="1474"/>
      <c r="J6" s="1474"/>
      <c r="K6" s="1474"/>
      <c r="L6" s="1474"/>
      <c r="M6" s="1474"/>
      <c r="N6" s="1474"/>
      <c r="O6" s="1474"/>
      <c r="P6" s="932"/>
      <c r="Q6" s="932"/>
      <c r="R6" s="932"/>
      <c r="S6" s="846"/>
      <c r="T6" s="878"/>
      <c r="U6" s="882"/>
      <c r="V6" s="872"/>
      <c r="W6" s="872"/>
      <c r="X6" s="872"/>
      <c r="Y6" s="872"/>
      <c r="Z6" s="872"/>
      <c r="AA6" s="872"/>
      <c r="AB6" s="872"/>
      <c r="AC6" s="872"/>
      <c r="AD6" s="872"/>
      <c r="AE6" s="872"/>
      <c r="AF6" s="889"/>
      <c r="AG6" s="872"/>
    </row>
    <row r="7" spans="1:33" x14ac:dyDescent="0.25">
      <c r="A7" s="1474" t="s">
        <v>132</v>
      </c>
      <c r="B7" s="1474"/>
      <c r="C7" s="1474"/>
      <c r="D7" s="1474"/>
      <c r="E7" s="1474"/>
      <c r="F7" s="1474"/>
      <c r="G7" s="1474"/>
      <c r="H7" s="1474"/>
      <c r="I7" s="1474"/>
      <c r="J7" s="1474"/>
      <c r="K7" s="1474"/>
      <c r="L7" s="1474"/>
      <c r="M7" s="1474"/>
      <c r="N7" s="1474"/>
      <c r="O7" s="1474"/>
      <c r="P7" s="845"/>
      <c r="Q7" s="845"/>
      <c r="R7" s="845"/>
      <c r="S7" s="846"/>
      <c r="T7" s="856"/>
      <c r="U7" s="848"/>
      <c r="V7" s="858"/>
      <c r="W7" s="859"/>
      <c r="X7" s="859"/>
      <c r="Y7" s="859"/>
      <c r="Z7" s="859"/>
      <c r="AA7" s="859"/>
      <c r="AB7" s="860"/>
      <c r="AC7" s="850"/>
      <c r="AD7" s="850"/>
      <c r="AE7" s="850"/>
      <c r="AF7" s="857"/>
      <c r="AG7" s="850"/>
    </row>
    <row r="8" spans="1:33" x14ac:dyDescent="0.25">
      <c r="A8" s="1474" t="str">
        <f>'[45]2018A-1 (SRF)'!A7:O7</f>
        <v>Interest rate as indicated.</v>
      </c>
      <c r="B8" s="1474"/>
      <c r="C8" s="1474"/>
      <c r="D8" s="1474"/>
      <c r="E8" s="1474"/>
      <c r="F8" s="1474"/>
      <c r="G8" s="1474"/>
      <c r="H8" s="1474"/>
      <c r="I8" s="1474"/>
      <c r="J8" s="1474"/>
      <c r="K8" s="1474"/>
      <c r="L8" s="1474"/>
      <c r="M8" s="1474"/>
      <c r="N8" s="1474"/>
      <c r="O8" s="1474"/>
      <c r="P8" s="845"/>
      <c r="Q8" s="845"/>
      <c r="R8" s="845"/>
      <c r="S8" s="846"/>
      <c r="T8" s="856"/>
      <c r="U8" s="848"/>
      <c r="V8" s="858"/>
      <c r="W8" s="861"/>
      <c r="X8" s="858"/>
      <c r="Y8" s="862"/>
      <c r="Z8" s="858"/>
      <c r="AA8" s="862"/>
      <c r="AB8" s="850"/>
      <c r="AC8" s="850"/>
      <c r="AD8" s="850"/>
      <c r="AE8" s="850"/>
      <c r="AF8" s="850"/>
      <c r="AG8" s="850"/>
    </row>
    <row r="9" spans="1:33" x14ac:dyDescent="0.25">
      <c r="A9" s="1474" t="str">
        <f>'[44]Proposed Bonds 2018A2'!A9:O9</f>
        <v>(Construction Portion)</v>
      </c>
      <c r="B9" s="1474"/>
      <c r="C9" s="1474"/>
      <c r="D9" s="1474"/>
      <c r="E9" s="1474"/>
      <c r="F9" s="1474"/>
      <c r="G9" s="1474"/>
      <c r="H9" s="1474"/>
      <c r="I9" s="1474"/>
      <c r="J9" s="1474"/>
      <c r="K9" s="1474"/>
      <c r="L9" s="1474"/>
      <c r="M9" s="1474"/>
      <c r="N9" s="1474"/>
      <c r="O9" s="1474"/>
      <c r="P9" s="845"/>
      <c r="Q9" s="845"/>
      <c r="R9" s="845"/>
      <c r="S9" s="846"/>
      <c r="T9" s="856"/>
      <c r="U9" s="848"/>
      <c r="V9" s="858"/>
      <c r="W9" s="858"/>
      <c r="X9" s="858"/>
      <c r="Y9" s="858"/>
      <c r="Z9" s="858"/>
      <c r="AA9" s="858"/>
      <c r="AB9" s="850"/>
      <c r="AC9" s="850"/>
      <c r="AD9" s="850"/>
      <c r="AE9" s="850"/>
      <c r="AF9" s="857"/>
      <c r="AG9" s="850"/>
    </row>
    <row r="10" spans="1:33" x14ac:dyDescent="0.25">
      <c r="A10" s="863"/>
      <c r="B10" s="863"/>
      <c r="C10" s="863"/>
      <c r="D10" s="863"/>
      <c r="E10" s="863"/>
      <c r="F10" s="863"/>
      <c r="G10" s="863"/>
      <c r="H10" s="863"/>
      <c r="I10" s="863"/>
      <c r="J10" s="863"/>
      <c r="K10" s="863"/>
      <c r="L10" s="863"/>
      <c r="M10" s="863"/>
      <c r="N10" s="863"/>
      <c r="O10" s="863"/>
      <c r="P10" s="845"/>
      <c r="Q10" s="845"/>
      <c r="R10" s="845"/>
      <c r="S10" s="846"/>
      <c r="T10" s="856"/>
      <c r="U10" s="848"/>
      <c r="V10" s="858"/>
      <c r="W10" s="858"/>
      <c r="X10" s="858"/>
      <c r="Y10" s="858"/>
      <c r="Z10" s="858"/>
      <c r="AA10" s="858"/>
      <c r="AB10" s="850"/>
      <c r="AC10" s="850"/>
      <c r="AD10" s="850"/>
      <c r="AE10" s="850"/>
      <c r="AF10" s="857"/>
      <c r="AG10" s="850"/>
    </row>
    <row r="11" spans="1:33" x14ac:dyDescent="0.25">
      <c r="A11" s="933"/>
      <c r="B11" s="845"/>
      <c r="C11" s="845"/>
      <c r="D11" s="845"/>
      <c r="E11" s="845"/>
      <c r="F11" s="845"/>
      <c r="G11" s="845"/>
      <c r="H11" s="846"/>
      <c r="I11" s="846"/>
      <c r="J11" s="846"/>
      <c r="K11" s="846"/>
      <c r="L11" s="846"/>
      <c r="M11" s="846"/>
      <c r="N11" s="846"/>
      <c r="O11" s="846"/>
      <c r="P11" s="846"/>
      <c r="Q11" s="846"/>
      <c r="R11" s="846"/>
      <c r="S11" s="846"/>
      <c r="T11" s="856"/>
      <c r="U11" s="848"/>
      <c r="V11" s="858"/>
      <c r="W11" s="934"/>
      <c r="X11" s="858"/>
      <c r="Y11" s="858"/>
      <c r="Z11" s="858"/>
      <c r="AA11" s="858"/>
      <c r="AB11" s="850"/>
      <c r="AC11" s="850"/>
      <c r="AD11" s="850"/>
      <c r="AE11" s="850"/>
      <c r="AF11" s="857"/>
      <c r="AG11" s="850"/>
    </row>
    <row r="12" spans="1:33" x14ac:dyDescent="0.25">
      <c r="A12" s="864" t="s">
        <v>29</v>
      </c>
      <c r="B12" s="865"/>
      <c r="C12" s="864" t="s">
        <v>30</v>
      </c>
      <c r="D12" s="865"/>
      <c r="E12" s="865"/>
      <c r="F12" s="865"/>
      <c r="G12" s="866" t="s">
        <v>31</v>
      </c>
      <c r="H12" s="865"/>
      <c r="I12" s="867" t="s">
        <v>32</v>
      </c>
      <c r="J12" s="867"/>
      <c r="K12" s="867"/>
      <c r="L12" s="867"/>
      <c r="M12" s="867"/>
      <c r="N12" s="865"/>
      <c r="O12" s="864" t="s">
        <v>33</v>
      </c>
      <c r="P12" s="864"/>
      <c r="Q12" s="864"/>
      <c r="R12" s="864"/>
      <c r="S12" s="846"/>
      <c r="T12" s="856"/>
      <c r="U12" s="848"/>
      <c r="V12" s="858"/>
      <c r="W12" s="858"/>
      <c r="X12" s="858"/>
      <c r="Y12" s="858"/>
      <c r="Z12" s="858"/>
      <c r="AA12" s="858"/>
      <c r="AB12" s="850"/>
      <c r="AC12" s="850"/>
      <c r="AD12" s="850"/>
      <c r="AE12" s="850"/>
      <c r="AF12" s="857"/>
      <c r="AG12" s="850"/>
    </row>
    <row r="13" spans="1:33" x14ac:dyDescent="0.25">
      <c r="A13" s="868" t="s">
        <v>9</v>
      </c>
      <c r="B13" s="865"/>
      <c r="C13" s="868" t="s">
        <v>34</v>
      </c>
      <c r="D13" s="865"/>
      <c r="E13" s="868" t="s">
        <v>30</v>
      </c>
      <c r="F13" s="864"/>
      <c r="G13" s="868" t="s">
        <v>479</v>
      </c>
      <c r="H13" s="865"/>
      <c r="I13" s="868" t="s">
        <v>31</v>
      </c>
      <c r="J13" s="866"/>
      <c r="K13" s="869" t="s">
        <v>682</v>
      </c>
      <c r="L13" s="870"/>
      <c r="M13" s="868" t="s">
        <v>35</v>
      </c>
      <c r="N13" s="865"/>
      <c r="O13" s="868" t="s">
        <v>35</v>
      </c>
      <c r="P13" s="866"/>
      <c r="Q13" s="866"/>
      <c r="R13" s="866"/>
      <c r="S13" s="871"/>
      <c r="T13" s="848"/>
      <c r="U13" s="848"/>
      <c r="V13" s="858"/>
      <c r="W13" s="934"/>
      <c r="X13" s="858"/>
      <c r="Y13" s="935"/>
      <c r="Z13" s="858"/>
      <c r="AA13" s="934"/>
      <c r="AB13" s="850"/>
      <c r="AC13" s="850"/>
      <c r="AD13" s="850"/>
      <c r="AE13" s="850"/>
      <c r="AF13" s="850"/>
      <c r="AG13" s="850"/>
    </row>
    <row r="14" spans="1:33" x14ac:dyDescent="0.25">
      <c r="A14" s="872"/>
      <c r="B14" s="865"/>
      <c r="C14" s="1475" t="s">
        <v>717</v>
      </c>
      <c r="D14" s="1475"/>
      <c r="E14" s="1475"/>
      <c r="F14" s="873"/>
      <c r="G14" s="866" t="s">
        <v>36</v>
      </c>
      <c r="H14" s="845"/>
      <c r="I14" s="1475" t="s">
        <v>124</v>
      </c>
      <c r="J14" s="1475"/>
      <c r="K14" s="1475"/>
      <c r="L14" s="1475"/>
      <c r="M14" s="1475"/>
      <c r="N14" s="1475"/>
      <c r="O14" s="1475"/>
      <c r="P14" s="873"/>
      <c r="Q14" s="873"/>
      <c r="R14" s="873"/>
      <c r="S14" s="871"/>
      <c r="T14" s="848"/>
      <c r="U14" s="848"/>
      <c r="V14" s="858"/>
      <c r="W14" s="858"/>
      <c r="X14" s="858"/>
      <c r="Y14" s="858"/>
      <c r="Z14" s="858"/>
      <c r="AA14" s="858"/>
      <c r="AB14" s="850"/>
      <c r="AC14" s="850"/>
      <c r="AD14" s="850"/>
      <c r="AE14" s="850"/>
      <c r="AF14" s="857"/>
      <c r="AG14" s="850"/>
    </row>
    <row r="15" spans="1:33" x14ac:dyDescent="0.25">
      <c r="A15" s="872"/>
      <c r="B15" s="865"/>
      <c r="C15" s="873"/>
      <c r="D15" s="845"/>
      <c r="E15" s="873"/>
      <c r="F15" s="873"/>
      <c r="G15" s="866"/>
      <c r="H15" s="845"/>
      <c r="I15" s="873"/>
      <c r="J15" s="873"/>
      <c r="K15" s="873"/>
      <c r="L15" s="874"/>
      <c r="M15" s="873"/>
      <c r="N15" s="845"/>
      <c r="O15" s="873"/>
      <c r="P15" s="873"/>
      <c r="Q15" s="873"/>
      <c r="R15" s="873"/>
      <c r="S15" s="871"/>
      <c r="T15" s="875"/>
      <c r="U15" s="848"/>
      <c r="V15" s="858"/>
      <c r="W15" s="935"/>
      <c r="X15" s="858"/>
      <c r="Y15" s="858"/>
      <c r="Z15" s="858"/>
      <c r="AA15" s="858"/>
      <c r="AB15" s="850"/>
      <c r="AC15" s="850"/>
      <c r="AD15" s="850"/>
      <c r="AE15" s="850"/>
      <c r="AF15" s="857"/>
      <c r="AG15" s="850"/>
    </row>
    <row r="16" spans="1:33" hidden="1" x14ac:dyDescent="0.25">
      <c r="A16" s="876">
        <v>43647</v>
      </c>
      <c r="B16" s="865"/>
      <c r="C16" s="877"/>
      <c r="D16" s="865"/>
      <c r="E16" s="878"/>
      <c r="F16" s="878"/>
      <c r="G16" s="879"/>
      <c r="H16" s="865"/>
      <c r="I16" s="880">
        <f>ROUND((+E16*G16/100/2+I17*(T5/180)),2)</f>
        <v>0</v>
      </c>
      <c r="J16" s="880"/>
      <c r="K16" s="880"/>
      <c r="L16" s="881"/>
      <c r="M16" s="880">
        <f>E16+I16+K16</f>
        <v>0</v>
      </c>
      <c r="N16" s="881"/>
      <c r="O16" s="881"/>
      <c r="P16" s="882"/>
      <c r="Q16" s="882"/>
      <c r="R16" s="882"/>
      <c r="S16" s="882"/>
      <c r="T16" s="848"/>
      <c r="U16" s="883"/>
      <c r="V16" s="924"/>
      <c r="W16" s="890"/>
      <c r="X16" s="850"/>
      <c r="Y16" s="850"/>
      <c r="Z16" s="850"/>
      <c r="AA16" s="924"/>
      <c r="AB16" s="850"/>
      <c r="AC16" s="884"/>
      <c r="AD16" s="850"/>
      <c r="AE16" s="850"/>
      <c r="AF16" s="850"/>
    </row>
    <row r="17" spans="1:32" hidden="1" x14ac:dyDescent="0.25">
      <c r="A17" s="876">
        <v>43831</v>
      </c>
      <c r="B17" s="865"/>
      <c r="C17" s="877">
        <f>E59</f>
        <v>71912000</v>
      </c>
      <c r="D17" s="865"/>
      <c r="E17" s="877"/>
      <c r="F17" s="878"/>
      <c r="G17" s="885"/>
      <c r="H17" s="865"/>
      <c r="I17" s="881">
        <f t="shared" ref="I17:I57" si="0">ROUND((+E17*G17/100/2+I18),2)</f>
        <v>1168570</v>
      </c>
      <c r="J17" s="881"/>
      <c r="K17" s="881"/>
      <c r="L17" s="881"/>
      <c r="M17" s="881">
        <f t="shared" ref="M17:M57" si="1">E17+I17+K17</f>
        <v>1168570</v>
      </c>
      <c r="N17" s="881"/>
      <c r="O17" s="880">
        <f>M16+M17</f>
        <v>1168570</v>
      </c>
      <c r="P17" s="886"/>
      <c r="Q17" s="886"/>
      <c r="R17" s="886"/>
      <c r="S17" s="882"/>
      <c r="T17" s="848"/>
      <c r="U17" s="887"/>
      <c r="V17" s="924"/>
      <c r="W17" s="890"/>
      <c r="X17" s="850"/>
      <c r="Y17" s="850"/>
      <c r="Z17" s="850"/>
      <c r="AA17" s="924"/>
      <c r="AB17" s="850"/>
      <c r="AC17" s="884"/>
      <c r="AD17" s="850"/>
      <c r="AE17" s="850"/>
      <c r="AF17" s="850"/>
    </row>
    <row r="18" spans="1:32" hidden="1" x14ac:dyDescent="0.25">
      <c r="A18" s="876">
        <v>44013</v>
      </c>
      <c r="B18" s="865"/>
      <c r="C18" s="878"/>
      <c r="E18" s="878"/>
      <c r="G18" s="879"/>
      <c r="H18" s="865"/>
      <c r="I18" s="888">
        <f t="shared" si="0"/>
        <v>1168570</v>
      </c>
      <c r="J18" s="881"/>
      <c r="K18" s="881"/>
      <c r="L18" s="881"/>
      <c r="M18" s="888">
        <f t="shared" si="1"/>
        <v>1168570</v>
      </c>
      <c r="N18" s="881"/>
      <c r="O18" s="881"/>
      <c r="P18" s="882"/>
      <c r="Q18" s="882"/>
      <c r="R18" s="882"/>
      <c r="S18" s="882"/>
      <c r="T18" s="848"/>
      <c r="U18" s="883"/>
      <c r="V18" s="1476"/>
      <c r="W18" s="1476"/>
      <c r="X18" s="850"/>
      <c r="Y18" s="850"/>
      <c r="Z18" s="850"/>
      <c r="AA18" s="850"/>
      <c r="AB18" s="850"/>
      <c r="AC18" s="889"/>
      <c r="AD18" s="890"/>
      <c r="AE18" s="850"/>
      <c r="AF18" s="850"/>
    </row>
    <row r="19" spans="1:32" hidden="1" x14ac:dyDescent="0.25">
      <c r="A19" s="876">
        <v>44197</v>
      </c>
      <c r="B19" s="865"/>
      <c r="C19" s="891">
        <v>71912000</v>
      </c>
      <c r="D19" s="865"/>
      <c r="E19" s="936"/>
      <c r="F19" s="878"/>
      <c r="G19" s="879"/>
      <c r="H19" s="865"/>
      <c r="I19" s="881">
        <f t="shared" si="0"/>
        <v>1168570</v>
      </c>
      <c r="J19" s="881"/>
      <c r="K19" s="881"/>
      <c r="L19" s="881"/>
      <c r="M19" s="881">
        <f t="shared" si="1"/>
        <v>1168570</v>
      </c>
      <c r="N19" s="881"/>
      <c r="O19" s="888">
        <f>M18+M19</f>
        <v>2337140</v>
      </c>
      <c r="P19" s="882"/>
      <c r="Q19" s="882"/>
      <c r="R19" s="886"/>
      <c r="S19" s="882"/>
      <c r="T19" s="848"/>
      <c r="U19" s="883"/>
      <c r="V19" s="923"/>
      <c r="W19" s="890"/>
      <c r="X19" s="850"/>
      <c r="Y19" s="850"/>
      <c r="Z19" s="850"/>
      <c r="AA19" s="850"/>
      <c r="AB19" s="850"/>
      <c r="AC19" s="889"/>
      <c r="AD19" s="890"/>
      <c r="AE19" s="850"/>
      <c r="AF19" s="850"/>
    </row>
    <row r="20" spans="1:32" x14ac:dyDescent="0.25">
      <c r="A20" s="876">
        <v>44378</v>
      </c>
      <c r="B20" s="865"/>
      <c r="C20" s="878"/>
      <c r="D20" s="865"/>
      <c r="E20" s="878"/>
      <c r="F20" s="878"/>
      <c r="G20" s="879"/>
      <c r="H20" s="865"/>
      <c r="I20" s="880">
        <f t="shared" si="0"/>
        <v>1168570</v>
      </c>
      <c r="J20" s="881"/>
      <c r="K20" s="881"/>
      <c r="L20" s="881"/>
      <c r="M20" s="880">
        <f t="shared" si="1"/>
        <v>1168570</v>
      </c>
      <c r="N20" s="881"/>
      <c r="O20" s="881"/>
      <c r="P20" s="882"/>
      <c r="Q20" s="882"/>
      <c r="R20" s="882"/>
      <c r="S20" s="882"/>
      <c r="T20" s="848"/>
      <c r="U20" s="883"/>
      <c r="V20" s="924"/>
      <c r="W20" s="890"/>
      <c r="X20" s="850"/>
      <c r="Y20" s="850"/>
      <c r="Z20" s="850"/>
      <c r="AA20" s="850"/>
      <c r="AB20" s="850"/>
      <c r="AC20" s="889"/>
      <c r="AD20" s="892"/>
      <c r="AE20" s="850"/>
      <c r="AF20" s="850"/>
    </row>
    <row r="21" spans="1:32" x14ac:dyDescent="0.25">
      <c r="A21" s="876">
        <v>44562</v>
      </c>
      <c r="B21" s="865"/>
      <c r="C21" s="877">
        <f>C19-E19</f>
        <v>71912000</v>
      </c>
      <c r="D21" s="865"/>
      <c r="E21" s="877">
        <v>379550</v>
      </c>
      <c r="F21" s="879"/>
      <c r="G21" s="879">
        <v>3.25</v>
      </c>
      <c r="H21" s="865"/>
      <c r="I21" s="881">
        <f t="shared" si="0"/>
        <v>1168570</v>
      </c>
      <c r="J21" s="881"/>
      <c r="K21" s="881"/>
      <c r="L21" s="881"/>
      <c r="M21" s="881">
        <f t="shared" si="1"/>
        <v>1548120</v>
      </c>
      <c r="N21" s="881"/>
      <c r="O21" s="880">
        <f>M20+M21</f>
        <v>2716690</v>
      </c>
      <c r="P21" s="882"/>
      <c r="Q21" s="882"/>
      <c r="R21" s="886"/>
      <c r="S21" s="882"/>
      <c r="T21" s="848"/>
      <c r="U21" s="883"/>
      <c r="V21" s="889"/>
      <c r="W21" s="890"/>
      <c r="X21" s="850"/>
      <c r="Y21" s="850"/>
      <c r="Z21" s="850"/>
      <c r="AA21" s="850"/>
      <c r="AB21" s="850"/>
      <c r="AC21" s="889"/>
      <c r="AD21" s="892"/>
      <c r="AE21" s="850"/>
      <c r="AF21" s="850"/>
    </row>
    <row r="22" spans="1:32" x14ac:dyDescent="0.25">
      <c r="A22" s="876">
        <v>44743</v>
      </c>
      <c r="B22" s="865"/>
      <c r="C22" s="878"/>
      <c r="D22" s="865"/>
      <c r="E22" s="894"/>
      <c r="F22" s="878"/>
      <c r="G22" s="879"/>
      <c r="H22" s="865"/>
      <c r="I22" s="881">
        <f t="shared" si="0"/>
        <v>1162402.31</v>
      </c>
      <c r="J22" s="881"/>
      <c r="K22" s="881"/>
      <c r="L22" s="881"/>
      <c r="M22" s="881">
        <f t="shared" si="1"/>
        <v>1162402.31</v>
      </c>
      <c r="N22" s="881"/>
      <c r="O22" s="881"/>
      <c r="P22" s="882"/>
      <c r="Q22" s="882"/>
      <c r="R22" s="882"/>
      <c r="S22" s="882"/>
      <c r="T22" s="848"/>
      <c r="U22" s="883"/>
      <c r="V22" s="889"/>
      <c r="W22" s="890"/>
      <c r="X22" s="850"/>
      <c r="Y22" s="850"/>
      <c r="Z22" s="850"/>
      <c r="AA22" s="850"/>
      <c r="AB22" s="850"/>
      <c r="AC22" s="889"/>
      <c r="AD22" s="890"/>
      <c r="AE22" s="850"/>
      <c r="AF22" s="850"/>
    </row>
    <row r="23" spans="1:32" x14ac:dyDescent="0.25">
      <c r="A23" s="876">
        <v>44927</v>
      </c>
      <c r="B23" s="865"/>
      <c r="C23" s="878">
        <f>C21-E21</f>
        <v>71532450</v>
      </c>
      <c r="D23" s="865"/>
      <c r="E23" s="878">
        <v>2983148</v>
      </c>
      <c r="F23" s="878"/>
      <c r="G23" s="879">
        <v>3.25</v>
      </c>
      <c r="H23" s="865"/>
      <c r="I23" s="881">
        <f>ROUND((+E23*G23/100/2+I24),2)-0.01</f>
        <v>1162402.31</v>
      </c>
      <c r="J23" s="881"/>
      <c r="K23" s="881"/>
      <c r="L23" s="881"/>
      <c r="M23" s="881">
        <f t="shared" si="1"/>
        <v>4145550.31</v>
      </c>
      <c r="N23" s="881"/>
      <c r="O23" s="881">
        <f>M22+M23</f>
        <v>5307952.62</v>
      </c>
      <c r="P23" s="882"/>
      <c r="Q23" s="882"/>
      <c r="R23" s="886"/>
      <c r="S23" s="882"/>
      <c r="T23" s="848"/>
      <c r="U23" s="883"/>
      <c r="V23" s="889"/>
      <c r="W23" s="890"/>
      <c r="X23" s="850"/>
      <c r="Y23" s="850"/>
      <c r="Z23" s="850"/>
      <c r="AA23" s="850"/>
      <c r="AB23" s="850"/>
      <c r="AC23" s="889"/>
      <c r="AD23" s="892"/>
      <c r="AE23" s="850"/>
      <c r="AF23" s="850"/>
    </row>
    <row r="24" spans="1:32" x14ac:dyDescent="0.25">
      <c r="A24" s="876">
        <v>45108</v>
      </c>
      <c r="B24" s="865"/>
      <c r="C24" s="878"/>
      <c r="D24" s="865"/>
      <c r="E24" s="878"/>
      <c r="F24" s="878"/>
      <c r="G24" s="879"/>
      <c r="H24" s="865"/>
      <c r="I24" s="881">
        <f t="shared" si="0"/>
        <v>1113926.1599999999</v>
      </c>
      <c r="J24" s="881"/>
      <c r="K24" s="881"/>
      <c r="L24" s="881"/>
      <c r="M24" s="881">
        <f t="shared" si="1"/>
        <v>1113926.1599999999</v>
      </c>
      <c r="N24" s="881"/>
      <c r="O24" s="881"/>
      <c r="P24" s="882"/>
      <c r="Q24" s="882"/>
      <c r="R24" s="882"/>
      <c r="S24" s="882"/>
      <c r="T24" s="848"/>
      <c r="U24" s="883"/>
      <c r="V24" s="889"/>
      <c r="W24" s="890"/>
      <c r="X24" s="850"/>
      <c r="Y24" s="850"/>
      <c r="Z24" s="850"/>
      <c r="AA24" s="850"/>
      <c r="AB24" s="850"/>
      <c r="AC24" s="850"/>
      <c r="AD24" s="892"/>
      <c r="AE24" s="850"/>
      <c r="AF24" s="850"/>
    </row>
    <row r="25" spans="1:32" x14ac:dyDescent="0.25">
      <c r="A25" s="876">
        <v>45292</v>
      </c>
      <c r="B25" s="865"/>
      <c r="C25" s="878">
        <f>C23-E23</f>
        <v>68549302</v>
      </c>
      <c r="D25" s="865"/>
      <c r="E25" s="878">
        <v>3080100</v>
      </c>
      <c r="F25" s="878"/>
      <c r="G25" s="879">
        <f>G23</f>
        <v>3.25</v>
      </c>
      <c r="H25" s="865"/>
      <c r="I25" s="881">
        <f t="shared" si="0"/>
        <v>1113926.1599999999</v>
      </c>
      <c r="J25" s="881"/>
      <c r="K25" s="881"/>
      <c r="L25" s="881"/>
      <c r="M25" s="881">
        <f t="shared" si="1"/>
        <v>4194026.16</v>
      </c>
      <c r="N25" s="881"/>
      <c r="O25" s="881">
        <f>M24+M25</f>
        <v>5307952.32</v>
      </c>
      <c r="P25" s="882"/>
      <c r="Q25" s="882"/>
      <c r="R25" s="886"/>
      <c r="S25" s="882"/>
      <c r="T25" s="848"/>
      <c r="U25" s="883"/>
      <c r="V25" s="889"/>
      <c r="W25" s="890"/>
      <c r="X25" s="850"/>
      <c r="Y25" s="850"/>
      <c r="Z25" s="850"/>
      <c r="AA25" s="850"/>
      <c r="AB25" s="850"/>
      <c r="AC25" s="850"/>
      <c r="AD25" s="850"/>
      <c r="AE25" s="850"/>
      <c r="AF25" s="850"/>
    </row>
    <row r="26" spans="1:32" x14ac:dyDescent="0.25">
      <c r="A26" s="876">
        <v>45474</v>
      </c>
      <c r="B26" s="865"/>
      <c r="C26" s="878"/>
      <c r="D26" s="865"/>
      <c r="E26" s="878"/>
      <c r="F26" s="878"/>
      <c r="G26" s="879"/>
      <c r="H26" s="865"/>
      <c r="I26" s="881">
        <f t="shared" si="0"/>
        <v>1063874.53</v>
      </c>
      <c r="J26" s="881"/>
      <c r="K26" s="881"/>
      <c r="L26" s="881"/>
      <c r="M26" s="881">
        <f t="shared" si="1"/>
        <v>1063874.53</v>
      </c>
      <c r="N26" s="881"/>
      <c r="O26" s="881"/>
      <c r="P26" s="882"/>
      <c r="Q26" s="882"/>
      <c r="R26" s="882"/>
      <c r="S26" s="882"/>
      <c r="T26" s="848"/>
      <c r="U26" s="883"/>
      <c r="V26" s="889"/>
      <c r="W26" s="890"/>
      <c r="X26" s="850"/>
      <c r="Y26" s="850"/>
      <c r="Z26" s="850"/>
      <c r="AA26" s="850"/>
      <c r="AB26" s="850"/>
      <c r="AC26" s="850"/>
      <c r="AD26" s="895"/>
      <c r="AE26" s="850"/>
      <c r="AF26" s="850"/>
    </row>
    <row r="27" spans="1:32" x14ac:dyDescent="0.25">
      <c r="A27" s="876">
        <v>45658</v>
      </c>
      <c r="B27" s="865"/>
      <c r="C27" s="878">
        <f>C25-E25</f>
        <v>65469202</v>
      </c>
      <c r="D27" s="865"/>
      <c r="E27" s="878">
        <v>3180204</v>
      </c>
      <c r="F27" s="878"/>
      <c r="G27" s="879">
        <f>G25</f>
        <v>3.25</v>
      </c>
      <c r="H27" s="865"/>
      <c r="I27" s="881">
        <f>ROUND((+E27*G27/100/2+I28),2)-0.01</f>
        <v>1063874.53</v>
      </c>
      <c r="J27" s="881"/>
      <c r="K27" s="881"/>
      <c r="L27" s="881"/>
      <c r="M27" s="881">
        <f t="shared" si="1"/>
        <v>4244078.53</v>
      </c>
      <c r="N27" s="881"/>
      <c r="O27" s="881">
        <f>M26+M27</f>
        <v>5307953.0600000005</v>
      </c>
      <c r="P27" s="882"/>
      <c r="Q27" s="882"/>
      <c r="R27" s="886"/>
      <c r="S27" s="882"/>
      <c r="T27" s="848"/>
      <c r="U27" s="883"/>
      <c r="V27" s="889"/>
      <c r="W27" s="890"/>
      <c r="X27" s="850"/>
      <c r="Y27" s="850"/>
      <c r="Z27" s="850"/>
      <c r="AA27" s="850"/>
      <c r="AB27" s="850"/>
      <c r="AC27" s="850"/>
      <c r="AD27" s="850"/>
      <c r="AE27" s="850"/>
      <c r="AF27" s="850"/>
    </row>
    <row r="28" spans="1:32" x14ac:dyDescent="0.25">
      <c r="A28" s="876">
        <v>45839</v>
      </c>
      <c r="B28" s="865"/>
      <c r="C28" s="878"/>
      <c r="D28" s="865"/>
      <c r="E28" s="878"/>
      <c r="F28" s="878"/>
      <c r="G28" s="879"/>
      <c r="H28" s="865"/>
      <c r="I28" s="881">
        <f t="shared" si="0"/>
        <v>1012196.22</v>
      </c>
      <c r="J28" s="881"/>
      <c r="K28" s="881"/>
      <c r="L28" s="881"/>
      <c r="M28" s="881">
        <f t="shared" si="1"/>
        <v>1012196.22</v>
      </c>
      <c r="N28" s="881"/>
      <c r="O28" s="881"/>
      <c r="P28" s="882"/>
      <c r="Q28" s="882"/>
      <c r="R28" s="882"/>
      <c r="S28" s="882"/>
      <c r="T28" s="848"/>
      <c r="U28" s="883"/>
      <c r="V28" s="889"/>
      <c r="W28" s="890"/>
      <c r="X28" s="850"/>
      <c r="Y28" s="850"/>
      <c r="Z28" s="850"/>
      <c r="AA28" s="850"/>
      <c r="AB28" s="850"/>
      <c r="AC28" s="850"/>
      <c r="AD28" s="850"/>
      <c r="AE28" s="850"/>
      <c r="AF28" s="850"/>
    </row>
    <row r="29" spans="1:32" x14ac:dyDescent="0.25">
      <c r="A29" s="876">
        <v>46023</v>
      </c>
      <c r="B29" s="865"/>
      <c r="C29" s="878">
        <f>C27-E27</f>
        <v>62288998</v>
      </c>
      <c r="D29" s="865"/>
      <c r="E29" s="878">
        <v>3283560</v>
      </c>
      <c r="F29" s="878"/>
      <c r="G29" s="879">
        <f>G27</f>
        <v>3.25</v>
      </c>
      <c r="H29" s="865"/>
      <c r="I29" s="881">
        <f t="shared" si="0"/>
        <v>1012196.22</v>
      </c>
      <c r="J29" s="881"/>
      <c r="K29" s="881"/>
      <c r="L29" s="881"/>
      <c r="M29" s="881">
        <f t="shared" si="1"/>
        <v>4295756.22</v>
      </c>
      <c r="N29" s="881"/>
      <c r="O29" s="881">
        <f>M28+M29</f>
        <v>5307952.4399999995</v>
      </c>
      <c r="P29" s="882"/>
      <c r="Q29" s="882"/>
      <c r="R29" s="886"/>
      <c r="S29" s="882"/>
      <c r="T29" s="848"/>
      <c r="U29" s="883"/>
      <c r="V29" s="889"/>
      <c r="W29" s="890"/>
      <c r="X29" s="850"/>
      <c r="Y29" s="850"/>
      <c r="Z29" s="850"/>
      <c r="AA29" s="850"/>
      <c r="AB29" s="850"/>
      <c r="AC29" s="850"/>
      <c r="AD29" s="850"/>
      <c r="AE29" s="850"/>
      <c r="AF29" s="850"/>
    </row>
    <row r="30" spans="1:32" x14ac:dyDescent="0.25">
      <c r="A30" s="876">
        <v>46204</v>
      </c>
      <c r="B30" s="865"/>
      <c r="C30" s="878"/>
      <c r="D30" s="865"/>
      <c r="E30" s="878"/>
      <c r="F30" s="878"/>
      <c r="G30" s="879"/>
      <c r="H30" s="865"/>
      <c r="I30" s="881">
        <f t="shared" si="0"/>
        <v>958838.37</v>
      </c>
      <c r="J30" s="881"/>
      <c r="K30" s="881"/>
      <c r="L30" s="881"/>
      <c r="M30" s="881">
        <f t="shared" si="1"/>
        <v>958838.37</v>
      </c>
      <c r="N30" s="881"/>
      <c r="O30" s="881"/>
      <c r="P30" s="882"/>
      <c r="Q30" s="882"/>
      <c r="R30" s="882"/>
      <c r="S30" s="882"/>
      <c r="T30" s="848"/>
      <c r="U30" s="883"/>
      <c r="V30" s="889"/>
      <c r="W30" s="890"/>
      <c r="X30" s="850"/>
      <c r="Y30" s="850"/>
      <c r="Z30" s="850"/>
      <c r="AA30" s="848"/>
      <c r="AB30" s="850"/>
      <c r="AC30" s="884"/>
      <c r="AD30" s="882"/>
      <c r="AE30" s="850"/>
      <c r="AF30" s="850"/>
    </row>
    <row r="31" spans="1:32" x14ac:dyDescent="0.25">
      <c r="A31" s="876">
        <v>46388</v>
      </c>
      <c r="B31" s="865"/>
      <c r="C31" s="878">
        <f>C29-E29</f>
        <v>59005438</v>
      </c>
      <c r="D31" s="865"/>
      <c r="E31" s="878">
        <v>3390276</v>
      </c>
      <c r="F31" s="878"/>
      <c r="G31" s="879">
        <f>G29</f>
        <v>3.25</v>
      </c>
      <c r="H31" s="865"/>
      <c r="I31" s="881">
        <f t="shared" si="0"/>
        <v>958838.37</v>
      </c>
      <c r="J31" s="881"/>
      <c r="K31" s="881"/>
      <c r="L31" s="881"/>
      <c r="M31" s="881">
        <f t="shared" si="1"/>
        <v>4349114.37</v>
      </c>
      <c r="N31" s="881"/>
      <c r="O31" s="881">
        <f>M30+M31</f>
        <v>5307952.74</v>
      </c>
      <c r="P31" s="882"/>
      <c r="Q31" s="882"/>
      <c r="R31" s="886"/>
      <c r="S31" s="882"/>
      <c r="T31" s="848"/>
      <c r="U31" s="883"/>
      <c r="V31" s="889"/>
      <c r="W31" s="890"/>
      <c r="X31" s="850"/>
      <c r="Y31" s="850"/>
      <c r="Z31" s="850"/>
      <c r="AA31" s="896"/>
      <c r="AB31" s="850"/>
      <c r="AC31" s="884"/>
      <c r="AD31" s="850"/>
      <c r="AE31" s="850"/>
      <c r="AF31" s="850"/>
    </row>
    <row r="32" spans="1:32" x14ac:dyDescent="0.25">
      <c r="A32" s="876">
        <v>46569</v>
      </c>
      <c r="B32" s="865"/>
      <c r="C32" s="878"/>
      <c r="D32" s="865"/>
      <c r="E32" s="878"/>
      <c r="F32" s="878"/>
      <c r="G32" s="879"/>
      <c r="H32" s="865"/>
      <c r="I32" s="881">
        <f t="shared" si="0"/>
        <v>903746.38</v>
      </c>
      <c r="J32" s="881"/>
      <c r="K32" s="881"/>
      <c r="L32" s="881"/>
      <c r="M32" s="881">
        <f t="shared" si="1"/>
        <v>903746.38</v>
      </c>
      <c r="N32" s="881"/>
      <c r="O32" s="881"/>
      <c r="P32" s="882"/>
      <c r="Q32" s="882"/>
      <c r="R32" s="882"/>
      <c r="S32" s="882"/>
      <c r="T32" s="848"/>
      <c r="U32" s="883"/>
      <c r="V32" s="889"/>
      <c r="W32" s="890"/>
      <c r="X32" s="850"/>
      <c r="Y32" s="850"/>
      <c r="Z32" s="850"/>
      <c r="AA32" s="848"/>
      <c r="AB32" s="850"/>
      <c r="AC32" s="884"/>
      <c r="AD32" s="850"/>
      <c r="AE32" s="850"/>
      <c r="AF32" s="850"/>
    </row>
    <row r="33" spans="1:32" x14ac:dyDescent="0.25">
      <c r="A33" s="876">
        <v>46753</v>
      </c>
      <c r="B33" s="865"/>
      <c r="C33" s="878">
        <f>C31-E31</f>
        <v>55615162</v>
      </c>
      <c r="D33" s="865"/>
      <c r="E33" s="878">
        <v>3500460</v>
      </c>
      <c r="F33" s="878"/>
      <c r="G33" s="879">
        <f>G31</f>
        <v>3.25</v>
      </c>
      <c r="H33" s="865"/>
      <c r="I33" s="881">
        <f>ROUND((+E33*G33/100/2+I34),2)-0.01</f>
        <v>903746.38</v>
      </c>
      <c r="J33" s="881"/>
      <c r="K33" s="881"/>
      <c r="L33" s="881"/>
      <c r="M33" s="881">
        <f t="shared" si="1"/>
        <v>4404206.38</v>
      </c>
      <c r="N33" s="881"/>
      <c r="O33" s="881">
        <f>M32+M33</f>
        <v>5307952.76</v>
      </c>
      <c r="P33" s="882"/>
      <c r="Q33" s="882"/>
      <c r="R33" s="886"/>
      <c r="S33" s="882"/>
      <c r="T33" s="848"/>
      <c r="U33" s="883"/>
      <c r="V33" s="889"/>
      <c r="W33" s="890"/>
      <c r="X33" s="850"/>
      <c r="Y33" s="850"/>
      <c r="Z33" s="850"/>
      <c r="AA33" s="848"/>
      <c r="AB33" s="850"/>
      <c r="AC33" s="884"/>
      <c r="AD33" s="850"/>
      <c r="AE33" s="850"/>
      <c r="AF33" s="850"/>
    </row>
    <row r="34" spans="1:32" x14ac:dyDescent="0.25">
      <c r="A34" s="876">
        <v>46935</v>
      </c>
      <c r="B34" s="865"/>
      <c r="C34" s="878"/>
      <c r="D34" s="865"/>
      <c r="E34" s="878"/>
      <c r="F34" s="878"/>
      <c r="G34" s="879"/>
      <c r="H34" s="865"/>
      <c r="I34" s="881">
        <f t="shared" si="0"/>
        <v>846863.91</v>
      </c>
      <c r="J34" s="881"/>
      <c r="K34" s="881"/>
      <c r="L34" s="881"/>
      <c r="M34" s="881">
        <f t="shared" si="1"/>
        <v>846863.91</v>
      </c>
      <c r="N34" s="881"/>
      <c r="O34" s="881"/>
      <c r="P34" s="882"/>
      <c r="Q34" s="882"/>
      <c r="R34" s="882"/>
      <c r="S34" s="882"/>
      <c r="T34" s="848"/>
      <c r="U34" s="883"/>
      <c r="V34" s="889"/>
      <c r="W34" s="890"/>
      <c r="X34" s="850"/>
      <c r="Y34" s="850"/>
      <c r="Z34" s="850"/>
      <c r="AA34" s="848"/>
      <c r="AB34" s="850"/>
      <c r="AC34" s="884"/>
      <c r="AD34" s="850"/>
      <c r="AE34" s="850"/>
      <c r="AF34" s="850"/>
    </row>
    <row r="35" spans="1:32" x14ac:dyDescent="0.25">
      <c r="A35" s="876">
        <v>47119</v>
      </c>
      <c r="B35" s="865"/>
      <c r="C35" s="878">
        <f>C33-E33</f>
        <v>52114702</v>
      </c>
      <c r="D35" s="865"/>
      <c r="E35" s="878">
        <v>3614225</v>
      </c>
      <c r="F35" s="878"/>
      <c r="G35" s="879">
        <f>G33</f>
        <v>3.25</v>
      </c>
      <c r="H35" s="865"/>
      <c r="I35" s="881">
        <f t="shared" si="0"/>
        <v>846863.91</v>
      </c>
      <c r="J35" s="881"/>
      <c r="K35" s="881"/>
      <c r="L35" s="881"/>
      <c r="M35" s="881">
        <f t="shared" si="1"/>
        <v>4461088.91</v>
      </c>
      <c r="N35" s="881"/>
      <c r="O35" s="881">
        <f>M34+M35</f>
        <v>5307952.82</v>
      </c>
      <c r="P35" s="882"/>
      <c r="Q35" s="882"/>
      <c r="R35" s="886"/>
      <c r="S35" s="882"/>
      <c r="T35" s="848"/>
      <c r="U35" s="883"/>
      <c r="V35" s="889"/>
      <c r="W35" s="890"/>
      <c r="X35" s="850"/>
      <c r="Y35" s="850"/>
      <c r="Z35" s="850"/>
      <c r="AA35" s="848"/>
      <c r="AB35" s="850"/>
      <c r="AC35" s="884"/>
      <c r="AD35" s="850"/>
      <c r="AE35" s="850"/>
      <c r="AF35" s="850"/>
    </row>
    <row r="36" spans="1:32" x14ac:dyDescent="0.25">
      <c r="A36" s="876">
        <v>47300</v>
      </c>
      <c r="B36" s="865"/>
      <c r="C36" s="878"/>
      <c r="D36" s="865"/>
      <c r="E36" s="878"/>
      <c r="F36" s="878"/>
      <c r="G36" s="879"/>
      <c r="H36" s="865"/>
      <c r="I36" s="881">
        <f t="shared" si="0"/>
        <v>788132.75</v>
      </c>
      <c r="J36" s="881"/>
      <c r="K36" s="881"/>
      <c r="L36" s="881"/>
      <c r="M36" s="881">
        <f t="shared" si="1"/>
        <v>788132.75</v>
      </c>
      <c r="N36" s="881"/>
      <c r="O36" s="881"/>
      <c r="P36" s="882"/>
      <c r="Q36" s="882"/>
      <c r="R36" s="882"/>
      <c r="S36" s="882"/>
      <c r="T36" s="848"/>
      <c r="U36" s="883"/>
      <c r="V36" s="889"/>
      <c r="W36" s="890"/>
      <c r="X36" s="850"/>
      <c r="Y36" s="850"/>
      <c r="Z36" s="850"/>
      <c r="AA36" s="848"/>
      <c r="AB36" s="850"/>
      <c r="AC36" s="884"/>
      <c r="AD36" s="850"/>
      <c r="AE36" s="850"/>
      <c r="AF36" s="850"/>
    </row>
    <row r="37" spans="1:32" x14ac:dyDescent="0.25">
      <c r="A37" s="876">
        <v>47484</v>
      </c>
      <c r="B37" s="865"/>
      <c r="C37" s="878">
        <f>C35-E35</f>
        <v>48500477</v>
      </c>
      <c r="D37" s="865"/>
      <c r="E37" s="878">
        <v>3731687</v>
      </c>
      <c r="F37" s="878"/>
      <c r="G37" s="879">
        <f>G35</f>
        <v>3.25</v>
      </c>
      <c r="H37" s="865"/>
      <c r="I37" s="881">
        <f t="shared" si="0"/>
        <v>788132.75</v>
      </c>
      <c r="J37" s="881"/>
      <c r="K37" s="881"/>
      <c r="L37" s="881"/>
      <c r="M37" s="881">
        <f t="shared" si="1"/>
        <v>4519819.75</v>
      </c>
      <c r="N37" s="881"/>
      <c r="O37" s="881">
        <f>M36+M37</f>
        <v>5307952.5</v>
      </c>
      <c r="P37" s="882"/>
      <c r="Q37" s="882"/>
      <c r="R37" s="886"/>
      <c r="S37" s="882"/>
      <c r="T37" s="848"/>
      <c r="U37" s="883"/>
      <c r="V37" s="889"/>
      <c r="W37" s="890"/>
      <c r="X37" s="850"/>
      <c r="Y37" s="850"/>
      <c r="Z37" s="850"/>
      <c r="AA37" s="848"/>
      <c r="AB37" s="850"/>
      <c r="AC37" s="884"/>
      <c r="AD37" s="850"/>
      <c r="AE37" s="850"/>
      <c r="AF37" s="850"/>
    </row>
    <row r="38" spans="1:32" x14ac:dyDescent="0.25">
      <c r="A38" s="876">
        <v>47665</v>
      </c>
      <c r="B38" s="865"/>
      <c r="C38" s="878"/>
      <c r="D38" s="865"/>
      <c r="E38" s="878"/>
      <c r="F38" s="878"/>
      <c r="G38" s="879"/>
      <c r="H38" s="865"/>
      <c r="I38" s="881">
        <f t="shared" si="0"/>
        <v>727492.84</v>
      </c>
      <c r="J38" s="881"/>
      <c r="K38" s="881"/>
      <c r="L38" s="881"/>
      <c r="M38" s="881">
        <f t="shared" si="1"/>
        <v>727492.84</v>
      </c>
      <c r="N38" s="881"/>
      <c r="O38" s="881"/>
      <c r="P38" s="882"/>
      <c r="Q38" s="882"/>
      <c r="R38" s="882"/>
      <c r="S38" s="882"/>
      <c r="T38" s="848"/>
      <c r="U38" s="883"/>
      <c r="V38" s="889"/>
      <c r="W38" s="890"/>
      <c r="X38" s="850"/>
      <c r="Y38" s="850"/>
      <c r="Z38" s="850"/>
      <c r="AA38" s="848"/>
      <c r="AB38" s="850"/>
      <c r="AC38" s="884"/>
      <c r="AD38" s="850"/>
      <c r="AE38" s="850"/>
      <c r="AF38" s="850"/>
    </row>
    <row r="39" spans="1:32" x14ac:dyDescent="0.25">
      <c r="A39" s="876">
        <v>47849</v>
      </c>
      <c r="B39" s="865"/>
      <c r="C39" s="878">
        <f>C37-E37</f>
        <v>44768790</v>
      </c>
      <c r="D39" s="865"/>
      <c r="E39" s="878">
        <v>3852967</v>
      </c>
      <c r="F39" s="878"/>
      <c r="G39" s="879">
        <f>G37</f>
        <v>3.25</v>
      </c>
      <c r="H39" s="865"/>
      <c r="I39" s="881">
        <f>ROUND((+E39*G39/100/2+I40),2)+0.01</f>
        <v>727492.84</v>
      </c>
      <c r="J39" s="881"/>
      <c r="K39" s="881"/>
      <c r="L39" s="881"/>
      <c r="M39" s="881">
        <f t="shared" si="1"/>
        <v>4580459.84</v>
      </c>
      <c r="N39" s="881"/>
      <c r="O39" s="881">
        <f>M38+M39</f>
        <v>5307952.68</v>
      </c>
      <c r="P39" s="882"/>
      <c r="Q39" s="882"/>
      <c r="R39" s="886"/>
      <c r="S39" s="882"/>
      <c r="T39" s="848"/>
      <c r="U39" s="883"/>
      <c r="V39" s="889"/>
      <c r="W39" s="890"/>
      <c r="X39" s="850"/>
      <c r="Y39" s="850"/>
      <c r="Z39" s="850"/>
      <c r="AA39" s="848"/>
      <c r="AB39" s="850"/>
      <c r="AC39" s="884"/>
      <c r="AD39" s="850"/>
      <c r="AE39" s="850"/>
      <c r="AF39" s="850"/>
    </row>
    <row r="40" spans="1:32" x14ac:dyDescent="0.25">
      <c r="A40" s="876">
        <v>48030</v>
      </c>
      <c r="B40" s="865"/>
      <c r="C40" s="878"/>
      <c r="D40" s="865"/>
      <c r="E40" s="878"/>
      <c r="F40" s="878"/>
      <c r="G40" s="879"/>
      <c r="H40" s="865"/>
      <c r="I40" s="881">
        <f t="shared" si="0"/>
        <v>664882.12</v>
      </c>
      <c r="J40" s="881"/>
      <c r="K40" s="881"/>
      <c r="L40" s="881"/>
      <c r="M40" s="881">
        <f t="shared" si="1"/>
        <v>664882.12</v>
      </c>
      <c r="N40" s="881"/>
      <c r="O40" s="881"/>
      <c r="P40" s="882"/>
      <c r="Q40" s="882"/>
      <c r="R40" s="882"/>
      <c r="S40" s="882"/>
      <c r="T40" s="848"/>
      <c r="U40" s="883"/>
      <c r="V40" s="889"/>
      <c r="W40" s="890"/>
      <c r="X40" s="850"/>
      <c r="Y40" s="850"/>
      <c r="Z40" s="850"/>
      <c r="AA40" s="848"/>
      <c r="AB40" s="850"/>
      <c r="AC40" s="884"/>
      <c r="AD40" s="850"/>
      <c r="AE40" s="850"/>
      <c r="AF40" s="850"/>
    </row>
    <row r="41" spans="1:32" x14ac:dyDescent="0.25">
      <c r="A41" s="876">
        <v>48214</v>
      </c>
      <c r="B41" s="865"/>
      <c r="C41" s="878">
        <f>C39-E39</f>
        <v>40915823</v>
      </c>
      <c r="D41" s="865"/>
      <c r="E41" s="878">
        <v>3978188</v>
      </c>
      <c r="F41" s="878"/>
      <c r="G41" s="879">
        <f>G39</f>
        <v>3.25</v>
      </c>
      <c r="H41" s="865"/>
      <c r="I41" s="881">
        <f>ROUND((+E41*G41/100/2+I42),2)-0.01</f>
        <v>664882.12</v>
      </c>
      <c r="J41" s="881"/>
      <c r="K41" s="881"/>
      <c r="L41" s="881"/>
      <c r="M41" s="881">
        <f t="shared" si="1"/>
        <v>4643070.12</v>
      </c>
      <c r="N41" s="881"/>
      <c r="O41" s="881">
        <f>M40+M41</f>
        <v>5307952.24</v>
      </c>
      <c r="P41" s="882"/>
      <c r="Q41" s="882"/>
      <c r="R41" s="886"/>
      <c r="S41" s="882"/>
      <c r="T41" s="848"/>
      <c r="U41" s="883"/>
      <c r="V41" s="889"/>
      <c r="W41" s="890"/>
      <c r="X41" s="850"/>
      <c r="Y41" s="850"/>
      <c r="Z41" s="850"/>
      <c r="AA41" s="848"/>
      <c r="AB41" s="850"/>
      <c r="AC41" s="884"/>
      <c r="AD41" s="850"/>
      <c r="AE41" s="850"/>
      <c r="AF41" s="850"/>
    </row>
    <row r="42" spans="1:32" x14ac:dyDescent="0.25">
      <c r="A42" s="876">
        <v>48396</v>
      </c>
      <c r="B42" s="865"/>
      <c r="C42" s="878"/>
      <c r="D42" s="865"/>
      <c r="E42" s="878"/>
      <c r="F42" s="878"/>
      <c r="G42" s="879"/>
      <c r="H42" s="865"/>
      <c r="I42" s="881">
        <f t="shared" si="0"/>
        <v>600236.56999999995</v>
      </c>
      <c r="J42" s="881"/>
      <c r="K42" s="881"/>
      <c r="L42" s="881"/>
      <c r="M42" s="881">
        <f t="shared" si="1"/>
        <v>600236.56999999995</v>
      </c>
      <c r="N42" s="881"/>
      <c r="O42" s="881"/>
      <c r="P42" s="882"/>
      <c r="Q42" s="882"/>
      <c r="R42" s="882"/>
      <c r="S42" s="882"/>
      <c r="T42" s="848"/>
      <c r="U42" s="883"/>
      <c r="V42" s="889"/>
      <c r="W42" s="890"/>
      <c r="X42" s="850"/>
      <c r="Y42" s="850"/>
      <c r="Z42" s="850"/>
      <c r="AA42" s="848"/>
      <c r="AB42" s="850"/>
      <c r="AC42" s="884"/>
      <c r="AD42" s="850"/>
      <c r="AE42" s="850"/>
      <c r="AF42" s="850"/>
    </row>
    <row r="43" spans="1:32" x14ac:dyDescent="0.25">
      <c r="A43" s="876">
        <v>48580</v>
      </c>
      <c r="B43" s="865"/>
      <c r="C43" s="878">
        <f>C41-E41</f>
        <v>36937635</v>
      </c>
      <c r="D43" s="865"/>
      <c r="E43" s="878">
        <v>4107479</v>
      </c>
      <c r="F43" s="878"/>
      <c r="G43" s="879">
        <f>G41</f>
        <v>3.25</v>
      </c>
      <c r="H43" s="865"/>
      <c r="I43" s="881">
        <f t="shared" si="0"/>
        <v>600236.56999999995</v>
      </c>
      <c r="J43" s="881"/>
      <c r="K43" s="881"/>
      <c r="L43" s="881"/>
      <c r="M43" s="881">
        <f t="shared" si="1"/>
        <v>4707715.57</v>
      </c>
      <c r="N43" s="881"/>
      <c r="O43" s="881">
        <f>M42+M43</f>
        <v>5307952.1400000006</v>
      </c>
      <c r="P43" s="882"/>
      <c r="Q43" s="882"/>
      <c r="R43" s="886"/>
      <c r="S43" s="882"/>
      <c r="T43" s="848"/>
      <c r="U43" s="883"/>
      <c r="V43" s="889"/>
      <c r="W43" s="890"/>
      <c r="X43" s="850"/>
      <c r="Y43" s="850"/>
      <c r="Z43" s="850"/>
      <c r="AA43" s="848"/>
      <c r="AB43" s="850"/>
      <c r="AC43" s="884"/>
      <c r="AD43" s="850"/>
      <c r="AE43" s="850"/>
      <c r="AF43" s="850"/>
    </row>
    <row r="44" spans="1:32" x14ac:dyDescent="0.25">
      <c r="A44" s="876">
        <v>48761</v>
      </c>
      <c r="B44" s="865"/>
      <c r="C44" s="878"/>
      <c r="D44" s="865"/>
      <c r="E44" s="878"/>
      <c r="F44" s="878"/>
      <c r="G44" s="879"/>
      <c r="H44" s="865"/>
      <c r="I44" s="881">
        <f t="shared" si="0"/>
        <v>533490.04</v>
      </c>
      <c r="J44" s="881"/>
      <c r="K44" s="881"/>
      <c r="L44" s="881"/>
      <c r="M44" s="881">
        <f t="shared" si="1"/>
        <v>533490.04</v>
      </c>
      <c r="N44" s="881"/>
      <c r="O44" s="881"/>
      <c r="P44" s="882"/>
      <c r="Q44" s="882"/>
      <c r="R44" s="882"/>
      <c r="S44" s="882"/>
      <c r="T44" s="848"/>
      <c r="U44" s="883"/>
      <c r="V44" s="889"/>
      <c r="W44" s="890"/>
      <c r="X44" s="850"/>
      <c r="Y44" s="850"/>
      <c r="Z44" s="850"/>
      <c r="AA44" s="848"/>
      <c r="AB44" s="850"/>
      <c r="AC44" s="884"/>
      <c r="AD44" s="850"/>
      <c r="AE44" s="850"/>
      <c r="AF44" s="850"/>
    </row>
    <row r="45" spans="1:32" x14ac:dyDescent="0.25">
      <c r="A45" s="876">
        <v>48945</v>
      </c>
      <c r="B45" s="865"/>
      <c r="C45" s="878">
        <f>C43-E43</f>
        <v>32830156</v>
      </c>
      <c r="D45" s="865"/>
      <c r="E45" s="878">
        <v>4240973</v>
      </c>
      <c r="F45" s="878"/>
      <c r="G45" s="879">
        <f>G43</f>
        <v>3.25</v>
      </c>
      <c r="H45" s="865"/>
      <c r="I45" s="881">
        <f>ROUND((+E45*G45/100/2+I46),2)+0.01</f>
        <v>533490.04</v>
      </c>
      <c r="J45" s="881"/>
      <c r="K45" s="881"/>
      <c r="L45" s="881"/>
      <c r="M45" s="881">
        <f t="shared" si="1"/>
        <v>4774463.04</v>
      </c>
      <c r="N45" s="881"/>
      <c r="O45" s="881">
        <f>M44+M45</f>
        <v>5307953.08</v>
      </c>
      <c r="P45" s="882"/>
      <c r="Q45" s="882"/>
      <c r="R45" s="886"/>
      <c r="S45" s="882"/>
      <c r="T45" s="848"/>
      <c r="U45" s="883"/>
      <c r="V45" s="889"/>
      <c r="W45" s="890"/>
      <c r="X45" s="850"/>
      <c r="Y45" s="850"/>
      <c r="Z45" s="850"/>
      <c r="AA45" s="848"/>
      <c r="AB45" s="850"/>
      <c r="AC45" s="884"/>
      <c r="AD45" s="850"/>
      <c r="AE45" s="850"/>
      <c r="AF45" s="850"/>
    </row>
    <row r="46" spans="1:32" x14ac:dyDescent="0.25">
      <c r="A46" s="876">
        <v>49126</v>
      </c>
      <c r="B46" s="865"/>
      <c r="C46" s="878"/>
      <c r="D46" s="865"/>
      <c r="E46" s="878"/>
      <c r="F46" s="878"/>
      <c r="G46" s="879"/>
      <c r="H46" s="865"/>
      <c r="I46" s="881">
        <f t="shared" si="0"/>
        <v>464574.22</v>
      </c>
      <c r="J46" s="881"/>
      <c r="K46" s="881"/>
      <c r="L46" s="881"/>
      <c r="M46" s="881">
        <f t="shared" si="1"/>
        <v>464574.22</v>
      </c>
      <c r="N46" s="881"/>
      <c r="O46" s="881"/>
      <c r="P46" s="882"/>
      <c r="Q46" s="882"/>
      <c r="R46" s="882"/>
      <c r="S46" s="882"/>
      <c r="T46" s="848"/>
      <c r="U46" s="883"/>
      <c r="V46" s="889"/>
      <c r="W46" s="890"/>
      <c r="X46" s="850"/>
      <c r="Y46" s="850"/>
      <c r="Z46" s="850"/>
      <c r="AA46" s="848"/>
      <c r="AB46" s="850"/>
      <c r="AC46" s="884"/>
      <c r="AD46" s="850"/>
      <c r="AE46" s="850"/>
      <c r="AF46" s="850"/>
    </row>
    <row r="47" spans="1:32" x14ac:dyDescent="0.25">
      <c r="A47" s="876">
        <v>49310</v>
      </c>
      <c r="B47" s="865"/>
      <c r="C47" s="878">
        <f>C45-E45</f>
        <v>28589183</v>
      </c>
      <c r="D47" s="865"/>
      <c r="E47" s="878">
        <v>4378804</v>
      </c>
      <c r="F47" s="878"/>
      <c r="G47" s="879">
        <f>G45</f>
        <v>3.25</v>
      </c>
      <c r="H47" s="865"/>
      <c r="I47" s="881">
        <f>ROUND((+E47*G47/100/2+I48),2)-0.01</f>
        <v>464574.22</v>
      </c>
      <c r="J47" s="881"/>
      <c r="K47" s="881"/>
      <c r="L47" s="881"/>
      <c r="M47" s="881">
        <f t="shared" si="1"/>
        <v>4843378.22</v>
      </c>
      <c r="N47" s="881"/>
      <c r="O47" s="881">
        <f>M46+M47</f>
        <v>5307952.4399999995</v>
      </c>
      <c r="P47" s="882"/>
      <c r="Q47" s="882"/>
      <c r="R47" s="886"/>
      <c r="S47" s="882"/>
      <c r="T47" s="848"/>
      <c r="U47" s="883"/>
      <c r="V47" s="889"/>
      <c r="W47" s="890"/>
      <c r="X47" s="850"/>
      <c r="Y47" s="850"/>
      <c r="Z47" s="850"/>
      <c r="AA47" s="848"/>
      <c r="AB47" s="850"/>
      <c r="AC47" s="884"/>
      <c r="AD47" s="850"/>
      <c r="AE47" s="850"/>
      <c r="AF47" s="850"/>
    </row>
    <row r="48" spans="1:32" x14ac:dyDescent="0.25">
      <c r="A48" s="876">
        <v>49491</v>
      </c>
      <c r="B48" s="865"/>
      <c r="C48" s="878"/>
      <c r="D48" s="865"/>
      <c r="E48" s="878"/>
      <c r="F48" s="878"/>
      <c r="G48" s="879"/>
      <c r="H48" s="865"/>
      <c r="I48" s="881">
        <f t="shared" si="0"/>
        <v>393418.66</v>
      </c>
      <c r="J48" s="881"/>
      <c r="K48" s="881"/>
      <c r="L48" s="881"/>
      <c r="M48" s="881">
        <f t="shared" si="1"/>
        <v>393418.66</v>
      </c>
      <c r="N48" s="881"/>
      <c r="O48" s="881"/>
      <c r="P48" s="882"/>
      <c r="Q48" s="882"/>
      <c r="R48" s="882"/>
      <c r="S48" s="882"/>
      <c r="T48" s="848"/>
      <c r="U48" s="883"/>
      <c r="V48" s="889"/>
      <c r="W48" s="890"/>
      <c r="X48" s="850"/>
      <c r="Y48" s="850"/>
      <c r="Z48" s="850"/>
      <c r="AA48" s="848"/>
      <c r="AB48" s="850"/>
      <c r="AC48" s="884"/>
      <c r="AD48" s="850"/>
      <c r="AE48" s="850"/>
      <c r="AF48" s="850"/>
    </row>
    <row r="49" spans="1:32" x14ac:dyDescent="0.25">
      <c r="A49" s="876">
        <v>49675</v>
      </c>
      <c r="B49" s="865"/>
      <c r="C49" s="878">
        <f>C47-E47</f>
        <v>24210379</v>
      </c>
      <c r="D49" s="865"/>
      <c r="E49" s="878">
        <v>4521115</v>
      </c>
      <c r="F49" s="878"/>
      <c r="G49" s="879">
        <f>G47</f>
        <v>3.25</v>
      </c>
      <c r="H49" s="865"/>
      <c r="I49" s="881">
        <f t="shared" si="0"/>
        <v>393418.66</v>
      </c>
      <c r="J49" s="881"/>
      <c r="K49" s="881"/>
      <c r="L49" s="881"/>
      <c r="M49" s="881">
        <f t="shared" si="1"/>
        <v>4914533.66</v>
      </c>
      <c r="N49" s="881"/>
      <c r="O49" s="881">
        <f>M48+M49</f>
        <v>5307952.32</v>
      </c>
      <c r="P49" s="882"/>
      <c r="Q49" s="882"/>
      <c r="R49" s="886"/>
      <c r="S49" s="882"/>
      <c r="T49" s="848"/>
      <c r="U49" s="883"/>
      <c r="V49" s="889"/>
      <c r="W49" s="890"/>
      <c r="X49" s="850"/>
      <c r="Y49" s="850"/>
      <c r="Z49" s="850"/>
      <c r="AA49" s="848"/>
      <c r="AB49" s="850"/>
      <c r="AC49" s="884"/>
      <c r="AD49" s="850"/>
      <c r="AE49" s="850"/>
      <c r="AF49" s="850"/>
    </row>
    <row r="50" spans="1:32" x14ac:dyDescent="0.25">
      <c r="A50" s="876">
        <v>49857</v>
      </c>
      <c r="B50" s="865"/>
      <c r="C50" s="878"/>
      <c r="D50" s="865"/>
      <c r="E50" s="878"/>
      <c r="F50" s="878"/>
      <c r="G50" s="879"/>
      <c r="H50" s="865"/>
      <c r="I50" s="881">
        <f t="shared" si="0"/>
        <v>319950.53999999998</v>
      </c>
      <c r="J50" s="881"/>
      <c r="K50" s="881"/>
      <c r="L50" s="881"/>
      <c r="M50" s="881">
        <f t="shared" si="1"/>
        <v>319950.53999999998</v>
      </c>
      <c r="N50" s="881"/>
      <c r="O50" s="881"/>
      <c r="P50" s="882"/>
      <c r="Q50" s="882"/>
      <c r="R50" s="882"/>
      <c r="S50" s="882"/>
      <c r="T50" s="848"/>
      <c r="U50" s="883"/>
      <c r="V50" s="889"/>
      <c r="W50" s="890"/>
      <c r="X50" s="850"/>
      <c r="Y50" s="850"/>
      <c r="Z50" s="850"/>
      <c r="AA50" s="848"/>
      <c r="AB50" s="850"/>
      <c r="AC50" s="884"/>
      <c r="AD50" s="850"/>
      <c r="AE50" s="850"/>
      <c r="AF50" s="850"/>
    </row>
    <row r="51" spans="1:32" x14ac:dyDescent="0.25">
      <c r="A51" s="876">
        <v>50041</v>
      </c>
      <c r="B51" s="865"/>
      <c r="C51" s="878">
        <f>C49-E49</f>
        <v>19689264</v>
      </c>
      <c r="D51" s="865"/>
      <c r="E51" s="878">
        <v>4668052</v>
      </c>
      <c r="F51" s="889"/>
      <c r="G51" s="879">
        <f>G49</f>
        <v>3.25</v>
      </c>
      <c r="H51" s="865"/>
      <c r="I51" s="881">
        <f>ROUND((+E51*G51/100/2+I52),2)-0.01</f>
        <v>319950.53999999998</v>
      </c>
      <c r="J51" s="881"/>
      <c r="K51" s="881"/>
      <c r="L51" s="881"/>
      <c r="M51" s="881">
        <f t="shared" si="1"/>
        <v>4988002.54</v>
      </c>
      <c r="N51" s="881"/>
      <c r="O51" s="881">
        <f>M50+M51</f>
        <v>5307953.08</v>
      </c>
      <c r="P51" s="882"/>
      <c r="Q51" s="882"/>
      <c r="R51" s="886"/>
      <c r="S51" s="882"/>
      <c r="T51" s="848"/>
      <c r="U51" s="883"/>
      <c r="V51" s="889"/>
      <c r="W51" s="890"/>
      <c r="X51" s="850"/>
      <c r="Y51" s="850"/>
      <c r="Z51" s="850"/>
      <c r="AA51" s="848"/>
      <c r="AB51" s="850"/>
      <c r="AC51" s="884"/>
      <c r="AD51" s="850"/>
      <c r="AE51" s="850"/>
      <c r="AF51" s="850"/>
    </row>
    <row r="52" spans="1:32" x14ac:dyDescent="0.25">
      <c r="A52" s="876">
        <v>50222</v>
      </c>
      <c r="B52" s="865"/>
      <c r="C52" s="878"/>
      <c r="D52" s="865"/>
      <c r="E52" s="878"/>
      <c r="F52" s="889"/>
      <c r="G52" s="879"/>
      <c r="H52" s="865"/>
      <c r="I52" s="881">
        <f t="shared" si="0"/>
        <v>244094.7</v>
      </c>
      <c r="J52" s="881"/>
      <c r="K52" s="881"/>
      <c r="L52" s="881"/>
      <c r="M52" s="881">
        <f t="shared" si="1"/>
        <v>244094.7</v>
      </c>
      <c r="N52" s="881"/>
      <c r="O52" s="881"/>
      <c r="P52" s="882"/>
      <c r="Q52" s="882"/>
      <c r="R52" s="882"/>
      <c r="S52" s="882"/>
      <c r="T52" s="848"/>
      <c r="U52" s="883"/>
      <c r="V52" s="889"/>
      <c r="W52" s="890"/>
      <c r="X52" s="850"/>
      <c r="Y52" s="850"/>
      <c r="Z52" s="850"/>
      <c r="AA52" s="848"/>
      <c r="AB52" s="850"/>
      <c r="AC52" s="884"/>
      <c r="AD52" s="850"/>
      <c r="AE52" s="850"/>
      <c r="AF52" s="850"/>
    </row>
    <row r="53" spans="1:32" x14ac:dyDescent="0.25">
      <c r="A53" s="876">
        <v>50406</v>
      </c>
      <c r="B53" s="865"/>
      <c r="C53" s="878">
        <f>C51-E51</f>
        <v>15021212</v>
      </c>
      <c r="D53" s="865"/>
      <c r="E53" s="878">
        <v>4819763</v>
      </c>
      <c r="F53" s="889"/>
      <c r="G53" s="879">
        <f>G51</f>
        <v>3.25</v>
      </c>
      <c r="H53" s="865"/>
      <c r="I53" s="881">
        <f t="shared" si="0"/>
        <v>244094.7</v>
      </c>
      <c r="J53" s="881"/>
      <c r="K53" s="881"/>
      <c r="L53" s="881"/>
      <c r="M53" s="881">
        <f t="shared" si="1"/>
        <v>5063857.7</v>
      </c>
      <c r="N53" s="881"/>
      <c r="O53" s="881">
        <f>M52+M53</f>
        <v>5307952.4000000004</v>
      </c>
      <c r="P53" s="893"/>
      <c r="Q53" s="882"/>
      <c r="R53" s="886"/>
      <c r="S53" s="882"/>
      <c r="T53" s="848"/>
      <c r="U53" s="883"/>
      <c r="V53" s="889"/>
      <c r="W53" s="890"/>
      <c r="X53" s="850"/>
      <c r="Y53" s="850"/>
      <c r="Z53" s="850"/>
      <c r="AA53" s="848"/>
      <c r="AB53" s="850"/>
      <c r="AC53" s="884"/>
      <c r="AD53" s="850"/>
      <c r="AE53" s="850"/>
      <c r="AF53" s="850"/>
    </row>
    <row r="54" spans="1:32" x14ac:dyDescent="0.25">
      <c r="A54" s="876">
        <v>50587</v>
      </c>
      <c r="B54" s="865"/>
      <c r="C54" s="878">
        <f>C53-E53</f>
        <v>10201449</v>
      </c>
      <c r="D54" s="865"/>
      <c r="E54" s="878">
        <v>2588226</v>
      </c>
      <c r="F54" s="889"/>
      <c r="G54" s="879">
        <f>G53</f>
        <v>3.25</v>
      </c>
      <c r="H54" s="865"/>
      <c r="I54" s="881">
        <f>ROUND((+E54*G54/100/2+I55),2)+0.01</f>
        <v>165773.55000000002</v>
      </c>
      <c r="J54" s="881"/>
      <c r="K54" s="881"/>
      <c r="L54" s="881"/>
      <c r="M54" s="881">
        <f t="shared" si="1"/>
        <v>2753999.55</v>
      </c>
      <c r="N54" s="881"/>
      <c r="O54" s="881"/>
      <c r="P54" s="882"/>
      <c r="Q54" s="882"/>
      <c r="R54" s="882"/>
      <c r="S54" s="882"/>
      <c r="T54" s="848"/>
      <c r="U54" s="883"/>
      <c r="V54" s="889"/>
      <c r="W54" s="890"/>
      <c r="X54" s="850"/>
      <c r="Y54" s="850"/>
      <c r="Z54" s="850"/>
      <c r="AA54" s="848"/>
      <c r="AB54" s="850"/>
      <c r="AC54" s="884"/>
      <c r="AD54" s="850"/>
      <c r="AE54" s="850"/>
      <c r="AF54" s="850"/>
    </row>
    <row r="55" spans="1:32" x14ac:dyDescent="0.25">
      <c r="A55" s="876">
        <v>50771</v>
      </c>
      <c r="B55" s="865"/>
      <c r="C55" s="878">
        <f>C54-E54</f>
        <v>7613223</v>
      </c>
      <c r="D55" s="865"/>
      <c r="E55" s="878">
        <v>2430285</v>
      </c>
      <c r="F55" s="889"/>
      <c r="G55" s="879">
        <f>G54</f>
        <v>3.25</v>
      </c>
      <c r="H55" s="865"/>
      <c r="I55" s="881">
        <f t="shared" si="0"/>
        <v>123714.87</v>
      </c>
      <c r="J55" s="882"/>
      <c r="K55" s="882"/>
      <c r="L55" s="881"/>
      <c r="M55" s="881">
        <f t="shared" si="1"/>
        <v>2553999.87</v>
      </c>
      <c r="N55" s="881"/>
      <c r="O55" s="882">
        <f>M54+M55</f>
        <v>5307999.42</v>
      </c>
      <c r="P55" s="882"/>
      <c r="Q55" s="882"/>
      <c r="R55" s="886"/>
      <c r="S55" s="882"/>
      <c r="T55" s="848"/>
      <c r="U55" s="883"/>
      <c r="V55" s="889"/>
      <c r="W55" s="890"/>
      <c r="X55" s="850"/>
      <c r="Y55" s="850"/>
      <c r="Z55" s="850"/>
      <c r="AA55" s="848"/>
      <c r="AB55" s="850"/>
      <c r="AC55" s="884"/>
      <c r="AD55" s="850"/>
      <c r="AE55" s="850"/>
      <c r="AF55" s="850"/>
    </row>
    <row r="56" spans="1:32" x14ac:dyDescent="0.25">
      <c r="A56" s="876">
        <v>50952</v>
      </c>
      <c r="B56" s="865"/>
      <c r="C56" s="878">
        <f>C55-E55</f>
        <v>5182938</v>
      </c>
      <c r="D56" s="865"/>
      <c r="E56" s="878">
        <v>2669777</v>
      </c>
      <c r="F56" s="889"/>
      <c r="G56" s="879">
        <f>G55</f>
        <v>3.25</v>
      </c>
      <c r="H56" s="865"/>
      <c r="I56" s="881">
        <f>ROUND((+E56*G56/100/2+I57),2)-0.01</f>
        <v>84222.74</v>
      </c>
      <c r="J56" s="882"/>
      <c r="K56" s="882"/>
      <c r="L56" s="881"/>
      <c r="M56" s="881">
        <f t="shared" si="1"/>
        <v>2753999.74</v>
      </c>
      <c r="N56" s="881"/>
      <c r="O56" s="882"/>
      <c r="P56" s="882"/>
      <c r="Q56" s="882"/>
      <c r="R56" s="882"/>
      <c r="S56" s="882"/>
      <c r="T56" s="848"/>
      <c r="U56" s="883"/>
      <c r="V56" s="889"/>
      <c r="W56" s="890"/>
      <c r="X56" s="850"/>
      <c r="Y56" s="850"/>
      <c r="Z56" s="850"/>
      <c r="AA56" s="848"/>
      <c r="AB56" s="850"/>
      <c r="AC56" s="884"/>
      <c r="AD56" s="850"/>
      <c r="AE56" s="850"/>
      <c r="AF56" s="850"/>
    </row>
    <row r="57" spans="1:32" x14ac:dyDescent="0.25">
      <c r="A57" s="876">
        <v>51136</v>
      </c>
      <c r="B57" s="865"/>
      <c r="C57" s="878">
        <f>C56-E56</f>
        <v>2513161</v>
      </c>
      <c r="D57" s="865"/>
      <c r="E57" s="878">
        <v>2513161</v>
      </c>
      <c r="F57" s="889"/>
      <c r="G57" s="879">
        <f>G56</f>
        <v>3.25</v>
      </c>
      <c r="H57" s="865"/>
      <c r="I57" s="881">
        <f t="shared" si="0"/>
        <v>40838.870000000003</v>
      </c>
      <c r="J57" s="882"/>
      <c r="K57" s="897"/>
      <c r="L57" s="881"/>
      <c r="M57" s="881">
        <f t="shared" si="1"/>
        <v>2553999.87</v>
      </c>
      <c r="N57" s="881"/>
      <c r="O57" s="882">
        <f>M56+M57</f>
        <v>5307999.6100000003</v>
      </c>
      <c r="P57" s="882"/>
      <c r="Q57" s="882"/>
      <c r="R57" s="886"/>
      <c r="S57" s="882"/>
      <c r="T57" s="848"/>
      <c r="U57" s="883"/>
      <c r="V57" s="889"/>
      <c r="W57" s="890"/>
      <c r="X57" s="850"/>
      <c r="Y57" s="850"/>
      <c r="Z57" s="850"/>
      <c r="AA57" s="848"/>
      <c r="AB57" s="850"/>
      <c r="AC57" s="884"/>
      <c r="AD57" s="850"/>
      <c r="AE57" s="850"/>
      <c r="AF57" s="850"/>
    </row>
    <row r="58" spans="1:32" x14ac:dyDescent="0.25">
      <c r="A58" s="898"/>
      <c r="B58" s="865"/>
      <c r="C58" s="865"/>
      <c r="D58" s="865"/>
      <c r="E58" s="899"/>
      <c r="F58" s="889"/>
      <c r="G58" s="894"/>
      <c r="H58" s="865"/>
      <c r="I58" s="900"/>
      <c r="J58" s="882"/>
      <c r="K58" s="882"/>
      <c r="L58" s="881"/>
      <c r="M58" s="900"/>
      <c r="N58" s="881"/>
      <c r="O58" s="900"/>
      <c r="P58" s="882"/>
      <c r="Q58" s="882"/>
      <c r="R58" s="882"/>
      <c r="S58" s="882"/>
      <c r="T58" s="848"/>
      <c r="U58" s="848"/>
      <c r="V58" s="850"/>
      <c r="W58" s="850"/>
      <c r="X58" s="850"/>
      <c r="Y58" s="850"/>
      <c r="Z58" s="850"/>
      <c r="AA58" s="850"/>
      <c r="AB58" s="850"/>
      <c r="AC58" s="850"/>
      <c r="AD58" s="850"/>
      <c r="AE58" s="850"/>
      <c r="AF58" s="850"/>
    </row>
    <row r="59" spans="1:32" ht="16.5" thickBot="1" x14ac:dyDescent="0.3">
      <c r="A59" s="901" t="s">
        <v>27</v>
      </c>
      <c r="B59" s="865"/>
      <c r="D59" s="865"/>
      <c r="E59" s="902">
        <f>SUBTOTAL(109,E20:E58)</f>
        <v>71912000</v>
      </c>
      <c r="F59" s="908"/>
      <c r="G59" s="865"/>
      <c r="H59" s="865"/>
      <c r="I59" s="904">
        <f>SUBTOTAL(109,I20:I58)</f>
        <v>26347930.669999998</v>
      </c>
      <c r="J59" s="886"/>
      <c r="K59" s="905">
        <f>SUM(K16:K58)</f>
        <v>0</v>
      </c>
      <c r="L59" s="880"/>
      <c r="M59" s="904">
        <f>SUBTOTAL(109,M20:M58)</f>
        <v>98259930.670000002</v>
      </c>
      <c r="N59" s="880"/>
      <c r="O59" s="904">
        <f>SUBTOTAL(109,O20:O58)</f>
        <v>98259930.670000002</v>
      </c>
      <c r="P59" s="886"/>
      <c r="Q59" s="886"/>
      <c r="R59" s="886"/>
      <c r="S59" s="882"/>
      <c r="T59" s="886"/>
      <c r="U59" s="850"/>
      <c r="V59" s="848"/>
      <c r="W59" s="906"/>
      <c r="X59" s="850"/>
      <c r="Y59" s="850"/>
      <c r="Z59" s="850"/>
      <c r="AA59" s="850"/>
      <c r="AB59" s="850"/>
      <c r="AC59" s="850"/>
      <c r="AD59" s="850"/>
      <c r="AE59" s="850"/>
      <c r="AF59" s="850"/>
    </row>
    <row r="60" spans="1:32" ht="16.5" thickTop="1" x14ac:dyDescent="0.25">
      <c r="A60" s="907"/>
      <c r="B60" s="865"/>
      <c r="D60" s="865"/>
      <c r="E60" s="908"/>
      <c r="F60" s="908"/>
      <c r="G60" s="865"/>
      <c r="H60" s="865"/>
      <c r="I60" s="886"/>
      <c r="J60" s="886"/>
      <c r="K60" s="886"/>
      <c r="L60" s="880"/>
      <c r="M60" s="909" t="s">
        <v>332</v>
      </c>
      <c r="N60" s="880"/>
      <c r="O60" s="886"/>
      <c r="P60" s="886"/>
      <c r="Q60" s="886"/>
      <c r="R60" s="886"/>
      <c r="S60" s="882"/>
      <c r="T60" s="886"/>
      <c r="U60" s="850"/>
      <c r="V60" s="848"/>
      <c r="W60" s="906"/>
      <c r="X60" s="850"/>
      <c r="Y60" s="850"/>
      <c r="Z60" s="850"/>
      <c r="AA60" s="850"/>
      <c r="AB60" s="850"/>
      <c r="AC60" s="850"/>
      <c r="AD60" s="850"/>
      <c r="AE60" s="850"/>
      <c r="AF60" s="850"/>
    </row>
    <row r="61" spans="1:32" s="850" customFormat="1" x14ac:dyDescent="0.25">
      <c r="A61" s="937"/>
      <c r="B61" s="938"/>
      <c r="C61" s="938"/>
      <c r="D61" s="938"/>
      <c r="E61" s="938"/>
      <c r="F61" s="938"/>
      <c r="G61" s="938"/>
      <c r="H61" s="938"/>
      <c r="I61" s="938"/>
      <c r="J61" s="938"/>
      <c r="K61" s="938"/>
      <c r="L61" s="938"/>
      <c r="M61" s="938"/>
      <c r="N61" s="938"/>
      <c r="O61" s="938"/>
      <c r="P61" s="913"/>
      <c r="Q61" s="913"/>
      <c r="R61" s="913"/>
      <c r="S61" s="848"/>
      <c r="T61" s="848"/>
      <c r="U61" s="848"/>
    </row>
    <row r="62" spans="1:32" s="850" customFormat="1" x14ac:dyDescent="0.25">
      <c r="A62" s="1471"/>
      <c r="B62" s="1471"/>
      <c r="C62" s="1471"/>
      <c r="D62" s="1471"/>
      <c r="E62" s="1471"/>
      <c r="F62" s="1471"/>
      <c r="G62" s="1471"/>
      <c r="H62" s="1471"/>
      <c r="I62" s="1471"/>
      <c r="J62" s="1471"/>
      <c r="K62" s="1471"/>
      <c r="L62" s="1471"/>
      <c r="M62" s="1471"/>
      <c r="N62" s="1471"/>
      <c r="O62" s="1471"/>
      <c r="P62" s="913"/>
      <c r="Q62" s="913"/>
      <c r="R62" s="913"/>
      <c r="S62" s="848"/>
      <c r="T62" s="848"/>
      <c r="U62" s="848"/>
    </row>
    <row r="63" spans="1:32" x14ac:dyDescent="0.25">
      <c r="A63" s="1478"/>
      <c r="B63" s="1478"/>
      <c r="C63" s="1478"/>
      <c r="D63" s="1478"/>
      <c r="E63" s="1478"/>
      <c r="F63" s="1478"/>
      <c r="G63" s="1478"/>
      <c r="H63" s="1478"/>
      <c r="I63" s="1478"/>
      <c r="J63" s="1478"/>
      <c r="K63" s="1478"/>
      <c r="L63" s="1478"/>
      <c r="M63" s="1478"/>
      <c r="N63" s="1478"/>
      <c r="O63" s="1478"/>
      <c r="P63" s="873"/>
      <c r="Q63" s="873"/>
      <c r="R63" s="873"/>
      <c r="S63" s="850"/>
      <c r="T63" s="850"/>
      <c r="U63" s="850"/>
      <c r="V63" s="850"/>
      <c r="W63" s="850"/>
      <c r="X63" s="850"/>
      <c r="Y63" s="850"/>
      <c r="Z63" s="850"/>
      <c r="AA63" s="850"/>
    </row>
    <row r="64" spans="1:32" x14ac:dyDescent="0.25">
      <c r="A64" s="914"/>
      <c r="B64" s="873"/>
      <c r="C64" s="873"/>
      <c r="D64" s="873"/>
      <c r="E64" s="873"/>
      <c r="F64" s="873"/>
      <c r="G64" s="873"/>
      <c r="H64" s="873"/>
      <c r="I64" s="873"/>
      <c r="J64" s="873"/>
      <c r="K64" s="873"/>
      <c r="L64" s="873"/>
      <c r="M64" s="873"/>
      <c r="N64" s="873"/>
      <c r="O64" s="915"/>
      <c r="P64" s="915"/>
      <c r="Q64" s="915"/>
      <c r="R64" s="915"/>
      <c r="S64" s="850"/>
      <c r="T64" s="850"/>
      <c r="U64" s="850"/>
      <c r="V64" s="850"/>
      <c r="W64" s="850"/>
      <c r="X64" s="850"/>
      <c r="Y64" s="850"/>
      <c r="Z64" s="850"/>
      <c r="AA64" s="850"/>
    </row>
    <row r="65" spans="1:27" x14ac:dyDescent="0.25">
      <c r="A65" s="871"/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3"/>
      <c r="Q65" s="873"/>
      <c r="R65" s="873"/>
      <c r="S65" s="850"/>
      <c r="T65" s="850"/>
      <c r="U65" s="850"/>
      <c r="V65" s="850"/>
      <c r="W65" s="850"/>
      <c r="X65" s="850"/>
      <c r="Y65" s="850"/>
      <c r="Z65" s="850"/>
      <c r="AA65" s="850"/>
    </row>
    <row r="66" spans="1:27" x14ac:dyDescent="0.25">
      <c r="A66" s="1475"/>
      <c r="B66" s="1475"/>
      <c r="C66" s="1475"/>
      <c r="D66" s="1475"/>
      <c r="E66" s="1475"/>
      <c r="F66" s="1475"/>
      <c r="G66" s="1475"/>
      <c r="H66" s="1475"/>
      <c r="I66" s="1475"/>
      <c r="J66" s="1475"/>
      <c r="K66" s="1475"/>
      <c r="L66" s="1475"/>
      <c r="M66" s="1475"/>
      <c r="N66" s="1475"/>
      <c r="O66" s="1475"/>
      <c r="P66" s="873"/>
      <c r="Q66" s="873"/>
      <c r="R66" s="873"/>
      <c r="S66" s="850"/>
      <c r="T66" s="850"/>
      <c r="U66" s="850"/>
      <c r="V66" s="850"/>
      <c r="W66" s="850"/>
      <c r="X66" s="850"/>
      <c r="Y66" s="850"/>
      <c r="Z66" s="850"/>
      <c r="AA66" s="850"/>
    </row>
    <row r="67" spans="1:27" x14ac:dyDescent="0.25">
      <c r="A67" s="1475"/>
      <c r="B67" s="1475"/>
      <c r="C67" s="1475"/>
      <c r="D67" s="1475"/>
      <c r="E67" s="1475"/>
      <c r="F67" s="1475"/>
      <c r="G67" s="1475"/>
      <c r="H67" s="1475"/>
      <c r="I67" s="1475"/>
      <c r="J67" s="1475"/>
      <c r="K67" s="1475"/>
      <c r="L67" s="1475"/>
      <c r="M67" s="1475"/>
      <c r="N67" s="1475"/>
      <c r="O67" s="1475"/>
      <c r="P67" s="873"/>
      <c r="Q67" s="873"/>
      <c r="R67" s="873"/>
      <c r="S67" s="850"/>
      <c r="T67" s="850"/>
      <c r="U67" s="850"/>
      <c r="V67" s="850"/>
      <c r="W67" s="850"/>
      <c r="X67" s="850"/>
      <c r="Y67" s="850"/>
      <c r="Z67" s="850"/>
      <c r="AA67" s="850"/>
    </row>
    <row r="68" spans="1:27" x14ac:dyDescent="0.25">
      <c r="A68" s="1475" t="str">
        <f>INFO!A26</f>
        <v>(See Accountants' Report)</v>
      </c>
      <c r="B68" s="1475"/>
      <c r="C68" s="1475"/>
      <c r="D68" s="1475"/>
      <c r="E68" s="1475"/>
      <c r="F68" s="1475"/>
      <c r="G68" s="1475"/>
      <c r="H68" s="1475"/>
      <c r="I68" s="1475"/>
      <c r="J68" s="1475"/>
      <c r="K68" s="1475"/>
      <c r="L68" s="1475"/>
      <c r="M68" s="1475"/>
      <c r="N68" s="1475"/>
      <c r="O68" s="1475"/>
      <c r="P68" s="873"/>
      <c r="Q68" s="873"/>
      <c r="R68" s="873"/>
      <c r="S68" s="850"/>
      <c r="T68" s="850"/>
      <c r="U68" s="850"/>
      <c r="V68" s="850"/>
      <c r="W68" s="850"/>
      <c r="X68" s="850"/>
      <c r="Y68" s="850"/>
      <c r="Z68" s="850"/>
      <c r="AA68" s="850"/>
    </row>
    <row r="69" spans="1:27" x14ac:dyDescent="0.25">
      <c r="A69" s="871"/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3"/>
      <c r="Q69" s="873"/>
      <c r="R69" s="873"/>
      <c r="S69" s="850"/>
      <c r="T69" s="850"/>
      <c r="U69" s="850"/>
      <c r="V69" s="850"/>
      <c r="W69" s="850"/>
      <c r="X69" s="850"/>
      <c r="Y69" s="850"/>
      <c r="Z69" s="850"/>
      <c r="AA69" s="850"/>
    </row>
    <row r="70" spans="1:27" x14ac:dyDescent="0.25">
      <c r="A70" s="1477">
        <v>44</v>
      </c>
      <c r="B70" s="1477"/>
      <c r="C70" s="1477"/>
      <c r="D70" s="1477"/>
      <c r="E70" s="1477"/>
      <c r="F70" s="1477"/>
      <c r="G70" s="1477"/>
      <c r="H70" s="1477"/>
      <c r="I70" s="1477"/>
      <c r="J70" s="1477"/>
      <c r="K70" s="1477"/>
      <c r="L70" s="1477"/>
      <c r="M70" s="1477"/>
      <c r="N70" s="1477"/>
      <c r="O70" s="1477"/>
      <c r="P70" s="873"/>
      <c r="Q70" s="1197"/>
      <c r="R70" s="873"/>
      <c r="S70" s="850"/>
      <c r="T70" s="850"/>
      <c r="U70" s="850"/>
      <c r="V70" s="850"/>
      <c r="W70" s="850"/>
      <c r="X70" s="850"/>
      <c r="Y70" s="850"/>
      <c r="Z70" s="850"/>
      <c r="AA70" s="850"/>
    </row>
    <row r="71" spans="1:27" x14ac:dyDescent="0.25">
      <c r="A71" s="914"/>
      <c r="B71" s="873"/>
      <c r="C71" s="873"/>
      <c r="D71" s="873"/>
      <c r="E71" s="873"/>
      <c r="F71" s="873"/>
      <c r="G71" s="873"/>
      <c r="H71" s="873"/>
      <c r="I71" s="873"/>
      <c r="J71" s="873"/>
      <c r="K71" s="873"/>
      <c r="L71" s="873"/>
      <c r="M71" s="873"/>
      <c r="N71" s="873"/>
      <c r="O71" s="873"/>
      <c r="P71" s="873"/>
      <c r="Q71" s="873"/>
      <c r="R71" s="873"/>
      <c r="S71" s="850"/>
      <c r="T71" s="850"/>
      <c r="U71" s="850"/>
      <c r="V71" s="850"/>
      <c r="W71" s="850"/>
      <c r="X71" s="850"/>
      <c r="Y71" s="850"/>
      <c r="Z71" s="850"/>
      <c r="AA71" s="850"/>
    </row>
    <row r="72" spans="1:27" x14ac:dyDescent="0.25">
      <c r="A72" s="914"/>
      <c r="B72" s="873"/>
      <c r="C72" s="873"/>
      <c r="D72" s="873"/>
      <c r="E72" s="873"/>
      <c r="F72" s="873"/>
      <c r="G72" s="873"/>
      <c r="H72" s="871"/>
      <c r="I72" s="871"/>
      <c r="J72" s="871"/>
      <c r="K72" s="871"/>
      <c r="L72" s="871"/>
      <c r="M72" s="871"/>
      <c r="N72" s="871"/>
      <c r="O72" s="871"/>
      <c r="P72" s="871"/>
      <c r="Q72" s="871"/>
      <c r="R72" s="871"/>
      <c r="S72" s="850"/>
      <c r="T72" s="850"/>
      <c r="U72" s="850"/>
      <c r="V72" s="850"/>
      <c r="W72" s="850"/>
      <c r="X72" s="850"/>
      <c r="Y72" s="850"/>
      <c r="Z72" s="850"/>
      <c r="AA72" s="850"/>
    </row>
    <row r="73" spans="1:27" x14ac:dyDescent="0.25">
      <c r="A73" s="866"/>
      <c r="B73" s="872"/>
      <c r="C73" s="866"/>
      <c r="D73" s="872"/>
      <c r="E73" s="872"/>
      <c r="F73" s="872"/>
      <c r="G73" s="866"/>
      <c r="H73" s="872"/>
      <c r="I73" s="860"/>
      <c r="J73" s="860"/>
      <c r="K73" s="860"/>
      <c r="L73" s="860"/>
      <c r="M73" s="860"/>
      <c r="N73" s="872"/>
      <c r="O73" s="866"/>
      <c r="P73" s="866"/>
      <c r="Q73" s="866"/>
      <c r="R73" s="866"/>
      <c r="S73" s="850"/>
      <c r="T73" s="850"/>
      <c r="U73" s="850"/>
      <c r="V73" s="850"/>
      <c r="W73" s="850"/>
      <c r="X73" s="850"/>
      <c r="Y73" s="850"/>
      <c r="Z73" s="850"/>
      <c r="AA73" s="850"/>
    </row>
    <row r="74" spans="1:27" x14ac:dyDescent="0.25">
      <c r="A74" s="866"/>
      <c r="B74" s="872"/>
      <c r="C74" s="866"/>
      <c r="D74" s="872"/>
      <c r="E74" s="866"/>
      <c r="F74" s="866"/>
      <c r="G74" s="866"/>
      <c r="H74" s="872"/>
      <c r="I74" s="866"/>
      <c r="J74" s="866"/>
      <c r="K74" s="866"/>
      <c r="L74" s="917"/>
      <c r="M74" s="866"/>
      <c r="N74" s="872"/>
      <c r="O74" s="866"/>
      <c r="P74" s="866"/>
      <c r="Q74" s="866"/>
      <c r="R74" s="866"/>
      <c r="S74" s="850"/>
      <c r="T74" s="850"/>
      <c r="U74" s="850"/>
      <c r="V74" s="850"/>
      <c r="W74" s="850"/>
      <c r="X74" s="850"/>
      <c r="Y74" s="850"/>
      <c r="Z74" s="850"/>
      <c r="AA74" s="850"/>
    </row>
    <row r="75" spans="1:27" x14ac:dyDescent="0.25">
      <c r="A75" s="872"/>
      <c r="B75" s="872"/>
      <c r="C75" s="873"/>
      <c r="D75" s="873"/>
      <c r="E75" s="873"/>
      <c r="F75" s="873"/>
      <c r="G75" s="866"/>
      <c r="H75" s="873"/>
      <c r="I75" s="1475"/>
      <c r="J75" s="1475"/>
      <c r="K75" s="1475"/>
      <c r="L75" s="1475"/>
      <c r="M75" s="1475"/>
      <c r="N75" s="1475"/>
      <c r="O75" s="1475"/>
      <c r="P75" s="873"/>
      <c r="Q75" s="873"/>
      <c r="R75" s="873"/>
      <c r="S75" s="850"/>
      <c r="T75" s="850"/>
      <c r="U75" s="850"/>
      <c r="V75" s="850"/>
      <c r="W75" s="850"/>
      <c r="X75" s="850"/>
      <c r="Y75" s="850"/>
      <c r="Z75" s="850"/>
      <c r="AA75" s="850"/>
    </row>
    <row r="76" spans="1:27" x14ac:dyDescent="0.25">
      <c r="A76" s="918"/>
      <c r="B76" s="860"/>
      <c r="C76" s="860"/>
      <c r="D76" s="860"/>
      <c r="E76" s="860"/>
      <c r="F76" s="860"/>
      <c r="G76" s="860"/>
      <c r="H76" s="860"/>
      <c r="I76" s="860"/>
      <c r="J76" s="860"/>
      <c r="K76" s="860"/>
      <c r="L76" s="860"/>
      <c r="M76" s="860"/>
      <c r="N76" s="860"/>
      <c r="O76" s="860"/>
      <c r="P76" s="860"/>
      <c r="Q76" s="860"/>
      <c r="R76" s="860"/>
      <c r="S76" s="850"/>
      <c r="T76" s="850"/>
      <c r="U76" s="850"/>
      <c r="V76" s="850"/>
      <c r="W76" s="850"/>
      <c r="X76" s="850"/>
      <c r="Y76" s="850"/>
      <c r="Z76" s="850"/>
      <c r="AA76" s="850"/>
    </row>
    <row r="77" spans="1:27" x14ac:dyDescent="0.25">
      <c r="A77" s="919"/>
      <c r="B77" s="860"/>
      <c r="C77" s="860"/>
      <c r="D77" s="860"/>
      <c r="E77" s="920"/>
      <c r="F77" s="860"/>
      <c r="G77" s="860"/>
      <c r="H77" s="860"/>
      <c r="I77" s="886"/>
      <c r="J77" s="886"/>
      <c r="K77" s="886"/>
      <c r="L77" s="886"/>
      <c r="M77" s="886"/>
      <c r="N77" s="886"/>
      <c r="O77" s="886"/>
      <c r="P77" s="886"/>
      <c r="Q77" s="886"/>
      <c r="R77" s="886"/>
      <c r="S77" s="850"/>
      <c r="T77" s="850"/>
      <c r="U77" s="850"/>
      <c r="V77" s="850"/>
      <c r="W77" s="850"/>
      <c r="X77" s="850"/>
      <c r="Y77" s="850"/>
      <c r="Z77" s="850"/>
      <c r="AA77" s="850"/>
    </row>
    <row r="78" spans="1:27" x14ac:dyDescent="0.25">
      <c r="A78" s="850"/>
      <c r="B78" s="860"/>
      <c r="C78" s="860"/>
      <c r="D78" s="860"/>
      <c r="E78" s="860"/>
      <c r="F78" s="860"/>
      <c r="G78" s="860"/>
      <c r="H78" s="860"/>
      <c r="I78" s="860"/>
      <c r="J78" s="860"/>
      <c r="K78" s="860"/>
      <c r="L78" s="860"/>
      <c r="M78" s="860"/>
      <c r="N78" s="860"/>
      <c r="O78" s="860"/>
      <c r="P78" s="860"/>
      <c r="Q78" s="860"/>
      <c r="R78" s="860"/>
      <c r="S78" s="850"/>
      <c r="T78" s="850"/>
      <c r="U78" s="850"/>
      <c r="V78" s="850"/>
      <c r="W78" s="850"/>
      <c r="X78" s="850"/>
      <c r="Y78" s="850"/>
      <c r="Z78" s="850"/>
      <c r="AA78" s="850"/>
    </row>
    <row r="79" spans="1:27" x14ac:dyDescent="0.25">
      <c r="A79" s="921"/>
      <c r="B79" s="860"/>
      <c r="C79" s="920"/>
      <c r="D79" s="860"/>
      <c r="E79" s="889"/>
      <c r="F79" s="889"/>
      <c r="G79" s="922"/>
      <c r="H79" s="87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50"/>
      <c r="T79" s="850"/>
      <c r="U79" s="850"/>
      <c r="V79" s="1476"/>
      <c r="W79" s="1476"/>
      <c r="X79" s="850"/>
      <c r="Y79" s="850"/>
      <c r="Z79" s="850"/>
      <c r="AA79" s="850"/>
    </row>
    <row r="80" spans="1:27" x14ac:dyDescent="0.25">
      <c r="A80" s="921"/>
      <c r="B80" s="860"/>
      <c r="C80" s="889"/>
      <c r="D80" s="860"/>
      <c r="E80" s="889"/>
      <c r="F80" s="889"/>
      <c r="G80" s="922"/>
      <c r="H80" s="872"/>
      <c r="I80" s="882"/>
      <c r="J80" s="882"/>
      <c r="K80" s="882"/>
      <c r="L80" s="882"/>
      <c r="M80" s="882"/>
      <c r="N80" s="882"/>
      <c r="O80" s="882"/>
      <c r="P80" s="882"/>
      <c r="Q80" s="882"/>
      <c r="R80" s="882"/>
      <c r="S80" s="850"/>
      <c r="T80" s="850"/>
      <c r="U80" s="850"/>
      <c r="V80" s="923"/>
      <c r="W80" s="890"/>
      <c r="X80" s="850"/>
      <c r="Y80" s="850"/>
      <c r="Z80" s="850"/>
      <c r="AA80" s="850"/>
    </row>
    <row r="81" spans="1:27" x14ac:dyDescent="0.25">
      <c r="A81" s="921"/>
      <c r="B81" s="860"/>
      <c r="C81" s="889"/>
      <c r="D81" s="860"/>
      <c r="E81" s="889"/>
      <c r="F81" s="889"/>
      <c r="G81" s="922"/>
      <c r="H81" s="872"/>
      <c r="I81" s="882"/>
      <c r="J81" s="882"/>
      <c r="K81" s="882"/>
      <c r="L81" s="882"/>
      <c r="M81" s="882"/>
      <c r="N81" s="882"/>
      <c r="O81" s="882"/>
      <c r="P81" s="882"/>
      <c r="Q81" s="882"/>
      <c r="R81" s="882"/>
      <c r="S81" s="850"/>
      <c r="T81" s="850"/>
      <c r="U81" s="850"/>
      <c r="V81" s="924"/>
      <c r="W81" s="890"/>
      <c r="X81" s="850"/>
      <c r="Y81" s="850"/>
      <c r="Z81" s="850"/>
      <c r="AA81" s="850"/>
    </row>
    <row r="82" spans="1:27" x14ac:dyDescent="0.25">
      <c r="A82" s="921"/>
      <c r="B82" s="860"/>
      <c r="C82" s="889"/>
      <c r="D82" s="860"/>
      <c r="E82" s="889"/>
      <c r="F82" s="889"/>
      <c r="G82" s="922"/>
      <c r="H82" s="872"/>
      <c r="I82" s="882"/>
      <c r="J82" s="882"/>
      <c r="K82" s="882"/>
      <c r="L82" s="882"/>
      <c r="M82" s="882"/>
      <c r="N82" s="882"/>
      <c r="O82" s="882"/>
      <c r="P82" s="882"/>
      <c r="Q82" s="882"/>
      <c r="R82" s="882"/>
      <c r="S82" s="850"/>
      <c r="T82" s="850"/>
      <c r="U82" s="850"/>
      <c r="V82" s="889"/>
      <c r="W82" s="890"/>
      <c r="X82" s="850"/>
      <c r="Y82" s="850"/>
      <c r="Z82" s="850"/>
      <c r="AA82" s="850"/>
    </row>
    <row r="83" spans="1:27" x14ac:dyDescent="0.25">
      <c r="A83" s="921"/>
      <c r="B83" s="860"/>
      <c r="C83" s="889"/>
      <c r="D83" s="860"/>
      <c r="E83" s="889"/>
      <c r="F83" s="889"/>
      <c r="G83" s="922"/>
      <c r="H83" s="872"/>
      <c r="I83" s="882"/>
      <c r="J83" s="882"/>
      <c r="K83" s="882"/>
      <c r="L83" s="882"/>
      <c r="M83" s="882"/>
      <c r="N83" s="882"/>
      <c r="O83" s="882"/>
      <c r="P83" s="882"/>
      <c r="Q83" s="882"/>
      <c r="R83" s="882"/>
      <c r="S83" s="850"/>
      <c r="T83" s="850"/>
      <c r="U83" s="850"/>
      <c r="V83" s="889"/>
      <c r="W83" s="890"/>
      <c r="X83" s="850"/>
      <c r="Y83" s="850"/>
      <c r="Z83" s="850"/>
      <c r="AA83" s="850"/>
    </row>
    <row r="84" spans="1:27" x14ac:dyDescent="0.25">
      <c r="A84" s="921"/>
      <c r="B84" s="860"/>
      <c r="C84" s="889"/>
      <c r="D84" s="860"/>
      <c r="E84" s="889"/>
      <c r="F84" s="889"/>
      <c r="G84" s="922"/>
      <c r="H84" s="872"/>
      <c r="I84" s="882"/>
      <c r="J84" s="882"/>
      <c r="K84" s="882"/>
      <c r="L84" s="882"/>
      <c r="M84" s="882"/>
      <c r="N84" s="882"/>
      <c r="O84" s="882"/>
      <c r="P84" s="882"/>
      <c r="Q84" s="882"/>
      <c r="R84" s="882"/>
      <c r="S84" s="850"/>
      <c r="T84" s="850"/>
      <c r="U84" s="850"/>
      <c r="V84" s="889"/>
      <c r="W84" s="890"/>
      <c r="X84" s="850"/>
      <c r="Y84" s="850"/>
      <c r="Z84" s="850"/>
      <c r="AA84" s="850"/>
    </row>
    <row r="85" spans="1:27" x14ac:dyDescent="0.25">
      <c r="A85" s="921"/>
      <c r="B85" s="860"/>
      <c r="C85" s="889"/>
      <c r="D85" s="860"/>
      <c r="E85" s="889"/>
      <c r="F85" s="889"/>
      <c r="G85" s="922"/>
      <c r="H85" s="872"/>
      <c r="I85" s="882"/>
      <c r="J85" s="882"/>
      <c r="K85" s="882"/>
      <c r="L85" s="882"/>
      <c r="M85" s="882"/>
      <c r="N85" s="882"/>
      <c r="O85" s="882"/>
      <c r="P85" s="882"/>
      <c r="Q85" s="882"/>
      <c r="R85" s="882"/>
      <c r="S85" s="850"/>
      <c r="T85" s="850"/>
      <c r="U85" s="850"/>
      <c r="V85" s="889"/>
      <c r="W85" s="890"/>
      <c r="X85" s="850"/>
      <c r="Y85" s="850"/>
      <c r="Z85" s="850"/>
      <c r="AA85" s="850"/>
    </row>
    <row r="86" spans="1:27" x14ac:dyDescent="0.25">
      <c r="A86" s="921"/>
      <c r="B86" s="860"/>
      <c r="C86" s="889"/>
      <c r="D86" s="860"/>
      <c r="E86" s="889"/>
      <c r="F86" s="889"/>
      <c r="G86" s="922"/>
      <c r="H86" s="872"/>
      <c r="I86" s="882"/>
      <c r="J86" s="882"/>
      <c r="K86" s="882"/>
      <c r="L86" s="882"/>
      <c r="M86" s="882"/>
      <c r="N86" s="882"/>
      <c r="O86" s="882"/>
      <c r="P86" s="882"/>
      <c r="Q86" s="882"/>
      <c r="R86" s="882"/>
      <c r="S86" s="850"/>
      <c r="T86" s="850"/>
      <c r="U86" s="850"/>
      <c r="V86" s="889"/>
      <c r="W86" s="890"/>
      <c r="X86" s="850"/>
      <c r="Y86" s="850"/>
      <c r="Z86" s="850"/>
      <c r="AA86" s="850"/>
    </row>
    <row r="87" spans="1:27" x14ac:dyDescent="0.25">
      <c r="A87" s="921"/>
      <c r="B87" s="860"/>
      <c r="C87" s="889"/>
      <c r="D87" s="860"/>
      <c r="E87" s="889"/>
      <c r="F87" s="889"/>
      <c r="G87" s="922"/>
      <c r="H87" s="872"/>
      <c r="I87" s="882"/>
      <c r="J87" s="882"/>
      <c r="K87" s="882"/>
      <c r="L87" s="882"/>
      <c r="M87" s="882"/>
      <c r="N87" s="882"/>
      <c r="O87" s="882"/>
      <c r="P87" s="882"/>
      <c r="Q87" s="882"/>
      <c r="R87" s="882"/>
      <c r="S87" s="850"/>
      <c r="T87" s="850"/>
      <c r="U87" s="850"/>
      <c r="V87" s="889"/>
      <c r="W87" s="890"/>
      <c r="X87" s="850"/>
      <c r="Y87" s="850"/>
      <c r="Z87" s="850"/>
      <c r="AA87" s="850"/>
    </row>
    <row r="88" spans="1:27" x14ac:dyDescent="0.25">
      <c r="A88" s="921"/>
      <c r="B88" s="860"/>
      <c r="C88" s="889"/>
      <c r="D88" s="860"/>
      <c r="E88" s="889"/>
      <c r="F88" s="889"/>
      <c r="G88" s="922"/>
      <c r="H88" s="872"/>
      <c r="I88" s="882"/>
      <c r="J88" s="882"/>
      <c r="K88" s="882"/>
      <c r="L88" s="882"/>
      <c r="M88" s="882"/>
      <c r="N88" s="882"/>
      <c r="O88" s="882"/>
      <c r="P88" s="882"/>
      <c r="Q88" s="882"/>
      <c r="R88" s="882"/>
      <c r="S88" s="850"/>
      <c r="T88" s="850"/>
      <c r="U88" s="850"/>
      <c r="V88" s="889"/>
      <c r="W88" s="890"/>
      <c r="X88" s="850"/>
      <c r="Y88" s="850"/>
      <c r="Z88" s="850"/>
      <c r="AA88" s="850"/>
    </row>
    <row r="89" spans="1:27" x14ac:dyDescent="0.25">
      <c r="A89" s="921"/>
      <c r="B89" s="860"/>
      <c r="C89" s="889"/>
      <c r="D89" s="860"/>
      <c r="E89" s="889"/>
      <c r="F89" s="889"/>
      <c r="G89" s="922"/>
      <c r="H89" s="872"/>
      <c r="I89" s="882"/>
      <c r="J89" s="882"/>
      <c r="K89" s="882"/>
      <c r="L89" s="882"/>
      <c r="M89" s="882"/>
      <c r="N89" s="882"/>
      <c r="O89" s="882"/>
      <c r="P89" s="882"/>
      <c r="Q89" s="882"/>
      <c r="R89" s="882"/>
      <c r="S89" s="850"/>
      <c r="T89" s="850"/>
      <c r="U89" s="850"/>
      <c r="V89" s="889"/>
      <c r="W89" s="890"/>
      <c r="X89" s="850"/>
      <c r="Y89" s="850"/>
      <c r="Z89" s="850"/>
      <c r="AA89" s="850"/>
    </row>
    <row r="90" spans="1:27" x14ac:dyDescent="0.25">
      <c r="A90" s="921"/>
      <c r="B90" s="860"/>
      <c r="C90" s="889"/>
      <c r="D90" s="860"/>
      <c r="E90" s="889"/>
      <c r="F90" s="889"/>
      <c r="G90" s="922"/>
      <c r="H90" s="872"/>
      <c r="I90" s="882"/>
      <c r="J90" s="882"/>
      <c r="K90" s="882"/>
      <c r="L90" s="882"/>
      <c r="M90" s="882"/>
      <c r="N90" s="882"/>
      <c r="O90" s="882"/>
      <c r="P90" s="882"/>
      <c r="Q90" s="882"/>
      <c r="R90" s="882"/>
      <c r="S90" s="850"/>
      <c r="T90" s="850"/>
      <c r="U90" s="850"/>
      <c r="V90" s="889"/>
      <c r="W90" s="890"/>
      <c r="X90" s="850"/>
      <c r="Y90" s="850"/>
      <c r="Z90" s="850"/>
      <c r="AA90" s="850"/>
    </row>
    <row r="91" spans="1:27" x14ac:dyDescent="0.25">
      <c r="A91" s="921"/>
      <c r="B91" s="860"/>
      <c r="C91" s="889"/>
      <c r="D91" s="860"/>
      <c r="E91" s="889"/>
      <c r="F91" s="889"/>
      <c r="G91" s="922"/>
      <c r="H91" s="872"/>
      <c r="I91" s="882"/>
      <c r="J91" s="882"/>
      <c r="K91" s="882"/>
      <c r="L91" s="882"/>
      <c r="M91" s="882"/>
      <c r="N91" s="882"/>
      <c r="O91" s="882"/>
      <c r="P91" s="882"/>
      <c r="Q91" s="882"/>
      <c r="R91" s="882"/>
      <c r="S91" s="850"/>
      <c r="T91" s="850"/>
      <c r="U91" s="850"/>
      <c r="V91" s="889"/>
      <c r="W91" s="890"/>
      <c r="X91" s="850"/>
      <c r="Y91" s="850"/>
      <c r="Z91" s="850"/>
      <c r="AA91" s="850"/>
    </row>
    <row r="92" spans="1:27" x14ac:dyDescent="0.25">
      <c r="A92" s="921"/>
      <c r="B92" s="860"/>
      <c r="C92" s="889"/>
      <c r="D92" s="860"/>
      <c r="E92" s="889"/>
      <c r="F92" s="889"/>
      <c r="G92" s="922"/>
      <c r="H92" s="87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50"/>
      <c r="T92" s="850"/>
      <c r="U92" s="850"/>
      <c r="V92" s="889"/>
      <c r="W92" s="890"/>
      <c r="X92" s="850"/>
      <c r="Y92" s="850"/>
      <c r="Z92" s="850"/>
      <c r="AA92" s="850"/>
    </row>
    <row r="93" spans="1:27" x14ac:dyDescent="0.25">
      <c r="A93" s="921"/>
      <c r="B93" s="860"/>
      <c r="C93" s="889"/>
      <c r="D93" s="860"/>
      <c r="E93" s="889"/>
      <c r="F93" s="889"/>
      <c r="G93" s="922"/>
      <c r="H93" s="872"/>
      <c r="I93" s="882"/>
      <c r="J93" s="882"/>
      <c r="K93" s="882"/>
      <c r="L93" s="882"/>
      <c r="M93" s="882"/>
      <c r="N93" s="882"/>
      <c r="O93" s="882"/>
      <c r="P93" s="882"/>
      <c r="Q93" s="882"/>
      <c r="R93" s="882"/>
      <c r="S93" s="850"/>
      <c r="T93" s="850"/>
      <c r="U93" s="850"/>
      <c r="V93" s="889"/>
      <c r="W93" s="890"/>
      <c r="X93" s="850"/>
      <c r="Y93" s="850"/>
      <c r="Z93" s="850"/>
      <c r="AA93" s="850"/>
    </row>
    <row r="94" spans="1:27" x14ac:dyDescent="0.25">
      <c r="A94" s="921"/>
      <c r="B94" s="860"/>
      <c r="C94" s="889"/>
      <c r="D94" s="860"/>
      <c r="E94" s="889"/>
      <c r="F94" s="889"/>
      <c r="G94" s="922"/>
      <c r="H94" s="872"/>
      <c r="I94" s="882"/>
      <c r="J94" s="882"/>
      <c r="K94" s="882"/>
      <c r="L94" s="882"/>
      <c r="M94" s="882"/>
      <c r="N94" s="882"/>
      <c r="O94" s="882"/>
      <c r="P94" s="882"/>
      <c r="Q94" s="882"/>
      <c r="R94" s="882"/>
      <c r="S94" s="850"/>
      <c r="T94" s="850"/>
      <c r="U94" s="850"/>
      <c r="V94" s="889"/>
      <c r="W94" s="890"/>
      <c r="X94" s="850"/>
      <c r="Y94" s="850"/>
      <c r="Z94" s="850"/>
      <c r="AA94" s="850"/>
    </row>
    <row r="95" spans="1:27" x14ac:dyDescent="0.25">
      <c r="A95" s="921"/>
      <c r="B95" s="860"/>
      <c r="C95" s="889"/>
      <c r="D95" s="860"/>
      <c r="E95" s="889"/>
      <c r="F95" s="889"/>
      <c r="G95" s="922"/>
      <c r="H95" s="872"/>
      <c r="I95" s="882"/>
      <c r="J95" s="882"/>
      <c r="K95" s="882"/>
      <c r="L95" s="882"/>
      <c r="M95" s="882"/>
      <c r="N95" s="882"/>
      <c r="O95" s="882"/>
      <c r="P95" s="882"/>
      <c r="Q95" s="882"/>
      <c r="R95" s="882"/>
      <c r="S95" s="850"/>
      <c r="T95" s="850"/>
      <c r="U95" s="850"/>
      <c r="V95" s="889"/>
      <c r="W95" s="890"/>
      <c r="X95" s="850"/>
      <c r="Y95" s="850"/>
      <c r="Z95" s="850"/>
      <c r="AA95" s="850"/>
    </row>
    <row r="96" spans="1:27" x14ac:dyDescent="0.25">
      <c r="A96" s="921"/>
      <c r="B96" s="860"/>
      <c r="C96" s="889"/>
      <c r="D96" s="860"/>
      <c r="E96" s="889"/>
      <c r="F96" s="889"/>
      <c r="G96" s="922"/>
      <c r="H96" s="872"/>
      <c r="I96" s="882"/>
      <c r="J96" s="882"/>
      <c r="K96" s="882"/>
      <c r="L96" s="882"/>
      <c r="M96" s="882"/>
      <c r="N96" s="882"/>
      <c r="O96" s="882"/>
      <c r="P96" s="882"/>
      <c r="Q96" s="882"/>
      <c r="R96" s="882"/>
      <c r="S96" s="850"/>
      <c r="T96" s="850"/>
      <c r="U96" s="850"/>
      <c r="V96" s="889"/>
      <c r="W96" s="890"/>
      <c r="X96" s="850"/>
      <c r="Y96" s="850"/>
      <c r="Z96" s="850"/>
      <c r="AA96" s="850"/>
    </row>
    <row r="97" spans="1:27" x14ac:dyDescent="0.25">
      <c r="A97" s="921"/>
      <c r="B97" s="860"/>
      <c r="C97" s="889"/>
      <c r="D97" s="860"/>
      <c r="E97" s="889"/>
      <c r="F97" s="889"/>
      <c r="G97" s="922"/>
      <c r="H97" s="872"/>
      <c r="I97" s="882"/>
      <c r="J97" s="882"/>
      <c r="K97" s="882"/>
      <c r="L97" s="882"/>
      <c r="M97" s="882"/>
      <c r="N97" s="882"/>
      <c r="O97" s="882"/>
      <c r="P97" s="882"/>
      <c r="Q97" s="882"/>
      <c r="R97" s="882"/>
      <c r="S97" s="850"/>
      <c r="T97" s="850"/>
      <c r="U97" s="850"/>
      <c r="V97" s="889"/>
      <c r="W97" s="890"/>
      <c r="X97" s="850"/>
      <c r="Y97" s="850"/>
      <c r="Z97" s="850"/>
      <c r="AA97" s="850"/>
    </row>
    <row r="98" spans="1:27" x14ac:dyDescent="0.25">
      <c r="A98" s="921"/>
      <c r="B98" s="860"/>
      <c r="C98" s="889"/>
      <c r="D98" s="860"/>
      <c r="E98" s="889"/>
      <c r="F98" s="889"/>
      <c r="G98" s="922"/>
      <c r="H98" s="872"/>
      <c r="I98" s="882"/>
      <c r="J98" s="882"/>
      <c r="K98" s="882"/>
      <c r="L98" s="882"/>
      <c r="M98" s="882"/>
      <c r="N98" s="882"/>
      <c r="O98" s="882"/>
      <c r="P98" s="882"/>
      <c r="Q98" s="882"/>
      <c r="R98" s="882"/>
      <c r="S98" s="850"/>
      <c r="T98" s="850"/>
      <c r="U98" s="850"/>
      <c r="V98" s="889"/>
      <c r="W98" s="890"/>
      <c r="X98" s="850"/>
      <c r="Y98" s="850"/>
      <c r="Z98" s="850"/>
      <c r="AA98" s="850"/>
    </row>
    <row r="99" spans="1:27" x14ac:dyDescent="0.25">
      <c r="A99" s="921"/>
      <c r="B99" s="860"/>
      <c r="C99" s="889"/>
      <c r="D99" s="860"/>
      <c r="E99" s="889"/>
      <c r="F99" s="889"/>
      <c r="G99" s="922"/>
      <c r="H99" s="872"/>
      <c r="I99" s="882"/>
      <c r="J99" s="882"/>
      <c r="K99" s="882"/>
      <c r="L99" s="882"/>
      <c r="M99" s="882"/>
      <c r="N99" s="882"/>
      <c r="O99" s="882"/>
      <c r="P99" s="882"/>
      <c r="Q99" s="882"/>
      <c r="R99" s="882"/>
      <c r="S99" s="850"/>
      <c r="T99" s="850"/>
      <c r="U99" s="850"/>
      <c r="V99" s="889"/>
      <c r="W99" s="890"/>
      <c r="X99" s="850"/>
      <c r="Y99" s="850"/>
      <c r="Z99" s="850"/>
      <c r="AA99" s="850"/>
    </row>
    <row r="100" spans="1:27" x14ac:dyDescent="0.25">
      <c r="A100" s="921"/>
      <c r="B100" s="860"/>
      <c r="C100" s="889"/>
      <c r="D100" s="860"/>
      <c r="E100" s="889"/>
      <c r="F100" s="889"/>
      <c r="G100" s="922"/>
      <c r="H100" s="872"/>
      <c r="I100" s="882"/>
      <c r="J100" s="882"/>
      <c r="K100" s="882"/>
      <c r="L100" s="882"/>
      <c r="M100" s="882"/>
      <c r="N100" s="882"/>
      <c r="O100" s="882"/>
      <c r="P100" s="882"/>
      <c r="Q100" s="882"/>
      <c r="R100" s="882"/>
      <c r="S100" s="850"/>
      <c r="T100" s="850"/>
      <c r="U100" s="850"/>
      <c r="V100" s="889"/>
      <c r="W100" s="890"/>
      <c r="X100" s="850"/>
      <c r="Y100" s="850"/>
      <c r="Z100" s="850"/>
      <c r="AA100" s="850"/>
    </row>
    <row r="101" spans="1:27" x14ac:dyDescent="0.25">
      <c r="A101" s="921"/>
      <c r="B101" s="860"/>
      <c r="C101" s="889"/>
      <c r="D101" s="860"/>
      <c r="E101" s="889"/>
      <c r="F101" s="889"/>
      <c r="G101" s="922"/>
      <c r="H101" s="872"/>
      <c r="I101" s="882"/>
      <c r="J101" s="882"/>
      <c r="K101" s="882"/>
      <c r="L101" s="882"/>
      <c r="M101" s="882"/>
      <c r="N101" s="882"/>
      <c r="O101" s="882"/>
      <c r="P101" s="882"/>
      <c r="Q101" s="882"/>
      <c r="R101" s="882"/>
      <c r="S101" s="850"/>
      <c r="T101" s="850"/>
      <c r="U101" s="850"/>
      <c r="V101" s="889"/>
      <c r="W101" s="890"/>
      <c r="X101" s="850"/>
      <c r="Y101" s="850"/>
      <c r="Z101" s="850"/>
      <c r="AA101" s="850"/>
    </row>
    <row r="102" spans="1:27" x14ac:dyDescent="0.25">
      <c r="A102" s="921"/>
      <c r="B102" s="860"/>
      <c r="C102" s="889"/>
      <c r="D102" s="860"/>
      <c r="E102" s="889"/>
      <c r="F102" s="889"/>
      <c r="G102" s="922"/>
      <c r="H102" s="872"/>
      <c r="I102" s="882"/>
      <c r="J102" s="882"/>
      <c r="K102" s="882"/>
      <c r="L102" s="882"/>
      <c r="M102" s="882"/>
      <c r="N102" s="882"/>
      <c r="O102" s="882"/>
      <c r="P102" s="882"/>
      <c r="Q102" s="882"/>
      <c r="R102" s="882"/>
      <c r="S102" s="850"/>
      <c r="T102" s="850"/>
      <c r="U102" s="850"/>
      <c r="V102" s="889"/>
      <c r="W102" s="890"/>
      <c r="X102" s="850"/>
      <c r="Y102" s="850"/>
      <c r="Z102" s="850"/>
      <c r="AA102" s="850"/>
    </row>
    <row r="103" spans="1:27" x14ac:dyDescent="0.25">
      <c r="A103" s="921"/>
      <c r="B103" s="860"/>
      <c r="C103" s="889"/>
      <c r="D103" s="860"/>
      <c r="E103" s="889"/>
      <c r="F103" s="889"/>
      <c r="G103" s="922"/>
      <c r="H103" s="872"/>
      <c r="I103" s="882"/>
      <c r="J103" s="882"/>
      <c r="K103" s="882"/>
      <c r="L103" s="882"/>
      <c r="M103" s="882"/>
      <c r="N103" s="882"/>
      <c r="O103" s="882"/>
      <c r="P103" s="882"/>
      <c r="Q103" s="882"/>
      <c r="R103" s="882"/>
      <c r="S103" s="850"/>
      <c r="T103" s="850"/>
      <c r="U103" s="850"/>
      <c r="V103" s="889"/>
      <c r="W103" s="890"/>
      <c r="X103" s="850"/>
      <c r="Y103" s="850"/>
      <c r="Z103" s="850"/>
      <c r="AA103" s="850"/>
    </row>
    <row r="104" spans="1:27" x14ac:dyDescent="0.25">
      <c r="A104" s="921"/>
      <c r="B104" s="860"/>
      <c r="C104" s="889"/>
      <c r="D104" s="860"/>
      <c r="E104" s="889"/>
      <c r="F104" s="889"/>
      <c r="G104" s="922"/>
      <c r="H104" s="872"/>
      <c r="I104" s="882"/>
      <c r="J104" s="882"/>
      <c r="K104" s="882"/>
      <c r="L104" s="882"/>
      <c r="M104" s="882"/>
      <c r="N104" s="882"/>
      <c r="O104" s="882"/>
      <c r="P104" s="882"/>
      <c r="Q104" s="882"/>
      <c r="R104" s="882"/>
      <c r="S104" s="850"/>
      <c r="T104" s="850"/>
      <c r="U104" s="850"/>
      <c r="V104" s="889"/>
      <c r="W104" s="890"/>
      <c r="X104" s="850"/>
      <c r="Y104" s="850"/>
      <c r="Z104" s="850"/>
      <c r="AA104" s="850"/>
    </row>
    <row r="105" spans="1:27" x14ac:dyDescent="0.25">
      <c r="A105" s="921"/>
      <c r="B105" s="860"/>
      <c r="C105" s="889"/>
      <c r="D105" s="860"/>
      <c r="E105" s="889"/>
      <c r="F105" s="889"/>
      <c r="G105" s="922"/>
      <c r="H105" s="872"/>
      <c r="I105" s="882"/>
      <c r="J105" s="882"/>
      <c r="K105" s="882"/>
      <c r="L105" s="882"/>
      <c r="M105" s="882"/>
      <c r="N105" s="882"/>
      <c r="O105" s="882"/>
      <c r="P105" s="882"/>
      <c r="Q105" s="882"/>
      <c r="R105" s="882"/>
      <c r="S105" s="850"/>
      <c r="T105" s="850"/>
      <c r="U105" s="850"/>
      <c r="V105" s="889"/>
      <c r="W105" s="890"/>
      <c r="X105" s="850"/>
      <c r="Y105" s="850"/>
      <c r="Z105" s="850"/>
      <c r="AA105" s="850"/>
    </row>
    <row r="106" spans="1:27" x14ac:dyDescent="0.25">
      <c r="A106" s="921"/>
      <c r="B106" s="872"/>
      <c r="C106" s="889"/>
      <c r="D106" s="872"/>
      <c r="E106" s="889"/>
      <c r="F106" s="889"/>
      <c r="G106" s="922"/>
      <c r="H106" s="872"/>
      <c r="I106" s="882"/>
      <c r="J106" s="882"/>
      <c r="K106" s="882"/>
      <c r="L106" s="882"/>
      <c r="M106" s="882"/>
      <c r="N106" s="882"/>
      <c r="O106" s="882"/>
      <c r="P106" s="882"/>
      <c r="Q106" s="882"/>
      <c r="R106" s="882"/>
      <c r="S106" s="850"/>
      <c r="T106" s="850"/>
      <c r="U106" s="850"/>
      <c r="V106" s="889"/>
      <c r="W106" s="890"/>
      <c r="X106" s="850"/>
      <c r="Y106" s="850"/>
      <c r="Z106" s="850"/>
      <c r="AA106" s="850"/>
    </row>
    <row r="107" spans="1:27" x14ac:dyDescent="0.25">
      <c r="A107" s="921"/>
      <c r="B107" s="872"/>
      <c r="C107" s="889"/>
      <c r="D107" s="872"/>
      <c r="E107" s="889"/>
      <c r="F107" s="889"/>
      <c r="G107" s="922"/>
      <c r="H107" s="872"/>
      <c r="I107" s="882"/>
      <c r="J107" s="882"/>
      <c r="K107" s="882"/>
      <c r="L107" s="882"/>
      <c r="M107" s="882"/>
      <c r="N107" s="882"/>
      <c r="O107" s="882"/>
      <c r="P107" s="882"/>
      <c r="Q107" s="882"/>
      <c r="R107" s="882"/>
      <c r="S107" s="850"/>
      <c r="T107" s="850"/>
      <c r="U107" s="850"/>
      <c r="V107" s="889"/>
      <c r="W107" s="890"/>
      <c r="X107" s="850"/>
      <c r="Y107" s="850"/>
      <c r="Z107" s="850"/>
      <c r="AA107" s="850"/>
    </row>
    <row r="108" spans="1:27" x14ac:dyDescent="0.25">
      <c r="A108" s="921"/>
      <c r="B108" s="872"/>
      <c r="C108" s="889"/>
      <c r="D108" s="872"/>
      <c r="E108" s="889"/>
      <c r="F108" s="889"/>
      <c r="G108" s="922"/>
      <c r="H108" s="872"/>
      <c r="I108" s="882"/>
      <c r="J108" s="882"/>
      <c r="K108" s="882"/>
      <c r="L108" s="882"/>
      <c r="M108" s="882"/>
      <c r="N108" s="882"/>
      <c r="O108" s="882"/>
      <c r="P108" s="882"/>
      <c r="Q108" s="882"/>
      <c r="R108" s="882"/>
      <c r="S108" s="850"/>
      <c r="T108" s="850"/>
      <c r="U108" s="850"/>
      <c r="V108" s="889"/>
      <c r="W108" s="890"/>
      <c r="X108" s="850"/>
      <c r="Y108" s="850"/>
      <c r="Z108" s="850"/>
      <c r="AA108" s="850"/>
    </row>
    <row r="109" spans="1:27" x14ac:dyDescent="0.25">
      <c r="A109" s="921"/>
      <c r="B109" s="872"/>
      <c r="C109" s="908"/>
      <c r="D109" s="872"/>
      <c r="E109" s="889"/>
      <c r="F109" s="889"/>
      <c r="G109" s="925"/>
      <c r="H109" s="872"/>
      <c r="I109" s="882"/>
      <c r="J109" s="882"/>
      <c r="K109" s="882"/>
      <c r="L109" s="882"/>
      <c r="M109" s="882"/>
      <c r="N109" s="882"/>
      <c r="O109" s="882"/>
      <c r="P109" s="882"/>
      <c r="Q109" s="882"/>
      <c r="R109" s="882"/>
      <c r="S109" s="850"/>
      <c r="T109" s="850"/>
      <c r="U109" s="850"/>
      <c r="V109" s="889"/>
      <c r="W109" s="890"/>
      <c r="X109" s="850"/>
      <c r="Y109" s="850"/>
      <c r="Z109" s="850"/>
      <c r="AA109" s="850"/>
    </row>
    <row r="110" spans="1:27" x14ac:dyDescent="0.25">
      <c r="A110" s="919"/>
      <c r="B110" s="872"/>
      <c r="C110" s="850"/>
      <c r="D110" s="872"/>
      <c r="E110" s="908"/>
      <c r="F110" s="908"/>
      <c r="G110" s="872"/>
      <c r="H110" s="872"/>
      <c r="I110" s="886"/>
      <c r="J110" s="886"/>
      <c r="K110" s="886"/>
      <c r="L110" s="886"/>
      <c r="M110" s="886"/>
      <c r="N110" s="886"/>
      <c r="O110" s="886"/>
      <c r="P110" s="886"/>
      <c r="Q110" s="886"/>
      <c r="R110" s="886"/>
      <c r="S110" s="850"/>
      <c r="T110" s="850"/>
      <c r="U110" s="850"/>
      <c r="V110" s="889"/>
      <c r="W110" s="890"/>
      <c r="X110" s="850"/>
      <c r="Y110" s="850"/>
      <c r="Z110" s="850"/>
      <c r="AA110" s="850"/>
    </row>
    <row r="111" spans="1:27" x14ac:dyDescent="0.25">
      <c r="A111" s="921"/>
      <c r="B111" s="872"/>
      <c r="C111" s="908"/>
      <c r="D111" s="872"/>
      <c r="E111" s="889"/>
      <c r="F111" s="889"/>
      <c r="G111" s="925"/>
      <c r="H111" s="872"/>
      <c r="I111" s="882"/>
      <c r="J111" s="882"/>
      <c r="K111" s="882"/>
      <c r="L111" s="882"/>
      <c r="M111" s="882"/>
      <c r="N111" s="882"/>
      <c r="O111" s="882"/>
      <c r="P111" s="882"/>
      <c r="Q111" s="882"/>
      <c r="R111" s="882"/>
      <c r="S111" s="850"/>
      <c r="T111" s="850"/>
      <c r="U111" s="850"/>
      <c r="V111" s="889"/>
      <c r="W111" s="890"/>
      <c r="X111" s="850"/>
      <c r="Y111" s="850"/>
      <c r="Z111" s="850"/>
      <c r="AA111" s="850"/>
    </row>
    <row r="112" spans="1:27" x14ac:dyDescent="0.25">
      <c r="A112" s="921"/>
      <c r="B112" s="872"/>
      <c r="C112" s="908"/>
      <c r="D112" s="872"/>
      <c r="E112" s="889"/>
      <c r="F112" s="889"/>
      <c r="G112" s="925"/>
      <c r="H112" s="872"/>
      <c r="I112" s="882"/>
      <c r="J112" s="882"/>
      <c r="K112" s="882"/>
      <c r="L112" s="882"/>
      <c r="M112" s="882"/>
      <c r="N112" s="882"/>
      <c r="O112" s="882"/>
      <c r="P112" s="882"/>
      <c r="Q112" s="882"/>
      <c r="R112" s="882"/>
      <c r="S112" s="850"/>
      <c r="T112" s="850"/>
      <c r="U112" s="850"/>
      <c r="V112" s="889"/>
      <c r="W112" s="890"/>
      <c r="X112" s="850"/>
      <c r="Y112" s="850"/>
      <c r="Z112" s="850"/>
      <c r="AA112" s="850"/>
    </row>
    <row r="113" spans="1:27" x14ac:dyDescent="0.25">
      <c r="A113" s="926"/>
      <c r="B113" s="872"/>
      <c r="C113" s="908"/>
      <c r="D113" s="872"/>
      <c r="E113" s="889"/>
      <c r="F113" s="889"/>
      <c r="G113" s="925"/>
      <c r="H113" s="872"/>
      <c r="I113" s="882"/>
      <c r="J113" s="882"/>
      <c r="K113" s="882"/>
      <c r="L113" s="882"/>
      <c r="M113" s="882"/>
      <c r="N113" s="882"/>
      <c r="O113" s="882"/>
      <c r="P113" s="882"/>
      <c r="Q113" s="882"/>
      <c r="R113" s="882"/>
      <c r="S113" s="850"/>
      <c r="T113" s="850"/>
      <c r="U113" s="850"/>
      <c r="V113" s="889"/>
      <c r="W113" s="890"/>
      <c r="X113" s="850"/>
      <c r="Y113" s="850"/>
      <c r="Z113" s="850"/>
      <c r="AA113" s="850"/>
    </row>
    <row r="114" spans="1:27" x14ac:dyDescent="0.25">
      <c r="A114" s="921"/>
      <c r="B114" s="872"/>
      <c r="C114" s="908"/>
      <c r="D114" s="872"/>
      <c r="E114" s="889"/>
      <c r="F114" s="889"/>
      <c r="G114" s="925"/>
      <c r="H114" s="872"/>
      <c r="I114" s="882"/>
      <c r="J114" s="882"/>
      <c r="K114" s="882"/>
      <c r="L114" s="882"/>
      <c r="M114" s="882"/>
      <c r="N114" s="882"/>
      <c r="O114" s="882"/>
      <c r="P114" s="882"/>
      <c r="Q114" s="882"/>
      <c r="R114" s="882"/>
      <c r="S114" s="850"/>
      <c r="T114" s="850"/>
      <c r="U114" s="850"/>
      <c r="V114" s="889"/>
      <c r="W114" s="890"/>
      <c r="X114" s="850"/>
      <c r="Y114" s="850"/>
      <c r="Z114" s="850"/>
      <c r="AA114" s="850"/>
    </row>
    <row r="115" spans="1:27" x14ac:dyDescent="0.25">
      <c r="A115" s="921"/>
      <c r="B115" s="872"/>
      <c r="C115" s="908"/>
      <c r="D115" s="872"/>
      <c r="E115" s="889"/>
      <c r="F115" s="889"/>
      <c r="G115" s="925"/>
      <c r="H115" s="872"/>
      <c r="I115" s="882"/>
      <c r="J115" s="882"/>
      <c r="K115" s="882"/>
      <c r="L115" s="882"/>
      <c r="M115" s="882"/>
      <c r="N115" s="882"/>
      <c r="O115" s="882"/>
      <c r="P115" s="882"/>
      <c r="Q115" s="882"/>
      <c r="R115" s="882"/>
      <c r="S115" s="850"/>
      <c r="T115" s="850"/>
      <c r="U115" s="850"/>
      <c r="V115" s="889"/>
      <c r="W115" s="890"/>
      <c r="X115" s="850"/>
      <c r="Y115" s="850"/>
      <c r="Z115" s="850"/>
      <c r="AA115" s="850"/>
    </row>
    <row r="116" spans="1:27" x14ac:dyDescent="0.25">
      <c r="A116" s="921"/>
      <c r="B116" s="872"/>
      <c r="C116" s="908"/>
      <c r="D116" s="872"/>
      <c r="E116" s="889"/>
      <c r="F116" s="889"/>
      <c r="G116" s="925"/>
      <c r="H116" s="872"/>
      <c r="I116" s="882"/>
      <c r="J116" s="882"/>
      <c r="K116" s="882"/>
      <c r="L116" s="882"/>
      <c r="M116" s="882"/>
      <c r="N116" s="882"/>
      <c r="O116" s="882"/>
      <c r="P116" s="882"/>
      <c r="Q116" s="882"/>
      <c r="R116" s="882"/>
      <c r="S116" s="850"/>
      <c r="T116" s="850"/>
      <c r="U116" s="850"/>
      <c r="V116" s="889"/>
      <c r="W116" s="890"/>
      <c r="X116" s="850"/>
      <c r="Y116" s="850"/>
      <c r="Z116" s="850"/>
      <c r="AA116" s="850"/>
    </row>
    <row r="117" spans="1:27" x14ac:dyDescent="0.25">
      <c r="A117" s="921"/>
      <c r="B117" s="872"/>
      <c r="C117" s="908"/>
      <c r="D117" s="872"/>
      <c r="E117" s="889"/>
      <c r="F117" s="889"/>
      <c r="G117" s="925"/>
      <c r="H117" s="872"/>
      <c r="I117" s="882"/>
      <c r="J117" s="882"/>
      <c r="K117" s="882"/>
      <c r="L117" s="882"/>
      <c r="M117" s="882"/>
      <c r="N117" s="882"/>
      <c r="O117" s="882"/>
      <c r="P117" s="882"/>
      <c r="Q117" s="882"/>
      <c r="R117" s="882"/>
      <c r="S117" s="850"/>
      <c r="T117" s="850"/>
      <c r="U117" s="850"/>
      <c r="V117" s="889"/>
      <c r="W117" s="890"/>
      <c r="X117" s="850"/>
      <c r="Y117" s="850"/>
      <c r="Z117" s="850"/>
      <c r="AA117" s="850"/>
    </row>
    <row r="118" spans="1:27" x14ac:dyDescent="0.25">
      <c r="A118" s="921"/>
      <c r="B118" s="872"/>
      <c r="C118" s="908"/>
      <c r="D118" s="872"/>
      <c r="E118" s="889"/>
      <c r="F118" s="889"/>
      <c r="G118" s="925"/>
      <c r="H118" s="872"/>
      <c r="I118" s="882"/>
      <c r="J118" s="882"/>
      <c r="K118" s="882"/>
      <c r="L118" s="882"/>
      <c r="M118" s="882"/>
      <c r="N118" s="882"/>
      <c r="O118" s="882"/>
      <c r="P118" s="882"/>
      <c r="Q118" s="882"/>
      <c r="R118" s="882"/>
      <c r="S118" s="850"/>
      <c r="T118" s="850"/>
      <c r="U118" s="850"/>
      <c r="V118" s="889"/>
      <c r="W118" s="890"/>
      <c r="X118" s="850"/>
      <c r="Y118" s="850"/>
      <c r="Z118" s="850"/>
      <c r="AA118" s="850"/>
    </row>
    <row r="119" spans="1:27" x14ac:dyDescent="0.25">
      <c r="A119" s="921"/>
      <c r="B119" s="872"/>
      <c r="C119" s="908"/>
      <c r="D119" s="872"/>
      <c r="E119" s="889"/>
      <c r="F119" s="889"/>
      <c r="G119" s="925"/>
      <c r="H119" s="872"/>
      <c r="I119" s="882"/>
      <c r="J119" s="882"/>
      <c r="K119" s="882"/>
      <c r="L119" s="882"/>
      <c r="M119" s="882"/>
      <c r="N119" s="882"/>
      <c r="O119" s="882"/>
      <c r="P119" s="882"/>
      <c r="Q119" s="882"/>
      <c r="R119" s="882"/>
      <c r="S119" s="850"/>
      <c r="T119" s="850"/>
      <c r="U119" s="850"/>
      <c r="V119" s="889"/>
      <c r="W119" s="890"/>
      <c r="X119" s="850"/>
      <c r="Y119" s="850"/>
      <c r="Z119" s="850"/>
      <c r="AA119" s="850"/>
    </row>
    <row r="120" spans="1:27" x14ac:dyDescent="0.25">
      <c r="A120" s="921"/>
      <c r="B120" s="872"/>
      <c r="C120" s="908"/>
      <c r="D120" s="872"/>
      <c r="E120" s="889"/>
      <c r="F120" s="889"/>
      <c r="G120" s="925"/>
      <c r="H120" s="872"/>
      <c r="I120" s="882"/>
      <c r="J120" s="882"/>
      <c r="K120" s="882"/>
      <c r="L120" s="882"/>
      <c r="M120" s="882"/>
      <c r="N120" s="882"/>
      <c r="O120" s="882"/>
      <c r="P120" s="882"/>
      <c r="Q120" s="882"/>
      <c r="R120" s="882"/>
      <c r="S120" s="850"/>
      <c r="T120" s="850"/>
      <c r="U120" s="850"/>
      <c r="V120" s="889"/>
      <c r="W120" s="890"/>
      <c r="X120" s="850"/>
      <c r="Y120" s="850"/>
      <c r="Z120" s="850"/>
      <c r="AA120" s="850"/>
    </row>
    <row r="121" spans="1:27" x14ac:dyDescent="0.25">
      <c r="A121" s="921"/>
      <c r="B121" s="872"/>
      <c r="C121" s="908"/>
      <c r="D121" s="872"/>
      <c r="E121" s="889"/>
      <c r="F121" s="889"/>
      <c r="G121" s="925"/>
      <c r="H121" s="872"/>
      <c r="I121" s="882"/>
      <c r="J121" s="882"/>
      <c r="K121" s="882"/>
      <c r="L121" s="882"/>
      <c r="M121" s="882"/>
      <c r="N121" s="882"/>
      <c r="O121" s="882"/>
      <c r="P121" s="882"/>
      <c r="Q121" s="882"/>
      <c r="R121" s="882"/>
      <c r="S121" s="850"/>
      <c r="T121" s="850"/>
      <c r="U121" s="850"/>
      <c r="V121" s="889"/>
      <c r="W121" s="890"/>
      <c r="X121" s="850"/>
      <c r="Y121" s="850"/>
      <c r="Z121" s="850"/>
      <c r="AA121" s="850"/>
    </row>
    <row r="122" spans="1:27" x14ac:dyDescent="0.25">
      <c r="A122" s="921"/>
      <c r="B122" s="872"/>
      <c r="C122" s="908"/>
      <c r="D122" s="872"/>
      <c r="E122" s="889"/>
      <c r="F122" s="889"/>
      <c r="G122" s="925"/>
      <c r="H122" s="872"/>
      <c r="I122" s="882"/>
      <c r="J122" s="882"/>
      <c r="K122" s="882"/>
      <c r="L122" s="882"/>
      <c r="M122" s="882"/>
      <c r="N122" s="882"/>
      <c r="O122" s="882"/>
      <c r="P122" s="882"/>
      <c r="Q122" s="882"/>
      <c r="R122" s="882"/>
      <c r="S122" s="850"/>
      <c r="T122" s="850"/>
      <c r="U122" s="850"/>
      <c r="V122" s="889"/>
      <c r="W122" s="890"/>
      <c r="X122" s="850"/>
      <c r="Y122" s="850"/>
      <c r="Z122" s="850"/>
      <c r="AA122" s="850"/>
    </row>
    <row r="123" spans="1:27" x14ac:dyDescent="0.25">
      <c r="A123" s="921"/>
      <c r="B123" s="872"/>
      <c r="C123" s="908"/>
      <c r="D123" s="872"/>
      <c r="E123" s="889"/>
      <c r="F123" s="889"/>
      <c r="G123" s="925"/>
      <c r="H123" s="872"/>
      <c r="I123" s="882"/>
      <c r="J123" s="882"/>
      <c r="K123" s="882"/>
      <c r="L123" s="882"/>
      <c r="M123" s="882"/>
      <c r="N123" s="882"/>
      <c r="O123" s="882"/>
      <c r="P123" s="882"/>
      <c r="Q123" s="882"/>
      <c r="R123" s="882"/>
      <c r="S123" s="850"/>
      <c r="T123" s="850"/>
      <c r="U123" s="850"/>
      <c r="V123" s="889"/>
      <c r="W123" s="890"/>
      <c r="X123" s="850"/>
      <c r="Y123" s="850"/>
      <c r="Z123" s="850"/>
      <c r="AA123" s="850"/>
    </row>
    <row r="124" spans="1:27" x14ac:dyDescent="0.25">
      <c r="A124" s="921"/>
      <c r="B124" s="872"/>
      <c r="C124" s="908"/>
      <c r="D124" s="872"/>
      <c r="E124" s="889"/>
      <c r="F124" s="889"/>
      <c r="G124" s="925"/>
      <c r="H124" s="872"/>
      <c r="I124" s="882"/>
      <c r="J124" s="882"/>
      <c r="K124" s="882"/>
      <c r="L124" s="882"/>
      <c r="M124" s="882"/>
      <c r="N124" s="882"/>
      <c r="O124" s="882"/>
      <c r="P124" s="882"/>
      <c r="Q124" s="882"/>
      <c r="R124" s="882"/>
      <c r="S124" s="850"/>
      <c r="T124" s="850"/>
      <c r="U124" s="850"/>
      <c r="V124" s="889"/>
      <c r="W124" s="890"/>
      <c r="X124" s="850"/>
      <c r="Y124" s="850"/>
      <c r="Z124" s="850"/>
      <c r="AA124" s="850"/>
    </row>
    <row r="125" spans="1:27" x14ac:dyDescent="0.25">
      <c r="A125" s="921"/>
      <c r="B125" s="872"/>
      <c r="C125" s="908"/>
      <c r="D125" s="872"/>
      <c r="E125" s="889"/>
      <c r="F125" s="889"/>
      <c r="G125" s="925"/>
      <c r="H125" s="872"/>
      <c r="I125" s="882"/>
      <c r="J125" s="882"/>
      <c r="K125" s="882"/>
      <c r="L125" s="882"/>
      <c r="M125" s="882"/>
      <c r="N125" s="882"/>
      <c r="O125" s="882"/>
      <c r="P125" s="882"/>
      <c r="Q125" s="882"/>
      <c r="R125" s="882"/>
      <c r="S125" s="850"/>
      <c r="T125" s="850"/>
      <c r="U125" s="850"/>
      <c r="V125" s="889"/>
      <c r="W125" s="890"/>
      <c r="X125" s="850"/>
      <c r="Y125" s="850"/>
      <c r="Z125" s="850"/>
      <c r="AA125" s="850"/>
    </row>
    <row r="126" spans="1:27" x14ac:dyDescent="0.25">
      <c r="A126" s="921"/>
      <c r="B126" s="872"/>
      <c r="C126" s="908"/>
      <c r="D126" s="872"/>
      <c r="E126" s="889"/>
      <c r="F126" s="889"/>
      <c r="G126" s="925"/>
      <c r="H126" s="872"/>
      <c r="I126" s="882"/>
      <c r="J126" s="882"/>
      <c r="K126" s="882"/>
      <c r="L126" s="882"/>
      <c r="M126" s="882"/>
      <c r="N126" s="882"/>
      <c r="O126" s="882"/>
      <c r="P126" s="882"/>
      <c r="Q126" s="882"/>
      <c r="R126" s="882"/>
      <c r="S126" s="850"/>
      <c r="T126" s="850"/>
      <c r="U126" s="850"/>
      <c r="V126" s="889"/>
      <c r="W126" s="890"/>
      <c r="X126" s="850"/>
      <c r="Y126" s="850"/>
      <c r="Z126" s="850"/>
      <c r="AA126" s="850"/>
    </row>
    <row r="127" spans="1:27" x14ac:dyDescent="0.25">
      <c r="A127" s="921"/>
      <c r="B127" s="872"/>
      <c r="C127" s="908"/>
      <c r="D127" s="872"/>
      <c r="E127" s="889"/>
      <c r="F127" s="889"/>
      <c r="G127" s="925"/>
      <c r="H127" s="872"/>
      <c r="I127" s="882"/>
      <c r="J127" s="882"/>
      <c r="K127" s="882"/>
      <c r="L127" s="882"/>
      <c r="M127" s="882"/>
      <c r="N127" s="882"/>
      <c r="O127" s="882"/>
      <c r="P127" s="882"/>
      <c r="Q127" s="882"/>
      <c r="R127" s="882"/>
      <c r="S127" s="850"/>
      <c r="T127" s="850"/>
      <c r="U127" s="850"/>
      <c r="V127" s="889"/>
      <c r="W127" s="890"/>
      <c r="X127" s="850"/>
      <c r="Y127" s="850"/>
      <c r="Z127" s="850"/>
      <c r="AA127" s="850"/>
    </row>
    <row r="128" spans="1:27" x14ac:dyDescent="0.25">
      <c r="A128" s="1471"/>
      <c r="B128" s="1471"/>
      <c r="C128" s="1471"/>
      <c r="D128" s="1471"/>
      <c r="E128" s="1471"/>
      <c r="F128" s="1471"/>
      <c r="G128" s="1471"/>
      <c r="H128" s="1471"/>
      <c r="I128" s="1471"/>
      <c r="J128" s="1471"/>
      <c r="K128" s="1471"/>
      <c r="L128" s="1471"/>
      <c r="M128" s="1471"/>
      <c r="N128" s="1471"/>
      <c r="O128" s="1471"/>
      <c r="P128" s="927"/>
      <c r="Q128" s="927"/>
      <c r="R128" s="927"/>
      <c r="S128" s="850"/>
      <c r="T128" s="850"/>
      <c r="U128" s="850"/>
      <c r="V128" s="889"/>
      <c r="W128" s="890"/>
      <c r="X128" s="850"/>
      <c r="Y128" s="850"/>
      <c r="Z128" s="850"/>
      <c r="AA128" s="850"/>
    </row>
    <row r="129" spans="1:27" x14ac:dyDescent="0.25">
      <c r="A129" s="850"/>
      <c r="B129" s="872"/>
      <c r="C129" s="908"/>
      <c r="D129" s="872"/>
      <c r="E129" s="889"/>
      <c r="F129" s="889"/>
      <c r="G129" s="925"/>
      <c r="H129" s="872"/>
      <c r="I129" s="882"/>
      <c r="J129" s="882"/>
      <c r="K129" s="882"/>
      <c r="L129" s="882"/>
      <c r="M129" s="882"/>
      <c r="N129" s="882"/>
      <c r="O129" s="882"/>
      <c r="P129" s="882"/>
      <c r="Q129" s="882"/>
      <c r="R129" s="882"/>
      <c r="S129" s="850"/>
      <c r="T129" s="850"/>
      <c r="U129" s="850"/>
      <c r="V129" s="850"/>
      <c r="W129" s="850"/>
      <c r="X129" s="850"/>
      <c r="Y129" s="850"/>
      <c r="Z129" s="850"/>
      <c r="AA129" s="850"/>
    </row>
    <row r="130" spans="1:27" x14ac:dyDescent="0.25">
      <c r="A130" s="1471"/>
      <c r="B130" s="1477"/>
      <c r="C130" s="1477"/>
      <c r="D130" s="1477"/>
      <c r="E130" s="1477"/>
      <c r="F130" s="1477"/>
      <c r="G130" s="1477"/>
      <c r="H130" s="1477"/>
      <c r="I130" s="1477"/>
      <c r="J130" s="1477"/>
      <c r="K130" s="1477"/>
      <c r="L130" s="1477"/>
      <c r="M130" s="1477"/>
      <c r="N130" s="1477"/>
      <c r="O130" s="1477"/>
      <c r="P130" s="928"/>
      <c r="Q130" s="928"/>
      <c r="R130" s="928"/>
      <c r="S130" s="850"/>
      <c r="T130" s="850"/>
      <c r="U130" s="850"/>
      <c r="V130" s="850"/>
      <c r="W130" s="850"/>
      <c r="X130" s="850"/>
      <c r="Y130" s="850"/>
      <c r="Z130" s="850"/>
      <c r="AA130" s="850"/>
    </row>
    <row r="131" spans="1:27" x14ac:dyDescent="0.25">
      <c r="A131" s="921"/>
      <c r="B131" s="872"/>
      <c r="C131" s="908"/>
      <c r="D131" s="872"/>
      <c r="E131" s="929"/>
      <c r="F131" s="889"/>
      <c r="G131" s="925"/>
      <c r="H131" s="872"/>
      <c r="I131" s="882"/>
      <c r="J131" s="882"/>
      <c r="K131" s="882"/>
      <c r="L131" s="882"/>
      <c r="M131" s="882"/>
      <c r="N131" s="882"/>
      <c r="O131" s="882"/>
      <c r="P131" s="882"/>
      <c r="Q131" s="882"/>
      <c r="R131" s="882"/>
      <c r="S131" s="850"/>
      <c r="T131" s="850"/>
      <c r="U131" s="850"/>
      <c r="V131" s="850"/>
      <c r="W131" s="850"/>
      <c r="X131" s="850"/>
      <c r="Y131" s="850"/>
      <c r="Z131" s="850"/>
      <c r="AA131" s="850"/>
    </row>
    <row r="132" spans="1:27" x14ac:dyDescent="0.25">
      <c r="A132" s="921"/>
      <c r="B132" s="872"/>
      <c r="C132" s="908"/>
      <c r="D132" s="872"/>
      <c r="E132" s="889"/>
      <c r="F132" s="889"/>
      <c r="G132" s="925"/>
      <c r="H132" s="872"/>
      <c r="I132" s="882"/>
      <c r="J132" s="882"/>
      <c r="K132" s="882"/>
      <c r="L132" s="882"/>
      <c r="M132" s="882"/>
      <c r="N132" s="882"/>
      <c r="O132" s="882"/>
      <c r="P132" s="882"/>
      <c r="Q132" s="882"/>
      <c r="R132" s="882"/>
      <c r="S132" s="850"/>
      <c r="T132" s="850"/>
      <c r="U132" s="850"/>
      <c r="V132" s="850"/>
      <c r="W132" s="850"/>
      <c r="X132" s="850"/>
      <c r="Y132" s="850"/>
      <c r="Z132" s="850"/>
      <c r="AA132" s="850"/>
    </row>
    <row r="133" spans="1:27" x14ac:dyDescent="0.25">
      <c r="A133" s="921"/>
      <c r="B133" s="872"/>
      <c r="C133" s="908"/>
      <c r="D133" s="872"/>
      <c r="E133" s="850"/>
      <c r="F133" s="889"/>
      <c r="G133" s="922"/>
      <c r="H133" s="872"/>
      <c r="I133" s="886"/>
      <c r="J133" s="886"/>
      <c r="K133" s="886"/>
      <c r="L133" s="882"/>
      <c r="M133" s="886"/>
      <c r="N133" s="882"/>
      <c r="O133" s="886"/>
      <c r="P133" s="886"/>
      <c r="Q133" s="886"/>
      <c r="R133" s="886"/>
      <c r="S133" s="850"/>
      <c r="T133" s="850"/>
      <c r="U133" s="850"/>
      <c r="V133" s="850"/>
      <c r="W133" s="850"/>
      <c r="X133" s="850"/>
      <c r="Y133" s="850"/>
      <c r="Z133" s="850"/>
      <c r="AA133" s="850"/>
    </row>
    <row r="134" spans="1:27" x14ac:dyDescent="0.25">
      <c r="A134" s="850"/>
      <c r="B134" s="872"/>
      <c r="C134" s="850"/>
      <c r="D134" s="850"/>
      <c r="E134" s="930"/>
      <c r="F134" s="850"/>
      <c r="G134" s="850"/>
      <c r="H134" s="850"/>
      <c r="I134" s="850"/>
      <c r="J134" s="850"/>
      <c r="K134" s="850"/>
      <c r="L134" s="850"/>
      <c r="M134" s="850"/>
      <c r="N134" s="850"/>
      <c r="O134" s="850"/>
      <c r="P134" s="850"/>
      <c r="Q134" s="850"/>
      <c r="R134" s="850"/>
      <c r="S134" s="850"/>
      <c r="T134" s="850"/>
      <c r="U134" s="850"/>
      <c r="V134" s="850"/>
      <c r="W134" s="850"/>
      <c r="X134" s="850"/>
      <c r="Y134" s="850"/>
      <c r="Z134" s="850"/>
      <c r="AA134" s="850"/>
    </row>
    <row r="135" spans="1:27" x14ac:dyDescent="0.25">
      <c r="A135" s="850"/>
      <c r="B135" s="872"/>
      <c r="C135" s="850"/>
      <c r="D135" s="850"/>
      <c r="E135" s="906"/>
      <c r="F135" s="850"/>
      <c r="G135" s="850"/>
      <c r="H135" s="850"/>
      <c r="I135" s="850"/>
      <c r="J135" s="850"/>
      <c r="K135" s="850"/>
      <c r="L135" s="850"/>
      <c r="M135" s="850"/>
      <c r="N135" s="850"/>
      <c r="O135" s="850"/>
      <c r="P135" s="850"/>
      <c r="Q135" s="850"/>
      <c r="R135" s="850"/>
      <c r="S135" s="850"/>
      <c r="T135" s="850"/>
      <c r="U135" s="850"/>
      <c r="V135" s="850"/>
      <c r="W135" s="850"/>
      <c r="X135" s="850"/>
      <c r="Y135" s="850"/>
      <c r="Z135" s="850"/>
      <c r="AA135" s="850"/>
    </row>
    <row r="136" spans="1:27" x14ac:dyDescent="0.25">
      <c r="A136" s="850"/>
      <c r="B136" s="850"/>
      <c r="C136" s="850"/>
      <c r="D136" s="850"/>
      <c r="E136" s="906"/>
      <c r="F136" s="850"/>
      <c r="G136" s="850"/>
      <c r="H136" s="850"/>
      <c r="I136" s="850"/>
      <c r="J136" s="850"/>
      <c r="K136" s="850"/>
      <c r="L136" s="850"/>
      <c r="M136" s="850"/>
      <c r="N136" s="850"/>
      <c r="O136" s="850"/>
      <c r="P136" s="850"/>
      <c r="Q136" s="850"/>
      <c r="R136" s="850"/>
      <c r="S136" s="850"/>
      <c r="T136" s="850"/>
      <c r="U136" s="850"/>
      <c r="V136" s="850"/>
      <c r="W136" s="850"/>
      <c r="X136" s="850"/>
      <c r="Y136" s="850"/>
      <c r="Z136" s="850"/>
      <c r="AA136" s="850"/>
    </row>
    <row r="137" spans="1:27" x14ac:dyDescent="0.25">
      <c r="E137" s="931"/>
    </row>
  </sheetData>
  <mergeCells count="21">
    <mergeCell ref="V18:W18"/>
    <mergeCell ref="I75:O75"/>
    <mergeCell ref="V79:W79"/>
    <mergeCell ref="A128:O128"/>
    <mergeCell ref="A130:O130"/>
    <mergeCell ref="A63:O63"/>
    <mergeCell ref="A66:O66"/>
    <mergeCell ref="A68:O68"/>
    <mergeCell ref="A70:O70"/>
    <mergeCell ref="A62:O62"/>
    <mergeCell ref="A67:O67"/>
    <mergeCell ref="A1:O1"/>
    <mergeCell ref="A3:O3"/>
    <mergeCell ref="A4:O4"/>
    <mergeCell ref="A5:O5"/>
    <mergeCell ref="A6:O6"/>
    <mergeCell ref="A7:O7"/>
    <mergeCell ref="A8:O8"/>
    <mergeCell ref="A9:O9"/>
    <mergeCell ref="C14:E14"/>
    <mergeCell ref="I14:O14"/>
  </mergeCells>
  <conditionalFormatting sqref="T84">
    <cfRule type="top10" dxfId="0" priority="2" rank="1"/>
  </conditionalFormatting>
  <conditionalFormatting sqref="O1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rintOptions horizontalCentered="1"/>
  <pageMargins left="0.5" right="0.5" top="0.5" bottom="0.5" header="0.5" footer="0.5"/>
  <pageSetup scale="71" orientation="portrait" r:id="rId1"/>
  <headerFooter alignWithMargins="0"/>
  <rowBreaks count="2" manualBreakCount="2">
    <brk id="60" max="14" man="1"/>
    <brk id="62" max="14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H82"/>
  <sheetViews>
    <sheetView view="pageBreakPreview" zoomScale="80" zoomScaleNormal="100" zoomScaleSheetLayoutView="80" workbookViewId="0">
      <selection activeCell="R12" sqref="R12"/>
    </sheetView>
  </sheetViews>
  <sheetFormatPr defaultColWidth="15.7109375" defaultRowHeight="15.75" x14ac:dyDescent="0.25"/>
  <cols>
    <col min="1" max="1" width="9" style="799" customWidth="1"/>
    <col min="2" max="2" width="1.7109375" style="799" customWidth="1"/>
    <col min="3" max="3" width="12.28515625" style="799" customWidth="1"/>
    <col min="4" max="4" width="1.7109375" style="799" customWidth="1"/>
    <col min="5" max="5" width="10.28515625" style="799" customWidth="1"/>
    <col min="6" max="6" width="3.7109375" style="799" bestFit="1" customWidth="1"/>
    <col min="7" max="7" width="10" style="799" bestFit="1" customWidth="1"/>
    <col min="8" max="8" width="1.7109375" style="799" customWidth="1"/>
    <col min="9" max="9" width="16.140625" style="799" bestFit="1" customWidth="1"/>
    <col min="10" max="10" width="1.7109375" style="799" customWidth="1"/>
    <col min="11" max="11" width="16.140625" style="799" bestFit="1" customWidth="1"/>
    <col min="12" max="12" width="1.7109375" style="799" customWidth="1"/>
    <col min="13" max="13" width="15.7109375" style="799" bestFit="1" customWidth="1"/>
    <col min="14" max="14" width="3.7109375" style="799" bestFit="1" customWidth="1"/>
    <col min="15" max="15" width="13.42578125" style="799" customWidth="1"/>
    <col min="16" max="16" width="2.28515625" style="799" customWidth="1"/>
    <col min="17" max="17" width="15.140625" style="799" bestFit="1" customWidth="1"/>
    <col min="18" max="18" width="13.28515625" style="799" bestFit="1" customWidth="1"/>
    <col min="19" max="19" width="19.42578125" style="799" customWidth="1"/>
    <col min="20" max="20" width="2.85546875" style="799" customWidth="1"/>
    <col min="21" max="21" width="18.140625" style="799" bestFit="1" customWidth="1"/>
    <col min="22" max="22" width="2.7109375" style="799" customWidth="1"/>
    <col min="23" max="23" width="16.85546875" style="799" bestFit="1" customWidth="1"/>
    <col min="24" max="24" width="2.7109375" style="799" customWidth="1"/>
    <col min="25" max="25" width="18.140625" style="799" customWidth="1"/>
    <col min="26" max="26" width="2.7109375" style="799" customWidth="1"/>
    <col min="27" max="27" width="4.28515625" style="799" customWidth="1"/>
    <col min="28" max="28" width="15.7109375" style="799"/>
    <col min="29" max="29" width="2.7109375" style="799" customWidth="1"/>
    <col min="30" max="30" width="33" style="799" customWidth="1"/>
    <col min="31" max="16384" width="15.7109375" style="799"/>
  </cols>
  <sheetData>
    <row r="1" spans="1:34" x14ac:dyDescent="0.25">
      <c r="A1" s="1481" t="s">
        <v>232</v>
      </c>
      <c r="B1" s="1481"/>
      <c r="C1" s="1481"/>
      <c r="D1" s="1481"/>
      <c r="E1" s="1481"/>
      <c r="F1" s="1481"/>
      <c r="G1" s="1481"/>
      <c r="H1" s="1481"/>
      <c r="I1" s="1481"/>
      <c r="J1" s="1481"/>
      <c r="K1" s="1481"/>
      <c r="L1" s="1481"/>
      <c r="M1" s="1481"/>
      <c r="N1" s="1481"/>
      <c r="Q1" s="800"/>
      <c r="R1" s="801"/>
      <c r="S1" s="802"/>
      <c r="T1" s="802"/>
    </row>
    <row r="2" spans="1:34" x14ac:dyDescent="0.25">
      <c r="A2" s="803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5"/>
      <c r="Q2" s="807"/>
      <c r="R2" s="801"/>
      <c r="S2" s="802"/>
      <c r="T2" s="802"/>
    </row>
    <row r="3" spans="1:34" x14ac:dyDescent="0.25">
      <c r="A3" s="1482" t="str">
        <f>"SCHEDULE OF AMORTIZATION OF $"&amp;TEXT($E$58*1000, "00,000,000")&amp;" PRINCIPAL AMOUNT OF"</f>
        <v>SCHEDULE OF AMORTIZATION OF $38,380,000 PRINCIPAL AMOUNT OF</v>
      </c>
      <c r="B3" s="1482"/>
      <c r="C3" s="1482"/>
      <c r="D3" s="1482"/>
      <c r="E3" s="1482"/>
      <c r="F3" s="1482"/>
      <c r="G3" s="1482"/>
      <c r="H3" s="1482"/>
      <c r="I3" s="1482"/>
      <c r="J3" s="1482"/>
      <c r="K3" s="1482"/>
      <c r="L3" s="1482"/>
      <c r="M3" s="1482"/>
      <c r="N3" s="1482"/>
      <c r="Q3" s="807"/>
      <c r="R3" s="801"/>
      <c r="S3" s="802"/>
      <c r="T3" s="802"/>
    </row>
    <row r="4" spans="1:34" x14ac:dyDescent="0.25">
      <c r="A4" s="1482" t="s">
        <v>718</v>
      </c>
      <c r="B4" s="1482"/>
      <c r="C4" s="1482"/>
      <c r="D4" s="1482"/>
      <c r="E4" s="1482"/>
      <c r="F4" s="1482"/>
      <c r="G4" s="1482"/>
      <c r="H4" s="1482"/>
      <c r="I4" s="1482"/>
      <c r="J4" s="1482"/>
      <c r="K4" s="1482"/>
      <c r="L4" s="1482"/>
      <c r="M4" s="1482"/>
      <c r="N4" s="1482"/>
      <c r="Q4" s="801"/>
      <c r="R4" s="801"/>
      <c r="S4" s="802"/>
      <c r="T4" s="802"/>
      <c r="AD4" s="810"/>
    </row>
    <row r="5" spans="1:34" ht="15.6" customHeight="1" x14ac:dyDescent="0.25">
      <c r="A5" s="1480" t="s">
        <v>719</v>
      </c>
      <c r="B5" s="1480"/>
      <c r="C5" s="1480"/>
      <c r="D5" s="1480"/>
      <c r="E5" s="1480"/>
      <c r="F5" s="1480"/>
      <c r="G5" s="1480"/>
      <c r="H5" s="1480"/>
      <c r="I5" s="1480"/>
      <c r="J5" s="1480"/>
      <c r="K5" s="1480"/>
      <c r="L5" s="1480"/>
      <c r="M5" s="1480"/>
      <c r="N5" s="1480"/>
      <c r="Q5" s="810"/>
      <c r="R5" s="1337"/>
      <c r="S5" s="1201"/>
      <c r="T5" s="1201"/>
      <c r="U5" s="1201"/>
      <c r="V5" s="1201"/>
      <c r="W5" s="1201"/>
      <c r="X5" s="1201"/>
      <c r="Y5" s="1201"/>
      <c r="Z5" s="1201"/>
      <c r="AA5" s="1201"/>
      <c r="AB5" s="1201"/>
      <c r="AC5" s="1201"/>
      <c r="AD5" s="1339"/>
      <c r="AE5" s="1201"/>
      <c r="AF5" s="1201"/>
      <c r="AG5" s="1201"/>
      <c r="AH5" s="1201"/>
    </row>
    <row r="6" spans="1:34" x14ac:dyDescent="0.25">
      <c r="A6" s="1480" t="s">
        <v>720</v>
      </c>
      <c r="B6" s="1480"/>
      <c r="C6" s="1480"/>
      <c r="D6" s="1480"/>
      <c r="E6" s="1480"/>
      <c r="F6" s="1480"/>
      <c r="G6" s="1480"/>
      <c r="H6" s="1480"/>
      <c r="I6" s="1480"/>
      <c r="J6" s="1480"/>
      <c r="K6" s="1480"/>
      <c r="L6" s="1480"/>
      <c r="M6" s="1480"/>
      <c r="N6" s="1480"/>
      <c r="Q6" s="810"/>
      <c r="R6" s="1337"/>
      <c r="S6" s="1201"/>
      <c r="T6" s="1201"/>
      <c r="U6" s="1201"/>
      <c r="V6" s="1201"/>
      <c r="W6" s="1201"/>
      <c r="X6" s="1201"/>
      <c r="Y6" s="1201"/>
      <c r="Z6" s="1201"/>
      <c r="AA6" s="1201"/>
      <c r="AB6" s="1201"/>
      <c r="AC6" s="1201"/>
      <c r="AD6" s="1339"/>
      <c r="AE6" s="1201"/>
      <c r="AF6" s="1201"/>
      <c r="AG6" s="1201"/>
      <c r="AH6" s="1201"/>
    </row>
    <row r="7" spans="1:34" x14ac:dyDescent="0.25">
      <c r="A7" s="1480" t="s">
        <v>132</v>
      </c>
      <c r="B7" s="1480"/>
      <c r="C7" s="1480"/>
      <c r="D7" s="1480"/>
      <c r="E7" s="1480"/>
      <c r="F7" s="1480"/>
      <c r="G7" s="1480"/>
      <c r="H7" s="1480"/>
      <c r="I7" s="1480"/>
      <c r="J7" s="1480"/>
      <c r="K7" s="1480"/>
      <c r="L7" s="1480"/>
      <c r="M7" s="1480"/>
      <c r="N7" s="1480"/>
      <c r="Q7" s="801"/>
      <c r="R7" s="1337"/>
      <c r="S7" s="1201"/>
      <c r="T7" s="1201"/>
      <c r="U7" s="1340"/>
      <c r="V7" s="1340"/>
      <c r="W7" s="1340"/>
      <c r="X7" s="1340"/>
      <c r="Y7" s="1340"/>
      <c r="Z7" s="1340"/>
      <c r="AA7" s="1201"/>
      <c r="AB7" s="1201"/>
      <c r="AC7" s="1201"/>
      <c r="AD7" s="1339"/>
      <c r="AE7" s="1201"/>
      <c r="AF7" s="1201"/>
      <c r="AG7" s="1201"/>
      <c r="AH7" s="1201"/>
    </row>
    <row r="8" spans="1:34" x14ac:dyDescent="0.25">
      <c r="A8" s="1480" t="s">
        <v>28</v>
      </c>
      <c r="B8" s="1480"/>
      <c r="C8" s="1480"/>
      <c r="D8" s="1480"/>
      <c r="E8" s="1480"/>
      <c r="F8" s="1480"/>
      <c r="G8" s="1480"/>
      <c r="H8" s="1480"/>
      <c r="I8" s="1480"/>
      <c r="J8" s="1480"/>
      <c r="K8" s="1480"/>
      <c r="L8" s="1480"/>
      <c r="M8" s="1480"/>
      <c r="N8" s="1480"/>
      <c r="Q8" s="801"/>
      <c r="R8" s="1337"/>
      <c r="S8" s="1201"/>
      <c r="T8" s="1201"/>
      <c r="U8" s="1341"/>
      <c r="V8" s="1201"/>
      <c r="W8" s="1342"/>
      <c r="X8" s="1342"/>
      <c r="Y8" s="1342"/>
      <c r="Z8" s="1201"/>
      <c r="AA8" s="1201"/>
      <c r="AB8" s="1201"/>
      <c r="AC8" s="1201"/>
      <c r="AD8" s="1201"/>
      <c r="AE8" s="1201"/>
      <c r="AF8" s="1201"/>
      <c r="AG8" s="1201"/>
      <c r="AH8" s="1201"/>
    </row>
    <row r="9" spans="1:34" x14ac:dyDescent="0.25">
      <c r="A9" s="1480"/>
      <c r="B9" s="1480"/>
      <c r="C9" s="1480"/>
      <c r="D9" s="1480"/>
      <c r="E9" s="1480"/>
      <c r="F9" s="1480"/>
      <c r="G9" s="1480"/>
      <c r="H9" s="1480"/>
      <c r="I9" s="1480"/>
      <c r="J9" s="1480"/>
      <c r="K9" s="1480"/>
      <c r="L9" s="1480"/>
      <c r="M9" s="1480"/>
      <c r="N9" s="1480"/>
      <c r="Q9" s="801"/>
      <c r="R9" s="1337"/>
      <c r="S9" s="1201"/>
      <c r="T9" s="1201"/>
      <c r="U9" s="1201"/>
      <c r="V9" s="1201"/>
      <c r="W9" s="1201"/>
      <c r="X9" s="1201"/>
      <c r="Y9" s="1201"/>
      <c r="Z9" s="1201"/>
      <c r="AA9" s="1201"/>
      <c r="AB9" s="1201"/>
      <c r="AC9" s="1201"/>
      <c r="AD9" s="1339"/>
      <c r="AE9" s="1201"/>
      <c r="AF9" s="1201"/>
      <c r="AG9" s="1201"/>
      <c r="AH9" s="1201"/>
    </row>
    <row r="10" spans="1:34" x14ac:dyDescent="0.25">
      <c r="A10" s="811"/>
      <c r="B10" s="804"/>
      <c r="C10" s="804"/>
      <c r="D10" s="804"/>
      <c r="E10" s="804"/>
      <c r="F10" s="804"/>
      <c r="G10" s="804"/>
      <c r="Q10" s="807"/>
      <c r="R10" s="1337"/>
      <c r="S10" s="1201"/>
      <c r="T10" s="1201"/>
      <c r="U10" s="1343"/>
      <c r="V10" s="1201"/>
      <c r="W10" s="1201"/>
      <c r="X10" s="1201"/>
      <c r="Y10" s="1201"/>
      <c r="Z10" s="1201"/>
      <c r="AA10" s="1201"/>
      <c r="AB10" s="1201"/>
      <c r="AC10" s="1201"/>
      <c r="AD10" s="1339"/>
      <c r="AE10" s="1201"/>
      <c r="AF10" s="1201"/>
      <c r="AG10" s="1201"/>
      <c r="AH10" s="1201"/>
    </row>
    <row r="11" spans="1:34" x14ac:dyDescent="0.25">
      <c r="A11" s="813" t="s">
        <v>29</v>
      </c>
      <c r="C11" s="813" t="s">
        <v>30</v>
      </c>
      <c r="G11" s="813" t="s">
        <v>31</v>
      </c>
      <c r="I11" s="816" t="s">
        <v>32</v>
      </c>
      <c r="J11" s="816"/>
      <c r="K11" s="816"/>
      <c r="M11" s="813" t="s">
        <v>33</v>
      </c>
      <c r="Q11" s="801"/>
      <c r="R11" s="1337"/>
      <c r="S11" s="1201"/>
      <c r="T11" s="1201"/>
      <c r="U11" s="1201"/>
      <c r="V11" s="1201"/>
      <c r="W11" s="1201"/>
      <c r="X11" s="1201"/>
      <c r="Y11" s="1201"/>
      <c r="Z11" s="1201"/>
      <c r="AA11" s="1201"/>
      <c r="AB11" s="1201"/>
      <c r="AC11" s="1201"/>
      <c r="AD11" s="1339"/>
      <c r="AE11" s="1201"/>
      <c r="AF11" s="1201"/>
      <c r="AG11" s="1201"/>
      <c r="AH11" s="1201"/>
    </row>
    <row r="12" spans="1:34" x14ac:dyDescent="0.25">
      <c r="A12" s="817" t="s">
        <v>9</v>
      </c>
      <c r="C12" s="817" t="s">
        <v>34</v>
      </c>
      <c r="E12" s="817" t="s">
        <v>30</v>
      </c>
      <c r="F12" s="813"/>
      <c r="G12" s="817" t="s">
        <v>603</v>
      </c>
      <c r="I12" s="817" t="s">
        <v>31</v>
      </c>
      <c r="J12" s="818"/>
      <c r="K12" s="817" t="s">
        <v>35</v>
      </c>
      <c r="M12" s="817" t="s">
        <v>35</v>
      </c>
      <c r="Q12" s="810"/>
      <c r="R12" s="1337"/>
      <c r="S12" s="1201"/>
      <c r="T12" s="1201"/>
      <c r="U12" s="1343"/>
      <c r="V12" s="1201"/>
      <c r="W12" s="1344"/>
      <c r="X12" s="1343"/>
      <c r="Y12" s="1343"/>
      <c r="Z12" s="1201"/>
      <c r="AA12" s="1201"/>
      <c r="AB12" s="1201"/>
      <c r="AC12" s="1201"/>
      <c r="AD12" s="1201"/>
      <c r="AE12" s="1201"/>
      <c r="AF12" s="1201"/>
      <c r="AG12" s="1201"/>
      <c r="AH12" s="1201"/>
    </row>
    <row r="13" spans="1:34" x14ac:dyDescent="0.25">
      <c r="C13" s="1483" t="s">
        <v>710</v>
      </c>
      <c r="D13" s="1483"/>
      <c r="E13" s="1483"/>
      <c r="F13" s="804"/>
      <c r="G13" s="813" t="s">
        <v>36</v>
      </c>
      <c r="H13" s="804"/>
      <c r="I13" s="804" t="s">
        <v>711</v>
      </c>
      <c r="J13" s="819"/>
      <c r="K13" s="804"/>
      <c r="L13" s="804"/>
      <c r="M13" s="804"/>
      <c r="Q13" s="801"/>
      <c r="R13" s="1337"/>
      <c r="S13" s="1201"/>
      <c r="T13" s="1201"/>
      <c r="U13" s="1201"/>
      <c r="V13" s="1201"/>
      <c r="W13" s="1201"/>
      <c r="X13" s="1201"/>
      <c r="Y13" s="1201"/>
      <c r="Z13" s="1201"/>
      <c r="AA13" s="1201"/>
      <c r="AB13" s="1201"/>
      <c r="AC13" s="1201"/>
      <c r="AD13" s="1339"/>
      <c r="AE13" s="1201"/>
      <c r="AF13" s="1201"/>
      <c r="AG13" s="1201"/>
      <c r="AH13" s="1201"/>
    </row>
    <row r="14" spans="1:34" x14ac:dyDescent="0.25">
      <c r="C14" s="820" t="s">
        <v>332</v>
      </c>
      <c r="D14" s="804"/>
      <c r="E14" s="804"/>
      <c r="F14" s="804"/>
      <c r="G14" s="813"/>
      <c r="H14" s="804"/>
      <c r="I14" s="804"/>
      <c r="J14" s="819"/>
      <c r="K14" s="804"/>
      <c r="L14" s="804"/>
      <c r="M14" s="804"/>
      <c r="O14" s="801"/>
      <c r="P14" s="801"/>
      <c r="Q14" s="801"/>
      <c r="R14" s="1337"/>
      <c r="S14" s="1345"/>
      <c r="T14" s="1345"/>
      <c r="U14" s="1345"/>
      <c r="V14" s="1201"/>
      <c r="W14" s="1346"/>
      <c r="X14" s="1201"/>
      <c r="Y14" s="1342"/>
      <c r="Z14" s="1201"/>
      <c r="AA14" s="1201"/>
      <c r="AB14" s="1201"/>
      <c r="AC14" s="1201"/>
      <c r="AD14" s="1339"/>
      <c r="AE14" s="1201"/>
      <c r="AF14" s="1201"/>
      <c r="AG14" s="1201"/>
      <c r="AH14" s="1201"/>
    </row>
    <row r="15" spans="1:34" hidden="1" x14ac:dyDescent="0.25">
      <c r="A15" s="822">
        <v>43647</v>
      </c>
      <c r="C15" s="815"/>
      <c r="E15" s="810"/>
      <c r="F15" s="810"/>
      <c r="G15" s="823"/>
      <c r="I15" s="824">
        <f>ROUND((+E15*1000*G15/100/2+I16*(Q5/180)),2)</f>
        <v>0</v>
      </c>
      <c r="J15" s="801"/>
      <c r="K15" s="824">
        <f t="shared" ref="K15:K56" si="0">E15*1000+I15</f>
        <v>0</v>
      </c>
      <c r="L15" s="801"/>
      <c r="M15" s="801"/>
      <c r="N15" s="801"/>
      <c r="O15" s="801"/>
      <c r="P15" s="801"/>
      <c r="Q15" s="801"/>
      <c r="R15" s="1348"/>
      <c r="S15" s="1201"/>
      <c r="T15" s="1201"/>
      <c r="U15" s="1200"/>
      <c r="V15" s="1201"/>
      <c r="W15" s="1349"/>
      <c r="X15" s="1201"/>
      <c r="Y15" s="1350"/>
      <c r="Z15" s="1201"/>
      <c r="AA15" s="1351"/>
      <c r="AB15" s="1201"/>
      <c r="AC15" s="1201"/>
      <c r="AD15" s="1201"/>
      <c r="AE15" s="1201"/>
      <c r="AF15" s="1201"/>
      <c r="AG15" s="1201"/>
      <c r="AH15" s="1201"/>
    </row>
    <row r="16" spans="1:34" hidden="1" x14ac:dyDescent="0.25">
      <c r="A16" s="822">
        <v>43831</v>
      </c>
      <c r="C16" s="815">
        <v>39765</v>
      </c>
      <c r="E16" s="815">
        <v>690</v>
      </c>
      <c r="F16" s="810"/>
      <c r="G16" s="823">
        <v>2</v>
      </c>
      <c r="I16" s="801">
        <f>ROUND((+E16*1000*G16/100/2+I17),2)</f>
        <v>574446.88</v>
      </c>
      <c r="J16" s="801"/>
      <c r="K16" s="801">
        <f t="shared" si="0"/>
        <v>1264446.8799999999</v>
      </c>
      <c r="L16" s="801"/>
      <c r="M16" s="824">
        <f>K15+K16</f>
        <v>1264446.8799999999</v>
      </c>
      <c r="N16" s="801"/>
      <c r="O16" s="801"/>
      <c r="P16" s="801"/>
      <c r="Q16" s="801"/>
      <c r="R16" s="1352"/>
      <c r="S16" s="1358"/>
      <c r="T16" s="1349"/>
      <c r="U16" s="1358"/>
      <c r="V16" s="1201"/>
      <c r="W16" s="1358"/>
      <c r="X16" s="1201"/>
      <c r="Y16" s="1358"/>
      <c r="Z16" s="1201"/>
      <c r="AA16" s="1351"/>
      <c r="AB16" s="1201"/>
      <c r="AC16" s="1201"/>
      <c r="AD16" s="1201"/>
      <c r="AE16" s="1201"/>
      <c r="AF16" s="1201"/>
      <c r="AG16" s="1201"/>
      <c r="AH16" s="1201"/>
    </row>
    <row r="17" spans="1:34" hidden="1" x14ac:dyDescent="0.25">
      <c r="A17" s="822">
        <v>44013</v>
      </c>
      <c r="C17" s="810"/>
      <c r="E17" s="891"/>
      <c r="G17" s="823"/>
      <c r="I17" s="888">
        <f>ROUND((+E17*1000*G17/100/2+I18),2)</f>
        <v>567546.88</v>
      </c>
      <c r="J17" s="801"/>
      <c r="K17" s="888">
        <f t="shared" si="0"/>
        <v>567546.88</v>
      </c>
      <c r="L17" s="801"/>
      <c r="M17" s="801"/>
      <c r="N17" s="801"/>
      <c r="O17" s="801"/>
      <c r="P17" s="801"/>
      <c r="Q17" s="801"/>
      <c r="R17" s="1352"/>
      <c r="S17" s="1349"/>
      <c r="T17" s="1349"/>
      <c r="U17" s="1349"/>
      <c r="V17" s="1201"/>
      <c r="W17" s="1349"/>
      <c r="X17" s="1201"/>
      <c r="Y17" s="1350"/>
      <c r="Z17" s="1201"/>
      <c r="AA17" s="1351"/>
      <c r="AB17" s="1201"/>
      <c r="AC17" s="1201"/>
      <c r="AD17" s="1201"/>
      <c r="AE17" s="1201"/>
      <c r="AF17" s="1201"/>
      <c r="AG17" s="1201"/>
      <c r="AH17" s="1201"/>
    </row>
    <row r="18" spans="1:34" hidden="1" x14ac:dyDescent="0.25">
      <c r="A18" s="822">
        <v>44197</v>
      </c>
      <c r="C18" s="891">
        <f>C16-E16</f>
        <v>39075</v>
      </c>
      <c r="E18" s="891">
        <v>695</v>
      </c>
      <c r="F18" s="810"/>
      <c r="G18" s="823">
        <v>2</v>
      </c>
      <c r="I18" s="801">
        <f>ROUND((+E18*1000*G18/100/2+I19),2)</f>
        <v>567546.88</v>
      </c>
      <c r="J18" s="801"/>
      <c r="K18" s="801">
        <f t="shared" si="0"/>
        <v>1262546.8799999999</v>
      </c>
      <c r="L18" s="801"/>
      <c r="M18" s="888">
        <f>K17+K18</f>
        <v>1830093.7599999998</v>
      </c>
      <c r="N18" s="801"/>
      <c r="O18" s="801"/>
      <c r="P18" s="801"/>
      <c r="Q18" s="801"/>
      <c r="R18" s="1352"/>
      <c r="S18" s="1349"/>
      <c r="T18" s="1349"/>
      <c r="U18" s="1349"/>
      <c r="V18" s="1201"/>
      <c r="W18" s="1349"/>
      <c r="X18" s="1201"/>
      <c r="Y18" s="1350"/>
      <c r="Z18" s="1201"/>
      <c r="AA18" s="1351"/>
      <c r="AB18" s="1201"/>
      <c r="AC18" s="1201"/>
      <c r="AD18" s="1201"/>
      <c r="AE18" s="1201"/>
      <c r="AF18" s="1201"/>
      <c r="AG18" s="1201"/>
      <c r="AH18" s="1201"/>
    </row>
    <row r="19" spans="1:34" x14ac:dyDescent="0.25">
      <c r="A19" s="822">
        <v>44378</v>
      </c>
      <c r="C19" s="810"/>
      <c r="E19" s="810"/>
      <c r="F19" s="810"/>
      <c r="G19" s="823"/>
      <c r="I19" s="824">
        <f>ROUND((+E19*1000*G19/100/2+I20),2)</f>
        <v>560596.88</v>
      </c>
      <c r="J19" s="801"/>
      <c r="K19" s="824">
        <f t="shared" si="0"/>
        <v>560596.88</v>
      </c>
      <c r="L19" s="801"/>
      <c r="M19" s="801"/>
      <c r="N19" s="801"/>
      <c r="O19" s="801"/>
      <c r="P19" s="801"/>
      <c r="Q19" s="801"/>
      <c r="R19" s="1352"/>
      <c r="S19" s="1349"/>
      <c r="T19" s="1349"/>
      <c r="U19" s="1349"/>
      <c r="V19" s="1201"/>
      <c r="W19" s="1349"/>
      <c r="X19" s="1201"/>
      <c r="Y19" s="1350"/>
      <c r="Z19" s="1201"/>
      <c r="AA19" s="1351"/>
      <c r="AB19" s="1201"/>
      <c r="AC19" s="1201"/>
      <c r="AD19" s="1201"/>
      <c r="AE19" s="1201"/>
      <c r="AF19" s="1201"/>
      <c r="AG19" s="1201"/>
      <c r="AH19" s="1201"/>
    </row>
    <row r="20" spans="1:34" x14ac:dyDescent="0.25">
      <c r="A20" s="822">
        <v>44562</v>
      </c>
      <c r="C20" s="815">
        <f>C18-E18</f>
        <v>38380</v>
      </c>
      <c r="E20" s="815">
        <v>1505</v>
      </c>
      <c r="F20" s="823"/>
      <c r="G20" s="823">
        <v>2</v>
      </c>
      <c r="I20" s="801">
        <f>ROUND((+E20*1000*G20/100/2+I21),2)</f>
        <v>560596.88</v>
      </c>
      <c r="J20" s="801"/>
      <c r="K20" s="801">
        <f t="shared" si="0"/>
        <v>2065596.88</v>
      </c>
      <c r="L20" s="801"/>
      <c r="M20" s="824">
        <f>K19+K20</f>
        <v>2626193.7599999998</v>
      </c>
      <c r="N20" s="801"/>
      <c r="O20" s="801"/>
      <c r="P20" s="801"/>
      <c r="Q20" s="801"/>
      <c r="R20" s="1352"/>
      <c r="S20" s="1349"/>
      <c r="T20" s="1349"/>
      <c r="U20" s="1349"/>
      <c r="V20" s="1201"/>
      <c r="W20" s="1349"/>
      <c r="X20" s="1201"/>
      <c r="Y20" s="1350"/>
      <c r="Z20" s="1201"/>
      <c r="AA20" s="1351"/>
      <c r="AB20" s="1201"/>
      <c r="AC20" s="1201"/>
      <c r="AD20" s="1201"/>
      <c r="AE20" s="1201"/>
      <c r="AF20" s="1201"/>
      <c r="AG20" s="1201"/>
      <c r="AH20" s="1201"/>
    </row>
    <row r="21" spans="1:34" x14ac:dyDescent="0.25">
      <c r="A21" s="822">
        <v>44743</v>
      </c>
      <c r="C21" s="810"/>
      <c r="E21" s="810"/>
      <c r="F21" s="810"/>
      <c r="G21" s="823"/>
      <c r="I21" s="801">
        <f t="shared" ref="I21:I56" si="1">ROUND((+E21*1000*G21/100/2+I22),2)</f>
        <v>545546.88</v>
      </c>
      <c r="J21" s="801"/>
      <c r="K21" s="801">
        <f t="shared" si="0"/>
        <v>545546.88</v>
      </c>
      <c r="L21" s="801"/>
      <c r="M21" s="801"/>
      <c r="N21" s="801"/>
      <c r="O21" s="801"/>
      <c r="P21" s="801"/>
      <c r="Q21" s="801"/>
      <c r="R21" s="1352"/>
      <c r="S21" s="1349"/>
      <c r="T21" s="1349"/>
      <c r="U21" s="1349"/>
      <c r="V21" s="1201"/>
      <c r="W21" s="1349"/>
      <c r="X21" s="1201"/>
      <c r="Y21" s="1350"/>
      <c r="Z21" s="1201"/>
      <c r="AA21" s="1351"/>
      <c r="AB21" s="1201"/>
      <c r="AC21" s="1201"/>
      <c r="AD21" s="1201"/>
      <c r="AE21" s="1201"/>
      <c r="AF21" s="1201"/>
      <c r="AG21" s="1201"/>
      <c r="AH21" s="1201"/>
    </row>
    <row r="22" spans="1:34" x14ac:dyDescent="0.25">
      <c r="A22" s="822">
        <v>44927</v>
      </c>
      <c r="C22" s="810">
        <f>C20-E20</f>
        <v>36875</v>
      </c>
      <c r="E22" s="810">
        <v>1550</v>
      </c>
      <c r="F22" s="810"/>
      <c r="G22" s="823">
        <v>2</v>
      </c>
      <c r="I22" s="801">
        <f t="shared" si="1"/>
        <v>545546.88</v>
      </c>
      <c r="J22" s="801"/>
      <c r="K22" s="801">
        <f t="shared" si="0"/>
        <v>2095546.88</v>
      </c>
      <c r="L22" s="801"/>
      <c r="M22" s="801">
        <f>K21+K22</f>
        <v>2641093.7599999998</v>
      </c>
      <c r="N22" s="939"/>
      <c r="O22" s="801"/>
      <c r="P22" s="801"/>
      <c r="Q22" s="801"/>
      <c r="R22" s="1352"/>
      <c r="S22" s="1349"/>
      <c r="T22" s="1349"/>
      <c r="U22" s="1349"/>
      <c r="V22" s="1201"/>
      <c r="W22" s="1349"/>
      <c r="X22" s="1201"/>
      <c r="Y22" s="1350"/>
      <c r="Z22" s="1201"/>
      <c r="AA22" s="1351"/>
      <c r="AB22" s="1201"/>
      <c r="AC22" s="1201"/>
      <c r="AD22" s="1201"/>
      <c r="AE22" s="1201"/>
      <c r="AF22" s="1201"/>
      <c r="AG22" s="1201"/>
      <c r="AH22" s="1201"/>
    </row>
    <row r="23" spans="1:34" x14ac:dyDescent="0.25">
      <c r="A23" s="822">
        <v>45108</v>
      </c>
      <c r="C23" s="810"/>
      <c r="E23" s="810"/>
      <c r="F23" s="810"/>
      <c r="G23" s="823"/>
      <c r="I23" s="801">
        <f t="shared" si="1"/>
        <v>530046.88</v>
      </c>
      <c r="J23" s="801"/>
      <c r="K23" s="801">
        <f t="shared" si="0"/>
        <v>530046.88</v>
      </c>
      <c r="L23" s="801"/>
      <c r="M23" s="801"/>
      <c r="N23" s="801"/>
      <c r="O23" s="801"/>
      <c r="P23" s="801"/>
      <c r="Q23" s="801"/>
      <c r="R23" s="1352"/>
      <c r="S23" s="1349"/>
      <c r="T23" s="1349"/>
      <c r="U23" s="1349"/>
      <c r="V23" s="1201"/>
      <c r="W23" s="1349"/>
      <c r="X23" s="1201"/>
      <c r="Y23" s="1350"/>
      <c r="Z23" s="1201"/>
      <c r="AA23" s="1351"/>
      <c r="AB23" s="1201"/>
      <c r="AC23" s="1201"/>
      <c r="AD23" s="1201"/>
      <c r="AE23" s="1201"/>
      <c r="AF23" s="1201"/>
      <c r="AG23" s="1201"/>
      <c r="AH23" s="1201"/>
    </row>
    <row r="24" spans="1:34" x14ac:dyDescent="0.25">
      <c r="A24" s="822">
        <v>45292</v>
      </c>
      <c r="C24" s="810">
        <f>C22-E22</f>
        <v>35325</v>
      </c>
      <c r="E24" s="810">
        <v>1595</v>
      </c>
      <c r="F24" s="810"/>
      <c r="G24" s="823">
        <v>2</v>
      </c>
      <c r="I24" s="801">
        <f t="shared" si="1"/>
        <v>530046.88</v>
      </c>
      <c r="J24" s="801"/>
      <c r="K24" s="801">
        <f t="shared" si="0"/>
        <v>2125046.88</v>
      </c>
      <c r="L24" s="801"/>
      <c r="M24" s="801">
        <f>K23+K24</f>
        <v>2655093.7599999998</v>
      </c>
      <c r="N24" s="801"/>
      <c r="O24" s="801"/>
      <c r="P24" s="801"/>
      <c r="Q24" s="801"/>
      <c r="R24" s="1352"/>
      <c r="S24" s="1349"/>
      <c r="T24" s="1349"/>
      <c r="U24" s="1349"/>
      <c r="V24" s="1201"/>
      <c r="W24" s="1349"/>
      <c r="X24" s="1201"/>
      <c r="Y24" s="1350"/>
      <c r="Z24" s="1201"/>
      <c r="AA24" s="1351"/>
      <c r="AB24" s="1201"/>
      <c r="AC24" s="1201"/>
      <c r="AD24" s="1201"/>
      <c r="AE24" s="1201"/>
      <c r="AF24" s="1201"/>
      <c r="AG24" s="1201"/>
      <c r="AH24" s="1201"/>
    </row>
    <row r="25" spans="1:34" x14ac:dyDescent="0.25">
      <c r="A25" s="822">
        <v>45474</v>
      </c>
      <c r="C25" s="810"/>
      <c r="E25" s="810"/>
      <c r="F25" s="810"/>
      <c r="G25" s="823"/>
      <c r="I25" s="801">
        <f t="shared" si="1"/>
        <v>514096.88</v>
      </c>
      <c r="J25" s="801"/>
      <c r="K25" s="801">
        <f t="shared" si="0"/>
        <v>514096.88</v>
      </c>
      <c r="L25" s="801"/>
      <c r="M25" s="801"/>
      <c r="N25" s="801"/>
      <c r="O25" s="801"/>
      <c r="P25" s="801"/>
      <c r="Q25" s="801"/>
      <c r="R25" s="1352"/>
      <c r="S25" s="1349"/>
      <c r="T25" s="1349"/>
      <c r="U25" s="1349"/>
      <c r="V25" s="1201"/>
      <c r="W25" s="1349"/>
      <c r="X25" s="1201"/>
      <c r="Y25" s="1350"/>
      <c r="Z25" s="1201"/>
      <c r="AA25" s="1351"/>
      <c r="AB25" s="1201"/>
      <c r="AC25" s="1201"/>
      <c r="AD25" s="1201"/>
      <c r="AE25" s="1201"/>
      <c r="AF25" s="1201"/>
      <c r="AG25" s="1201"/>
      <c r="AH25" s="1201"/>
    </row>
    <row r="26" spans="1:34" x14ac:dyDescent="0.25">
      <c r="A26" s="822">
        <v>45658</v>
      </c>
      <c r="C26" s="810">
        <f>C24-E24</f>
        <v>33730</v>
      </c>
      <c r="E26" s="810">
        <v>1645</v>
      </c>
      <c r="F26" s="810"/>
      <c r="G26" s="823">
        <v>3</v>
      </c>
      <c r="I26" s="801">
        <f t="shared" si="1"/>
        <v>514096.88</v>
      </c>
      <c r="J26" s="801"/>
      <c r="K26" s="801">
        <f t="shared" si="0"/>
        <v>2159096.88</v>
      </c>
      <c r="L26" s="801"/>
      <c r="M26" s="801">
        <f>K25+K26</f>
        <v>2673193.7599999998</v>
      </c>
      <c r="N26" s="801"/>
      <c r="O26" s="801"/>
      <c r="P26" s="801"/>
      <c r="Q26" s="801"/>
      <c r="R26" s="1352"/>
      <c r="S26" s="1349"/>
      <c r="T26" s="1349"/>
      <c r="U26" s="1349"/>
      <c r="V26" s="1201"/>
      <c r="W26" s="1349"/>
      <c r="X26" s="1201"/>
      <c r="Y26" s="1350"/>
      <c r="Z26" s="1201"/>
      <c r="AA26" s="1351"/>
      <c r="AB26" s="1201"/>
      <c r="AC26" s="1201"/>
      <c r="AD26" s="1201"/>
      <c r="AE26" s="1201"/>
      <c r="AF26" s="1355"/>
      <c r="AG26" s="1201"/>
      <c r="AH26" s="1201"/>
    </row>
    <row r="27" spans="1:34" x14ac:dyDescent="0.25">
      <c r="A27" s="822">
        <v>45839</v>
      </c>
      <c r="C27" s="810"/>
      <c r="E27" s="810"/>
      <c r="F27" s="810"/>
      <c r="G27" s="823"/>
      <c r="I27" s="801">
        <f t="shared" si="1"/>
        <v>489421.88</v>
      </c>
      <c r="J27" s="801"/>
      <c r="K27" s="801">
        <f t="shared" si="0"/>
        <v>489421.88</v>
      </c>
      <c r="L27" s="801"/>
      <c r="M27" s="801"/>
      <c r="N27" s="801"/>
      <c r="O27" s="801"/>
      <c r="P27" s="801"/>
      <c r="Q27" s="801"/>
      <c r="R27" s="1352"/>
      <c r="S27" s="1349"/>
      <c r="T27" s="1349"/>
      <c r="U27" s="1349"/>
      <c r="V27" s="1201"/>
      <c r="W27" s="1349"/>
      <c r="X27" s="1201"/>
      <c r="Y27" s="1350"/>
      <c r="Z27" s="1201"/>
      <c r="AA27" s="1351"/>
      <c r="AB27" s="1201"/>
      <c r="AC27" s="1201"/>
      <c r="AD27" s="1201"/>
      <c r="AE27" s="1201"/>
      <c r="AF27" s="1355"/>
      <c r="AG27" s="1201"/>
      <c r="AH27" s="1201"/>
    </row>
    <row r="28" spans="1:34" x14ac:dyDescent="0.25">
      <c r="A28" s="822">
        <v>46023</v>
      </c>
      <c r="C28" s="810">
        <f>C26-E26</f>
        <v>32085</v>
      </c>
      <c r="E28" s="810">
        <v>1690</v>
      </c>
      <c r="F28" s="810"/>
      <c r="G28" s="823">
        <v>3</v>
      </c>
      <c r="I28" s="801">
        <f t="shared" si="1"/>
        <v>489421.88</v>
      </c>
      <c r="J28" s="801"/>
      <c r="K28" s="801">
        <f t="shared" si="0"/>
        <v>2179421.88</v>
      </c>
      <c r="L28" s="801"/>
      <c r="M28" s="801">
        <f>K27+K28</f>
        <v>2668843.7599999998</v>
      </c>
      <c r="N28" s="939"/>
      <c r="O28" s="801"/>
      <c r="P28" s="801"/>
      <c r="Q28" s="801"/>
      <c r="R28" s="1352"/>
      <c r="S28" s="1349"/>
      <c r="T28" s="1349"/>
      <c r="U28" s="1349"/>
      <c r="V28" s="1201"/>
      <c r="W28" s="1349"/>
      <c r="X28" s="1201"/>
      <c r="Y28" s="1350"/>
      <c r="Z28" s="1201"/>
      <c r="AA28" s="1351"/>
      <c r="AB28" s="1201"/>
      <c r="AC28" s="1201"/>
      <c r="AD28" s="1201"/>
      <c r="AE28" s="1201"/>
      <c r="AF28" s="1355"/>
      <c r="AG28" s="1201"/>
      <c r="AH28" s="1201"/>
    </row>
    <row r="29" spans="1:34" x14ac:dyDescent="0.25">
      <c r="A29" s="822">
        <v>46204</v>
      </c>
      <c r="C29" s="810"/>
      <c r="E29" s="810"/>
      <c r="F29" s="810"/>
      <c r="G29" s="823"/>
      <c r="I29" s="801">
        <f t="shared" si="1"/>
        <v>464071.88</v>
      </c>
      <c r="J29" s="801"/>
      <c r="K29" s="801">
        <f t="shared" si="0"/>
        <v>464071.88</v>
      </c>
      <c r="L29" s="801"/>
      <c r="M29" s="801"/>
      <c r="N29" s="801"/>
      <c r="O29" s="801"/>
      <c r="P29" s="801"/>
      <c r="Q29" s="801"/>
      <c r="R29" s="1352"/>
      <c r="S29" s="1349"/>
      <c r="T29" s="1349"/>
      <c r="U29" s="1349"/>
      <c r="V29" s="1201"/>
      <c r="W29" s="1349"/>
      <c r="X29" s="1201"/>
      <c r="Y29" s="1350"/>
      <c r="Z29" s="1201"/>
      <c r="AA29" s="1351"/>
      <c r="AB29" s="1201"/>
      <c r="AC29" s="1201"/>
      <c r="AD29" s="1201"/>
      <c r="AE29" s="1201"/>
      <c r="AF29" s="1355"/>
      <c r="AG29" s="1201"/>
      <c r="AH29" s="1201"/>
    </row>
    <row r="30" spans="1:34" x14ac:dyDescent="0.25">
      <c r="A30" s="822">
        <v>46388</v>
      </c>
      <c r="C30" s="810">
        <f>C28-E28</f>
        <v>30395</v>
      </c>
      <c r="E30" s="810">
        <v>1745</v>
      </c>
      <c r="F30" s="810"/>
      <c r="G30" s="823">
        <v>3</v>
      </c>
      <c r="I30" s="801">
        <f t="shared" si="1"/>
        <v>464071.88</v>
      </c>
      <c r="J30" s="801"/>
      <c r="K30" s="801">
        <f t="shared" si="0"/>
        <v>2209071.88</v>
      </c>
      <c r="L30" s="801"/>
      <c r="M30" s="801">
        <f>K29+K30</f>
        <v>2673143.7599999998</v>
      </c>
      <c r="N30" s="801"/>
      <c r="O30" s="801"/>
      <c r="P30" s="801"/>
      <c r="Q30" s="801"/>
      <c r="R30" s="1352"/>
      <c r="S30" s="1349"/>
      <c r="T30" s="1349"/>
      <c r="U30" s="1349"/>
      <c r="V30" s="1201"/>
      <c r="W30" s="1349"/>
      <c r="X30" s="1201"/>
      <c r="Y30" s="1350"/>
      <c r="Z30" s="1201"/>
      <c r="AA30" s="1351"/>
      <c r="AB30" s="1201"/>
      <c r="AC30" s="1201"/>
      <c r="AD30" s="1201"/>
      <c r="AE30" s="1201"/>
      <c r="AF30" s="1355"/>
      <c r="AG30" s="1201"/>
      <c r="AH30" s="1201"/>
    </row>
    <row r="31" spans="1:34" x14ac:dyDescent="0.25">
      <c r="A31" s="822">
        <v>46569</v>
      </c>
      <c r="C31" s="810"/>
      <c r="E31" s="810"/>
      <c r="F31" s="810"/>
      <c r="G31" s="823"/>
      <c r="I31" s="801">
        <f t="shared" si="1"/>
        <v>437896.88</v>
      </c>
      <c r="J31" s="801"/>
      <c r="K31" s="801">
        <f t="shared" si="0"/>
        <v>437896.88</v>
      </c>
      <c r="L31" s="801"/>
      <c r="M31" s="801"/>
      <c r="N31" s="801"/>
      <c r="O31" s="801"/>
      <c r="P31" s="801"/>
      <c r="Q31" s="801"/>
      <c r="R31" s="1352"/>
      <c r="S31" s="1349"/>
      <c r="T31" s="1349"/>
      <c r="U31" s="1349"/>
      <c r="V31" s="1201"/>
      <c r="W31" s="1349"/>
      <c r="X31" s="1201"/>
      <c r="Y31" s="1350"/>
      <c r="Z31" s="1201"/>
      <c r="AA31" s="1351"/>
      <c r="AB31" s="1201"/>
      <c r="AC31" s="1201"/>
      <c r="AD31" s="1201"/>
      <c r="AE31" s="1201"/>
      <c r="AF31" s="1355"/>
      <c r="AG31" s="1201"/>
      <c r="AH31" s="1201"/>
    </row>
    <row r="32" spans="1:34" x14ac:dyDescent="0.25">
      <c r="A32" s="822">
        <v>46753</v>
      </c>
      <c r="C32" s="810">
        <f>C30-E30</f>
        <v>28650</v>
      </c>
      <c r="E32" s="810">
        <v>1795</v>
      </c>
      <c r="F32" s="810"/>
      <c r="G32" s="823">
        <v>3</v>
      </c>
      <c r="I32" s="801">
        <f t="shared" si="1"/>
        <v>437896.88</v>
      </c>
      <c r="J32" s="801"/>
      <c r="K32" s="801">
        <f t="shared" si="0"/>
        <v>2232896.88</v>
      </c>
      <c r="L32" s="801"/>
      <c r="M32" s="801">
        <f>K31+K32</f>
        <v>2670793.7599999998</v>
      </c>
      <c r="N32" s="801"/>
      <c r="O32" s="801"/>
      <c r="P32" s="801"/>
      <c r="Q32" s="801"/>
      <c r="R32" s="1352"/>
      <c r="S32" s="1349"/>
      <c r="T32" s="1349"/>
      <c r="U32" s="1349"/>
      <c r="V32" s="1201"/>
      <c r="W32" s="1349"/>
      <c r="X32" s="1201"/>
      <c r="Y32" s="1350"/>
      <c r="Z32" s="1201"/>
      <c r="AA32" s="1351"/>
      <c r="AB32" s="1349"/>
      <c r="AC32" s="1201"/>
      <c r="AD32" s="1201"/>
      <c r="AE32" s="1201"/>
      <c r="AF32" s="1355"/>
      <c r="AG32" s="1201"/>
      <c r="AH32" s="1201"/>
    </row>
    <row r="33" spans="1:34" x14ac:dyDescent="0.25">
      <c r="A33" s="822">
        <v>46935</v>
      </c>
      <c r="C33" s="810"/>
      <c r="E33" s="810"/>
      <c r="F33" s="810"/>
      <c r="G33" s="823"/>
      <c r="I33" s="801">
        <f t="shared" si="1"/>
        <v>410971.88</v>
      </c>
      <c r="J33" s="801"/>
      <c r="K33" s="801">
        <f t="shared" si="0"/>
        <v>410971.88</v>
      </c>
      <c r="L33" s="801"/>
      <c r="M33" s="801"/>
      <c r="N33" s="801"/>
      <c r="O33" s="801"/>
      <c r="P33" s="801"/>
      <c r="Q33" s="801"/>
      <c r="R33" s="1352"/>
      <c r="S33" s="1349"/>
      <c r="T33" s="1349"/>
      <c r="U33" s="1349"/>
      <c r="V33" s="1201"/>
      <c r="W33" s="1349"/>
      <c r="X33" s="1201"/>
      <c r="Y33" s="1350"/>
      <c r="Z33" s="1201"/>
      <c r="AA33" s="1351"/>
      <c r="AB33" s="1201"/>
      <c r="AC33" s="1201"/>
      <c r="AD33" s="1201"/>
      <c r="AE33" s="1201"/>
      <c r="AF33" s="1355"/>
      <c r="AG33" s="1201"/>
      <c r="AH33" s="1201"/>
    </row>
    <row r="34" spans="1:34" x14ac:dyDescent="0.25">
      <c r="A34" s="822">
        <v>47119</v>
      </c>
      <c r="C34" s="810">
        <f>C32-E32</f>
        <v>26855</v>
      </c>
      <c r="E34" s="810">
        <v>1850</v>
      </c>
      <c r="F34" s="810"/>
      <c r="G34" s="823">
        <v>3</v>
      </c>
      <c r="I34" s="801">
        <f t="shared" si="1"/>
        <v>410971.88</v>
      </c>
      <c r="J34" s="801"/>
      <c r="K34" s="801">
        <f t="shared" si="0"/>
        <v>2260971.88</v>
      </c>
      <c r="L34" s="801"/>
      <c r="M34" s="801">
        <f>K33+K34</f>
        <v>2671943.7599999998</v>
      </c>
      <c r="N34" s="801"/>
      <c r="O34" s="801"/>
      <c r="P34" s="801"/>
      <c r="Q34" s="801"/>
      <c r="R34" s="1352"/>
      <c r="S34" s="1349"/>
      <c r="T34" s="1349"/>
      <c r="U34" s="1349"/>
      <c r="V34" s="1201"/>
      <c r="W34" s="1349"/>
      <c r="X34" s="1201"/>
      <c r="Y34" s="1350"/>
      <c r="Z34" s="1201"/>
      <c r="AA34" s="1351"/>
      <c r="AB34" s="1359"/>
      <c r="AC34" s="1201"/>
      <c r="AD34" s="1201"/>
      <c r="AE34" s="1201"/>
      <c r="AF34" s="1355"/>
      <c r="AG34" s="1201"/>
      <c r="AH34" s="1201"/>
    </row>
    <row r="35" spans="1:34" x14ac:dyDescent="0.25">
      <c r="A35" s="822">
        <v>47300</v>
      </c>
      <c r="C35" s="810"/>
      <c r="E35" s="810"/>
      <c r="F35" s="810"/>
      <c r="G35" s="823"/>
      <c r="I35" s="801">
        <f t="shared" si="1"/>
        <v>383221.88</v>
      </c>
      <c r="J35" s="801"/>
      <c r="K35" s="801">
        <f t="shared" si="0"/>
        <v>383221.88</v>
      </c>
      <c r="L35" s="801"/>
      <c r="M35" s="801"/>
      <c r="N35" s="801"/>
      <c r="O35" s="801"/>
      <c r="P35" s="801"/>
      <c r="Q35" s="801"/>
      <c r="R35" s="1352"/>
      <c r="S35" s="1349"/>
      <c r="T35" s="1349"/>
      <c r="U35" s="1349"/>
      <c r="V35" s="1201"/>
      <c r="W35" s="1349"/>
      <c r="X35" s="1201"/>
      <c r="Y35" s="1350"/>
      <c r="Z35" s="1201"/>
      <c r="AA35" s="1351"/>
      <c r="AB35" s="1349"/>
      <c r="AC35" s="1201"/>
      <c r="AD35" s="1201"/>
      <c r="AE35" s="1201"/>
      <c r="AF35" s="1355"/>
      <c r="AG35" s="1201"/>
      <c r="AH35" s="1201"/>
    </row>
    <row r="36" spans="1:34" x14ac:dyDescent="0.25">
      <c r="A36" s="822">
        <v>47484</v>
      </c>
      <c r="C36" s="810">
        <f>C34-E34</f>
        <v>25005</v>
      </c>
      <c r="E36" s="810">
        <v>1905</v>
      </c>
      <c r="F36" s="810"/>
      <c r="G36" s="823">
        <v>3</v>
      </c>
      <c r="I36" s="801">
        <f t="shared" si="1"/>
        <v>383221.88</v>
      </c>
      <c r="J36" s="801"/>
      <c r="K36" s="801">
        <f t="shared" si="0"/>
        <v>2288221.88</v>
      </c>
      <c r="L36" s="801"/>
      <c r="M36" s="801">
        <f>K35+K36</f>
        <v>2671443.7599999998</v>
      </c>
      <c r="N36" s="801"/>
      <c r="O36" s="801"/>
      <c r="P36" s="801"/>
      <c r="Q36" s="801"/>
      <c r="R36" s="1352"/>
      <c r="S36" s="1349"/>
      <c r="T36" s="1349"/>
      <c r="U36" s="1349"/>
      <c r="V36" s="1201"/>
      <c r="W36" s="1349"/>
      <c r="X36" s="1201"/>
      <c r="Y36" s="1350"/>
      <c r="Z36" s="1201"/>
      <c r="AA36" s="1351"/>
      <c r="AB36" s="1349"/>
      <c r="AC36" s="1201"/>
      <c r="AD36" s="1201"/>
      <c r="AE36" s="1201"/>
      <c r="AF36" s="1355"/>
      <c r="AG36" s="1201"/>
      <c r="AH36" s="1201"/>
    </row>
    <row r="37" spans="1:34" x14ac:dyDescent="0.25">
      <c r="A37" s="822">
        <v>47665</v>
      </c>
      <c r="C37" s="810"/>
      <c r="E37" s="810"/>
      <c r="F37" s="810"/>
      <c r="G37" s="823"/>
      <c r="I37" s="801">
        <f t="shared" si="1"/>
        <v>354646.88</v>
      </c>
      <c r="J37" s="801"/>
      <c r="K37" s="801">
        <f t="shared" si="0"/>
        <v>354646.88</v>
      </c>
      <c r="L37" s="801"/>
      <c r="M37" s="801"/>
      <c r="N37" s="801"/>
      <c r="O37" s="801"/>
      <c r="P37" s="801"/>
      <c r="Q37" s="801"/>
      <c r="R37" s="1352"/>
      <c r="S37" s="1349"/>
      <c r="T37" s="1349"/>
      <c r="U37" s="1349"/>
      <c r="V37" s="1201"/>
      <c r="W37" s="1349"/>
      <c r="X37" s="1201"/>
      <c r="Y37" s="1350"/>
      <c r="Z37" s="1201"/>
      <c r="AA37" s="1351"/>
      <c r="AB37" s="1349"/>
      <c r="AC37" s="1201"/>
      <c r="AD37" s="1201"/>
      <c r="AE37" s="1201"/>
      <c r="AF37" s="1355"/>
      <c r="AG37" s="1201"/>
      <c r="AH37" s="1201"/>
    </row>
    <row r="38" spans="1:34" x14ac:dyDescent="0.25">
      <c r="A38" s="822">
        <v>47849</v>
      </c>
      <c r="C38" s="810">
        <f>C36-E36</f>
        <v>23100</v>
      </c>
      <c r="E38" s="810">
        <v>1960</v>
      </c>
      <c r="F38" s="810"/>
      <c r="G38" s="823">
        <v>3</v>
      </c>
      <c r="I38" s="801">
        <f t="shared" si="1"/>
        <v>354646.88</v>
      </c>
      <c r="J38" s="801"/>
      <c r="K38" s="801">
        <f t="shared" si="0"/>
        <v>2314646.88</v>
      </c>
      <c r="L38" s="801"/>
      <c r="M38" s="801">
        <f>K37+K38</f>
        <v>2669293.7599999998</v>
      </c>
      <c r="N38" s="801"/>
      <c r="O38" s="801"/>
      <c r="P38" s="801"/>
      <c r="Q38" s="801"/>
      <c r="R38" s="1352"/>
      <c r="S38" s="1349"/>
      <c r="T38" s="1349"/>
      <c r="U38" s="1349"/>
      <c r="V38" s="1201"/>
      <c r="W38" s="1349"/>
      <c r="X38" s="1201"/>
      <c r="Y38" s="1350"/>
      <c r="Z38" s="1201"/>
      <c r="AA38" s="1351"/>
      <c r="AB38" s="1201"/>
      <c r="AC38" s="1201"/>
      <c r="AD38" s="1201"/>
      <c r="AE38" s="1201"/>
      <c r="AF38" s="1355"/>
      <c r="AG38" s="1201"/>
      <c r="AH38" s="1201"/>
    </row>
    <row r="39" spans="1:34" x14ac:dyDescent="0.25">
      <c r="A39" s="822">
        <v>48030</v>
      </c>
      <c r="C39" s="810"/>
      <c r="E39" s="810"/>
      <c r="F39" s="810"/>
      <c r="G39" s="823"/>
      <c r="I39" s="801">
        <f t="shared" si="1"/>
        <v>325246.88</v>
      </c>
      <c r="J39" s="801"/>
      <c r="K39" s="801">
        <f t="shared" si="0"/>
        <v>325246.88</v>
      </c>
      <c r="L39" s="801"/>
      <c r="M39" s="801"/>
      <c r="N39" s="801"/>
      <c r="O39" s="801"/>
      <c r="P39" s="801"/>
      <c r="Q39" s="801"/>
      <c r="R39" s="1352"/>
      <c r="S39" s="1349"/>
      <c r="T39" s="1349"/>
      <c r="U39" s="1349"/>
      <c r="V39" s="1201"/>
      <c r="W39" s="1349"/>
      <c r="X39" s="1201"/>
      <c r="Y39" s="1350"/>
      <c r="Z39" s="1201"/>
      <c r="AA39" s="1351"/>
      <c r="AB39" s="1201"/>
      <c r="AC39" s="1201"/>
      <c r="AD39" s="1201"/>
      <c r="AE39" s="1201"/>
      <c r="AF39" s="1355"/>
      <c r="AG39" s="1201"/>
      <c r="AH39" s="1201"/>
    </row>
    <row r="40" spans="1:34" x14ac:dyDescent="0.25">
      <c r="A40" s="822">
        <v>48214</v>
      </c>
      <c r="C40" s="810">
        <f>C38-E38</f>
        <v>21140</v>
      </c>
      <c r="E40" s="810">
        <v>2025</v>
      </c>
      <c r="F40" s="810"/>
      <c r="G40" s="823">
        <v>3</v>
      </c>
      <c r="I40" s="801">
        <f t="shared" si="1"/>
        <v>325246.88</v>
      </c>
      <c r="J40" s="801"/>
      <c r="K40" s="801">
        <f t="shared" si="0"/>
        <v>2350246.88</v>
      </c>
      <c r="L40" s="801"/>
      <c r="M40" s="801">
        <f>K39+K40</f>
        <v>2675493.7599999998</v>
      </c>
      <c r="N40" s="801"/>
      <c r="O40" s="801"/>
      <c r="P40" s="801"/>
      <c r="Q40" s="801"/>
      <c r="R40" s="1352"/>
      <c r="S40" s="1349"/>
      <c r="T40" s="1349"/>
      <c r="U40" s="1349"/>
      <c r="V40" s="1201"/>
      <c r="W40" s="1349"/>
      <c r="X40" s="1201"/>
      <c r="Y40" s="1350"/>
      <c r="Z40" s="1201"/>
      <c r="AA40" s="1351"/>
      <c r="AB40" s="1201"/>
      <c r="AC40" s="1201"/>
      <c r="AD40" s="1201"/>
      <c r="AE40" s="1201"/>
      <c r="AF40" s="1355"/>
      <c r="AG40" s="1201"/>
      <c r="AH40" s="1201"/>
    </row>
    <row r="41" spans="1:34" x14ac:dyDescent="0.25">
      <c r="A41" s="822">
        <v>48396</v>
      </c>
      <c r="C41" s="810"/>
      <c r="E41" s="810"/>
      <c r="F41" s="810"/>
      <c r="G41" s="823"/>
      <c r="I41" s="801">
        <f t="shared" si="1"/>
        <v>294871.88</v>
      </c>
      <c r="J41" s="801"/>
      <c r="K41" s="801">
        <f t="shared" si="0"/>
        <v>294871.88</v>
      </c>
      <c r="L41" s="801"/>
      <c r="M41" s="801"/>
      <c r="N41" s="801"/>
      <c r="O41" s="801"/>
      <c r="P41" s="801"/>
      <c r="Q41" s="801"/>
      <c r="R41" s="1352"/>
      <c r="S41" s="1349"/>
      <c r="T41" s="1349"/>
      <c r="U41" s="1349"/>
      <c r="V41" s="1201"/>
      <c r="W41" s="1349"/>
      <c r="X41" s="1201"/>
      <c r="Y41" s="1350"/>
      <c r="Z41" s="1201"/>
      <c r="AA41" s="1351"/>
      <c r="AB41" s="1201"/>
      <c r="AC41" s="1201"/>
      <c r="AD41" s="1201"/>
      <c r="AE41" s="1201"/>
      <c r="AF41" s="1355"/>
      <c r="AG41" s="1201"/>
      <c r="AH41" s="1201"/>
    </row>
    <row r="42" spans="1:34" x14ac:dyDescent="0.25">
      <c r="A42" s="822">
        <v>48580</v>
      </c>
      <c r="C42" s="810">
        <f>C40-E40</f>
        <v>19115</v>
      </c>
      <c r="E42" s="810">
        <v>2090</v>
      </c>
      <c r="F42" s="940" t="s">
        <v>83</v>
      </c>
      <c r="G42" s="823">
        <v>3</v>
      </c>
      <c r="I42" s="801">
        <f t="shared" si="1"/>
        <v>294871.88</v>
      </c>
      <c r="J42" s="801"/>
      <c r="K42" s="801">
        <f t="shared" si="0"/>
        <v>2384871.88</v>
      </c>
      <c r="L42" s="801"/>
      <c r="M42" s="801">
        <f>K41+K42</f>
        <v>2679743.7599999998</v>
      </c>
      <c r="N42" s="801"/>
      <c r="O42" s="801"/>
      <c r="P42" s="801"/>
      <c r="Q42" s="801"/>
      <c r="R42" s="1352"/>
      <c r="S42" s="1349"/>
      <c r="T42" s="1349"/>
      <c r="U42" s="1349"/>
      <c r="V42" s="1201"/>
      <c r="W42" s="1349"/>
      <c r="X42" s="1201"/>
      <c r="Y42" s="1350"/>
      <c r="Z42" s="1201"/>
      <c r="AA42" s="1351"/>
      <c r="AB42" s="1201"/>
      <c r="AC42" s="1201"/>
      <c r="AD42" s="1201"/>
      <c r="AE42" s="1201"/>
      <c r="AF42" s="1355"/>
      <c r="AG42" s="1201"/>
      <c r="AH42" s="1201"/>
    </row>
    <row r="43" spans="1:34" x14ac:dyDescent="0.25">
      <c r="A43" s="822">
        <v>48761</v>
      </c>
      <c r="C43" s="810"/>
      <c r="E43" s="810"/>
      <c r="F43" s="810"/>
      <c r="G43" s="823"/>
      <c r="I43" s="801">
        <f t="shared" si="1"/>
        <v>263521.88</v>
      </c>
      <c r="J43" s="801"/>
      <c r="K43" s="801">
        <f t="shared" si="0"/>
        <v>263521.88</v>
      </c>
      <c r="L43" s="801"/>
      <c r="M43" s="801"/>
      <c r="N43" s="801"/>
      <c r="O43" s="801"/>
      <c r="P43" s="801"/>
      <c r="Q43" s="801"/>
      <c r="R43" s="1352"/>
      <c r="S43" s="1349"/>
      <c r="T43" s="1349"/>
      <c r="U43" s="1349"/>
      <c r="V43" s="1201"/>
      <c r="W43" s="1349"/>
      <c r="X43" s="1201"/>
      <c r="Y43" s="1350"/>
      <c r="Z43" s="1201"/>
      <c r="AA43" s="1351"/>
      <c r="AB43" s="1201"/>
      <c r="AC43" s="1201"/>
      <c r="AD43" s="1201"/>
      <c r="AE43" s="1201"/>
      <c r="AF43" s="1355"/>
      <c r="AG43" s="1201"/>
      <c r="AH43" s="1201"/>
    </row>
    <row r="44" spans="1:34" x14ac:dyDescent="0.25">
      <c r="A44" s="822">
        <v>48945</v>
      </c>
      <c r="C44" s="810">
        <f>C42-E42</f>
        <v>17025</v>
      </c>
      <c r="E44" s="810">
        <v>2165</v>
      </c>
      <c r="F44" s="940" t="s">
        <v>83</v>
      </c>
      <c r="G44" s="823">
        <v>3</v>
      </c>
      <c r="I44" s="801">
        <f t="shared" si="1"/>
        <v>263521.88</v>
      </c>
      <c r="J44" s="801"/>
      <c r="K44" s="801">
        <f t="shared" si="0"/>
        <v>2428521.88</v>
      </c>
      <c r="L44" s="801"/>
      <c r="M44" s="801">
        <f>K43+K44</f>
        <v>2692043.76</v>
      </c>
      <c r="N44" s="801"/>
      <c r="O44" s="801"/>
      <c r="P44" s="801"/>
      <c r="Q44" s="801"/>
      <c r="R44" s="1352"/>
      <c r="S44" s="1349"/>
      <c r="T44" s="1349"/>
      <c r="U44" s="1349"/>
      <c r="V44" s="1201"/>
      <c r="W44" s="1349"/>
      <c r="X44" s="1201"/>
      <c r="Y44" s="1350"/>
      <c r="Z44" s="1201"/>
      <c r="AA44" s="1351"/>
      <c r="AB44" s="1201"/>
      <c r="AC44" s="1201"/>
      <c r="AD44" s="1201"/>
      <c r="AE44" s="1201"/>
      <c r="AF44" s="1355"/>
      <c r="AG44" s="1201"/>
      <c r="AH44" s="1201"/>
    </row>
    <row r="45" spans="1:34" x14ac:dyDescent="0.25">
      <c r="A45" s="822">
        <v>49126</v>
      </c>
      <c r="C45" s="810"/>
      <c r="E45" s="810"/>
      <c r="F45" s="810"/>
      <c r="G45" s="823"/>
      <c r="I45" s="801">
        <f t="shared" si="1"/>
        <v>231046.88</v>
      </c>
      <c r="J45" s="801"/>
      <c r="K45" s="801">
        <f t="shared" si="0"/>
        <v>231046.88</v>
      </c>
      <c r="L45" s="801"/>
      <c r="M45" s="801"/>
      <c r="N45" s="801"/>
      <c r="O45" s="801"/>
      <c r="P45" s="801"/>
      <c r="Q45" s="801"/>
      <c r="R45" s="1352"/>
      <c r="S45" s="1349"/>
      <c r="T45" s="1349"/>
      <c r="U45" s="1349"/>
      <c r="V45" s="1201"/>
      <c r="W45" s="1349"/>
      <c r="X45" s="1201"/>
      <c r="Y45" s="1350"/>
      <c r="Z45" s="1201"/>
      <c r="AA45" s="1351"/>
      <c r="AB45" s="1201"/>
      <c r="AC45" s="1201"/>
      <c r="AD45" s="1201"/>
      <c r="AE45" s="1201"/>
      <c r="AF45" s="1355"/>
      <c r="AG45" s="1201"/>
      <c r="AH45" s="1201"/>
    </row>
    <row r="46" spans="1:34" x14ac:dyDescent="0.25">
      <c r="A46" s="822">
        <v>49310</v>
      </c>
      <c r="C46" s="810">
        <f>C44-E44</f>
        <v>14860</v>
      </c>
      <c r="E46" s="810">
        <v>2240</v>
      </c>
      <c r="F46" s="810"/>
      <c r="G46" s="823">
        <v>3</v>
      </c>
      <c r="I46" s="801">
        <f t="shared" si="1"/>
        <v>231046.88</v>
      </c>
      <c r="J46" s="801"/>
      <c r="K46" s="801">
        <f t="shared" si="0"/>
        <v>2471046.88</v>
      </c>
      <c r="L46" s="801"/>
      <c r="M46" s="801">
        <f>K45+K46</f>
        <v>2702093.76</v>
      </c>
      <c r="N46" s="801"/>
      <c r="O46" s="801"/>
      <c r="P46" s="801"/>
      <c r="Q46" s="801"/>
      <c r="R46" s="1352"/>
      <c r="S46" s="1349"/>
      <c r="T46" s="1349"/>
      <c r="U46" s="1349"/>
      <c r="V46" s="1201"/>
      <c r="W46" s="1349"/>
      <c r="X46" s="1201"/>
      <c r="Y46" s="1350"/>
      <c r="Z46" s="1201"/>
      <c r="AA46" s="1351"/>
      <c r="AB46" s="1201"/>
      <c r="AC46" s="1201"/>
      <c r="AD46" s="1201"/>
      <c r="AE46" s="1201"/>
      <c r="AF46" s="1355"/>
      <c r="AG46" s="1201"/>
      <c r="AH46" s="1201"/>
    </row>
    <row r="47" spans="1:34" x14ac:dyDescent="0.25">
      <c r="A47" s="822">
        <v>49491</v>
      </c>
      <c r="C47" s="810"/>
      <c r="E47" s="810"/>
      <c r="F47" s="810"/>
      <c r="G47" s="823"/>
      <c r="I47" s="801">
        <f t="shared" si="1"/>
        <v>197446.88</v>
      </c>
      <c r="J47" s="801"/>
      <c r="K47" s="801">
        <f t="shared" si="0"/>
        <v>197446.88</v>
      </c>
      <c r="L47" s="801"/>
      <c r="M47" s="801"/>
      <c r="N47" s="801"/>
      <c r="O47" s="801"/>
      <c r="P47" s="801"/>
      <c r="Q47" s="801"/>
      <c r="R47" s="1352"/>
      <c r="S47" s="1349"/>
      <c r="T47" s="1349"/>
      <c r="U47" s="1349"/>
      <c r="V47" s="1201"/>
      <c r="W47" s="1349"/>
      <c r="X47" s="1201"/>
      <c r="Y47" s="1350"/>
      <c r="Z47" s="1201"/>
      <c r="AA47" s="1351"/>
      <c r="AB47" s="1201"/>
      <c r="AC47" s="1201"/>
      <c r="AD47" s="1201"/>
      <c r="AE47" s="1201"/>
      <c r="AF47" s="1355"/>
      <c r="AG47" s="1201"/>
      <c r="AH47" s="1201"/>
    </row>
    <row r="48" spans="1:34" x14ac:dyDescent="0.25">
      <c r="A48" s="822">
        <v>49675</v>
      </c>
      <c r="C48" s="810">
        <f>C46-E46</f>
        <v>12620</v>
      </c>
      <c r="E48" s="810">
        <v>2325</v>
      </c>
      <c r="F48" s="810"/>
      <c r="G48" s="823">
        <v>3</v>
      </c>
      <c r="I48" s="801">
        <f t="shared" si="1"/>
        <v>197446.88</v>
      </c>
      <c r="J48" s="801"/>
      <c r="K48" s="801">
        <f t="shared" si="0"/>
        <v>2522446.88</v>
      </c>
      <c r="L48" s="801"/>
      <c r="M48" s="801">
        <f>K47+K48</f>
        <v>2719893.76</v>
      </c>
      <c r="N48" s="801"/>
      <c r="O48" s="801"/>
      <c r="P48" s="801"/>
      <c r="Q48" s="801"/>
      <c r="R48" s="1352"/>
      <c r="S48" s="1349"/>
      <c r="T48" s="1349"/>
      <c r="U48" s="1349"/>
      <c r="V48" s="1201"/>
      <c r="W48" s="1349"/>
      <c r="X48" s="1201"/>
      <c r="Y48" s="1350"/>
      <c r="Z48" s="1201"/>
      <c r="AA48" s="1351"/>
      <c r="AB48" s="1201"/>
      <c r="AC48" s="1201"/>
      <c r="AD48" s="1201"/>
      <c r="AE48" s="1201"/>
      <c r="AF48" s="1355"/>
      <c r="AG48" s="1201"/>
      <c r="AH48" s="1201"/>
    </row>
    <row r="49" spans="1:34" x14ac:dyDescent="0.25">
      <c r="A49" s="822">
        <v>49857</v>
      </c>
      <c r="C49" s="810"/>
      <c r="E49" s="810"/>
      <c r="F49" s="810"/>
      <c r="G49" s="823"/>
      <c r="I49" s="801">
        <f t="shared" si="1"/>
        <v>162571.88</v>
      </c>
      <c r="J49" s="801"/>
      <c r="K49" s="801">
        <f t="shared" si="0"/>
        <v>162571.88</v>
      </c>
      <c r="L49" s="801"/>
      <c r="M49" s="801"/>
      <c r="N49" s="801"/>
      <c r="O49" s="801"/>
      <c r="P49" s="801"/>
      <c r="Q49" s="801"/>
      <c r="R49" s="1352"/>
      <c r="S49" s="1349"/>
      <c r="T49" s="1349"/>
      <c r="U49" s="1349"/>
      <c r="V49" s="1201"/>
      <c r="W49" s="1349"/>
      <c r="X49" s="1201"/>
      <c r="Y49" s="1350"/>
      <c r="Z49" s="1201"/>
      <c r="AA49" s="1351"/>
      <c r="AB49" s="1201"/>
      <c r="AC49" s="1201"/>
      <c r="AD49" s="1201"/>
      <c r="AE49" s="1201"/>
      <c r="AF49" s="1355"/>
      <c r="AG49" s="1201"/>
      <c r="AH49" s="1201"/>
    </row>
    <row r="50" spans="1:34" x14ac:dyDescent="0.25">
      <c r="A50" s="822">
        <v>50041</v>
      </c>
      <c r="C50" s="810">
        <f>C48-E48</f>
        <v>10295</v>
      </c>
      <c r="E50" s="810">
        <v>2410</v>
      </c>
      <c r="F50" s="810"/>
      <c r="G50" s="823">
        <v>3.125</v>
      </c>
      <c r="I50" s="801">
        <f t="shared" si="1"/>
        <v>162571.88</v>
      </c>
      <c r="J50" s="801"/>
      <c r="K50" s="801">
        <f t="shared" si="0"/>
        <v>2572571.88</v>
      </c>
      <c r="L50" s="801"/>
      <c r="M50" s="801">
        <f>K49+K50</f>
        <v>2735143.76</v>
      </c>
      <c r="N50" s="801"/>
      <c r="O50" s="801"/>
      <c r="P50" s="801"/>
      <c r="Q50" s="801"/>
      <c r="R50" s="1352"/>
      <c r="S50" s="1349"/>
      <c r="T50" s="1349"/>
      <c r="U50" s="1349"/>
      <c r="V50" s="1201"/>
      <c r="W50" s="1349"/>
      <c r="X50" s="1201"/>
      <c r="Y50" s="1350"/>
      <c r="Z50" s="1201"/>
      <c r="AA50" s="1351"/>
      <c r="AB50" s="1201"/>
      <c r="AC50" s="1201"/>
      <c r="AD50" s="1201"/>
      <c r="AE50" s="1201"/>
      <c r="AF50" s="1355"/>
      <c r="AG50" s="1201"/>
      <c r="AH50" s="1201"/>
    </row>
    <row r="51" spans="1:34" x14ac:dyDescent="0.25">
      <c r="A51" s="822">
        <v>50222</v>
      </c>
      <c r="C51" s="810"/>
      <c r="E51" s="810"/>
      <c r="F51" s="810"/>
      <c r="G51" s="823"/>
      <c r="I51" s="801">
        <f t="shared" si="1"/>
        <v>124915.63</v>
      </c>
      <c r="J51" s="801"/>
      <c r="K51" s="801">
        <f t="shared" si="0"/>
        <v>124915.63</v>
      </c>
      <c r="L51" s="801"/>
      <c r="M51" s="801"/>
      <c r="N51" s="801"/>
      <c r="O51" s="801"/>
      <c r="P51" s="801"/>
      <c r="Q51" s="807"/>
      <c r="R51" s="1352"/>
      <c r="S51" s="1349"/>
      <c r="T51" s="1349"/>
      <c r="U51" s="1349"/>
      <c r="V51" s="1201"/>
      <c r="W51" s="1349"/>
      <c r="X51" s="1201"/>
      <c r="Y51" s="1350"/>
      <c r="Z51" s="1201"/>
      <c r="AA51" s="1351"/>
      <c r="AB51" s="1201"/>
      <c r="AC51" s="1201"/>
      <c r="AD51" s="1201"/>
      <c r="AE51" s="1201"/>
      <c r="AF51" s="1355"/>
      <c r="AG51" s="1201"/>
      <c r="AH51" s="1201"/>
    </row>
    <row r="52" spans="1:34" x14ac:dyDescent="0.25">
      <c r="A52" s="822">
        <v>50406</v>
      </c>
      <c r="C52" s="810">
        <f>C50-E50</f>
        <v>7885</v>
      </c>
      <c r="E52" s="810">
        <v>2510</v>
      </c>
      <c r="F52" s="810"/>
      <c r="G52" s="823">
        <v>3.125</v>
      </c>
      <c r="I52" s="801">
        <f t="shared" si="1"/>
        <v>124915.63</v>
      </c>
      <c r="J52" s="801"/>
      <c r="K52" s="801">
        <f t="shared" si="0"/>
        <v>2634915.63</v>
      </c>
      <c r="L52" s="801"/>
      <c r="M52" s="801">
        <f>K51+K52</f>
        <v>2759831.26</v>
      </c>
      <c r="N52" s="939"/>
      <c r="O52" s="801"/>
      <c r="P52" s="801"/>
      <c r="Q52" s="831"/>
      <c r="R52" s="1352"/>
      <c r="S52" s="1349"/>
      <c r="T52" s="1349"/>
      <c r="U52" s="1349"/>
      <c r="V52" s="1201"/>
      <c r="W52" s="1349"/>
      <c r="X52" s="1201"/>
      <c r="Y52" s="1350"/>
      <c r="Z52" s="1201"/>
      <c r="AA52" s="1351"/>
      <c r="AB52" s="1201"/>
      <c r="AC52" s="1201"/>
      <c r="AD52" s="1201"/>
      <c r="AE52" s="1201"/>
      <c r="AF52" s="1355"/>
      <c r="AG52" s="1201"/>
      <c r="AH52" s="1201"/>
    </row>
    <row r="53" spans="1:34" x14ac:dyDescent="0.25">
      <c r="A53" s="822">
        <v>50587</v>
      </c>
      <c r="C53" s="810">
        <f>C52-E52</f>
        <v>5375</v>
      </c>
      <c r="E53" s="810">
        <v>1305</v>
      </c>
      <c r="F53" s="810"/>
      <c r="G53" s="823">
        <v>3.125</v>
      </c>
      <c r="I53" s="801">
        <f t="shared" si="1"/>
        <v>85696.88</v>
      </c>
      <c r="J53" s="801"/>
      <c r="K53" s="801">
        <f t="shared" si="0"/>
        <v>1390696.88</v>
      </c>
      <c r="L53" s="801"/>
      <c r="M53" s="801"/>
      <c r="N53" s="801"/>
      <c r="O53" s="801"/>
      <c r="P53" s="801"/>
      <c r="Q53" s="824"/>
      <c r="R53" s="1352"/>
      <c r="S53" s="1349"/>
      <c r="T53" s="1349"/>
      <c r="U53" s="1349"/>
      <c r="V53" s="1201"/>
      <c r="W53" s="1349"/>
      <c r="X53" s="1201"/>
      <c r="Y53" s="1350"/>
      <c r="Z53" s="1201"/>
      <c r="AA53" s="1351"/>
      <c r="AB53" s="1201"/>
      <c r="AC53" s="1201"/>
      <c r="AD53" s="1201"/>
      <c r="AE53" s="1201"/>
      <c r="AF53" s="1355"/>
      <c r="AG53" s="1201"/>
      <c r="AH53" s="1201"/>
    </row>
    <row r="54" spans="1:34" x14ac:dyDescent="0.25">
      <c r="A54" s="822">
        <v>50771</v>
      </c>
      <c r="C54" s="810">
        <f>C53-E53</f>
        <v>4070</v>
      </c>
      <c r="E54" s="810">
        <v>1330</v>
      </c>
      <c r="F54" s="810"/>
      <c r="G54" s="823">
        <v>3.125</v>
      </c>
      <c r="I54" s="801">
        <f t="shared" si="1"/>
        <v>65306.25</v>
      </c>
      <c r="J54" s="801"/>
      <c r="K54" s="801">
        <f t="shared" si="0"/>
        <v>1395306.25</v>
      </c>
      <c r="L54" s="801"/>
      <c r="M54" s="801">
        <f>K53+K54</f>
        <v>2786003.13</v>
      </c>
      <c r="N54" s="801"/>
      <c r="O54" s="801"/>
      <c r="P54" s="801"/>
      <c r="Q54" s="824"/>
      <c r="R54" s="1352"/>
      <c r="S54" s="1349"/>
      <c r="T54" s="1349"/>
      <c r="U54" s="1349"/>
      <c r="V54" s="1201"/>
      <c r="W54" s="1349"/>
      <c r="X54" s="1201"/>
      <c r="Y54" s="1350"/>
      <c r="Z54" s="1201"/>
      <c r="AA54" s="1351"/>
      <c r="AB54" s="1201"/>
      <c r="AC54" s="1201"/>
      <c r="AD54" s="1201"/>
      <c r="AE54" s="1201"/>
      <c r="AF54" s="1355"/>
      <c r="AG54" s="1201"/>
      <c r="AH54" s="1201"/>
    </row>
    <row r="55" spans="1:34" x14ac:dyDescent="0.25">
      <c r="A55" s="822">
        <v>50952</v>
      </c>
      <c r="C55" s="810">
        <f>C54-E54</f>
        <v>2740</v>
      </c>
      <c r="E55" s="810">
        <v>1355</v>
      </c>
      <c r="F55" s="940" t="s">
        <v>84</v>
      </c>
      <c r="G55" s="823">
        <v>3.25</v>
      </c>
      <c r="I55" s="801">
        <f t="shared" si="1"/>
        <v>44525</v>
      </c>
      <c r="J55" s="801"/>
      <c r="K55" s="801">
        <f t="shared" si="0"/>
        <v>1399525</v>
      </c>
      <c r="L55" s="801"/>
      <c r="M55" s="801"/>
      <c r="N55" s="801"/>
      <c r="O55" s="801"/>
      <c r="P55" s="801"/>
      <c r="Q55" s="824"/>
      <c r="R55" s="1352"/>
      <c r="S55" s="1349"/>
      <c r="T55" s="1349"/>
      <c r="U55" s="1349"/>
      <c r="V55" s="1201"/>
      <c r="W55" s="1349"/>
      <c r="X55" s="1201"/>
      <c r="Y55" s="1350"/>
      <c r="Z55" s="1201"/>
      <c r="AA55" s="1351"/>
      <c r="AB55" s="1201"/>
      <c r="AC55" s="1201"/>
      <c r="AD55" s="1201"/>
      <c r="AE55" s="1201"/>
      <c r="AF55" s="1355"/>
      <c r="AG55" s="1201"/>
      <c r="AH55" s="1201"/>
    </row>
    <row r="56" spans="1:34" x14ac:dyDescent="0.25">
      <c r="A56" s="822">
        <v>51136</v>
      </c>
      <c r="C56" s="810">
        <f>C55-E55</f>
        <v>1385</v>
      </c>
      <c r="E56" s="810">
        <v>1385</v>
      </c>
      <c r="F56" s="940" t="s">
        <v>84</v>
      </c>
      <c r="G56" s="823">
        <v>3.25</v>
      </c>
      <c r="I56" s="801">
        <f t="shared" si="1"/>
        <v>22506.25</v>
      </c>
      <c r="J56" s="801"/>
      <c r="K56" s="801">
        <f t="shared" si="0"/>
        <v>1407506.25</v>
      </c>
      <c r="L56" s="801"/>
      <c r="M56" s="801">
        <f>K55+K56</f>
        <v>2807031.25</v>
      </c>
      <c r="N56" s="801"/>
      <c r="O56" s="801"/>
      <c r="P56" s="801"/>
      <c r="Q56" s="801"/>
      <c r="R56" s="1352"/>
      <c r="S56" s="1349"/>
      <c r="T56" s="1349"/>
      <c r="U56" s="1349"/>
      <c r="V56" s="1201"/>
      <c r="W56" s="1349"/>
      <c r="X56" s="1201"/>
      <c r="Y56" s="1350"/>
      <c r="Z56" s="1201"/>
      <c r="AA56" s="1351"/>
      <c r="AB56" s="1201"/>
      <c r="AC56" s="1201"/>
      <c r="AD56" s="1201"/>
      <c r="AE56" s="1201"/>
      <c r="AF56" s="1355"/>
      <c r="AG56" s="1201"/>
      <c r="AH56" s="1201"/>
    </row>
    <row r="57" spans="1:34" x14ac:dyDescent="0.25">
      <c r="A57" s="831"/>
      <c r="E57" s="832"/>
      <c r="F57" s="810"/>
      <c r="G57" s="833"/>
      <c r="I57" s="834"/>
      <c r="J57" s="801"/>
      <c r="K57" s="834"/>
      <c r="L57" s="801"/>
      <c r="M57" s="834"/>
      <c r="N57" s="801"/>
      <c r="O57" s="801"/>
      <c r="P57" s="801"/>
      <c r="Q57" s="801"/>
      <c r="R57" s="1337"/>
      <c r="S57" s="1201"/>
      <c r="T57" s="1201"/>
      <c r="U57" s="1200"/>
      <c r="V57" s="1201"/>
      <c r="W57" s="1201"/>
      <c r="X57" s="1201"/>
      <c r="Y57" s="1201"/>
      <c r="Z57" s="1201"/>
      <c r="AA57" s="1201"/>
      <c r="AB57" s="1201"/>
      <c r="AC57" s="1201"/>
      <c r="AD57" s="1201"/>
      <c r="AE57" s="1201"/>
      <c r="AF57" s="1355"/>
      <c r="AG57" s="1201"/>
      <c r="AH57" s="1201"/>
    </row>
    <row r="58" spans="1:34" ht="16.5" thickBot="1" x14ac:dyDescent="0.3">
      <c r="A58" s="835" t="s">
        <v>27</v>
      </c>
      <c r="E58" s="902">
        <f>SUBTOTAL(109,E19:E57)</f>
        <v>38380</v>
      </c>
      <c r="F58" s="815"/>
      <c r="I58" s="904">
        <f>SUBTOTAL(109,I19:I57)</f>
        <v>12798315.800000014</v>
      </c>
      <c r="J58" s="824"/>
      <c r="K58" s="904">
        <f>SUBTOTAL(109,K19:K57)</f>
        <v>51178315.800000019</v>
      </c>
      <c r="L58" s="824"/>
      <c r="M58" s="904">
        <f>SUBTOTAL(109,M19:M57)</f>
        <v>51178315.799999982</v>
      </c>
      <c r="N58" s="801"/>
      <c r="O58" s="801"/>
      <c r="P58" s="801"/>
      <c r="Q58" s="824"/>
      <c r="R58" s="1201"/>
      <c r="S58" s="1358"/>
      <c r="T58" s="1358"/>
      <c r="U58" s="1358"/>
      <c r="V58" s="1201"/>
      <c r="W58" s="1358"/>
      <c r="X58" s="1201"/>
      <c r="Y58" s="1358"/>
      <c r="Z58" s="1201"/>
      <c r="AA58" s="1201"/>
      <c r="AB58" s="1201"/>
      <c r="AC58" s="1201"/>
      <c r="AD58" s="1201"/>
      <c r="AE58" s="1201"/>
      <c r="AF58" s="1355"/>
      <c r="AG58" s="1201"/>
      <c r="AH58" s="1201"/>
    </row>
    <row r="59" spans="1:34" ht="16.5" thickTop="1" x14ac:dyDescent="0.25">
      <c r="A59" s="835"/>
      <c r="E59" s="815"/>
      <c r="F59" s="815"/>
      <c r="I59" s="824"/>
      <c r="J59" s="824"/>
      <c r="K59" s="824"/>
      <c r="L59" s="824"/>
      <c r="M59" s="824"/>
      <c r="N59" s="801"/>
      <c r="O59" s="801"/>
      <c r="P59" s="801"/>
      <c r="Q59" s="824"/>
      <c r="R59" s="1201"/>
      <c r="S59" s="1337"/>
      <c r="T59" s="1337"/>
      <c r="U59" s="1349"/>
      <c r="V59" s="1201"/>
      <c r="W59" s="1201"/>
      <c r="X59" s="1201"/>
      <c r="Y59" s="1201"/>
      <c r="Z59" s="1201"/>
      <c r="AA59" s="1201"/>
      <c r="AB59" s="1201"/>
      <c r="AC59" s="1201"/>
      <c r="AD59" s="1201"/>
      <c r="AE59" s="1201"/>
      <c r="AF59" s="1355"/>
      <c r="AG59" s="1201"/>
      <c r="AH59" s="1201"/>
    </row>
    <row r="60" spans="1:34" ht="20.25" hidden="1" customHeight="1" thickBot="1" x14ac:dyDescent="0.3">
      <c r="A60" s="835"/>
      <c r="C60" s="810" t="s">
        <v>673</v>
      </c>
      <c r="I60" s="801"/>
      <c r="J60" s="801"/>
      <c r="K60" s="801"/>
      <c r="L60" s="801"/>
      <c r="M60" s="837">
        <f>ROUND(SUM(M20:M28)/5,2)</f>
        <v>2652883.7599999998</v>
      </c>
      <c r="N60" s="801"/>
      <c r="O60" s="801"/>
      <c r="P60" s="801"/>
      <c r="R60" s="1201"/>
      <c r="S60" s="1337"/>
      <c r="T60" s="1337"/>
      <c r="U60" s="1201"/>
      <c r="V60" s="1201"/>
      <c r="W60" s="1201"/>
      <c r="X60" s="1201"/>
      <c r="Y60" s="1201"/>
      <c r="Z60" s="1201"/>
      <c r="AA60" s="1201"/>
      <c r="AB60" s="1201"/>
      <c r="AC60" s="1201"/>
      <c r="AD60" s="1201"/>
      <c r="AE60" s="1201"/>
      <c r="AF60" s="1355"/>
      <c r="AG60" s="1201"/>
      <c r="AH60" s="1201"/>
    </row>
    <row r="61" spans="1:34" hidden="1" x14ac:dyDescent="0.25">
      <c r="A61" s="835"/>
      <c r="C61" s="810"/>
      <c r="I61" s="801"/>
      <c r="J61" s="801"/>
      <c r="K61" s="801"/>
      <c r="L61" s="801"/>
      <c r="M61" s="824"/>
      <c r="N61" s="801"/>
      <c r="O61" s="801"/>
      <c r="P61" s="801"/>
      <c r="R61" s="1201"/>
      <c r="S61" s="1337"/>
      <c r="T61" s="1337"/>
      <c r="U61" s="1349"/>
      <c r="V61" s="1201"/>
      <c r="W61" s="1201"/>
      <c r="X61" s="1201"/>
      <c r="Y61" s="1201"/>
      <c r="Z61" s="1201"/>
      <c r="AA61" s="1201"/>
      <c r="AB61" s="1201"/>
      <c r="AC61" s="1201"/>
      <c r="AD61" s="1201"/>
      <c r="AE61" s="1201"/>
      <c r="AF61" s="1355"/>
      <c r="AG61" s="1201"/>
      <c r="AH61" s="1201"/>
    </row>
    <row r="62" spans="1:34" x14ac:dyDescent="0.25">
      <c r="A62" s="841" t="s">
        <v>721</v>
      </c>
      <c r="C62" s="810"/>
      <c r="I62" s="801"/>
      <c r="J62" s="801"/>
      <c r="K62" s="801"/>
      <c r="L62" s="801"/>
      <c r="M62" s="824"/>
      <c r="N62" s="801"/>
      <c r="O62" s="801"/>
      <c r="P62" s="801"/>
      <c r="R62" s="1337"/>
      <c r="S62" s="1201"/>
      <c r="T62" s="1201"/>
      <c r="U62" s="1201"/>
      <c r="V62" s="1201"/>
      <c r="W62" s="1201"/>
      <c r="X62" s="1201"/>
      <c r="Y62" s="1201"/>
      <c r="Z62" s="1201"/>
      <c r="AA62" s="1201"/>
      <c r="AB62" s="1201"/>
      <c r="AC62" s="1201"/>
      <c r="AD62" s="1201"/>
      <c r="AE62" s="1201"/>
      <c r="AF62" s="1355"/>
      <c r="AG62" s="1201"/>
      <c r="AH62" s="1201"/>
    </row>
    <row r="63" spans="1:34" x14ac:dyDescent="0.25">
      <c r="A63" s="841" t="s">
        <v>722</v>
      </c>
      <c r="C63" s="810"/>
      <c r="I63" s="801"/>
      <c r="J63" s="801"/>
      <c r="K63" s="801"/>
      <c r="L63" s="801"/>
      <c r="M63" s="824"/>
      <c r="N63" s="801"/>
      <c r="O63" s="801"/>
      <c r="P63" s="801"/>
      <c r="R63" s="1337"/>
      <c r="S63" s="1349"/>
      <c r="T63" s="1201"/>
      <c r="U63" s="1353"/>
      <c r="V63" s="1201"/>
      <c r="W63" s="1353"/>
      <c r="X63" s="1201"/>
      <c r="Y63" s="1201"/>
      <c r="Z63" s="1201"/>
      <c r="AA63" s="1201"/>
      <c r="AB63" s="1201"/>
      <c r="AC63" s="1201"/>
      <c r="AD63" s="1201"/>
      <c r="AE63" s="1201"/>
      <c r="AF63" s="1355"/>
      <c r="AG63" s="1201"/>
      <c r="AH63" s="1201"/>
    </row>
    <row r="64" spans="1:34" x14ac:dyDescent="0.25">
      <c r="A64" s="841"/>
      <c r="C64" s="810"/>
      <c r="I64" s="801"/>
      <c r="J64" s="801"/>
      <c r="K64" s="801"/>
      <c r="L64" s="801"/>
      <c r="M64" s="824"/>
      <c r="N64" s="801"/>
      <c r="O64" s="801"/>
      <c r="P64" s="801"/>
      <c r="R64" s="1337"/>
      <c r="S64" s="1201"/>
      <c r="T64" s="1201"/>
      <c r="U64" s="1201"/>
      <c r="V64" s="1201"/>
      <c r="W64" s="1201"/>
      <c r="X64" s="1201"/>
      <c r="Y64" s="1201"/>
      <c r="Z64" s="1201"/>
      <c r="AA64" s="1201"/>
      <c r="AB64" s="1201"/>
      <c r="AC64" s="1201"/>
      <c r="AD64" s="1201"/>
      <c r="AE64" s="1201"/>
      <c r="AF64" s="1355"/>
      <c r="AG64" s="1201"/>
      <c r="AH64" s="1201"/>
    </row>
    <row r="65" spans="1:34" x14ac:dyDescent="0.25">
      <c r="A65" s="1485"/>
      <c r="B65" s="1485"/>
      <c r="C65" s="1485"/>
      <c r="D65" s="1485"/>
      <c r="E65" s="1485"/>
      <c r="F65" s="1485"/>
      <c r="G65" s="1485"/>
      <c r="H65" s="1485"/>
      <c r="I65" s="1485"/>
      <c r="J65" s="1485"/>
      <c r="K65" s="1485"/>
      <c r="L65" s="1485"/>
      <c r="M65" s="1485"/>
      <c r="N65" s="1485"/>
      <c r="O65" s="801"/>
      <c r="P65" s="801"/>
      <c r="R65" s="1337"/>
      <c r="S65" s="1201"/>
      <c r="T65" s="1201"/>
      <c r="U65" s="1201"/>
      <c r="V65" s="1201"/>
      <c r="W65" s="1201"/>
      <c r="X65" s="1201"/>
      <c r="Y65" s="1201"/>
      <c r="Z65" s="1201"/>
      <c r="AA65" s="1201"/>
      <c r="AB65" s="1201"/>
      <c r="AC65" s="1201"/>
      <c r="AD65" s="1201"/>
      <c r="AE65" s="1201"/>
      <c r="AF65" s="1355"/>
      <c r="AG65" s="1201"/>
      <c r="AH65" s="1201"/>
    </row>
    <row r="66" spans="1:34" x14ac:dyDescent="0.25">
      <c r="A66" s="1485"/>
      <c r="B66" s="1485"/>
      <c r="C66" s="1485"/>
      <c r="D66" s="1485"/>
      <c r="E66" s="1485"/>
      <c r="F66" s="1485"/>
      <c r="G66" s="1485"/>
      <c r="H66" s="1485"/>
      <c r="I66" s="1485"/>
      <c r="J66" s="1485"/>
      <c r="K66" s="1485"/>
      <c r="L66" s="1485"/>
      <c r="M66" s="1485"/>
      <c r="N66" s="1485"/>
      <c r="O66" s="801"/>
      <c r="P66" s="801"/>
      <c r="R66" s="1337"/>
      <c r="S66" s="1201"/>
      <c r="T66" s="1201"/>
      <c r="U66" s="1201"/>
      <c r="V66" s="1201"/>
      <c r="W66" s="1201"/>
      <c r="X66" s="1201"/>
      <c r="Y66" s="1201"/>
      <c r="Z66" s="1201"/>
      <c r="AA66" s="1201"/>
      <c r="AB66" s="1201"/>
      <c r="AC66" s="1201"/>
      <c r="AD66" s="1201"/>
      <c r="AE66" s="1201"/>
      <c r="AF66" s="1355"/>
      <c r="AG66" s="1201"/>
      <c r="AH66" s="1201"/>
    </row>
    <row r="67" spans="1:34" x14ac:dyDescent="0.25">
      <c r="A67" s="1485" t="str">
        <f>INFO!A26</f>
        <v>(See Accountants' Report)</v>
      </c>
      <c r="B67" s="1485"/>
      <c r="C67" s="1485"/>
      <c r="D67" s="1485"/>
      <c r="E67" s="1485"/>
      <c r="F67" s="1485"/>
      <c r="G67" s="1485"/>
      <c r="H67" s="1485"/>
      <c r="I67" s="1485"/>
      <c r="J67" s="1485"/>
      <c r="K67" s="1485"/>
      <c r="L67" s="1485"/>
      <c r="M67" s="1485"/>
      <c r="N67" s="1485"/>
      <c r="O67" s="801"/>
      <c r="P67" s="801"/>
      <c r="R67" s="1337"/>
      <c r="S67" s="1201"/>
      <c r="T67" s="1201"/>
      <c r="U67" s="1201"/>
      <c r="V67" s="1201"/>
      <c r="W67" s="1201"/>
      <c r="X67" s="1201"/>
      <c r="Y67" s="1201"/>
      <c r="Z67" s="1201"/>
      <c r="AA67" s="1201"/>
      <c r="AB67" s="1201"/>
      <c r="AC67" s="1201"/>
      <c r="AD67" s="1201"/>
      <c r="AE67" s="1201"/>
      <c r="AF67" s="1355"/>
      <c r="AG67" s="1201"/>
      <c r="AH67" s="1201"/>
    </row>
    <row r="68" spans="1:34" x14ac:dyDescent="0.25">
      <c r="A68" s="841"/>
      <c r="C68" s="810"/>
      <c r="I68" s="801"/>
      <c r="J68" s="801"/>
      <c r="K68" s="801"/>
      <c r="L68" s="801"/>
      <c r="M68" s="824"/>
      <c r="N68" s="801"/>
      <c r="O68" s="801"/>
      <c r="P68" s="801"/>
      <c r="R68" s="1337"/>
      <c r="S68" s="1201"/>
      <c r="T68" s="1201"/>
      <c r="U68" s="1201"/>
      <c r="V68" s="1201"/>
      <c r="W68" s="1201"/>
      <c r="X68" s="1201"/>
      <c r="Y68" s="1201"/>
      <c r="Z68" s="1201"/>
      <c r="AA68" s="1201"/>
      <c r="AB68" s="1201"/>
      <c r="AC68" s="1201"/>
      <c r="AD68" s="1201"/>
      <c r="AE68" s="1201"/>
      <c r="AF68" s="1355"/>
      <c r="AG68" s="1201"/>
      <c r="AH68" s="1201"/>
    </row>
    <row r="69" spans="1:34" x14ac:dyDescent="0.25">
      <c r="A69" s="1484">
        <v>45</v>
      </c>
      <c r="B69" s="1484"/>
      <c r="C69" s="1484"/>
      <c r="D69" s="1484"/>
      <c r="E69" s="1484"/>
      <c r="F69" s="1484"/>
      <c r="G69" s="1484"/>
      <c r="H69" s="1484"/>
      <c r="I69" s="1484"/>
      <c r="J69" s="1484"/>
      <c r="K69" s="1484"/>
      <c r="L69" s="1484"/>
      <c r="M69" s="1484"/>
      <c r="N69" s="1484"/>
      <c r="O69" s="801"/>
      <c r="P69" s="801"/>
      <c r="R69" s="1337"/>
      <c r="S69" s="1201"/>
      <c r="T69" s="1201"/>
      <c r="U69" s="1201"/>
      <c r="V69" s="1201"/>
      <c r="W69" s="1201"/>
      <c r="X69" s="1201"/>
      <c r="Y69" s="1201"/>
      <c r="Z69" s="1201"/>
      <c r="AA69" s="1201"/>
      <c r="AB69" s="1201"/>
      <c r="AC69" s="1201"/>
      <c r="AD69" s="1201"/>
      <c r="AE69" s="1201"/>
      <c r="AF69" s="1355"/>
      <c r="AG69" s="1201"/>
      <c r="AH69" s="1201"/>
    </row>
    <row r="70" spans="1:34" x14ac:dyDescent="0.25">
      <c r="A70" s="813"/>
      <c r="B70" s="813"/>
      <c r="C70" s="813"/>
      <c r="D70" s="813"/>
      <c r="E70" s="813"/>
      <c r="F70" s="813"/>
      <c r="G70" s="813"/>
      <c r="H70" s="813"/>
      <c r="I70" s="813"/>
      <c r="J70" s="813"/>
      <c r="K70" s="813"/>
      <c r="L70" s="813"/>
      <c r="M70" s="813"/>
      <c r="N70" s="801"/>
      <c r="O70" s="801"/>
      <c r="P70" s="801"/>
      <c r="Q70" s="824"/>
      <c r="R70" s="1337"/>
      <c r="S70" s="1201"/>
      <c r="T70" s="1201"/>
      <c r="U70" s="1201"/>
      <c r="V70" s="1201"/>
      <c r="W70" s="1201"/>
      <c r="X70" s="1201"/>
      <c r="Y70" s="1201"/>
      <c r="Z70" s="1201"/>
      <c r="AA70" s="1201"/>
      <c r="AB70" s="1201"/>
      <c r="AC70" s="1201"/>
      <c r="AD70" s="1201"/>
      <c r="AE70" s="1201"/>
      <c r="AF70" s="1355"/>
      <c r="AG70" s="1201"/>
      <c r="AH70" s="1201"/>
    </row>
    <row r="71" spans="1:34" x14ac:dyDescent="0.25">
      <c r="A71" s="1485"/>
      <c r="B71" s="1483"/>
      <c r="C71" s="1483"/>
      <c r="D71" s="1483"/>
      <c r="E71" s="1483"/>
      <c r="F71" s="1483"/>
      <c r="G71" s="1483"/>
      <c r="H71" s="1483"/>
      <c r="I71" s="1483"/>
      <c r="J71" s="1483"/>
      <c r="K71" s="1483"/>
      <c r="L71" s="1483"/>
      <c r="M71" s="1483"/>
      <c r="N71" s="801"/>
      <c r="O71" s="801"/>
      <c r="P71" s="801"/>
      <c r="Q71" s="824"/>
      <c r="R71" s="801"/>
      <c r="AF71" s="829"/>
    </row>
    <row r="72" spans="1:34" x14ac:dyDescent="0.25">
      <c r="A72" s="838"/>
      <c r="B72" s="839"/>
      <c r="C72" s="839"/>
      <c r="D72" s="839"/>
      <c r="E72" s="839"/>
      <c r="F72" s="839"/>
      <c r="G72" s="839"/>
      <c r="H72" s="839"/>
      <c r="I72" s="839"/>
      <c r="J72" s="839"/>
      <c r="K72" s="839"/>
      <c r="L72" s="839"/>
      <c r="M72" s="839"/>
      <c r="N72" s="801"/>
      <c r="O72" s="801"/>
      <c r="P72" s="801"/>
      <c r="Q72" s="801"/>
      <c r="R72" s="801"/>
    </row>
    <row r="73" spans="1:34" x14ac:dyDescent="0.25">
      <c r="A73" s="838"/>
      <c r="B73" s="839"/>
      <c r="C73" s="839"/>
      <c r="D73" s="839"/>
      <c r="E73" s="839"/>
      <c r="F73" s="839"/>
      <c r="G73" s="839"/>
      <c r="H73" s="839"/>
      <c r="I73" s="839"/>
      <c r="J73" s="839"/>
      <c r="K73" s="839"/>
      <c r="L73" s="839"/>
      <c r="M73" s="839"/>
      <c r="N73" s="801"/>
      <c r="O73" s="801"/>
      <c r="P73" s="801"/>
      <c r="Q73" s="801"/>
      <c r="R73" s="801"/>
    </row>
    <row r="74" spans="1:34" hidden="1" x14ac:dyDescent="0.25">
      <c r="A74" s="838"/>
      <c r="B74" s="839"/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01"/>
      <c r="O74" s="801"/>
      <c r="P74" s="801"/>
      <c r="Q74" s="801"/>
      <c r="R74" s="801"/>
      <c r="AF74" s="829">
        <f>SUM(AF26:AF70)</f>
        <v>0</v>
      </c>
    </row>
    <row r="75" spans="1:34" x14ac:dyDescent="0.25">
      <c r="A75" s="838"/>
      <c r="B75" s="839"/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21"/>
      <c r="N75" s="801"/>
      <c r="O75" s="801"/>
      <c r="P75" s="801"/>
      <c r="Q75" s="801"/>
      <c r="R75" s="801"/>
    </row>
    <row r="76" spans="1:34" x14ac:dyDescent="0.25">
      <c r="K76" s="827"/>
      <c r="M76" s="798"/>
      <c r="N76" s="801"/>
      <c r="Q76" s="801"/>
      <c r="R76" s="801"/>
    </row>
    <row r="77" spans="1:34" x14ac:dyDescent="0.25">
      <c r="A77" s="792"/>
      <c r="B77" s="804"/>
      <c r="C77" s="804"/>
      <c r="D77" s="804"/>
      <c r="E77" s="804"/>
      <c r="F77" s="804"/>
      <c r="G77" s="804"/>
      <c r="H77" s="804"/>
      <c r="I77" s="804"/>
      <c r="J77" s="804"/>
      <c r="K77" s="804"/>
      <c r="L77" s="804"/>
      <c r="M77" s="804"/>
    </row>
    <row r="78" spans="1:34" x14ac:dyDescent="0.25">
      <c r="A78" s="822"/>
      <c r="C78" s="815"/>
      <c r="E78" s="826"/>
      <c r="F78" s="810"/>
      <c r="G78" s="823"/>
      <c r="I78" s="824"/>
      <c r="J78" s="801"/>
      <c r="K78" s="824">
        <f>K75-K76</f>
        <v>0</v>
      </c>
      <c r="L78" s="801"/>
      <c r="M78" s="824" t="s">
        <v>40</v>
      </c>
    </row>
    <row r="79" spans="1:34" x14ac:dyDescent="0.25">
      <c r="E79" s="844"/>
    </row>
    <row r="80" spans="1:34" x14ac:dyDescent="0.25">
      <c r="E80" s="826"/>
    </row>
    <row r="81" spans="5:5" x14ac:dyDescent="0.25">
      <c r="E81" s="826"/>
    </row>
    <row r="82" spans="5:5" x14ac:dyDescent="0.25">
      <c r="E82" s="826"/>
    </row>
  </sheetData>
  <mergeCells count="14">
    <mergeCell ref="A8:N8"/>
    <mergeCell ref="A9:N9"/>
    <mergeCell ref="C13:E13"/>
    <mergeCell ref="A69:N69"/>
    <mergeCell ref="A71:M71"/>
    <mergeCell ref="A65:N65"/>
    <mergeCell ref="A66:N66"/>
    <mergeCell ref="A67:N67"/>
    <mergeCell ref="A7:N7"/>
    <mergeCell ref="A1:N1"/>
    <mergeCell ref="A3:N3"/>
    <mergeCell ref="A4:N4"/>
    <mergeCell ref="A5:N5"/>
    <mergeCell ref="A6:N6"/>
  </mergeCells>
  <printOptions horizontalCentered="1"/>
  <pageMargins left="0.5" right="0.5" top="0.5" bottom="0.5" header="0.5" footer="0.5"/>
  <pageSetup scale="74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K84"/>
  <sheetViews>
    <sheetView view="pageBreakPreview" topLeftCell="A4" zoomScale="60" zoomScaleNormal="100" workbookViewId="0">
      <selection activeCell="A57" sqref="A57"/>
    </sheetView>
  </sheetViews>
  <sheetFormatPr defaultColWidth="15.7109375" defaultRowHeight="15.75" x14ac:dyDescent="0.25"/>
  <cols>
    <col min="1" max="1" width="9" style="799" customWidth="1"/>
    <col min="2" max="2" width="1.7109375" style="799" customWidth="1"/>
    <col min="3" max="3" width="12.28515625" style="799" customWidth="1"/>
    <col min="4" max="4" width="1.7109375" style="799" customWidth="1"/>
    <col min="5" max="5" width="10.28515625" style="799" customWidth="1"/>
    <col min="6" max="6" width="3.7109375" style="799" bestFit="1" customWidth="1"/>
    <col min="7" max="7" width="10" style="799" bestFit="1" customWidth="1"/>
    <col min="8" max="8" width="1.7109375" style="799" customWidth="1"/>
    <col min="9" max="9" width="15.7109375" style="799" bestFit="1" customWidth="1"/>
    <col min="10" max="10" width="1.7109375" style="799" customWidth="1"/>
    <col min="11" max="11" width="16.140625" style="799" bestFit="1" customWidth="1"/>
    <col min="12" max="12" width="1.7109375" style="799" customWidth="1"/>
    <col min="13" max="13" width="16.140625" style="799" bestFit="1" customWidth="1"/>
    <col min="14" max="14" width="3.7109375" style="806" bestFit="1" customWidth="1"/>
    <col min="15" max="15" width="13.42578125" style="798" customWidth="1"/>
    <col min="16" max="17" width="13.42578125" style="799" customWidth="1"/>
    <col min="18" max="18" width="2.28515625" style="799" customWidth="1"/>
    <col min="19" max="19" width="15.140625" style="799" bestFit="1" customWidth="1"/>
    <col min="20" max="20" width="13.28515625" style="799" bestFit="1" customWidth="1"/>
    <col min="21" max="21" width="19.42578125" style="799" customWidth="1"/>
    <col min="22" max="22" width="2.85546875" style="799" customWidth="1"/>
    <col min="23" max="23" width="18.140625" style="799" bestFit="1" customWidth="1"/>
    <col min="24" max="24" width="2.7109375" style="799" customWidth="1"/>
    <col min="25" max="25" width="16.85546875" style="799" bestFit="1" customWidth="1"/>
    <col min="26" max="26" width="2.7109375" style="799" customWidth="1"/>
    <col min="27" max="27" width="16.85546875" style="799" bestFit="1" customWidth="1"/>
    <col min="28" max="28" width="2.7109375" style="799" customWidth="1"/>
    <col min="29" max="29" width="18.140625" style="799" customWidth="1"/>
    <col min="30" max="30" width="2.7109375" style="799" customWidth="1"/>
    <col min="31" max="31" width="4.28515625" style="799" customWidth="1"/>
    <col min="32" max="32" width="15.7109375" style="799"/>
    <col min="33" max="33" width="2.7109375" style="799" customWidth="1"/>
    <col min="34" max="34" width="33" style="799" customWidth="1"/>
    <col min="35" max="16384" width="15.7109375" style="799"/>
  </cols>
  <sheetData>
    <row r="1" spans="1:37" x14ac:dyDescent="0.25">
      <c r="A1" s="796" t="s">
        <v>232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797"/>
      <c r="O1" s="1335"/>
      <c r="P1" s="1201"/>
      <c r="Q1" s="1201"/>
      <c r="R1" s="1201"/>
      <c r="S1" s="1336"/>
      <c r="T1" s="1337"/>
      <c r="U1" s="849"/>
      <c r="V1" s="849"/>
      <c r="W1" s="1201"/>
      <c r="X1" s="1201"/>
      <c r="Y1" s="1201"/>
      <c r="Z1" s="1201"/>
      <c r="AA1" s="1201"/>
      <c r="AB1" s="1201"/>
      <c r="AC1" s="1201"/>
      <c r="AD1" s="1201"/>
      <c r="AE1" s="1201"/>
      <c r="AF1" s="1201"/>
      <c r="AG1" s="1201"/>
      <c r="AH1" s="1201"/>
      <c r="AI1" s="1201"/>
      <c r="AJ1" s="1201"/>
      <c r="AK1" s="1201"/>
    </row>
    <row r="2" spans="1:37" x14ac:dyDescent="0.25">
      <c r="A2" s="803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5"/>
      <c r="O2" s="1335"/>
      <c r="P2" s="1201"/>
      <c r="Q2" s="1201"/>
      <c r="R2" s="1201"/>
      <c r="S2" s="1338"/>
      <c r="T2" s="1337"/>
      <c r="U2" s="849"/>
      <c r="V2" s="849"/>
      <c r="W2" s="1201"/>
      <c r="X2" s="1201"/>
      <c r="Y2" s="1201"/>
      <c r="Z2" s="1201"/>
      <c r="AA2" s="1201"/>
      <c r="AB2" s="1201"/>
      <c r="AC2" s="1201"/>
      <c r="AD2" s="1201"/>
      <c r="AE2" s="1201"/>
      <c r="AF2" s="1201"/>
      <c r="AG2" s="1201"/>
      <c r="AH2" s="1201"/>
      <c r="AI2" s="1201"/>
      <c r="AJ2" s="1201"/>
      <c r="AK2" s="1201"/>
    </row>
    <row r="3" spans="1:37" x14ac:dyDescent="0.25">
      <c r="A3" s="808" t="str">
        <f>"SCHEDULE OF AMORTIZATION OF $"&amp;TEXT($E$46*1000, "00,000,000")&amp;" PRINCIPAL AMOUNT OF OUTSTANDING"</f>
        <v>SCHEDULE OF AMORTIZATION OF $30,425,000 PRINCIPAL AMOUNT OF OUTSTANDING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9"/>
      <c r="O3" s="1335"/>
      <c r="P3" s="1201"/>
      <c r="Q3" s="1201"/>
      <c r="R3" s="1201"/>
      <c r="S3" s="1338"/>
      <c r="T3" s="1337"/>
      <c r="U3" s="849"/>
      <c r="V3" s="849"/>
      <c r="W3" s="1201"/>
      <c r="X3" s="1201"/>
      <c r="Y3" s="1201"/>
      <c r="Z3" s="1201"/>
      <c r="AA3" s="1201"/>
      <c r="AB3" s="1201"/>
      <c r="AC3" s="1201"/>
      <c r="AD3" s="1201"/>
      <c r="AE3" s="1201"/>
      <c r="AF3" s="1201"/>
      <c r="AG3" s="1201"/>
      <c r="AH3" s="1201"/>
      <c r="AI3" s="1201"/>
      <c r="AJ3" s="1201"/>
      <c r="AK3" s="1201"/>
    </row>
    <row r="4" spans="1:37" x14ac:dyDescent="0.25">
      <c r="A4" s="808" t="s">
        <v>709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809"/>
      <c r="O4" s="1335"/>
      <c r="P4" s="1201"/>
      <c r="Q4" s="1201"/>
      <c r="R4" s="1201"/>
      <c r="S4" s="1337"/>
      <c r="T4" s="1337"/>
      <c r="U4" s="849"/>
      <c r="V4" s="849"/>
      <c r="W4" s="1201"/>
      <c r="X4" s="1201"/>
      <c r="Y4" s="1201"/>
      <c r="Z4" s="1201"/>
      <c r="AA4" s="1201"/>
      <c r="AB4" s="1201"/>
      <c r="AC4" s="1201"/>
      <c r="AD4" s="1201"/>
      <c r="AE4" s="1201"/>
      <c r="AF4" s="1201"/>
      <c r="AG4" s="1201"/>
      <c r="AH4" s="1339"/>
      <c r="AI4" s="1201"/>
      <c r="AJ4" s="1201"/>
      <c r="AK4" s="1201"/>
    </row>
    <row r="5" spans="1:37" ht="15.6" customHeight="1" x14ac:dyDescent="0.25">
      <c r="A5" s="811" t="s">
        <v>231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812"/>
      <c r="O5" s="1335"/>
      <c r="P5" s="1201"/>
      <c r="Q5" s="1201"/>
      <c r="R5" s="1201"/>
      <c r="S5" s="1339"/>
      <c r="T5" s="1337"/>
      <c r="U5" s="1201"/>
      <c r="V5" s="1201"/>
      <c r="W5" s="1201"/>
      <c r="X5" s="1201"/>
      <c r="Y5" s="1201"/>
      <c r="Z5" s="1201"/>
      <c r="AA5" s="1201"/>
      <c r="AB5" s="1201"/>
      <c r="AC5" s="1201"/>
      <c r="AD5" s="1201"/>
      <c r="AE5" s="1201"/>
      <c r="AF5" s="1201"/>
      <c r="AG5" s="1201"/>
      <c r="AH5" s="1339"/>
      <c r="AI5" s="1201"/>
      <c r="AJ5" s="1201"/>
      <c r="AK5" s="1201"/>
    </row>
    <row r="6" spans="1:37" x14ac:dyDescent="0.25">
      <c r="A6" s="811" t="s">
        <v>132</v>
      </c>
      <c r="B6" s="811"/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812"/>
      <c r="O6" s="1335"/>
      <c r="P6" s="1201"/>
      <c r="Q6" s="1201"/>
      <c r="R6" s="1201"/>
      <c r="S6" s="1337"/>
      <c r="T6" s="1337"/>
      <c r="U6" s="1201"/>
      <c r="V6" s="1201"/>
      <c r="W6" s="1201"/>
      <c r="X6" s="1201"/>
      <c r="Y6" s="1201"/>
      <c r="Z6" s="1201"/>
      <c r="AA6" s="1201"/>
      <c r="AB6" s="1201"/>
      <c r="AC6" s="1201"/>
      <c r="AD6" s="1201"/>
      <c r="AE6" s="1201"/>
      <c r="AF6" s="1201"/>
      <c r="AG6" s="1201"/>
      <c r="AH6" s="1339"/>
      <c r="AI6" s="1201"/>
      <c r="AJ6" s="1201"/>
      <c r="AK6" s="1201"/>
    </row>
    <row r="7" spans="1:37" x14ac:dyDescent="0.25">
      <c r="A7" s="811" t="s">
        <v>28</v>
      </c>
      <c r="B7" s="811"/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812"/>
      <c r="O7" s="1335"/>
      <c r="P7" s="1201"/>
      <c r="Q7" s="1201"/>
      <c r="R7" s="1201"/>
      <c r="S7" s="1337"/>
      <c r="T7" s="1337"/>
      <c r="U7" s="1201"/>
      <c r="V7" s="1201"/>
      <c r="W7" s="1340"/>
      <c r="X7" s="1340"/>
      <c r="Y7" s="1340"/>
      <c r="Z7" s="1340"/>
      <c r="AA7" s="1340"/>
      <c r="AB7" s="1340"/>
      <c r="AC7" s="1340"/>
      <c r="AD7" s="1340"/>
      <c r="AE7" s="1201"/>
      <c r="AF7" s="1201"/>
      <c r="AG7" s="1201"/>
      <c r="AH7" s="1339"/>
      <c r="AI7" s="1201"/>
      <c r="AJ7" s="1201"/>
      <c r="AK7" s="1201"/>
    </row>
    <row r="8" spans="1:37" hidden="1" x14ac:dyDescent="0.25">
      <c r="A8" s="811" t="str">
        <f>"Bonds dated "&amp;TEXT(S2,"MMMM D, YYYY")&amp;"."</f>
        <v>Bonds dated January 0, 1900.</v>
      </c>
      <c r="B8" s="811"/>
      <c r="C8" s="811"/>
      <c r="D8" s="811"/>
      <c r="E8" s="811"/>
      <c r="F8" s="811"/>
      <c r="G8" s="811"/>
      <c r="H8" s="811"/>
      <c r="I8" s="811"/>
      <c r="J8" s="811"/>
      <c r="K8" s="811"/>
      <c r="L8" s="811"/>
      <c r="M8" s="811"/>
      <c r="N8" s="812"/>
      <c r="O8" s="1335"/>
      <c r="P8" s="1201"/>
      <c r="Q8" s="1201"/>
      <c r="R8" s="1201"/>
      <c r="S8" s="1337"/>
      <c r="T8" s="1337"/>
      <c r="U8" s="1201"/>
      <c r="V8" s="1201"/>
      <c r="W8" s="1341"/>
      <c r="X8" s="1201"/>
      <c r="Y8" s="1342"/>
      <c r="Z8" s="1201"/>
      <c r="AA8" s="1342"/>
      <c r="AB8" s="1342"/>
      <c r="AC8" s="1342"/>
      <c r="AD8" s="1201"/>
      <c r="AE8" s="1201"/>
      <c r="AF8" s="1201"/>
      <c r="AG8" s="1201"/>
      <c r="AH8" s="1201"/>
      <c r="AI8" s="1201"/>
      <c r="AJ8" s="1201"/>
      <c r="AK8" s="1201"/>
    </row>
    <row r="9" spans="1:37" x14ac:dyDescent="0.25">
      <c r="A9" s="814"/>
      <c r="B9" s="814"/>
      <c r="C9" s="814"/>
      <c r="D9" s="814"/>
      <c r="E9" s="814"/>
      <c r="F9" s="814"/>
      <c r="G9" s="814"/>
      <c r="H9" s="814"/>
      <c r="I9" s="814"/>
      <c r="J9" s="814"/>
      <c r="K9" s="814"/>
      <c r="L9" s="814"/>
      <c r="M9" s="814"/>
      <c r="O9" s="1335"/>
      <c r="P9" s="1201"/>
      <c r="Q9" s="1201"/>
      <c r="R9" s="1201"/>
      <c r="S9" s="1338"/>
      <c r="T9" s="1337"/>
      <c r="U9" s="1201"/>
      <c r="V9" s="1201"/>
      <c r="W9" s="1201"/>
      <c r="X9" s="1201"/>
      <c r="Y9" s="1201"/>
      <c r="Z9" s="1201"/>
      <c r="AA9" s="1201"/>
      <c r="AB9" s="1201"/>
      <c r="AC9" s="1201"/>
      <c r="AD9" s="1201"/>
      <c r="AE9" s="1201"/>
      <c r="AF9" s="1201"/>
      <c r="AG9" s="1201"/>
      <c r="AH9" s="1339"/>
      <c r="AI9" s="1201"/>
      <c r="AJ9" s="1201"/>
      <c r="AK9" s="1201"/>
    </row>
    <row r="10" spans="1:37" x14ac:dyDescent="0.25">
      <c r="A10" s="811"/>
      <c r="B10" s="804"/>
      <c r="C10" s="804"/>
      <c r="D10" s="804"/>
      <c r="E10" s="804"/>
      <c r="F10" s="804"/>
      <c r="G10" s="804"/>
      <c r="O10" s="1335"/>
      <c r="P10" s="1201"/>
      <c r="Q10" s="1201"/>
      <c r="R10" s="1201"/>
      <c r="S10" s="1337"/>
      <c r="T10" s="1337"/>
      <c r="U10" s="1201"/>
      <c r="V10" s="1201"/>
      <c r="W10" s="1343"/>
      <c r="X10" s="1201"/>
      <c r="Y10" s="1201"/>
      <c r="Z10" s="1201"/>
      <c r="AA10" s="1201"/>
      <c r="AB10" s="1201"/>
      <c r="AC10" s="1201"/>
      <c r="AD10" s="1201"/>
      <c r="AE10" s="1201"/>
      <c r="AF10" s="1201"/>
      <c r="AG10" s="1201"/>
      <c r="AH10" s="1339"/>
      <c r="AI10" s="1201"/>
      <c r="AJ10" s="1201"/>
      <c r="AK10" s="1201"/>
    </row>
    <row r="11" spans="1:37" x14ac:dyDescent="0.25">
      <c r="A11" s="813" t="s">
        <v>29</v>
      </c>
      <c r="C11" s="813" t="s">
        <v>30</v>
      </c>
      <c r="G11" s="813" t="s">
        <v>31</v>
      </c>
      <c r="I11" s="816" t="s">
        <v>32</v>
      </c>
      <c r="J11" s="816"/>
      <c r="K11" s="816"/>
      <c r="M11" s="813" t="s">
        <v>33</v>
      </c>
      <c r="O11" s="1335"/>
      <c r="P11" s="1201"/>
      <c r="Q11" s="1201"/>
      <c r="R11" s="1201"/>
      <c r="S11" s="1339"/>
      <c r="T11" s="1337"/>
      <c r="U11" s="1201"/>
      <c r="V11" s="1201"/>
      <c r="W11" s="1201"/>
      <c r="X11" s="1201"/>
      <c r="Y11" s="1201"/>
      <c r="Z11" s="1201"/>
      <c r="AA11" s="1201"/>
      <c r="AB11" s="1201"/>
      <c r="AC11" s="1201"/>
      <c r="AD11" s="1201"/>
      <c r="AE11" s="1201"/>
      <c r="AF11" s="1201"/>
      <c r="AG11" s="1201"/>
      <c r="AH11" s="1339"/>
      <c r="AI11" s="1201"/>
      <c r="AJ11" s="1201"/>
      <c r="AK11" s="1201"/>
    </row>
    <row r="12" spans="1:37" x14ac:dyDescent="0.25">
      <c r="A12" s="817" t="s">
        <v>9</v>
      </c>
      <c r="C12" s="817" t="s">
        <v>34</v>
      </c>
      <c r="E12" s="817" t="s">
        <v>30</v>
      </c>
      <c r="F12" s="813"/>
      <c r="G12" s="817" t="s">
        <v>603</v>
      </c>
      <c r="I12" s="817" t="s">
        <v>31</v>
      </c>
      <c r="J12" s="818"/>
      <c r="K12" s="817" t="s">
        <v>35</v>
      </c>
      <c r="M12" s="817" t="s">
        <v>35</v>
      </c>
      <c r="O12" s="1335"/>
      <c r="P12" s="1201"/>
      <c r="Q12" s="1201"/>
      <c r="R12" s="1201"/>
      <c r="S12" s="1337"/>
      <c r="T12" s="1337"/>
      <c r="U12" s="1201"/>
      <c r="V12" s="1201"/>
      <c r="W12" s="1343"/>
      <c r="X12" s="1201"/>
      <c r="Y12" s="1344"/>
      <c r="Z12" s="1201"/>
      <c r="AA12" s="1344"/>
      <c r="AB12" s="1343"/>
      <c r="AC12" s="1343"/>
      <c r="AD12" s="1201"/>
      <c r="AE12" s="1201"/>
      <c r="AF12" s="1201"/>
      <c r="AG12" s="1201"/>
      <c r="AH12" s="1201"/>
      <c r="AI12" s="1201"/>
      <c r="AJ12" s="1201"/>
      <c r="AK12" s="1201"/>
    </row>
    <row r="13" spans="1:37" x14ac:dyDescent="0.25">
      <c r="C13" s="1483" t="s">
        <v>710</v>
      </c>
      <c r="D13" s="1483"/>
      <c r="E13" s="1483"/>
      <c r="F13" s="804"/>
      <c r="G13" s="813" t="s">
        <v>36</v>
      </c>
      <c r="H13" s="804"/>
      <c r="I13" s="804" t="s">
        <v>711</v>
      </c>
      <c r="J13" s="819"/>
      <c r="K13" s="804"/>
      <c r="L13" s="804"/>
      <c r="M13" s="804"/>
      <c r="O13" s="1335"/>
      <c r="P13" s="1201"/>
      <c r="Q13" s="1201"/>
      <c r="R13" s="1201"/>
      <c r="S13" s="1337"/>
      <c r="T13" s="1337"/>
      <c r="U13" s="1345"/>
      <c r="V13" s="1345"/>
      <c r="W13" s="1345"/>
      <c r="X13" s="1201"/>
      <c r="Y13" s="1346"/>
      <c r="Z13" s="1201"/>
      <c r="AA13" s="1346"/>
      <c r="AB13" s="1201"/>
      <c r="AC13" s="1342"/>
      <c r="AD13" s="1201"/>
      <c r="AE13" s="1201"/>
      <c r="AF13" s="1201"/>
      <c r="AG13" s="1201"/>
      <c r="AH13" s="1339"/>
      <c r="AI13" s="1201"/>
      <c r="AJ13" s="1201"/>
      <c r="AK13" s="1201"/>
    </row>
    <row r="14" spans="1:37" x14ac:dyDescent="0.25">
      <c r="C14" s="820" t="s">
        <v>332</v>
      </c>
      <c r="D14" s="804"/>
      <c r="E14" s="804"/>
      <c r="F14" s="804"/>
      <c r="G14" s="813"/>
      <c r="H14" s="804"/>
      <c r="I14" s="804"/>
      <c r="J14" s="819"/>
      <c r="K14" s="804"/>
      <c r="L14" s="804"/>
      <c r="M14" s="804"/>
      <c r="O14" s="1347"/>
      <c r="P14" s="1337"/>
      <c r="Q14" s="1337"/>
      <c r="R14" s="1337"/>
      <c r="S14" s="1337"/>
      <c r="T14" s="1337"/>
      <c r="U14" s="1201"/>
      <c r="V14" s="1201"/>
      <c r="W14" s="1201"/>
      <c r="X14" s="1201"/>
      <c r="Y14" s="1201"/>
      <c r="Z14" s="1201"/>
      <c r="AA14" s="1201"/>
      <c r="AB14" s="1201"/>
      <c r="AC14" s="1201"/>
      <c r="AD14" s="1201"/>
      <c r="AE14" s="1201"/>
      <c r="AF14" s="1201"/>
      <c r="AG14" s="1201"/>
      <c r="AH14" s="1339"/>
      <c r="AI14" s="1201"/>
      <c r="AJ14" s="1201"/>
      <c r="AK14" s="1201"/>
    </row>
    <row r="15" spans="1:37" hidden="1" x14ac:dyDescent="0.25">
      <c r="A15" s="822">
        <v>44013</v>
      </c>
      <c r="C15" s="815"/>
      <c r="E15" s="810"/>
      <c r="F15" s="810"/>
      <c r="G15" s="823"/>
      <c r="I15" s="824">
        <f>ROUND((+E15*1000*G15/100/2+I16*(S5/180)),2)-0.01</f>
        <v>-0.01</v>
      </c>
      <c r="J15" s="801"/>
      <c r="K15" s="824">
        <f t="shared" ref="K15:K44" si="0">E15*1000+I15</f>
        <v>-0.01</v>
      </c>
      <c r="L15" s="801"/>
      <c r="M15" s="801"/>
      <c r="N15" s="825"/>
      <c r="O15" s="1347"/>
      <c r="P15" s="1337"/>
      <c r="Q15" s="1337"/>
      <c r="R15" s="1337"/>
      <c r="S15" s="1337"/>
      <c r="T15" s="1348"/>
      <c r="U15" s="1201"/>
      <c r="V15" s="1201"/>
      <c r="W15" s="1200"/>
      <c r="X15" s="1201"/>
      <c r="Y15" s="1349"/>
      <c r="Z15" s="1201"/>
      <c r="AA15" s="1349"/>
      <c r="AB15" s="1201"/>
      <c r="AC15" s="1350"/>
      <c r="AD15" s="1201"/>
      <c r="AE15" s="1351"/>
      <c r="AF15" s="1201"/>
      <c r="AG15" s="1201"/>
      <c r="AH15" s="1201"/>
      <c r="AI15" s="1201"/>
      <c r="AJ15" s="1201"/>
      <c r="AK15" s="1201"/>
    </row>
    <row r="16" spans="1:37" hidden="1" x14ac:dyDescent="0.25">
      <c r="A16" s="822">
        <f>EDATE(A15,6)</f>
        <v>44197</v>
      </c>
      <c r="C16" s="815">
        <f>E46</f>
        <v>30425</v>
      </c>
      <c r="E16" s="815">
        <v>245</v>
      </c>
      <c r="F16" s="810"/>
      <c r="G16" s="823">
        <v>1.5649999999999999</v>
      </c>
      <c r="I16" s="801">
        <f>ROUND((+E16*1000*G16/100/2+I17),2)</f>
        <v>379618.43</v>
      </c>
      <c r="J16" s="801"/>
      <c r="K16" s="801">
        <f t="shared" si="0"/>
        <v>624618.42999999993</v>
      </c>
      <c r="L16" s="801"/>
      <c r="M16" s="824">
        <f>K15+K16</f>
        <v>624618.41999999993</v>
      </c>
      <c r="N16" s="825"/>
      <c r="O16" s="1347"/>
      <c r="P16" s="1337"/>
      <c r="Q16" s="1337"/>
      <c r="R16" s="1337"/>
      <c r="S16" s="1337"/>
      <c r="T16" s="1352"/>
      <c r="U16" s="1353"/>
      <c r="V16" s="1349"/>
      <c r="W16" s="1353"/>
      <c r="X16" s="1201"/>
      <c r="Y16" s="1353"/>
      <c r="Z16" s="1201"/>
      <c r="AA16" s="1353"/>
      <c r="AB16" s="1201"/>
      <c r="AC16" s="1354"/>
      <c r="AD16" s="1201"/>
      <c r="AE16" s="1351"/>
      <c r="AF16" s="1201"/>
      <c r="AG16" s="1201"/>
      <c r="AH16" s="1201"/>
      <c r="AI16" s="1201"/>
      <c r="AJ16" s="1201"/>
      <c r="AK16" s="1201"/>
    </row>
    <row r="17" spans="1:37" x14ac:dyDescent="0.25">
      <c r="A17" s="822">
        <f t="shared" ref="A17:A44" si="1">EDATE(A16,6)</f>
        <v>44378</v>
      </c>
      <c r="C17" s="810"/>
      <c r="E17" s="810"/>
      <c r="F17" s="810"/>
      <c r="G17" s="823"/>
      <c r="I17" s="824">
        <f>ROUND((+E17*1000*G17/100/2+I18),2)</f>
        <v>377701.3</v>
      </c>
      <c r="J17" s="801"/>
      <c r="K17" s="824">
        <f>E17*1000+I17</f>
        <v>377701.3</v>
      </c>
      <c r="L17" s="801"/>
      <c r="M17" s="801"/>
      <c r="N17" s="825"/>
      <c r="O17" s="1347"/>
      <c r="P17" s="1337"/>
      <c r="Q17" s="1337"/>
      <c r="R17" s="1337"/>
      <c r="S17" s="1337"/>
      <c r="T17" s="1352"/>
      <c r="U17" s="1349"/>
      <c r="V17" s="1349"/>
      <c r="W17" s="1349"/>
      <c r="X17" s="1201"/>
      <c r="Y17" s="1349"/>
      <c r="Z17" s="1201"/>
      <c r="AA17" s="1349"/>
      <c r="AB17" s="1201"/>
      <c r="AC17" s="1350"/>
      <c r="AD17" s="1201"/>
      <c r="AE17" s="1351"/>
      <c r="AF17" s="1201"/>
      <c r="AG17" s="1201"/>
      <c r="AH17" s="1201"/>
      <c r="AI17" s="1201"/>
      <c r="AJ17" s="1201"/>
      <c r="AK17" s="1201"/>
    </row>
    <row r="18" spans="1:37" x14ac:dyDescent="0.25">
      <c r="A18" s="822">
        <f t="shared" si="1"/>
        <v>44562</v>
      </c>
      <c r="C18" s="815">
        <v>30425</v>
      </c>
      <c r="E18" s="815">
        <v>240</v>
      </c>
      <c r="F18" s="823"/>
      <c r="G18" s="823">
        <v>1.665</v>
      </c>
      <c r="I18" s="801">
        <f>ROUND((+E18*1000*G18/100/2+I19),2)</f>
        <v>377701.3</v>
      </c>
      <c r="J18" s="801"/>
      <c r="K18" s="801">
        <f t="shared" si="0"/>
        <v>617701.30000000005</v>
      </c>
      <c r="L18" s="801"/>
      <c r="M18" s="824">
        <f>K17+K18</f>
        <v>995402.60000000009</v>
      </c>
      <c r="N18" s="825"/>
      <c r="O18" s="1347"/>
      <c r="P18" s="1337"/>
      <c r="Q18" s="1337"/>
      <c r="R18" s="1337"/>
      <c r="S18" s="1337"/>
      <c r="T18" s="1352"/>
      <c r="U18" s="1349"/>
      <c r="V18" s="1349"/>
      <c r="W18" s="1349"/>
      <c r="X18" s="1201"/>
      <c r="Y18" s="1349"/>
      <c r="Z18" s="1201"/>
      <c r="AA18" s="1349"/>
      <c r="AB18" s="1201"/>
      <c r="AC18" s="1350"/>
      <c r="AD18" s="1201"/>
      <c r="AE18" s="1351"/>
      <c r="AF18" s="1201"/>
      <c r="AG18" s="1201"/>
      <c r="AH18" s="1201"/>
      <c r="AI18" s="1201"/>
      <c r="AJ18" s="1201"/>
      <c r="AK18" s="1201"/>
    </row>
    <row r="19" spans="1:37" x14ac:dyDescent="0.25">
      <c r="A19" s="822">
        <f t="shared" si="1"/>
        <v>44743</v>
      </c>
      <c r="C19" s="810"/>
      <c r="E19" s="810"/>
      <c r="F19" s="810"/>
      <c r="G19" s="823"/>
      <c r="I19" s="801">
        <f>ROUND((+E19*1000*G19/100/2+I20),2)</f>
        <v>375703.3</v>
      </c>
      <c r="J19" s="801"/>
      <c r="K19" s="801">
        <f t="shared" si="0"/>
        <v>375703.3</v>
      </c>
      <c r="L19" s="801"/>
      <c r="M19" s="801"/>
      <c r="N19" s="825"/>
      <c r="O19" s="1347"/>
      <c r="P19" s="1337"/>
      <c r="Q19" s="1337"/>
      <c r="R19" s="1337"/>
      <c r="S19" s="1337"/>
      <c r="T19" s="1352"/>
      <c r="U19" s="1349"/>
      <c r="V19" s="1349"/>
      <c r="W19" s="1349"/>
      <c r="X19" s="1201"/>
      <c r="Y19" s="1349"/>
      <c r="Z19" s="1201"/>
      <c r="AA19" s="1349"/>
      <c r="AB19" s="1201"/>
      <c r="AC19" s="1350"/>
      <c r="AD19" s="1201"/>
      <c r="AE19" s="1351"/>
      <c r="AF19" s="1201"/>
      <c r="AG19" s="1201"/>
      <c r="AH19" s="1201"/>
      <c r="AI19" s="1201"/>
      <c r="AJ19" s="1201"/>
      <c r="AK19" s="1201"/>
    </row>
    <row r="20" spans="1:37" x14ac:dyDescent="0.25">
      <c r="A20" s="822">
        <f t="shared" si="1"/>
        <v>44927</v>
      </c>
      <c r="C20" s="810">
        <f>C18-E18</f>
        <v>30185</v>
      </c>
      <c r="E20" s="810">
        <v>245</v>
      </c>
      <c r="F20" s="810"/>
      <c r="G20" s="823">
        <v>1.69</v>
      </c>
      <c r="I20" s="801">
        <f>ROUND((+E20*1000*G20/100/2+I21),2)</f>
        <v>375703.3</v>
      </c>
      <c r="J20" s="801"/>
      <c r="K20" s="801">
        <f t="shared" si="0"/>
        <v>620703.30000000005</v>
      </c>
      <c r="L20" s="801"/>
      <c r="M20" s="801">
        <f>K19+K20</f>
        <v>996406.60000000009</v>
      </c>
      <c r="N20" s="825"/>
      <c r="O20" s="1347"/>
      <c r="P20" s="1337"/>
      <c r="Q20" s="1337"/>
      <c r="R20" s="1337"/>
      <c r="S20" s="1337"/>
      <c r="T20" s="1352"/>
      <c r="U20" s="1349"/>
      <c r="V20" s="1349"/>
      <c r="W20" s="1349"/>
      <c r="X20" s="1201"/>
      <c r="Y20" s="1349"/>
      <c r="Z20" s="1201"/>
      <c r="AA20" s="1349"/>
      <c r="AB20" s="1201"/>
      <c r="AC20" s="1350"/>
      <c r="AD20" s="1201"/>
      <c r="AE20" s="1351"/>
      <c r="AF20" s="1201"/>
      <c r="AG20" s="1201"/>
      <c r="AH20" s="1201"/>
      <c r="AI20" s="1201"/>
      <c r="AJ20" s="1201"/>
      <c r="AK20" s="1201"/>
    </row>
    <row r="21" spans="1:37" x14ac:dyDescent="0.25">
      <c r="A21" s="822">
        <f t="shared" si="1"/>
        <v>45108</v>
      </c>
      <c r="C21" s="810"/>
      <c r="E21" s="810"/>
      <c r="F21" s="810"/>
      <c r="G21" s="823"/>
      <c r="I21" s="801">
        <f t="shared" ref="I21:I44" si="2">ROUND((+E21*1000*G21/100/2+I22),2)</f>
        <v>373633.05</v>
      </c>
      <c r="J21" s="801"/>
      <c r="K21" s="801">
        <f t="shared" si="0"/>
        <v>373633.05</v>
      </c>
      <c r="L21" s="801"/>
      <c r="M21" s="801"/>
      <c r="N21" s="825"/>
      <c r="O21" s="1347"/>
      <c r="P21" s="1337"/>
      <c r="Q21" s="1337"/>
      <c r="R21" s="1337"/>
      <c r="S21" s="1337"/>
      <c r="T21" s="1352"/>
      <c r="U21" s="1349"/>
      <c r="V21" s="1349"/>
      <c r="W21" s="1349"/>
      <c r="X21" s="1201"/>
      <c r="Y21" s="1349"/>
      <c r="Z21" s="1201"/>
      <c r="AA21" s="1349"/>
      <c r="AB21" s="1201"/>
      <c r="AC21" s="1350"/>
      <c r="AD21" s="1201"/>
      <c r="AE21" s="1351"/>
      <c r="AF21" s="1201"/>
      <c r="AG21" s="1201"/>
      <c r="AH21" s="1201"/>
      <c r="AI21" s="1201"/>
      <c r="AJ21" s="1201"/>
      <c r="AK21" s="1201"/>
    </row>
    <row r="22" spans="1:37" x14ac:dyDescent="0.25">
      <c r="A22" s="822">
        <f t="shared" si="1"/>
        <v>45292</v>
      </c>
      <c r="C22" s="810">
        <f>C20-E20</f>
        <v>29940</v>
      </c>
      <c r="E22" s="810">
        <v>250</v>
      </c>
      <c r="F22" s="810"/>
      <c r="G22" s="823">
        <v>1.804</v>
      </c>
      <c r="I22" s="801">
        <f t="shared" si="2"/>
        <v>373633.05</v>
      </c>
      <c r="J22" s="801"/>
      <c r="K22" s="801">
        <f t="shared" si="0"/>
        <v>623633.05000000005</v>
      </c>
      <c r="L22" s="801"/>
      <c r="M22" s="801">
        <f>K21+K22</f>
        <v>997266.10000000009</v>
      </c>
      <c r="N22" s="828"/>
      <c r="O22" s="1347"/>
      <c r="P22" s="1337"/>
      <c r="Q22" s="1337"/>
      <c r="R22" s="1337"/>
      <c r="S22" s="1337"/>
      <c r="T22" s="1352"/>
      <c r="U22" s="1349"/>
      <c r="V22" s="1349"/>
      <c r="W22" s="1349"/>
      <c r="X22" s="1201"/>
      <c r="Y22" s="1349"/>
      <c r="Z22" s="1201"/>
      <c r="AA22" s="1349"/>
      <c r="AB22" s="1201"/>
      <c r="AC22" s="1350"/>
      <c r="AD22" s="1201"/>
      <c r="AE22" s="1351"/>
      <c r="AF22" s="1201"/>
      <c r="AG22" s="1201"/>
      <c r="AH22" s="1201"/>
      <c r="AI22" s="1201"/>
      <c r="AJ22" s="1201"/>
      <c r="AK22" s="1201"/>
    </row>
    <row r="23" spans="1:37" x14ac:dyDescent="0.25">
      <c r="A23" s="822">
        <f t="shared" si="1"/>
        <v>45474</v>
      </c>
      <c r="C23" s="810"/>
      <c r="E23" s="810"/>
      <c r="F23" s="810"/>
      <c r="G23" s="823"/>
      <c r="I23" s="801">
        <f t="shared" si="2"/>
        <v>371378.05</v>
      </c>
      <c r="J23" s="801"/>
      <c r="K23" s="801">
        <f t="shared" si="0"/>
        <v>371378.05</v>
      </c>
      <c r="L23" s="801"/>
      <c r="M23" s="801"/>
      <c r="N23" s="825"/>
      <c r="O23" s="1347"/>
      <c r="P23" s="1337"/>
      <c r="Q23" s="1337"/>
      <c r="R23" s="1337"/>
      <c r="S23" s="1337"/>
      <c r="T23" s="1352"/>
      <c r="U23" s="1349"/>
      <c r="V23" s="1349"/>
      <c r="W23" s="1349"/>
      <c r="X23" s="1201"/>
      <c r="Y23" s="1349"/>
      <c r="Z23" s="1201"/>
      <c r="AA23" s="1349"/>
      <c r="AB23" s="1201"/>
      <c r="AC23" s="1350"/>
      <c r="AD23" s="1201"/>
      <c r="AE23" s="1351"/>
      <c r="AF23" s="1201"/>
      <c r="AG23" s="1201"/>
      <c r="AH23" s="1201"/>
      <c r="AI23" s="1201"/>
      <c r="AJ23" s="1201"/>
      <c r="AK23" s="1201"/>
    </row>
    <row r="24" spans="1:37" x14ac:dyDescent="0.25">
      <c r="A24" s="822">
        <f t="shared" si="1"/>
        <v>45658</v>
      </c>
      <c r="C24" s="810">
        <f>C22-E22</f>
        <v>29690</v>
      </c>
      <c r="E24" s="810">
        <v>255</v>
      </c>
      <c r="F24" s="810"/>
      <c r="G24" s="823">
        <v>1.8540000000000001</v>
      </c>
      <c r="I24" s="801">
        <f t="shared" si="2"/>
        <v>371378.05</v>
      </c>
      <c r="J24" s="801"/>
      <c r="K24" s="801">
        <f t="shared" si="0"/>
        <v>626378.05000000005</v>
      </c>
      <c r="L24" s="801"/>
      <c r="M24" s="801">
        <f>K23+K24</f>
        <v>997756.10000000009</v>
      </c>
      <c r="N24" s="825"/>
      <c r="O24" s="1347"/>
      <c r="P24" s="1337"/>
      <c r="Q24" s="1337"/>
      <c r="R24" s="1337"/>
      <c r="S24" s="1337"/>
      <c r="T24" s="1352"/>
      <c r="U24" s="1349"/>
      <c r="V24" s="1349"/>
      <c r="W24" s="1349"/>
      <c r="X24" s="1201"/>
      <c r="Y24" s="1349"/>
      <c r="Z24" s="1201"/>
      <c r="AA24" s="1349"/>
      <c r="AB24" s="1201"/>
      <c r="AC24" s="1350"/>
      <c r="AD24" s="1201"/>
      <c r="AE24" s="1351"/>
      <c r="AF24" s="1201"/>
      <c r="AG24" s="1201"/>
      <c r="AH24" s="1201"/>
      <c r="AI24" s="1201"/>
      <c r="AJ24" s="1201"/>
      <c r="AK24" s="1201"/>
    </row>
    <row r="25" spans="1:37" x14ac:dyDescent="0.25">
      <c r="A25" s="822">
        <f t="shared" si="1"/>
        <v>45839</v>
      </c>
      <c r="C25" s="810"/>
      <c r="E25" s="810"/>
      <c r="F25" s="810"/>
      <c r="G25" s="823"/>
      <c r="I25" s="801">
        <f t="shared" si="2"/>
        <v>369014.2</v>
      </c>
      <c r="J25" s="801"/>
      <c r="K25" s="801">
        <f t="shared" si="0"/>
        <v>369014.2</v>
      </c>
      <c r="L25" s="801"/>
      <c r="M25" s="801"/>
      <c r="N25" s="825"/>
      <c r="O25" s="1347"/>
      <c r="P25" s="1337"/>
      <c r="Q25" s="1337"/>
      <c r="R25" s="1337"/>
      <c r="S25" s="1337"/>
      <c r="T25" s="1352"/>
      <c r="U25" s="1349"/>
      <c r="V25" s="1349"/>
      <c r="W25" s="1349"/>
      <c r="X25" s="1201"/>
      <c r="Y25" s="1349"/>
      <c r="Z25" s="1201"/>
      <c r="AA25" s="1349"/>
      <c r="AB25" s="1201"/>
      <c r="AC25" s="1350"/>
      <c r="AD25" s="1201"/>
      <c r="AE25" s="1351"/>
      <c r="AF25" s="1201"/>
      <c r="AG25" s="1201"/>
      <c r="AH25" s="1201"/>
      <c r="AI25" s="1201"/>
      <c r="AJ25" s="1201"/>
      <c r="AK25" s="1201"/>
    </row>
    <row r="26" spans="1:37" x14ac:dyDescent="0.25">
      <c r="A26" s="822">
        <f t="shared" si="1"/>
        <v>46023</v>
      </c>
      <c r="C26" s="810">
        <f>C24-E24</f>
        <v>29435</v>
      </c>
      <c r="E26" s="810">
        <v>255</v>
      </c>
      <c r="F26" s="810"/>
      <c r="G26" s="823">
        <v>2.0009999999999999</v>
      </c>
      <c r="I26" s="801">
        <f>ROUND((+E26*1000*G26/100/2+I27),2)-0.01</f>
        <v>369014.2</v>
      </c>
      <c r="J26" s="801"/>
      <c r="K26" s="801">
        <f t="shared" si="0"/>
        <v>624014.19999999995</v>
      </c>
      <c r="L26" s="801"/>
      <c r="M26" s="801">
        <f>K25+K26</f>
        <v>993028.39999999991</v>
      </c>
      <c r="N26" s="825"/>
      <c r="O26" s="1347"/>
      <c r="P26" s="1337"/>
      <c r="Q26" s="1337"/>
      <c r="R26" s="1337"/>
      <c r="S26" s="1337"/>
      <c r="T26" s="1352"/>
      <c r="U26" s="1349"/>
      <c r="V26" s="1349"/>
      <c r="W26" s="1349"/>
      <c r="X26" s="1201"/>
      <c r="Y26" s="1349"/>
      <c r="Z26" s="1201"/>
      <c r="AA26" s="1349"/>
      <c r="AB26" s="1201"/>
      <c r="AC26" s="1350"/>
      <c r="AD26" s="1201"/>
      <c r="AE26" s="1351"/>
      <c r="AF26" s="1201"/>
      <c r="AG26" s="1201"/>
      <c r="AH26" s="1201"/>
      <c r="AI26" s="1201"/>
      <c r="AJ26" s="1355"/>
      <c r="AK26" s="1201"/>
    </row>
    <row r="27" spans="1:37" x14ac:dyDescent="0.25">
      <c r="A27" s="822">
        <f t="shared" si="1"/>
        <v>46204</v>
      </c>
      <c r="C27" s="810"/>
      <c r="E27" s="810"/>
      <c r="F27" s="810"/>
      <c r="G27" s="823"/>
      <c r="I27" s="801">
        <f t="shared" si="2"/>
        <v>366462.93</v>
      </c>
      <c r="J27" s="801"/>
      <c r="K27" s="801">
        <f t="shared" si="0"/>
        <v>366462.93</v>
      </c>
      <c r="L27" s="801"/>
      <c r="M27" s="801"/>
      <c r="N27" s="825"/>
      <c r="O27" s="1347"/>
      <c r="P27" s="1337"/>
      <c r="Q27" s="1337"/>
      <c r="R27" s="1337"/>
      <c r="S27" s="1337"/>
      <c r="T27" s="1352"/>
      <c r="U27" s="1349"/>
      <c r="V27" s="1349"/>
      <c r="W27" s="1349"/>
      <c r="X27" s="1201"/>
      <c r="Y27" s="1349"/>
      <c r="Z27" s="1201"/>
      <c r="AA27" s="1349"/>
      <c r="AB27" s="1201"/>
      <c r="AC27" s="1350"/>
      <c r="AD27" s="1201"/>
      <c r="AE27" s="1351"/>
      <c r="AF27" s="1201"/>
      <c r="AG27" s="1201"/>
      <c r="AH27" s="1201"/>
      <c r="AI27" s="1201"/>
      <c r="AJ27" s="1355"/>
      <c r="AK27" s="1201"/>
    </row>
    <row r="28" spans="1:37" x14ac:dyDescent="0.25">
      <c r="A28" s="822">
        <f t="shared" si="1"/>
        <v>46388</v>
      </c>
      <c r="C28" s="810">
        <f>C26-E26</f>
        <v>29180</v>
      </c>
      <c r="E28" s="810">
        <v>265</v>
      </c>
      <c r="F28" s="810"/>
      <c r="G28" s="823">
        <v>2.101</v>
      </c>
      <c r="I28" s="801">
        <f t="shared" si="2"/>
        <v>366462.93</v>
      </c>
      <c r="J28" s="801"/>
      <c r="K28" s="801">
        <f t="shared" si="0"/>
        <v>631462.92999999993</v>
      </c>
      <c r="L28" s="801"/>
      <c r="M28" s="801">
        <f>K27+K28</f>
        <v>997925.85999999987</v>
      </c>
      <c r="N28" s="828"/>
      <c r="O28" s="1347"/>
      <c r="P28" s="1337"/>
      <c r="Q28" s="1337"/>
      <c r="R28" s="1337"/>
      <c r="S28" s="1337"/>
      <c r="T28" s="1352"/>
      <c r="U28" s="1349"/>
      <c r="V28" s="1349"/>
      <c r="W28" s="1349"/>
      <c r="X28" s="1201"/>
      <c r="Y28" s="1349"/>
      <c r="Z28" s="1201"/>
      <c r="AA28" s="1349"/>
      <c r="AB28" s="1201"/>
      <c r="AC28" s="1350"/>
      <c r="AD28" s="1201"/>
      <c r="AE28" s="1351"/>
      <c r="AF28" s="1201"/>
      <c r="AG28" s="1201"/>
      <c r="AH28" s="1201"/>
      <c r="AI28" s="1201"/>
      <c r="AJ28" s="1355"/>
      <c r="AK28" s="1201"/>
    </row>
    <row r="29" spans="1:37" x14ac:dyDescent="0.25">
      <c r="A29" s="822">
        <f t="shared" si="1"/>
        <v>46569</v>
      </c>
      <c r="C29" s="810"/>
      <c r="E29" s="810"/>
      <c r="F29" s="810"/>
      <c r="G29" s="823"/>
      <c r="I29" s="801">
        <f t="shared" si="2"/>
        <v>363679.1</v>
      </c>
      <c r="J29" s="801"/>
      <c r="K29" s="801">
        <f t="shared" si="0"/>
        <v>363679.1</v>
      </c>
      <c r="L29" s="801"/>
      <c r="M29" s="801"/>
      <c r="N29" s="825"/>
      <c r="O29" s="1347"/>
      <c r="P29" s="1337"/>
      <c r="Q29" s="1337"/>
      <c r="R29" s="1337"/>
      <c r="S29" s="1337"/>
      <c r="T29" s="1352"/>
      <c r="U29" s="1349"/>
      <c r="V29" s="1349"/>
      <c r="W29" s="1349"/>
      <c r="X29" s="1201"/>
      <c r="Y29" s="1349"/>
      <c r="Z29" s="1201"/>
      <c r="AA29" s="1349"/>
      <c r="AB29" s="1201"/>
      <c r="AC29" s="1350"/>
      <c r="AD29" s="1201"/>
      <c r="AE29" s="1351"/>
      <c r="AF29" s="1201"/>
      <c r="AG29" s="1201"/>
      <c r="AH29" s="1201"/>
      <c r="AI29" s="1201"/>
      <c r="AJ29" s="1355"/>
      <c r="AK29" s="1201"/>
    </row>
    <row r="30" spans="1:37" x14ac:dyDescent="0.25">
      <c r="A30" s="822">
        <f t="shared" si="1"/>
        <v>46753</v>
      </c>
      <c r="C30" s="810">
        <f>C28-E28</f>
        <v>28915</v>
      </c>
      <c r="E30" s="810">
        <v>270</v>
      </c>
      <c r="F30" s="810"/>
      <c r="G30" s="823">
        <v>2.1880000000000002</v>
      </c>
      <c r="I30" s="801">
        <f t="shared" si="2"/>
        <v>363679.1</v>
      </c>
      <c r="J30" s="801"/>
      <c r="K30" s="801">
        <f t="shared" si="0"/>
        <v>633679.1</v>
      </c>
      <c r="L30" s="801"/>
      <c r="M30" s="801">
        <f>K29+K30</f>
        <v>997358.2</v>
      </c>
      <c r="N30" s="825"/>
      <c r="O30" s="1347"/>
      <c r="P30" s="1337"/>
      <c r="Q30" s="1337"/>
      <c r="R30" s="1337"/>
      <c r="S30" s="1337"/>
      <c r="T30" s="1352"/>
      <c r="U30" s="1349"/>
      <c r="V30" s="1349"/>
      <c r="W30" s="1349"/>
      <c r="X30" s="1201"/>
      <c r="Y30" s="1349"/>
      <c r="Z30" s="1201"/>
      <c r="AA30" s="1349"/>
      <c r="AB30" s="1201"/>
      <c r="AC30" s="1350"/>
      <c r="AD30" s="1201"/>
      <c r="AE30" s="1351"/>
      <c r="AF30" s="1201"/>
      <c r="AG30" s="1201"/>
      <c r="AH30" s="1201"/>
      <c r="AI30" s="1201"/>
      <c r="AJ30" s="1355"/>
      <c r="AK30" s="1201"/>
    </row>
    <row r="31" spans="1:37" x14ac:dyDescent="0.25">
      <c r="A31" s="822">
        <f t="shared" si="1"/>
        <v>46935</v>
      </c>
      <c r="C31" s="810"/>
      <c r="E31" s="810"/>
      <c r="F31" s="810"/>
      <c r="G31" s="823"/>
      <c r="I31" s="801">
        <f t="shared" si="2"/>
        <v>360725.3</v>
      </c>
      <c r="J31" s="801"/>
      <c r="K31" s="801">
        <f t="shared" si="0"/>
        <v>360725.3</v>
      </c>
      <c r="L31" s="801"/>
      <c r="M31" s="801"/>
      <c r="N31" s="825"/>
      <c r="O31" s="1347"/>
      <c r="P31" s="1337"/>
      <c r="Q31" s="1337"/>
      <c r="R31" s="1337"/>
      <c r="S31" s="1337"/>
      <c r="T31" s="1352"/>
      <c r="U31" s="1349"/>
      <c r="V31" s="1349"/>
      <c r="W31" s="1349"/>
      <c r="X31" s="1201"/>
      <c r="Y31" s="1349"/>
      <c r="Z31" s="1201"/>
      <c r="AA31" s="1349"/>
      <c r="AB31" s="1201"/>
      <c r="AC31" s="1350"/>
      <c r="AD31" s="1201"/>
      <c r="AE31" s="1351"/>
      <c r="AF31" s="1201"/>
      <c r="AG31" s="1201"/>
      <c r="AH31" s="1201"/>
      <c r="AI31" s="1201"/>
      <c r="AJ31" s="1355"/>
      <c r="AK31" s="1201"/>
    </row>
    <row r="32" spans="1:37" x14ac:dyDescent="0.25">
      <c r="A32" s="822">
        <f t="shared" si="1"/>
        <v>47119</v>
      </c>
      <c r="C32" s="810">
        <f>C30-E30</f>
        <v>28645</v>
      </c>
      <c r="E32" s="810">
        <v>275</v>
      </c>
      <c r="F32" s="810"/>
      <c r="G32" s="823">
        <v>2.2879999999999998</v>
      </c>
      <c r="I32" s="801">
        <f t="shared" si="2"/>
        <v>360725.3</v>
      </c>
      <c r="J32" s="801"/>
      <c r="K32" s="801">
        <f t="shared" si="0"/>
        <v>635725.30000000005</v>
      </c>
      <c r="L32" s="801"/>
      <c r="M32" s="801">
        <f>K31+K32</f>
        <v>996450.60000000009</v>
      </c>
      <c r="N32" s="825"/>
      <c r="O32" s="1347"/>
      <c r="P32" s="1337"/>
      <c r="Q32" s="1337"/>
      <c r="R32" s="1337"/>
      <c r="S32" s="1337"/>
      <c r="T32" s="1352"/>
      <c r="U32" s="1349"/>
      <c r="V32" s="1349"/>
      <c r="W32" s="1349"/>
      <c r="X32" s="1201"/>
      <c r="Y32" s="1349"/>
      <c r="Z32" s="1201"/>
      <c r="AA32" s="1349"/>
      <c r="AB32" s="1201"/>
      <c r="AC32" s="1350"/>
      <c r="AD32" s="1201"/>
      <c r="AE32" s="1351"/>
      <c r="AF32" s="1201"/>
      <c r="AG32" s="1201"/>
      <c r="AH32" s="1201"/>
      <c r="AI32" s="1201"/>
      <c r="AJ32" s="1355"/>
      <c r="AK32" s="1201"/>
    </row>
    <row r="33" spans="1:37" x14ac:dyDescent="0.25">
      <c r="A33" s="822">
        <f t="shared" si="1"/>
        <v>47300</v>
      </c>
      <c r="C33" s="810"/>
      <c r="E33" s="810"/>
      <c r="F33" s="810"/>
      <c r="G33" s="823"/>
      <c r="I33" s="801">
        <f t="shared" si="2"/>
        <v>357579.3</v>
      </c>
      <c r="J33" s="801"/>
      <c r="K33" s="801">
        <f t="shared" si="0"/>
        <v>357579.3</v>
      </c>
      <c r="L33" s="801"/>
      <c r="M33" s="801"/>
      <c r="N33" s="825"/>
      <c r="O33" s="1347"/>
      <c r="P33" s="1337"/>
      <c r="Q33" s="1337"/>
      <c r="R33" s="1337"/>
      <c r="S33" s="1337"/>
      <c r="T33" s="1352"/>
      <c r="U33" s="1349"/>
      <c r="V33" s="1349"/>
      <c r="W33" s="1349"/>
      <c r="X33" s="1201"/>
      <c r="Y33" s="1349"/>
      <c r="Z33" s="1201"/>
      <c r="AA33" s="1349"/>
      <c r="AB33" s="1201"/>
      <c r="AC33" s="1350"/>
      <c r="AD33" s="1201"/>
      <c r="AE33" s="1351"/>
      <c r="AF33" s="1201"/>
      <c r="AG33" s="1201"/>
      <c r="AH33" s="1201"/>
      <c r="AI33" s="1201"/>
      <c r="AJ33" s="1355"/>
      <c r="AK33" s="1201"/>
    </row>
    <row r="34" spans="1:37" x14ac:dyDescent="0.25">
      <c r="A34" s="822">
        <f t="shared" si="1"/>
        <v>47484</v>
      </c>
      <c r="C34" s="810">
        <f>C32-E32</f>
        <v>28370</v>
      </c>
      <c r="E34" s="810">
        <v>280</v>
      </c>
      <c r="F34" s="810"/>
      <c r="G34" s="823">
        <v>2.3380000000000001</v>
      </c>
      <c r="I34" s="801">
        <f t="shared" si="2"/>
        <v>357579.3</v>
      </c>
      <c r="J34" s="801"/>
      <c r="K34" s="801">
        <f t="shared" si="0"/>
        <v>637579.30000000005</v>
      </c>
      <c r="L34" s="801"/>
      <c r="M34" s="801">
        <f>K33+K34</f>
        <v>995158.60000000009</v>
      </c>
      <c r="N34" s="825"/>
      <c r="O34" s="1347"/>
      <c r="P34" s="1337"/>
      <c r="Q34" s="1337"/>
      <c r="R34" s="1337"/>
      <c r="S34" s="1337"/>
      <c r="T34" s="1352"/>
      <c r="U34" s="1349"/>
      <c r="V34" s="1349"/>
      <c r="W34" s="1349"/>
      <c r="X34" s="1201"/>
      <c r="Y34" s="1349"/>
      <c r="Z34" s="1201"/>
      <c r="AA34" s="1349"/>
      <c r="AB34" s="1201"/>
      <c r="AC34" s="1350"/>
      <c r="AD34" s="1201"/>
      <c r="AE34" s="1351"/>
      <c r="AF34" s="1201"/>
      <c r="AG34" s="1201"/>
      <c r="AH34" s="1201"/>
      <c r="AI34" s="1201"/>
      <c r="AJ34" s="1355"/>
      <c r="AK34" s="1201"/>
    </row>
    <row r="35" spans="1:37" x14ac:dyDescent="0.25">
      <c r="A35" s="822">
        <f t="shared" si="1"/>
        <v>47665</v>
      </c>
      <c r="C35" s="810"/>
      <c r="E35" s="810"/>
      <c r="F35" s="810"/>
      <c r="G35" s="823"/>
      <c r="I35" s="801">
        <f t="shared" si="2"/>
        <v>354306.1</v>
      </c>
      <c r="J35" s="801"/>
      <c r="K35" s="801">
        <f t="shared" si="0"/>
        <v>354306.1</v>
      </c>
      <c r="L35" s="801"/>
      <c r="M35" s="801"/>
      <c r="N35" s="825"/>
      <c r="O35" s="1347"/>
      <c r="P35" s="1337"/>
      <c r="Q35" s="1337"/>
      <c r="R35" s="1337"/>
      <c r="S35" s="1337"/>
      <c r="T35" s="1352"/>
      <c r="U35" s="1349"/>
      <c r="V35" s="1349"/>
      <c r="W35" s="1349"/>
      <c r="X35" s="1201"/>
      <c r="Y35" s="1349"/>
      <c r="Z35" s="1201"/>
      <c r="AA35" s="1349"/>
      <c r="AB35" s="1201"/>
      <c r="AC35" s="1350"/>
      <c r="AD35" s="1201"/>
      <c r="AE35" s="1351"/>
      <c r="AF35" s="1201"/>
      <c r="AG35" s="1201"/>
      <c r="AH35" s="1201"/>
      <c r="AI35" s="1201"/>
      <c r="AJ35" s="1355"/>
      <c r="AK35" s="1201"/>
    </row>
    <row r="36" spans="1:37" x14ac:dyDescent="0.25">
      <c r="A36" s="822">
        <f t="shared" si="1"/>
        <v>47849</v>
      </c>
      <c r="C36" s="810">
        <f>C34-E34</f>
        <v>28090</v>
      </c>
      <c r="E36" s="810">
        <v>5275</v>
      </c>
      <c r="F36" s="810"/>
      <c r="G36" s="823">
        <v>2.3580000000000001</v>
      </c>
      <c r="I36" s="801">
        <f t="shared" si="2"/>
        <v>354306.1</v>
      </c>
      <c r="J36" s="801"/>
      <c r="K36" s="801">
        <f t="shared" si="0"/>
        <v>5629306.0999999996</v>
      </c>
      <c r="L36" s="801"/>
      <c r="M36" s="801">
        <f>K35+K36</f>
        <v>5983612.1999999993</v>
      </c>
      <c r="N36" s="825"/>
      <c r="O36" s="1347"/>
      <c r="P36" s="1337"/>
      <c r="Q36" s="1337"/>
      <c r="R36" s="1337"/>
      <c r="S36" s="1337"/>
      <c r="T36" s="1352"/>
      <c r="U36" s="1349"/>
      <c r="V36" s="1349"/>
      <c r="W36" s="1349"/>
      <c r="X36" s="1201"/>
      <c r="Y36" s="1349"/>
      <c r="Z36" s="1201"/>
      <c r="AA36" s="1349"/>
      <c r="AB36" s="1201"/>
      <c r="AC36" s="1350"/>
      <c r="AD36" s="1201"/>
      <c r="AE36" s="1351"/>
      <c r="AF36" s="1201"/>
      <c r="AG36" s="1201"/>
      <c r="AH36" s="1201"/>
      <c r="AI36" s="1201"/>
      <c r="AJ36" s="1355"/>
      <c r="AK36" s="1201"/>
    </row>
    <row r="37" spans="1:37" x14ac:dyDescent="0.25">
      <c r="A37" s="822">
        <f t="shared" si="1"/>
        <v>48030</v>
      </c>
      <c r="C37" s="810"/>
      <c r="E37" s="810"/>
      <c r="F37" s="810"/>
      <c r="G37" s="823"/>
      <c r="I37" s="801">
        <f t="shared" si="2"/>
        <v>292113.84999999998</v>
      </c>
      <c r="J37" s="801"/>
      <c r="K37" s="801">
        <f t="shared" si="0"/>
        <v>292113.84999999998</v>
      </c>
      <c r="L37" s="801"/>
      <c r="M37" s="801"/>
      <c r="N37" s="825"/>
      <c r="O37" s="1347"/>
      <c r="P37" s="1337"/>
      <c r="Q37" s="1337"/>
      <c r="R37" s="1337"/>
      <c r="S37" s="1337"/>
      <c r="T37" s="1352"/>
      <c r="U37" s="1349"/>
      <c r="V37" s="1349"/>
      <c r="W37" s="1349"/>
      <c r="X37" s="1201"/>
      <c r="Y37" s="1349"/>
      <c r="Z37" s="1201"/>
      <c r="AA37" s="1349"/>
      <c r="AB37" s="1201"/>
      <c r="AC37" s="1350"/>
      <c r="AD37" s="1201"/>
      <c r="AE37" s="1351"/>
      <c r="AF37" s="1201"/>
      <c r="AG37" s="1201"/>
      <c r="AH37" s="1201"/>
      <c r="AI37" s="1201"/>
      <c r="AJ37" s="1355"/>
      <c r="AK37" s="1201"/>
    </row>
    <row r="38" spans="1:37" x14ac:dyDescent="0.25">
      <c r="A38" s="822">
        <f t="shared" si="1"/>
        <v>48214</v>
      </c>
      <c r="C38" s="810">
        <f>C36-E36</f>
        <v>22815</v>
      </c>
      <c r="E38" s="810">
        <v>5435</v>
      </c>
      <c r="F38" s="810"/>
      <c r="G38" s="823">
        <v>2.4580000000000002</v>
      </c>
      <c r="I38" s="801">
        <f t="shared" si="2"/>
        <v>292113.84999999998</v>
      </c>
      <c r="J38" s="801"/>
      <c r="K38" s="801">
        <f t="shared" si="0"/>
        <v>5727113.8499999996</v>
      </c>
      <c r="L38" s="801"/>
      <c r="M38" s="801">
        <f>K37+K38</f>
        <v>6019227.6999999993</v>
      </c>
      <c r="N38" s="825"/>
      <c r="O38" s="1347"/>
      <c r="P38" s="1337"/>
      <c r="Q38" s="1337"/>
      <c r="R38" s="1337"/>
      <c r="S38" s="1337"/>
      <c r="T38" s="1352"/>
      <c r="U38" s="1349"/>
      <c r="V38" s="1349"/>
      <c r="W38" s="1349"/>
      <c r="X38" s="1201"/>
      <c r="Y38" s="1349"/>
      <c r="Z38" s="1201"/>
      <c r="AA38" s="1349"/>
      <c r="AB38" s="1201"/>
      <c r="AC38" s="1350"/>
      <c r="AD38" s="1201"/>
      <c r="AE38" s="1351"/>
      <c r="AF38" s="1201"/>
      <c r="AG38" s="1201"/>
      <c r="AH38" s="1201"/>
      <c r="AI38" s="1201"/>
      <c r="AJ38" s="1355"/>
      <c r="AK38" s="1201"/>
    </row>
    <row r="39" spans="1:37" x14ac:dyDescent="0.25">
      <c r="A39" s="822">
        <f t="shared" si="1"/>
        <v>48396</v>
      </c>
      <c r="C39" s="810"/>
      <c r="E39" s="810"/>
      <c r="F39" s="810"/>
      <c r="G39" s="823"/>
      <c r="I39" s="801">
        <f t="shared" si="2"/>
        <v>225317.7</v>
      </c>
      <c r="J39" s="801"/>
      <c r="K39" s="801">
        <f t="shared" si="0"/>
        <v>225317.7</v>
      </c>
      <c r="L39" s="801"/>
      <c r="M39" s="801"/>
      <c r="N39" s="825"/>
      <c r="O39" s="1347"/>
      <c r="P39" s="1337"/>
      <c r="Q39" s="1337"/>
      <c r="R39" s="1337"/>
      <c r="S39" s="1337"/>
      <c r="T39" s="1352"/>
      <c r="U39" s="1349"/>
      <c r="V39" s="1349"/>
      <c r="W39" s="1349"/>
      <c r="X39" s="1201"/>
      <c r="Y39" s="1349"/>
      <c r="Z39" s="1201"/>
      <c r="AA39" s="1349"/>
      <c r="AB39" s="1201"/>
      <c r="AC39" s="1350"/>
      <c r="AD39" s="1201"/>
      <c r="AE39" s="1351"/>
      <c r="AF39" s="1201"/>
      <c r="AG39" s="1201"/>
      <c r="AH39" s="1201"/>
      <c r="AI39" s="1201"/>
      <c r="AJ39" s="1355"/>
      <c r="AK39" s="1201"/>
    </row>
    <row r="40" spans="1:37" x14ac:dyDescent="0.25">
      <c r="A40" s="822">
        <f t="shared" si="1"/>
        <v>48580</v>
      </c>
      <c r="C40" s="810">
        <f>C38-E38</f>
        <v>17380</v>
      </c>
      <c r="E40" s="810">
        <v>5615</v>
      </c>
      <c r="F40" s="830"/>
      <c r="G40" s="823">
        <v>2.508</v>
      </c>
      <c r="I40" s="801">
        <f t="shared" si="2"/>
        <v>225317.7</v>
      </c>
      <c r="J40" s="801"/>
      <c r="K40" s="801">
        <f t="shared" si="0"/>
        <v>5840317.7000000002</v>
      </c>
      <c r="L40" s="801"/>
      <c r="M40" s="801">
        <f>K39+K40</f>
        <v>6065635.4000000004</v>
      </c>
      <c r="N40" s="825"/>
      <c r="O40" s="1347"/>
      <c r="P40" s="1337"/>
      <c r="Q40" s="1337"/>
      <c r="R40" s="1337"/>
      <c r="S40" s="1337"/>
      <c r="T40" s="1352"/>
      <c r="U40" s="1349"/>
      <c r="V40" s="1349"/>
      <c r="W40" s="1349"/>
      <c r="X40" s="1201"/>
      <c r="Y40" s="1349"/>
      <c r="Z40" s="1201"/>
      <c r="AA40" s="1349"/>
      <c r="AB40" s="1201"/>
      <c r="AC40" s="1350"/>
      <c r="AD40" s="1201"/>
      <c r="AE40" s="1351"/>
      <c r="AF40" s="1201"/>
      <c r="AG40" s="1201"/>
      <c r="AH40" s="1201"/>
      <c r="AI40" s="1201"/>
      <c r="AJ40" s="1355"/>
      <c r="AK40" s="1201"/>
    </row>
    <row r="41" spans="1:37" x14ac:dyDescent="0.25">
      <c r="A41" s="822">
        <f t="shared" si="1"/>
        <v>48761</v>
      </c>
      <c r="C41" s="810"/>
      <c r="E41" s="810"/>
      <c r="F41" s="810"/>
      <c r="G41" s="823"/>
      <c r="I41" s="801">
        <f t="shared" si="2"/>
        <v>154905.60000000001</v>
      </c>
      <c r="J41" s="801"/>
      <c r="K41" s="801">
        <f t="shared" si="0"/>
        <v>154905.60000000001</v>
      </c>
      <c r="L41" s="801"/>
      <c r="M41" s="801"/>
      <c r="N41" s="825"/>
      <c r="O41" s="1347"/>
      <c r="P41" s="1337"/>
      <c r="Q41" s="1337"/>
      <c r="R41" s="1337"/>
      <c r="S41" s="1337"/>
      <c r="T41" s="1352"/>
      <c r="U41" s="1349"/>
      <c r="V41" s="1349"/>
      <c r="W41" s="1349"/>
      <c r="X41" s="1201"/>
      <c r="Y41" s="1349"/>
      <c r="Z41" s="1201"/>
      <c r="AA41" s="1349"/>
      <c r="AB41" s="1201"/>
      <c r="AC41" s="1350"/>
      <c r="AD41" s="1201"/>
      <c r="AE41" s="1351"/>
      <c r="AF41" s="1201"/>
      <c r="AG41" s="1201"/>
      <c r="AH41" s="1201"/>
      <c r="AI41" s="1201"/>
      <c r="AJ41" s="1355"/>
      <c r="AK41" s="1201"/>
    </row>
    <row r="42" spans="1:37" x14ac:dyDescent="0.25">
      <c r="A42" s="822">
        <f t="shared" si="1"/>
        <v>48945</v>
      </c>
      <c r="C42" s="810">
        <f>C40-E40</f>
        <v>11765</v>
      </c>
      <c r="E42" s="810">
        <v>5805</v>
      </c>
      <c r="F42" s="830"/>
      <c r="G42" s="823">
        <v>2.6080000000000001</v>
      </c>
      <c r="I42" s="801">
        <f t="shared" si="2"/>
        <v>154905.60000000001</v>
      </c>
      <c r="J42" s="801"/>
      <c r="K42" s="801">
        <f t="shared" si="0"/>
        <v>5959905.5999999996</v>
      </c>
      <c r="L42" s="801"/>
      <c r="M42" s="801">
        <f>K41+K42</f>
        <v>6114811.1999999993</v>
      </c>
      <c r="N42" s="825"/>
      <c r="O42" s="1347"/>
      <c r="P42" s="1337"/>
      <c r="Q42" s="1337"/>
      <c r="R42" s="1337"/>
      <c r="S42" s="1337"/>
      <c r="T42" s="1352"/>
      <c r="U42" s="1349"/>
      <c r="V42" s="1349"/>
      <c r="W42" s="1349"/>
      <c r="X42" s="1201"/>
      <c r="Y42" s="1349"/>
      <c r="Z42" s="1201"/>
      <c r="AA42" s="1349"/>
      <c r="AB42" s="1201"/>
      <c r="AC42" s="1350"/>
      <c r="AD42" s="1201"/>
      <c r="AE42" s="1351"/>
      <c r="AF42" s="1201"/>
      <c r="AG42" s="1201"/>
      <c r="AH42" s="1201"/>
      <c r="AI42" s="1201"/>
      <c r="AJ42" s="1355"/>
      <c r="AK42" s="1201"/>
    </row>
    <row r="43" spans="1:37" x14ac:dyDescent="0.25">
      <c r="A43" s="822">
        <f t="shared" si="1"/>
        <v>49126</v>
      </c>
      <c r="C43" s="810"/>
      <c r="E43" s="810"/>
      <c r="F43" s="810"/>
      <c r="G43" s="823"/>
      <c r="I43" s="801">
        <f t="shared" si="2"/>
        <v>79208.399999999994</v>
      </c>
      <c r="J43" s="801"/>
      <c r="K43" s="801">
        <f t="shared" si="0"/>
        <v>79208.399999999994</v>
      </c>
      <c r="L43" s="801"/>
      <c r="M43" s="801"/>
      <c r="N43" s="825"/>
      <c r="O43" s="1347"/>
      <c r="P43" s="1337"/>
      <c r="Q43" s="1337"/>
      <c r="R43" s="1337"/>
      <c r="S43" s="1337"/>
      <c r="T43" s="1352"/>
      <c r="U43" s="1349"/>
      <c r="V43" s="1349"/>
      <c r="W43" s="1349"/>
      <c r="X43" s="1201"/>
      <c r="Y43" s="1349"/>
      <c r="Z43" s="1201"/>
      <c r="AA43" s="1349"/>
      <c r="AB43" s="1201"/>
      <c r="AC43" s="1350"/>
      <c r="AD43" s="1201"/>
      <c r="AE43" s="1351"/>
      <c r="AF43" s="1201"/>
      <c r="AG43" s="1201"/>
      <c r="AH43" s="1201"/>
      <c r="AI43" s="1201"/>
      <c r="AJ43" s="1355"/>
      <c r="AK43" s="1201"/>
    </row>
    <row r="44" spans="1:37" x14ac:dyDescent="0.25">
      <c r="A44" s="822">
        <f t="shared" si="1"/>
        <v>49310</v>
      </c>
      <c r="C44" s="810">
        <f>C42-E42</f>
        <v>5960</v>
      </c>
      <c r="E44" s="810">
        <v>5960</v>
      </c>
      <c r="F44" s="810"/>
      <c r="G44" s="823">
        <v>2.6579999999999999</v>
      </c>
      <c r="I44" s="801">
        <f t="shared" si="2"/>
        <v>79208.399999999994</v>
      </c>
      <c r="J44" s="801"/>
      <c r="K44" s="801">
        <f t="shared" si="0"/>
        <v>6039208.4000000004</v>
      </c>
      <c r="L44" s="801"/>
      <c r="M44" s="801">
        <f>K43+K44</f>
        <v>6118416.8000000007</v>
      </c>
      <c r="N44" s="825"/>
      <c r="O44" s="1347"/>
      <c r="P44" s="1337"/>
      <c r="Q44" s="1337"/>
      <c r="R44" s="1337"/>
      <c r="S44" s="1337"/>
      <c r="T44" s="1352"/>
      <c r="U44" s="1349"/>
      <c r="V44" s="1349"/>
      <c r="W44" s="1349"/>
      <c r="X44" s="1201"/>
      <c r="Y44" s="1349"/>
      <c r="Z44" s="1201"/>
      <c r="AA44" s="1349"/>
      <c r="AB44" s="1201"/>
      <c r="AC44" s="1350"/>
      <c r="AD44" s="1201"/>
      <c r="AE44" s="1351"/>
      <c r="AF44" s="1201"/>
      <c r="AG44" s="1201"/>
      <c r="AH44" s="1201"/>
      <c r="AI44" s="1201"/>
      <c r="AJ44" s="1355"/>
      <c r="AK44" s="1201"/>
    </row>
    <row r="45" spans="1:37" x14ac:dyDescent="0.25">
      <c r="A45" s="831"/>
      <c r="E45" s="832"/>
      <c r="F45" s="810"/>
      <c r="G45" s="833"/>
      <c r="I45" s="834"/>
      <c r="J45" s="801"/>
      <c r="K45" s="834"/>
      <c r="L45" s="801"/>
      <c r="M45" s="834"/>
      <c r="N45" s="825"/>
      <c r="O45" s="1347"/>
      <c r="P45" s="1337"/>
      <c r="Q45" s="1337"/>
      <c r="R45" s="1337"/>
      <c r="S45" s="1337"/>
      <c r="T45" s="1352"/>
      <c r="U45" s="1349"/>
      <c r="V45" s="1349"/>
      <c r="W45" s="1349"/>
      <c r="X45" s="1201"/>
      <c r="Y45" s="1349"/>
      <c r="Z45" s="1201"/>
      <c r="AA45" s="1349"/>
      <c r="AB45" s="1201"/>
      <c r="AC45" s="1350"/>
      <c r="AD45" s="1201"/>
      <c r="AE45" s="1351"/>
      <c r="AF45" s="1201"/>
      <c r="AG45" s="1201"/>
      <c r="AH45" s="1201"/>
      <c r="AI45" s="1201"/>
      <c r="AJ45" s="1355"/>
      <c r="AK45" s="1201"/>
    </row>
    <row r="46" spans="1:37" ht="16.5" thickBot="1" x14ac:dyDescent="0.3">
      <c r="A46" s="835" t="s">
        <v>27</v>
      </c>
      <c r="E46" s="836">
        <f>SUM(E17:E44)</f>
        <v>30425</v>
      </c>
      <c r="F46" s="815"/>
      <c r="I46" s="837">
        <f>SUM(I17:I44)</f>
        <v>8843456.3599999975</v>
      </c>
      <c r="J46" s="824"/>
      <c r="K46" s="837">
        <f>SUM(K17:K44)</f>
        <v>39268456.359999992</v>
      </c>
      <c r="L46" s="824"/>
      <c r="M46" s="837">
        <f>SUM(M17:M44)</f>
        <v>39268456.359999999</v>
      </c>
      <c r="N46" s="825"/>
      <c r="O46" s="1347"/>
      <c r="P46" s="1337"/>
      <c r="Q46" s="1337"/>
      <c r="R46" s="1337"/>
      <c r="S46" s="1337"/>
      <c r="T46" s="1352"/>
      <c r="U46" s="1349"/>
      <c r="V46" s="1349"/>
      <c r="W46" s="1349"/>
      <c r="X46" s="1201"/>
      <c r="Y46" s="1349"/>
      <c r="Z46" s="1201"/>
      <c r="AA46" s="1349"/>
      <c r="AB46" s="1201"/>
      <c r="AC46" s="1350"/>
      <c r="AD46" s="1201"/>
      <c r="AE46" s="1351"/>
      <c r="AF46" s="1201"/>
      <c r="AG46" s="1201"/>
      <c r="AH46" s="1201"/>
      <c r="AI46" s="1201"/>
      <c r="AJ46" s="1355"/>
      <c r="AK46" s="1201"/>
    </row>
    <row r="47" spans="1:37" ht="16.5" thickTop="1" x14ac:dyDescent="0.25">
      <c r="A47" s="835"/>
      <c r="E47" s="815"/>
      <c r="F47" s="815"/>
      <c r="I47" s="824"/>
      <c r="J47" s="824"/>
      <c r="K47" s="824"/>
      <c r="L47" s="824"/>
      <c r="M47" s="824"/>
      <c r="N47" s="825"/>
      <c r="O47" s="1347"/>
      <c r="P47" s="1337"/>
      <c r="Q47" s="1337"/>
      <c r="R47" s="1337"/>
      <c r="S47" s="1337"/>
      <c r="T47" s="1352"/>
      <c r="U47" s="1349"/>
      <c r="V47" s="1349"/>
      <c r="W47" s="1349"/>
      <c r="X47" s="1201"/>
      <c r="Y47" s="1349"/>
      <c r="Z47" s="1201"/>
      <c r="AA47" s="1349"/>
      <c r="AB47" s="1201"/>
      <c r="AC47" s="1350"/>
      <c r="AD47" s="1201"/>
      <c r="AE47" s="1351"/>
      <c r="AF47" s="1201"/>
      <c r="AG47" s="1201"/>
      <c r="AH47" s="1201"/>
      <c r="AI47" s="1201"/>
      <c r="AJ47" s="1355"/>
      <c r="AK47" s="1201"/>
    </row>
    <row r="48" spans="1:37" x14ac:dyDescent="0.25">
      <c r="A48" s="1114"/>
      <c r="E48" s="815"/>
      <c r="F48" s="815"/>
      <c r="I48" s="824"/>
      <c r="J48" s="824"/>
      <c r="K48" s="824"/>
      <c r="L48" s="824"/>
      <c r="M48" s="824"/>
      <c r="N48" s="825"/>
      <c r="O48" s="1347"/>
      <c r="P48" s="1337"/>
      <c r="Q48" s="1337"/>
      <c r="R48" s="1337"/>
      <c r="S48" s="1337"/>
      <c r="T48" s="1352"/>
      <c r="U48" s="1349"/>
      <c r="V48" s="1349"/>
      <c r="W48" s="1349"/>
      <c r="X48" s="1201"/>
      <c r="Y48" s="1349"/>
      <c r="Z48" s="1201"/>
      <c r="AA48" s="1349"/>
      <c r="AB48" s="1201"/>
      <c r="AC48" s="1350"/>
      <c r="AD48" s="1201"/>
      <c r="AE48" s="1351"/>
      <c r="AF48" s="1201"/>
      <c r="AG48" s="1201"/>
      <c r="AH48" s="1201"/>
      <c r="AI48" s="1201"/>
      <c r="AJ48" s="1355"/>
      <c r="AK48" s="1201"/>
    </row>
    <row r="49" spans="1:37" x14ac:dyDescent="0.25">
      <c r="A49" s="1114"/>
      <c r="E49" s="815"/>
      <c r="F49" s="815"/>
      <c r="I49" s="824"/>
      <c r="J49" s="824"/>
      <c r="K49" s="824"/>
      <c r="L49" s="824"/>
      <c r="M49" s="824"/>
      <c r="N49" s="825"/>
      <c r="O49" s="1347"/>
      <c r="P49" s="1337"/>
      <c r="Q49" s="1337"/>
      <c r="R49" s="1337"/>
      <c r="S49" s="1337"/>
      <c r="T49" s="1352"/>
      <c r="U49" s="1349"/>
      <c r="V49" s="1349"/>
      <c r="W49" s="1349"/>
      <c r="X49" s="1201"/>
      <c r="Y49" s="1349"/>
      <c r="Z49" s="1201"/>
      <c r="AA49" s="1349"/>
      <c r="AB49" s="1201"/>
      <c r="AC49" s="1350"/>
      <c r="AD49" s="1201"/>
      <c r="AE49" s="1351"/>
      <c r="AF49" s="1201"/>
      <c r="AG49" s="1201"/>
      <c r="AH49" s="1201"/>
      <c r="AI49" s="1201"/>
      <c r="AJ49" s="1355"/>
      <c r="AK49" s="1201"/>
    </row>
    <row r="50" spans="1:37" x14ac:dyDescent="0.25">
      <c r="A50" s="1114"/>
      <c r="E50" s="815"/>
      <c r="F50" s="815"/>
      <c r="I50" s="824"/>
      <c r="J50" s="824"/>
      <c r="K50" s="824"/>
      <c r="L50" s="824"/>
      <c r="M50" s="824"/>
      <c r="N50" s="825"/>
      <c r="O50" s="1347"/>
      <c r="P50" s="1337"/>
      <c r="Q50" s="1337"/>
      <c r="R50" s="1337"/>
      <c r="S50" s="1337"/>
      <c r="T50" s="1352"/>
      <c r="U50" s="1349"/>
      <c r="V50" s="1349"/>
      <c r="W50" s="1349"/>
      <c r="X50" s="1201"/>
      <c r="Y50" s="1349"/>
      <c r="Z50" s="1201"/>
      <c r="AA50" s="1349"/>
      <c r="AB50" s="1201"/>
      <c r="AC50" s="1350"/>
      <c r="AD50" s="1201"/>
      <c r="AE50" s="1351"/>
      <c r="AF50" s="1201"/>
      <c r="AG50" s="1201"/>
      <c r="AH50" s="1201"/>
      <c r="AI50" s="1201"/>
      <c r="AJ50" s="1355"/>
      <c r="AK50" s="1201"/>
    </row>
    <row r="51" spans="1:37" x14ac:dyDescent="0.25">
      <c r="A51" s="1114"/>
      <c r="E51" s="815"/>
      <c r="F51" s="815"/>
      <c r="I51" s="824"/>
      <c r="J51" s="824"/>
      <c r="K51" s="824"/>
      <c r="L51" s="824"/>
      <c r="M51" s="824"/>
      <c r="N51" s="825"/>
      <c r="O51" s="1347"/>
      <c r="P51" s="1337"/>
      <c r="Q51" s="1337"/>
      <c r="R51" s="1337"/>
      <c r="S51" s="1337"/>
      <c r="T51" s="1352"/>
      <c r="U51" s="1349"/>
      <c r="V51" s="1349"/>
      <c r="W51" s="1349"/>
      <c r="X51" s="1201"/>
      <c r="Y51" s="1349"/>
      <c r="Z51" s="1201"/>
      <c r="AA51" s="1349"/>
      <c r="AB51" s="1201"/>
      <c r="AC51" s="1350"/>
      <c r="AD51" s="1201"/>
      <c r="AE51" s="1351"/>
      <c r="AF51" s="1201"/>
      <c r="AG51" s="1201"/>
      <c r="AH51" s="1201"/>
      <c r="AI51" s="1201"/>
      <c r="AJ51" s="1355"/>
      <c r="AK51" s="1201"/>
    </row>
    <row r="52" spans="1:37" x14ac:dyDescent="0.25">
      <c r="A52" s="1486"/>
      <c r="B52" s="1486"/>
      <c r="C52" s="1486"/>
      <c r="D52" s="1486"/>
      <c r="E52" s="1486"/>
      <c r="F52" s="1486"/>
      <c r="G52" s="1486"/>
      <c r="H52" s="1486"/>
      <c r="I52" s="1486"/>
      <c r="J52" s="1486"/>
      <c r="K52" s="1486"/>
      <c r="L52" s="1486"/>
      <c r="M52" s="1486"/>
      <c r="N52" s="825"/>
      <c r="O52" s="1347"/>
      <c r="P52" s="1337"/>
      <c r="Q52" s="1337"/>
      <c r="R52" s="1337"/>
      <c r="S52" s="1337"/>
      <c r="T52" s="1352"/>
      <c r="U52" s="1349"/>
      <c r="V52" s="1349"/>
      <c r="W52" s="1349"/>
      <c r="X52" s="1201"/>
      <c r="Y52" s="1349"/>
      <c r="Z52" s="1201"/>
      <c r="AA52" s="1349"/>
      <c r="AB52" s="1201"/>
      <c r="AC52" s="1350"/>
      <c r="AD52" s="1201"/>
      <c r="AE52" s="1351"/>
      <c r="AF52" s="1201"/>
      <c r="AG52" s="1201"/>
      <c r="AH52" s="1201"/>
      <c r="AI52" s="1201"/>
      <c r="AJ52" s="1355"/>
      <c r="AK52" s="1201"/>
    </row>
    <row r="53" spans="1:37" x14ac:dyDescent="0.25">
      <c r="A53" s="1486"/>
      <c r="B53" s="1486"/>
      <c r="C53" s="1486"/>
      <c r="D53" s="1486"/>
      <c r="E53" s="1486"/>
      <c r="F53" s="1486"/>
      <c r="G53" s="1486"/>
      <c r="H53" s="1486"/>
      <c r="I53" s="1486"/>
      <c r="J53" s="1486"/>
      <c r="K53" s="1486"/>
      <c r="L53" s="1486"/>
      <c r="M53" s="1486"/>
      <c r="N53" s="825"/>
      <c r="O53" s="1356"/>
      <c r="P53" s="1337"/>
      <c r="Q53" s="1337"/>
      <c r="R53" s="1337"/>
      <c r="S53" s="1337"/>
      <c r="T53" s="1352"/>
      <c r="U53" s="1349"/>
      <c r="V53" s="1349"/>
      <c r="W53" s="1349"/>
      <c r="X53" s="1201"/>
      <c r="Y53" s="1349"/>
      <c r="Z53" s="1201"/>
      <c r="AA53" s="1349"/>
      <c r="AB53" s="1201"/>
      <c r="AC53" s="1350"/>
      <c r="AD53" s="1201"/>
      <c r="AE53" s="1351"/>
      <c r="AF53" s="1201"/>
      <c r="AG53" s="1201"/>
      <c r="AH53" s="1201"/>
      <c r="AI53" s="1201"/>
      <c r="AJ53" s="1355"/>
      <c r="AK53" s="1201"/>
    </row>
    <row r="54" spans="1:37" x14ac:dyDescent="0.25">
      <c r="A54" s="1486" t="str">
        <f>INFO!A26</f>
        <v>(See Accountants' Report)</v>
      </c>
      <c r="B54" s="1486"/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825"/>
      <c r="O54" s="1347"/>
      <c r="P54" s="1337"/>
      <c r="Q54" s="1337"/>
      <c r="R54" s="1337"/>
      <c r="S54" s="1338"/>
      <c r="T54" s="1352"/>
      <c r="U54" s="1349"/>
      <c r="V54" s="1349"/>
      <c r="W54" s="1349"/>
      <c r="X54" s="1201"/>
      <c r="Y54" s="1349"/>
      <c r="Z54" s="1201"/>
      <c r="AA54" s="1349"/>
      <c r="AB54" s="1201"/>
      <c r="AC54" s="1350"/>
      <c r="AD54" s="1201"/>
      <c r="AE54" s="1351"/>
      <c r="AF54" s="1201"/>
      <c r="AG54" s="1201"/>
      <c r="AH54" s="1201"/>
      <c r="AI54" s="1201"/>
      <c r="AJ54" s="1355"/>
      <c r="AK54" s="1201"/>
    </row>
    <row r="55" spans="1:37" x14ac:dyDescent="0.25">
      <c r="A55" s="1114"/>
      <c r="C55" s="810"/>
      <c r="I55" s="801"/>
      <c r="J55" s="801"/>
      <c r="K55" s="801"/>
      <c r="L55" s="801"/>
      <c r="M55" s="824"/>
      <c r="N55" s="825"/>
      <c r="O55" s="1347"/>
      <c r="P55" s="1337"/>
      <c r="Q55" s="1337"/>
      <c r="R55" s="1337"/>
      <c r="S55" s="1338"/>
      <c r="T55" s="1352"/>
      <c r="U55" s="1349"/>
      <c r="V55" s="1349"/>
      <c r="W55" s="1349"/>
      <c r="X55" s="1201"/>
      <c r="Y55" s="1349"/>
      <c r="Z55" s="1201"/>
      <c r="AA55" s="1349"/>
      <c r="AB55" s="1201"/>
      <c r="AC55" s="1350"/>
      <c r="AD55" s="1201"/>
      <c r="AE55" s="1351"/>
      <c r="AF55" s="1201"/>
      <c r="AG55" s="1201"/>
      <c r="AH55" s="1201"/>
      <c r="AI55" s="1201"/>
      <c r="AJ55" s="1355"/>
      <c r="AK55" s="1201"/>
    </row>
    <row r="56" spans="1:37" x14ac:dyDescent="0.25">
      <c r="A56" s="842">
        <v>46</v>
      </c>
      <c r="B56" s="1198"/>
      <c r="C56" s="1198"/>
      <c r="D56" s="1198"/>
      <c r="E56" s="1198"/>
      <c r="F56" s="1198"/>
      <c r="G56" s="1198"/>
      <c r="H56" s="1198"/>
      <c r="I56" s="1198"/>
      <c r="J56" s="1198"/>
      <c r="K56" s="1198"/>
      <c r="L56" s="1198"/>
      <c r="M56" s="1198"/>
      <c r="N56" s="825"/>
      <c r="O56" s="1347"/>
      <c r="P56" s="1337"/>
      <c r="Q56" s="1337"/>
      <c r="R56" s="1337"/>
      <c r="S56" s="1357"/>
      <c r="T56" s="1352"/>
      <c r="U56" s="1349"/>
      <c r="V56" s="1349"/>
      <c r="W56" s="1349"/>
      <c r="X56" s="1201"/>
      <c r="Y56" s="1349"/>
      <c r="Z56" s="1201"/>
      <c r="AA56" s="1349"/>
      <c r="AB56" s="1201"/>
      <c r="AC56" s="1350"/>
      <c r="AD56" s="1201"/>
      <c r="AE56" s="1351"/>
      <c r="AF56" s="1201"/>
      <c r="AG56" s="1201"/>
      <c r="AH56" s="1201"/>
      <c r="AI56" s="1201"/>
      <c r="AJ56" s="1355"/>
      <c r="AK56" s="1201"/>
    </row>
    <row r="57" spans="1:37" x14ac:dyDescent="0.25">
      <c r="A57" s="962"/>
      <c r="B57" s="960"/>
      <c r="C57" s="960"/>
      <c r="D57" s="960"/>
      <c r="E57" s="960"/>
      <c r="F57" s="960"/>
      <c r="G57" s="960"/>
      <c r="H57" s="960"/>
      <c r="I57" s="960"/>
      <c r="J57" s="960"/>
      <c r="K57" s="960"/>
      <c r="L57" s="960"/>
      <c r="M57" s="960"/>
      <c r="N57" s="825"/>
      <c r="O57" s="1347"/>
      <c r="P57" s="1337"/>
      <c r="Q57" s="1337"/>
      <c r="R57" s="1337"/>
      <c r="S57" s="1354"/>
      <c r="T57" s="1352"/>
      <c r="U57" s="1349"/>
      <c r="V57" s="1349"/>
      <c r="W57" s="1349"/>
      <c r="X57" s="1201"/>
      <c r="Y57" s="1349"/>
      <c r="Z57" s="1201"/>
      <c r="AA57" s="1349"/>
      <c r="AB57" s="1201"/>
      <c r="AC57" s="1350"/>
      <c r="AD57" s="1201"/>
      <c r="AE57" s="1351"/>
      <c r="AF57" s="1201"/>
      <c r="AG57" s="1201"/>
      <c r="AH57" s="1201"/>
      <c r="AI57" s="1201"/>
      <c r="AJ57" s="1355"/>
      <c r="AK57" s="1201"/>
    </row>
    <row r="58" spans="1:37" x14ac:dyDescent="0.25">
      <c r="A58" s="841"/>
      <c r="C58" s="810"/>
      <c r="I58" s="801"/>
      <c r="J58" s="801"/>
      <c r="K58" s="801"/>
      <c r="L58" s="801"/>
      <c r="M58" s="824"/>
      <c r="N58" s="825"/>
      <c r="O58" s="1347"/>
      <c r="P58" s="1337"/>
      <c r="Q58" s="1337"/>
      <c r="R58" s="1337"/>
      <c r="S58" s="1354"/>
      <c r="T58" s="1352"/>
      <c r="U58" s="1349"/>
      <c r="V58" s="1349"/>
      <c r="W58" s="1349"/>
      <c r="X58" s="1201"/>
      <c r="Y58" s="1349"/>
      <c r="Z58" s="1201"/>
      <c r="AA58" s="1349"/>
      <c r="AB58" s="1201"/>
      <c r="AC58" s="1350"/>
      <c r="AD58" s="1201"/>
      <c r="AE58" s="1351"/>
      <c r="AF58" s="1201"/>
      <c r="AG58" s="1201"/>
      <c r="AH58" s="1201"/>
      <c r="AI58" s="1201"/>
      <c r="AJ58" s="1355"/>
      <c r="AK58" s="1201"/>
    </row>
    <row r="59" spans="1:37" x14ac:dyDescent="0.25">
      <c r="N59" s="825"/>
      <c r="O59" s="1347"/>
      <c r="P59" s="1337"/>
      <c r="Q59" s="1337"/>
      <c r="R59" s="1337"/>
      <c r="S59" s="1354"/>
      <c r="T59" s="1352"/>
      <c r="U59" s="1349"/>
      <c r="V59" s="1349"/>
      <c r="W59" s="1349"/>
      <c r="X59" s="1201"/>
      <c r="Y59" s="1349"/>
      <c r="Z59" s="1201"/>
      <c r="AA59" s="1349"/>
      <c r="AB59" s="1201"/>
      <c r="AC59" s="1350"/>
      <c r="AD59" s="1201"/>
      <c r="AE59" s="1351"/>
      <c r="AF59" s="1201"/>
      <c r="AG59" s="1201"/>
      <c r="AH59" s="1201"/>
      <c r="AI59" s="1201"/>
      <c r="AJ59" s="1355"/>
      <c r="AK59" s="1201"/>
    </row>
    <row r="60" spans="1:37" x14ac:dyDescent="0.25">
      <c r="N60" s="825"/>
      <c r="O60" s="1347"/>
      <c r="P60" s="1337"/>
      <c r="Q60" s="1337"/>
      <c r="R60" s="1337"/>
      <c r="S60" s="1337"/>
      <c r="T60" s="1337"/>
      <c r="U60" s="1201"/>
      <c r="V60" s="1201"/>
      <c r="W60" s="1200"/>
      <c r="X60" s="1201"/>
      <c r="Y60" s="1201"/>
      <c r="Z60" s="1201"/>
      <c r="AA60" s="1201"/>
      <c r="AB60" s="1201"/>
      <c r="AC60" s="1201"/>
      <c r="AD60" s="1201"/>
      <c r="AE60" s="1351"/>
      <c r="AF60" s="1201"/>
      <c r="AG60" s="1201"/>
      <c r="AH60" s="1201"/>
      <c r="AI60" s="1201"/>
      <c r="AJ60" s="1355"/>
      <c r="AK60" s="1201"/>
    </row>
    <row r="61" spans="1:37" x14ac:dyDescent="0.25">
      <c r="B61" s="843"/>
      <c r="C61" s="843"/>
      <c r="D61" s="843"/>
      <c r="E61" s="843"/>
      <c r="F61" s="843"/>
      <c r="G61" s="843"/>
      <c r="H61" s="843"/>
      <c r="I61" s="843"/>
      <c r="J61" s="843"/>
      <c r="K61" s="843"/>
      <c r="L61" s="843"/>
      <c r="M61" s="843"/>
      <c r="N61" s="843"/>
      <c r="O61" s="1347"/>
      <c r="P61" s="1337"/>
      <c r="Q61" s="1337"/>
      <c r="R61" s="1337"/>
      <c r="S61" s="1337"/>
      <c r="T61" s="1201"/>
      <c r="U61" s="1353"/>
      <c r="V61" s="1358"/>
      <c r="W61" s="1353"/>
      <c r="X61" s="1201"/>
      <c r="Y61" s="1353"/>
      <c r="Z61" s="1201"/>
      <c r="AA61" s="1353"/>
      <c r="AB61" s="1201"/>
      <c r="AC61" s="1353"/>
      <c r="AD61" s="1201"/>
      <c r="AE61" s="1351"/>
      <c r="AF61" s="1201"/>
      <c r="AG61" s="1201"/>
      <c r="AH61" s="1201"/>
      <c r="AI61" s="1201"/>
      <c r="AJ61" s="1355"/>
      <c r="AK61" s="1201"/>
    </row>
    <row r="62" spans="1:37" x14ac:dyDescent="0.25">
      <c r="O62" s="1347"/>
      <c r="P62" s="1337"/>
      <c r="Q62" s="1337"/>
      <c r="R62" s="1337"/>
      <c r="S62" s="1354"/>
      <c r="T62" s="1201"/>
      <c r="U62" s="1201"/>
      <c r="V62" s="1201"/>
      <c r="W62" s="1201"/>
      <c r="X62" s="1201"/>
      <c r="Y62" s="1201"/>
      <c r="Z62" s="1201"/>
      <c r="AA62" s="1201"/>
      <c r="AB62" s="1201"/>
      <c r="AC62" s="1201"/>
      <c r="AD62" s="1201"/>
      <c r="AE62" s="1201"/>
      <c r="AF62" s="1201"/>
      <c r="AG62" s="1201"/>
      <c r="AH62" s="1201"/>
      <c r="AI62" s="1201"/>
      <c r="AJ62" s="1355"/>
      <c r="AK62" s="1201"/>
    </row>
    <row r="63" spans="1:37" x14ac:dyDescent="0.25">
      <c r="O63" s="1347"/>
      <c r="P63" s="1337"/>
      <c r="Q63" s="1337"/>
      <c r="R63" s="1337"/>
      <c r="S63" s="1354"/>
      <c r="T63" s="1201"/>
      <c r="U63" s="1201"/>
      <c r="V63" s="1201"/>
      <c r="W63" s="1349"/>
      <c r="X63" s="1201"/>
      <c r="Y63" s="1201"/>
      <c r="Z63" s="1201"/>
      <c r="AA63" s="1353"/>
      <c r="AB63" s="1201"/>
      <c r="AC63" s="1201"/>
      <c r="AD63" s="1201"/>
      <c r="AE63" s="1201"/>
      <c r="AF63" s="1201"/>
      <c r="AG63" s="1201"/>
      <c r="AH63" s="1201"/>
      <c r="AI63" s="1201"/>
      <c r="AJ63" s="1355"/>
      <c r="AK63" s="1201"/>
    </row>
    <row r="64" spans="1:37" x14ac:dyDescent="0.25">
      <c r="O64" s="1347"/>
      <c r="P64" s="1337"/>
      <c r="Q64" s="1337"/>
      <c r="R64" s="1337"/>
      <c r="S64" s="1201"/>
      <c r="T64" s="1201"/>
      <c r="U64" s="1337"/>
      <c r="V64" s="1337"/>
      <c r="W64" s="1201"/>
      <c r="X64" s="1201"/>
      <c r="Y64" s="1201"/>
      <c r="Z64" s="1201"/>
      <c r="AA64" s="1201"/>
      <c r="AB64" s="1201"/>
      <c r="AC64" s="1201"/>
      <c r="AD64" s="1201"/>
      <c r="AE64" s="1201"/>
      <c r="AF64" s="1201"/>
      <c r="AG64" s="1201"/>
      <c r="AH64" s="1201"/>
      <c r="AI64" s="1201"/>
      <c r="AJ64" s="1355"/>
      <c r="AK64" s="1201"/>
    </row>
    <row r="65" spans="1:37" ht="20.25" customHeight="1" x14ac:dyDescent="0.25">
      <c r="O65" s="1347"/>
      <c r="P65" s="1337"/>
      <c r="Q65" s="1337"/>
      <c r="R65" s="1337"/>
      <c r="S65" s="1201"/>
      <c r="T65" s="1201"/>
      <c r="U65" s="1337"/>
      <c r="V65" s="1337"/>
      <c r="W65" s="1359"/>
      <c r="X65" s="1201"/>
      <c r="Y65" s="1201"/>
      <c r="Z65" s="1201"/>
      <c r="AA65" s="1201"/>
      <c r="AB65" s="1201"/>
      <c r="AC65" s="1201"/>
      <c r="AD65" s="1201"/>
      <c r="AE65" s="1201"/>
      <c r="AF65" s="1201"/>
      <c r="AG65" s="1201"/>
      <c r="AH65" s="1201"/>
      <c r="AI65" s="1201"/>
      <c r="AJ65" s="1355"/>
      <c r="AK65" s="1201"/>
    </row>
    <row r="66" spans="1:37" x14ac:dyDescent="0.25">
      <c r="O66" s="1347"/>
      <c r="P66" s="1337"/>
      <c r="Q66" s="1337"/>
      <c r="R66" s="1337"/>
      <c r="S66" s="1201"/>
      <c r="T66" s="1201"/>
      <c r="U66" s="1337"/>
      <c r="V66" s="1337"/>
      <c r="W66" s="1349"/>
      <c r="X66" s="1201"/>
      <c r="Y66" s="1201"/>
      <c r="Z66" s="1201"/>
      <c r="AA66" s="1201"/>
      <c r="AB66" s="1201"/>
      <c r="AC66" s="1201"/>
      <c r="AD66" s="1201"/>
      <c r="AE66" s="1201"/>
      <c r="AF66" s="1201"/>
      <c r="AG66" s="1201"/>
      <c r="AH66" s="1201"/>
      <c r="AI66" s="1201"/>
      <c r="AJ66" s="1355"/>
      <c r="AK66" s="1201"/>
    </row>
    <row r="67" spans="1:37" x14ac:dyDescent="0.25">
      <c r="O67" s="1347"/>
      <c r="P67" s="1337"/>
      <c r="Q67" s="1337"/>
      <c r="R67" s="1337"/>
      <c r="S67" s="1201"/>
      <c r="T67" s="1337"/>
      <c r="U67" s="1201"/>
      <c r="V67" s="1201"/>
      <c r="W67" s="1349"/>
      <c r="X67" s="1201"/>
      <c r="Y67" s="1201"/>
      <c r="Z67" s="1201"/>
      <c r="AA67" s="1201"/>
      <c r="AB67" s="1201"/>
      <c r="AC67" s="1201"/>
      <c r="AD67" s="1201"/>
      <c r="AE67" s="1201"/>
      <c r="AF67" s="1201"/>
      <c r="AG67" s="1201"/>
      <c r="AH67" s="1201"/>
      <c r="AI67" s="1201"/>
      <c r="AJ67" s="1355"/>
      <c r="AK67" s="1201"/>
    </row>
    <row r="68" spans="1:37" x14ac:dyDescent="0.25">
      <c r="O68" s="1347"/>
      <c r="P68" s="1337"/>
      <c r="Q68" s="1337"/>
      <c r="R68" s="1337"/>
      <c r="S68" s="1201"/>
      <c r="T68" s="1337"/>
      <c r="U68" s="1349"/>
      <c r="V68" s="1201"/>
      <c r="W68" s="1349"/>
      <c r="X68" s="1201"/>
      <c r="Y68" s="1201"/>
      <c r="Z68" s="1201"/>
      <c r="AA68" s="1201"/>
      <c r="AB68" s="1201"/>
      <c r="AC68" s="1201"/>
      <c r="AD68" s="1201"/>
      <c r="AE68" s="1201"/>
      <c r="AF68" s="1201"/>
      <c r="AG68" s="1201"/>
      <c r="AH68" s="1201"/>
      <c r="AI68" s="1201"/>
      <c r="AJ68" s="1355"/>
      <c r="AK68" s="1201"/>
    </row>
    <row r="69" spans="1:37" x14ac:dyDescent="0.25">
      <c r="A69" s="960"/>
      <c r="B69" s="960"/>
      <c r="C69" s="960"/>
      <c r="D69" s="960"/>
      <c r="E69" s="960"/>
      <c r="F69" s="960"/>
      <c r="G69" s="960"/>
      <c r="H69" s="960"/>
      <c r="I69" s="960"/>
      <c r="J69" s="960"/>
      <c r="K69" s="960"/>
      <c r="L69" s="960"/>
      <c r="M69" s="960"/>
      <c r="N69" s="1199"/>
      <c r="O69" s="1347"/>
      <c r="P69" s="1337"/>
      <c r="Q69" s="1337"/>
      <c r="R69" s="1337"/>
      <c r="S69" s="1201"/>
      <c r="T69" s="1337"/>
      <c r="U69" s="1201"/>
      <c r="V69" s="1201"/>
      <c r="W69" s="1201"/>
      <c r="X69" s="1201"/>
      <c r="Y69" s="1201"/>
      <c r="Z69" s="1201"/>
      <c r="AA69" s="1201"/>
      <c r="AB69" s="1201"/>
      <c r="AC69" s="1201"/>
      <c r="AD69" s="1201"/>
      <c r="AE69" s="1201"/>
      <c r="AF69" s="1201"/>
      <c r="AG69" s="1201"/>
      <c r="AH69" s="1201"/>
      <c r="AI69" s="1201"/>
      <c r="AJ69" s="1355"/>
      <c r="AK69" s="1201"/>
    </row>
    <row r="70" spans="1:37" x14ac:dyDescent="0.25">
      <c r="O70" s="1347"/>
      <c r="P70" s="1337"/>
      <c r="Q70" s="1337"/>
      <c r="R70" s="1337"/>
      <c r="S70" s="1201"/>
      <c r="T70" s="1337"/>
      <c r="U70" s="1201"/>
      <c r="V70" s="1201"/>
      <c r="W70" s="1201"/>
      <c r="X70" s="1201"/>
      <c r="Y70" s="1201"/>
      <c r="Z70" s="1201"/>
      <c r="AA70" s="1201"/>
      <c r="AB70" s="1201"/>
      <c r="AC70" s="1201"/>
      <c r="AD70" s="1201"/>
      <c r="AE70" s="1201"/>
      <c r="AF70" s="1201"/>
      <c r="AG70" s="1201"/>
      <c r="AH70" s="1201"/>
      <c r="AI70" s="1201"/>
      <c r="AJ70" s="1355"/>
      <c r="AK70" s="1201"/>
    </row>
    <row r="71" spans="1:37" x14ac:dyDescent="0.25">
      <c r="O71" s="1347"/>
      <c r="P71" s="1337"/>
      <c r="Q71" s="1337"/>
      <c r="R71" s="1337"/>
      <c r="S71" s="1354"/>
      <c r="T71" s="1337"/>
      <c r="U71" s="1201"/>
      <c r="V71" s="1201"/>
      <c r="W71" s="1201"/>
      <c r="X71" s="1201"/>
      <c r="Y71" s="1201"/>
      <c r="Z71" s="1201"/>
      <c r="AA71" s="1201"/>
      <c r="AB71" s="1201"/>
      <c r="AC71" s="1201"/>
      <c r="AD71" s="1201"/>
      <c r="AE71" s="1201"/>
      <c r="AF71" s="1201"/>
      <c r="AG71" s="1201"/>
      <c r="AH71" s="1201"/>
      <c r="AI71" s="1201"/>
      <c r="AJ71" s="1355"/>
      <c r="AK71" s="1201"/>
    </row>
    <row r="72" spans="1:37" x14ac:dyDescent="0.25">
      <c r="A72" s="813"/>
      <c r="B72" s="813"/>
      <c r="C72" s="813"/>
      <c r="D72" s="813"/>
      <c r="E72" s="813"/>
      <c r="F72" s="813"/>
      <c r="G72" s="813"/>
      <c r="H72" s="813"/>
      <c r="I72" s="813"/>
      <c r="J72" s="813"/>
      <c r="K72" s="813"/>
      <c r="L72" s="813"/>
      <c r="M72" s="813"/>
      <c r="N72" s="825"/>
      <c r="O72" s="1347"/>
      <c r="P72" s="1337"/>
      <c r="Q72" s="1337"/>
      <c r="R72" s="1337"/>
      <c r="S72" s="1354"/>
      <c r="T72" s="1337"/>
      <c r="U72" s="1201"/>
      <c r="V72" s="1201"/>
      <c r="W72" s="1201"/>
      <c r="X72" s="1201"/>
      <c r="Y72" s="1201"/>
      <c r="Z72" s="1201"/>
      <c r="AA72" s="1201"/>
      <c r="AB72" s="1201"/>
      <c r="AC72" s="1201"/>
      <c r="AD72" s="1201"/>
      <c r="AE72" s="1201"/>
      <c r="AF72" s="1201"/>
      <c r="AG72" s="1201"/>
      <c r="AH72" s="1201"/>
      <c r="AI72" s="1201"/>
      <c r="AJ72" s="1355"/>
      <c r="AK72" s="1201"/>
    </row>
    <row r="73" spans="1:37" x14ac:dyDescent="0.25">
      <c r="A73" s="1485"/>
      <c r="B73" s="1483"/>
      <c r="C73" s="1483"/>
      <c r="D73" s="1483"/>
      <c r="E73" s="1483"/>
      <c r="F73" s="1483"/>
      <c r="G73" s="1483"/>
      <c r="H73" s="1483"/>
      <c r="I73" s="1483"/>
      <c r="J73" s="1483"/>
      <c r="K73" s="1483"/>
      <c r="L73" s="1483"/>
      <c r="M73" s="1483"/>
      <c r="N73" s="825"/>
      <c r="O73" s="1347"/>
      <c r="P73" s="1337"/>
      <c r="Q73" s="1337"/>
      <c r="R73" s="1337"/>
      <c r="S73" s="1337"/>
      <c r="T73" s="1337"/>
      <c r="U73" s="1201"/>
      <c r="V73" s="1201"/>
      <c r="W73" s="1201"/>
      <c r="X73" s="1201"/>
      <c r="Y73" s="1201"/>
      <c r="Z73" s="1201"/>
      <c r="AA73" s="1201"/>
      <c r="AB73" s="1201"/>
      <c r="AC73" s="1201"/>
      <c r="AD73" s="1201"/>
      <c r="AE73" s="1201"/>
      <c r="AF73" s="1201"/>
      <c r="AG73" s="1201"/>
      <c r="AH73" s="1201"/>
      <c r="AI73" s="1201"/>
      <c r="AJ73" s="1201"/>
      <c r="AK73" s="1201"/>
    </row>
    <row r="74" spans="1:37" x14ac:dyDescent="0.25">
      <c r="A74" s="838"/>
      <c r="B74" s="839"/>
      <c r="C74" s="839"/>
      <c r="D74" s="839"/>
      <c r="E74" s="839"/>
      <c r="F74" s="839"/>
      <c r="G74" s="839"/>
      <c r="H74" s="839"/>
      <c r="I74" s="839"/>
      <c r="J74" s="839"/>
      <c r="K74" s="839"/>
      <c r="L74" s="839"/>
      <c r="M74" s="839"/>
      <c r="N74" s="825"/>
      <c r="O74" s="1347"/>
      <c r="P74" s="1337"/>
      <c r="Q74" s="1337"/>
      <c r="R74" s="1337"/>
      <c r="S74" s="1337"/>
      <c r="T74" s="1337"/>
      <c r="U74" s="1201"/>
      <c r="V74" s="1201"/>
      <c r="W74" s="1201"/>
      <c r="X74" s="1201"/>
      <c r="Y74" s="1201"/>
      <c r="Z74" s="1201"/>
      <c r="AA74" s="1201"/>
      <c r="AB74" s="1201"/>
      <c r="AC74" s="1201"/>
      <c r="AD74" s="1201"/>
      <c r="AE74" s="1201"/>
      <c r="AF74" s="1201"/>
      <c r="AG74" s="1201"/>
      <c r="AH74" s="1201"/>
      <c r="AI74" s="1201"/>
      <c r="AJ74" s="1201"/>
      <c r="AK74" s="1201"/>
    </row>
    <row r="75" spans="1:37" x14ac:dyDescent="0.25">
      <c r="A75" s="838"/>
      <c r="B75" s="839"/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825"/>
      <c r="O75" s="1347"/>
      <c r="P75" s="1337"/>
      <c r="Q75" s="1337"/>
      <c r="R75" s="1337"/>
      <c r="S75" s="1337"/>
      <c r="T75" s="1337"/>
      <c r="U75" s="1201"/>
      <c r="V75" s="1201"/>
      <c r="W75" s="1201"/>
      <c r="X75" s="1201"/>
      <c r="Y75" s="1201"/>
      <c r="Z75" s="1201"/>
      <c r="AA75" s="1201"/>
      <c r="AB75" s="1201"/>
      <c r="AC75" s="1201"/>
      <c r="AD75" s="1201"/>
      <c r="AE75" s="1201"/>
      <c r="AF75" s="1201"/>
      <c r="AG75" s="1201"/>
      <c r="AH75" s="1201"/>
      <c r="AI75" s="1201"/>
      <c r="AJ75" s="1355"/>
      <c r="AK75" s="1201"/>
    </row>
    <row r="76" spans="1:37" hidden="1" x14ac:dyDescent="0.25">
      <c r="A76" s="838"/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825"/>
      <c r="O76" s="1347"/>
      <c r="P76" s="1337"/>
      <c r="Q76" s="1337"/>
      <c r="R76" s="1337"/>
      <c r="S76" s="1337"/>
      <c r="T76" s="1337"/>
      <c r="U76" s="1201"/>
      <c r="V76" s="1201"/>
      <c r="W76" s="1201"/>
      <c r="X76" s="1201"/>
      <c r="Y76" s="1201"/>
      <c r="Z76" s="1201"/>
      <c r="AA76" s="1201"/>
      <c r="AB76" s="1201"/>
      <c r="AC76" s="1201"/>
      <c r="AD76" s="1201"/>
      <c r="AE76" s="1201"/>
      <c r="AF76" s="1201"/>
      <c r="AG76" s="1201"/>
      <c r="AH76" s="1201"/>
      <c r="AI76" s="1201"/>
      <c r="AJ76" s="1201"/>
      <c r="AK76" s="1201"/>
    </row>
    <row r="77" spans="1:37" x14ac:dyDescent="0.25">
      <c r="A77" s="838"/>
      <c r="B77" s="839"/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21"/>
      <c r="N77" s="825"/>
      <c r="O77" s="1347"/>
      <c r="P77" s="1337"/>
      <c r="Q77" s="1337"/>
      <c r="R77" s="1337"/>
      <c r="S77" s="1337"/>
      <c r="T77" s="1337"/>
      <c r="U77" s="1201"/>
      <c r="V77" s="1201"/>
      <c r="W77" s="1201"/>
      <c r="X77" s="1201"/>
      <c r="Y77" s="1201"/>
      <c r="Z77" s="1201"/>
      <c r="AA77" s="1201"/>
      <c r="AB77" s="1201"/>
      <c r="AC77" s="1201"/>
      <c r="AD77" s="1201"/>
      <c r="AE77" s="1201"/>
      <c r="AF77" s="1201"/>
      <c r="AG77" s="1201"/>
      <c r="AH77" s="1201"/>
      <c r="AI77" s="1201"/>
      <c r="AJ77" s="1201"/>
      <c r="AK77" s="1201"/>
    </row>
    <row r="78" spans="1:37" x14ac:dyDescent="0.25">
      <c r="K78" s="827"/>
      <c r="M78" s="798"/>
      <c r="N78" s="825"/>
      <c r="O78" s="1335"/>
      <c r="P78" s="1201"/>
      <c r="Q78" s="1201"/>
      <c r="R78" s="1201"/>
      <c r="S78" s="1201"/>
      <c r="T78" s="1201"/>
      <c r="U78" s="1201"/>
      <c r="V78" s="1201"/>
      <c r="W78" s="1201"/>
      <c r="X78" s="1201"/>
      <c r="Y78" s="1201"/>
      <c r="Z78" s="1201"/>
      <c r="AA78" s="1201"/>
      <c r="AB78" s="1201"/>
      <c r="AC78" s="1201"/>
      <c r="AD78" s="1201"/>
      <c r="AE78" s="1201"/>
      <c r="AF78" s="1201"/>
      <c r="AG78" s="1201"/>
      <c r="AH78" s="1201"/>
      <c r="AI78" s="1201"/>
      <c r="AJ78" s="1201"/>
      <c r="AK78" s="1201"/>
    </row>
    <row r="79" spans="1:37" x14ac:dyDescent="0.25">
      <c r="A79" s="792"/>
      <c r="B79" s="804"/>
      <c r="C79" s="804"/>
      <c r="D79" s="804"/>
      <c r="E79" s="804"/>
      <c r="F79" s="804"/>
      <c r="G79" s="804"/>
      <c r="H79" s="804"/>
      <c r="I79" s="804"/>
      <c r="J79" s="804"/>
      <c r="K79" s="804"/>
      <c r="L79" s="804"/>
      <c r="M79" s="804"/>
      <c r="O79" s="1335"/>
      <c r="P79" s="1201"/>
      <c r="Q79" s="1201"/>
      <c r="R79" s="1201"/>
      <c r="S79" s="1201"/>
      <c r="T79" s="1201"/>
      <c r="U79" s="1201"/>
      <c r="V79" s="1201"/>
      <c r="W79" s="1201"/>
      <c r="X79" s="1201"/>
      <c r="Y79" s="1201"/>
      <c r="Z79" s="1201"/>
      <c r="AA79" s="1201"/>
      <c r="AB79" s="1201"/>
      <c r="AC79" s="1201"/>
      <c r="AD79" s="1201"/>
      <c r="AE79" s="1201"/>
      <c r="AF79" s="1201"/>
      <c r="AG79" s="1201"/>
      <c r="AH79" s="1201"/>
      <c r="AI79" s="1201"/>
      <c r="AJ79" s="1201"/>
      <c r="AK79" s="1201"/>
    </row>
    <row r="80" spans="1:37" x14ac:dyDescent="0.25">
      <c r="A80" s="822"/>
      <c r="C80" s="815"/>
      <c r="E80" s="826"/>
      <c r="F80" s="810"/>
      <c r="G80" s="823"/>
      <c r="I80" s="824"/>
      <c r="J80" s="801"/>
      <c r="K80" s="824"/>
      <c r="L80" s="801"/>
      <c r="M80" s="824"/>
      <c r="O80" s="1335"/>
      <c r="P80" s="1201"/>
      <c r="Q80" s="1201"/>
      <c r="R80" s="1201"/>
      <c r="S80" s="1201"/>
      <c r="T80" s="1201"/>
      <c r="U80" s="1201"/>
      <c r="V80" s="1201"/>
      <c r="W80" s="1201"/>
      <c r="X80" s="1201"/>
      <c r="Y80" s="1201"/>
      <c r="Z80" s="1201"/>
      <c r="AA80" s="1201"/>
      <c r="AB80" s="1201"/>
      <c r="AC80" s="1201"/>
      <c r="AD80" s="1201"/>
      <c r="AE80" s="1201"/>
      <c r="AF80" s="1201"/>
      <c r="AG80" s="1201"/>
      <c r="AH80" s="1201"/>
      <c r="AI80" s="1201"/>
      <c r="AJ80" s="1201"/>
      <c r="AK80" s="1201"/>
    </row>
    <row r="81" spans="5:37" x14ac:dyDescent="0.25">
      <c r="E81" s="844"/>
      <c r="O81" s="1335"/>
      <c r="P81" s="1201"/>
      <c r="Q81" s="1201"/>
      <c r="R81" s="1201"/>
      <c r="S81" s="1201"/>
      <c r="T81" s="1201"/>
      <c r="U81" s="1201"/>
      <c r="V81" s="1201"/>
      <c r="W81" s="1201"/>
      <c r="X81" s="1201"/>
      <c r="Y81" s="1201"/>
      <c r="Z81" s="1201"/>
      <c r="AA81" s="1201"/>
      <c r="AB81" s="1201"/>
      <c r="AC81" s="1201"/>
      <c r="AD81" s="1201"/>
      <c r="AE81" s="1201"/>
      <c r="AF81" s="1201"/>
      <c r="AG81" s="1201"/>
      <c r="AH81" s="1201"/>
      <c r="AI81" s="1201"/>
      <c r="AJ81" s="1201"/>
      <c r="AK81" s="1201"/>
    </row>
    <row r="82" spans="5:37" x14ac:dyDescent="0.25">
      <c r="E82" s="826"/>
      <c r="O82" s="1335"/>
      <c r="P82" s="1201"/>
      <c r="Q82" s="1201"/>
      <c r="R82" s="1201"/>
      <c r="S82" s="1201"/>
      <c r="T82" s="1201"/>
      <c r="U82" s="1201"/>
      <c r="V82" s="1201"/>
      <c r="W82" s="1201"/>
      <c r="X82" s="1201"/>
      <c r="Y82" s="1201"/>
      <c r="Z82" s="1201"/>
      <c r="AA82" s="1201"/>
      <c r="AB82" s="1201"/>
      <c r="AC82" s="1201"/>
      <c r="AD82" s="1201"/>
      <c r="AE82" s="1201"/>
      <c r="AF82" s="1201"/>
      <c r="AG82" s="1201"/>
      <c r="AH82" s="1201"/>
      <c r="AI82" s="1201"/>
      <c r="AJ82" s="1201"/>
      <c r="AK82" s="1201"/>
    </row>
    <row r="83" spans="5:37" x14ac:dyDescent="0.25">
      <c r="E83" s="826"/>
      <c r="O83" s="1335"/>
      <c r="P83" s="1201"/>
      <c r="Q83" s="1201"/>
      <c r="R83" s="1201"/>
      <c r="S83" s="1201"/>
      <c r="T83" s="1201"/>
      <c r="U83" s="1201"/>
      <c r="V83" s="1201"/>
      <c r="W83" s="1201"/>
      <c r="X83" s="1201"/>
      <c r="Y83" s="1201"/>
      <c r="Z83" s="1201"/>
      <c r="AA83" s="1201"/>
      <c r="AB83" s="1201"/>
      <c r="AC83" s="1201"/>
      <c r="AD83" s="1201"/>
      <c r="AE83" s="1201"/>
      <c r="AF83" s="1201"/>
      <c r="AG83" s="1201"/>
      <c r="AH83" s="1201"/>
      <c r="AI83" s="1201"/>
      <c r="AJ83" s="1201"/>
      <c r="AK83" s="1201"/>
    </row>
    <row r="84" spans="5:37" x14ac:dyDescent="0.25">
      <c r="E84" s="826"/>
      <c r="O84" s="1335"/>
      <c r="P84" s="1201"/>
      <c r="Q84" s="1201"/>
      <c r="R84" s="1201"/>
      <c r="S84" s="1201"/>
      <c r="T84" s="1201"/>
      <c r="U84" s="1201"/>
      <c r="V84" s="1201"/>
      <c r="W84" s="1201"/>
      <c r="X84" s="1201"/>
      <c r="Y84" s="1201"/>
      <c r="Z84" s="1201"/>
      <c r="AA84" s="1201"/>
      <c r="AB84" s="1201"/>
      <c r="AC84" s="1201"/>
      <c r="AD84" s="1201"/>
      <c r="AE84" s="1201"/>
      <c r="AF84" s="1201"/>
      <c r="AG84" s="1201"/>
      <c r="AH84" s="1201"/>
      <c r="AI84" s="1201"/>
      <c r="AJ84" s="1201"/>
      <c r="AK84" s="1201"/>
    </row>
  </sheetData>
  <mergeCells count="5">
    <mergeCell ref="C13:E13"/>
    <mergeCell ref="A73:M73"/>
    <mergeCell ref="A52:M52"/>
    <mergeCell ref="A53:M53"/>
    <mergeCell ref="A54:M54"/>
  </mergeCells>
  <printOptions horizontalCentered="1"/>
  <pageMargins left="0.75" right="0.75" top="0.75" bottom="0.5" header="0.5" footer="0.5"/>
  <pageSetup scale="87" orientation="portrait" horizontalDpi="200" verticalDpi="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O85"/>
  <sheetViews>
    <sheetView view="pageBreakPreview" zoomScale="80" zoomScaleNormal="100" zoomScaleSheetLayoutView="80" workbookViewId="0">
      <selection activeCell="A58" sqref="A58"/>
    </sheetView>
  </sheetViews>
  <sheetFormatPr defaultColWidth="15.7109375" defaultRowHeight="15.75" x14ac:dyDescent="0.25"/>
  <cols>
    <col min="1" max="1" width="12.140625" style="799" customWidth="1"/>
    <col min="2" max="2" width="1.7109375" style="799" customWidth="1"/>
    <col min="3" max="3" width="12.28515625" style="799" customWidth="1"/>
    <col min="4" max="4" width="1.7109375" style="799" customWidth="1"/>
    <col min="5" max="5" width="10.28515625" style="799" customWidth="1"/>
    <col min="6" max="6" width="3.7109375" style="799" bestFit="1" customWidth="1"/>
    <col min="7" max="7" width="10" style="799" bestFit="1" customWidth="1"/>
    <col min="8" max="8" width="1.7109375" style="799" customWidth="1"/>
    <col min="9" max="9" width="17.85546875" style="799" customWidth="1"/>
    <col min="10" max="10" width="1.7109375" style="799" customWidth="1"/>
    <col min="11" max="11" width="18.28515625" style="799" customWidth="1"/>
    <col min="12" max="12" width="1.7109375" style="799" customWidth="1"/>
    <col min="13" max="13" width="19.85546875" style="799" customWidth="1"/>
    <col min="14" max="14" width="6.7109375" style="799" customWidth="1"/>
    <col min="15" max="15" width="16.85546875" style="799" customWidth="1"/>
    <col min="16" max="16" width="3.7109375" style="799" customWidth="1"/>
    <col min="17" max="17" width="16.140625" style="798" customWidth="1"/>
    <col min="18" max="18" width="15.7109375" style="798" customWidth="1"/>
    <col min="19" max="20" width="13.42578125" style="799" customWidth="1"/>
    <col min="21" max="21" width="2.28515625" style="799" customWidth="1"/>
    <col min="22" max="22" width="15.140625" style="799" bestFit="1" customWidth="1"/>
    <col min="23" max="23" width="13.28515625" style="799" bestFit="1" customWidth="1"/>
    <col min="24" max="24" width="19.42578125" style="799" customWidth="1"/>
    <col min="25" max="25" width="2.85546875" style="799" customWidth="1"/>
    <col min="26" max="26" width="20.7109375" style="799" customWidth="1"/>
    <col min="27" max="27" width="2.7109375" style="799" customWidth="1"/>
    <col min="28" max="28" width="18.7109375" style="799" customWidth="1"/>
    <col min="29" max="29" width="2.7109375" style="799" customWidth="1"/>
    <col min="30" max="30" width="19.5703125" style="799" customWidth="1"/>
    <col min="31" max="31" width="2.7109375" style="799" customWidth="1"/>
    <col min="32" max="32" width="19" style="799" bestFit="1" customWidth="1"/>
    <col min="33" max="33" width="2.7109375" style="799" customWidth="1"/>
    <col min="34" max="34" width="21.85546875" style="799" customWidth="1"/>
    <col min="35" max="35" width="2.7109375" style="799" customWidth="1"/>
    <col min="36" max="36" width="4.28515625" style="799" customWidth="1"/>
    <col min="37" max="37" width="23" style="799" customWidth="1"/>
    <col min="38" max="38" width="2.7109375" style="799" customWidth="1"/>
    <col min="39" max="39" width="33" style="799" customWidth="1"/>
    <col min="40" max="16384" width="15.7109375" style="799"/>
  </cols>
  <sheetData>
    <row r="1" spans="1:39" x14ac:dyDescent="0.25">
      <c r="A1" s="796" t="s">
        <v>232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  <c r="N1" s="1360"/>
      <c r="O1" s="1360"/>
      <c r="P1" s="1360"/>
      <c r="Q1" s="1335"/>
      <c r="R1" s="1335"/>
      <c r="S1" s="1201"/>
      <c r="T1" s="1201"/>
      <c r="U1" s="1201"/>
      <c r="V1" s="1336"/>
      <c r="W1" s="1337"/>
      <c r="X1" s="849"/>
      <c r="Y1" s="849"/>
      <c r="Z1" s="1201"/>
      <c r="AA1" s="1201"/>
      <c r="AB1" s="1201"/>
      <c r="AC1" s="1201"/>
      <c r="AD1" s="1201"/>
      <c r="AE1" s="1201"/>
      <c r="AF1" s="1201"/>
      <c r="AG1" s="1201"/>
      <c r="AH1" s="1201"/>
      <c r="AI1" s="1201"/>
      <c r="AJ1" s="1201"/>
      <c r="AK1" s="1201"/>
      <c r="AL1" s="1201"/>
      <c r="AM1" s="1201"/>
    </row>
    <row r="2" spans="1:39" x14ac:dyDescent="0.25">
      <c r="A2" s="803"/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5"/>
      <c r="N2" s="1201"/>
      <c r="O2" s="1201"/>
      <c r="P2" s="1201"/>
      <c r="Q2" s="1335"/>
      <c r="R2" s="1335"/>
      <c r="S2" s="1201"/>
      <c r="T2" s="1201"/>
      <c r="U2" s="1201"/>
      <c r="V2" s="1338"/>
      <c r="W2" s="1337"/>
      <c r="X2" s="849"/>
      <c r="Y2" s="849"/>
      <c r="Z2" s="1201"/>
      <c r="AA2" s="1201"/>
      <c r="AB2" s="1201"/>
      <c r="AC2" s="1201"/>
      <c r="AD2" s="1201"/>
      <c r="AE2" s="1201"/>
      <c r="AF2" s="1201"/>
      <c r="AG2" s="1201"/>
      <c r="AH2" s="1201"/>
      <c r="AI2" s="1201"/>
      <c r="AJ2" s="1201"/>
      <c r="AK2" s="1201"/>
      <c r="AL2" s="1201"/>
      <c r="AM2" s="1201"/>
    </row>
    <row r="3" spans="1:39" x14ac:dyDescent="0.25">
      <c r="A3" s="808" t="str">
        <f>"SCHEDULE OF AMORTIZATION OF $"&amp;TEXT($E$49*1000, "00,000,000")&amp;" PRINCIPAL AMOUNT OF OUTSTANDING "</f>
        <v xml:space="preserve">SCHEDULE OF AMORTIZATION OF $24,650,000 PRINCIPAL AMOUNT OF OUTSTANDING </v>
      </c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1361"/>
      <c r="O3" s="1361"/>
      <c r="P3" s="1361"/>
      <c r="Q3" s="1335"/>
      <c r="R3" s="1335"/>
      <c r="S3" s="1201"/>
      <c r="T3" s="1201"/>
      <c r="U3" s="1201"/>
      <c r="V3" s="1338"/>
      <c r="W3" s="1337"/>
      <c r="X3" s="849"/>
      <c r="Y3" s="849"/>
      <c r="Z3" s="1201"/>
      <c r="AA3" s="1201"/>
      <c r="AB3" s="1201"/>
      <c r="AC3" s="1201"/>
      <c r="AD3" s="1201"/>
      <c r="AE3" s="1201"/>
      <c r="AF3" s="1201"/>
      <c r="AG3" s="1201"/>
      <c r="AH3" s="1201"/>
      <c r="AI3" s="1201"/>
      <c r="AJ3" s="1201"/>
      <c r="AK3" s="1201"/>
      <c r="AL3" s="1201"/>
      <c r="AM3" s="1201"/>
    </row>
    <row r="4" spans="1:39" x14ac:dyDescent="0.25">
      <c r="A4" s="808" t="s">
        <v>742</v>
      </c>
      <c r="B4" s="808"/>
      <c r="C4" s="808"/>
      <c r="D4" s="808"/>
      <c r="E4" s="808"/>
      <c r="F4" s="808"/>
      <c r="G4" s="808"/>
      <c r="H4" s="808"/>
      <c r="I4" s="808"/>
      <c r="J4" s="808"/>
      <c r="K4" s="808"/>
      <c r="L4" s="808"/>
      <c r="M4" s="808"/>
      <c r="N4" s="1361"/>
      <c r="O4" s="1361"/>
      <c r="P4" s="1361"/>
      <c r="Q4" s="1335"/>
      <c r="R4" s="1335"/>
      <c r="S4" s="1201"/>
      <c r="T4" s="1201"/>
      <c r="U4" s="1201"/>
      <c r="V4" s="1337"/>
      <c r="W4" s="1337"/>
      <c r="X4" s="849"/>
      <c r="Y4" s="849"/>
      <c r="Z4" s="1201"/>
      <c r="AA4" s="1201"/>
      <c r="AB4" s="1201"/>
      <c r="AC4" s="1201"/>
      <c r="AD4" s="1201"/>
      <c r="AE4" s="1201"/>
      <c r="AF4" s="1201"/>
      <c r="AG4" s="1201"/>
      <c r="AH4" s="1201"/>
      <c r="AI4" s="1201"/>
      <c r="AJ4" s="1201"/>
      <c r="AK4" s="1201"/>
      <c r="AL4" s="1201"/>
      <c r="AM4" s="1339"/>
    </row>
    <row r="5" spans="1:39" ht="15.6" customHeight="1" x14ac:dyDescent="0.25">
      <c r="A5" s="811" t="s">
        <v>231</v>
      </c>
      <c r="B5" s="811"/>
      <c r="C5" s="811"/>
      <c r="D5" s="811"/>
      <c r="E5" s="811"/>
      <c r="F5" s="811"/>
      <c r="G5" s="811"/>
      <c r="H5" s="811"/>
      <c r="I5" s="811"/>
      <c r="J5" s="811"/>
      <c r="K5" s="811"/>
      <c r="L5" s="811"/>
      <c r="M5" s="811"/>
      <c r="N5" s="1362"/>
      <c r="O5" s="1362"/>
      <c r="P5" s="1362"/>
      <c r="Q5" s="1335"/>
      <c r="R5" s="1335"/>
      <c r="S5" s="1201"/>
      <c r="T5" s="1201"/>
      <c r="U5" s="1201"/>
      <c r="V5" s="1339"/>
      <c r="W5" s="1337"/>
      <c r="X5" s="1201"/>
      <c r="Y5" s="1201"/>
      <c r="Z5" s="1201"/>
      <c r="AA5" s="1201"/>
      <c r="AB5" s="1201"/>
      <c r="AC5" s="1201"/>
      <c r="AD5" s="1201"/>
      <c r="AE5" s="1201"/>
      <c r="AF5" s="1201"/>
      <c r="AG5" s="1201"/>
      <c r="AH5" s="1201"/>
      <c r="AI5" s="1201"/>
      <c r="AJ5" s="1201"/>
      <c r="AK5" s="1201"/>
      <c r="AL5" s="1201"/>
      <c r="AM5" s="1339"/>
    </row>
    <row r="6" spans="1:39" x14ac:dyDescent="0.25">
      <c r="A6" s="811" t="s">
        <v>132</v>
      </c>
      <c r="B6" s="811"/>
      <c r="C6" s="811"/>
      <c r="D6" s="811"/>
      <c r="E6" s="811"/>
      <c r="F6" s="811"/>
      <c r="G6" s="811"/>
      <c r="H6" s="811"/>
      <c r="I6" s="811"/>
      <c r="J6" s="811"/>
      <c r="K6" s="811"/>
      <c r="L6" s="811"/>
      <c r="M6" s="811"/>
      <c r="N6" s="1362"/>
      <c r="O6" s="1362"/>
      <c r="P6" s="1362"/>
      <c r="Q6" s="1335"/>
      <c r="R6" s="1335"/>
      <c r="S6" s="1201"/>
      <c r="T6" s="1201"/>
      <c r="U6" s="1201"/>
      <c r="V6" s="1337"/>
      <c r="W6" s="1337"/>
      <c r="X6" s="1201"/>
      <c r="Y6" s="1201"/>
      <c r="Z6" s="1201"/>
      <c r="AA6" s="1201"/>
      <c r="AB6" s="1201"/>
      <c r="AC6" s="1201"/>
      <c r="AD6" s="1201"/>
      <c r="AE6" s="1201"/>
      <c r="AF6" s="1201"/>
      <c r="AG6" s="1201"/>
      <c r="AH6" s="1201"/>
      <c r="AI6" s="1201"/>
      <c r="AJ6" s="1201"/>
      <c r="AK6" s="1201"/>
      <c r="AL6" s="1201"/>
      <c r="AM6" s="1339"/>
    </row>
    <row r="7" spans="1:39" x14ac:dyDescent="0.25">
      <c r="A7" s="811" t="s">
        <v>28</v>
      </c>
      <c r="B7" s="811"/>
      <c r="C7" s="811"/>
      <c r="D7" s="811"/>
      <c r="E7" s="811"/>
      <c r="F7" s="811"/>
      <c r="G7" s="811"/>
      <c r="H7" s="811"/>
      <c r="I7" s="811"/>
      <c r="J7" s="811"/>
      <c r="K7" s="811"/>
      <c r="L7" s="811"/>
      <c r="M7" s="811"/>
      <c r="N7" s="1362"/>
      <c r="O7" s="1362"/>
      <c r="P7" s="1362"/>
      <c r="Q7" s="1335"/>
      <c r="R7" s="1335"/>
      <c r="S7" s="1201"/>
      <c r="T7" s="1201"/>
      <c r="U7" s="1201"/>
      <c r="V7" s="1337"/>
      <c r="W7" s="1337"/>
      <c r="X7" s="1201"/>
      <c r="Y7" s="1201"/>
      <c r="Z7" s="1340"/>
      <c r="AA7" s="1340"/>
      <c r="AB7" s="1340"/>
      <c r="AC7" s="1340"/>
      <c r="AD7" s="1340"/>
      <c r="AE7" s="1340"/>
      <c r="AF7" s="1340"/>
      <c r="AG7" s="1340"/>
      <c r="AH7" s="1340"/>
      <c r="AI7" s="1340"/>
      <c r="AJ7" s="1201"/>
      <c r="AK7" s="1201"/>
      <c r="AL7" s="1201"/>
      <c r="AM7" s="1339"/>
    </row>
    <row r="8" spans="1:39" hidden="1" x14ac:dyDescent="0.25">
      <c r="A8" s="811" t="str">
        <f>"Assumes bonds dated "&amp;TEXT(V2,"MMMM D, YYYY")&amp;"."</f>
        <v>Assumes bonds dated January 0, 1900.</v>
      </c>
      <c r="B8" s="811"/>
      <c r="C8" s="811"/>
      <c r="D8" s="811"/>
      <c r="E8" s="811"/>
      <c r="F8" s="811"/>
      <c r="G8" s="811"/>
      <c r="H8" s="811"/>
      <c r="I8" s="811"/>
      <c r="J8" s="811"/>
      <c r="K8" s="811"/>
      <c r="L8" s="811"/>
      <c r="M8" s="811"/>
      <c r="N8" s="1362"/>
      <c r="O8" s="1362"/>
      <c r="P8" s="1362"/>
      <c r="Q8" s="1335"/>
      <c r="R8" s="1335"/>
      <c r="S8" s="1201"/>
      <c r="T8" s="1201"/>
      <c r="U8" s="1201"/>
      <c r="V8" s="1337"/>
      <c r="W8" s="1337"/>
      <c r="X8" s="1201"/>
      <c r="Y8" s="1201"/>
      <c r="Z8" s="1341"/>
      <c r="AA8" s="1201"/>
      <c r="AB8" s="1342"/>
      <c r="AC8" s="1201"/>
      <c r="AD8" s="1342"/>
      <c r="AE8" s="1342"/>
      <c r="AF8" s="1342"/>
      <c r="AG8" s="1342"/>
      <c r="AH8" s="1342"/>
      <c r="AI8" s="1201"/>
      <c r="AJ8" s="1201"/>
      <c r="AK8" s="1201"/>
      <c r="AL8" s="1201"/>
      <c r="AM8" s="1201"/>
    </row>
    <row r="9" spans="1:39" x14ac:dyDescent="0.25">
      <c r="A9" s="954"/>
      <c r="B9" s="954"/>
      <c r="C9" s="954"/>
      <c r="D9" s="954"/>
      <c r="E9" s="954"/>
      <c r="F9" s="954"/>
      <c r="G9" s="954"/>
      <c r="H9" s="954"/>
      <c r="I9" s="954"/>
      <c r="J9" s="954"/>
      <c r="K9" s="954"/>
      <c r="L9" s="954"/>
      <c r="M9" s="954"/>
      <c r="N9" s="1201"/>
      <c r="O9" s="1201"/>
      <c r="P9" s="1201"/>
      <c r="Q9" s="1335"/>
      <c r="R9" s="1335"/>
      <c r="S9" s="1201"/>
      <c r="T9" s="1201"/>
      <c r="U9" s="1201"/>
      <c r="V9" s="1338"/>
      <c r="W9" s="1337"/>
      <c r="X9" s="1201"/>
      <c r="Y9" s="1201"/>
      <c r="Z9" s="1201"/>
      <c r="AA9" s="1201"/>
      <c r="AB9" s="1201"/>
      <c r="AC9" s="1201"/>
      <c r="AD9" s="1201"/>
      <c r="AE9" s="1201"/>
      <c r="AF9" s="1201"/>
      <c r="AG9" s="1201"/>
      <c r="AH9" s="1201"/>
      <c r="AI9" s="1201"/>
      <c r="AJ9" s="1201"/>
      <c r="AK9" s="1201"/>
      <c r="AL9" s="1201"/>
      <c r="AM9" s="1339"/>
    </row>
    <row r="10" spans="1:39" x14ac:dyDescent="0.25">
      <c r="A10" s="811"/>
      <c r="B10" s="804"/>
      <c r="C10" s="804"/>
      <c r="D10" s="804"/>
      <c r="E10" s="804"/>
      <c r="F10" s="804"/>
      <c r="G10" s="804"/>
      <c r="N10" s="1201"/>
      <c r="O10" s="1201"/>
      <c r="P10" s="1201"/>
      <c r="Q10" s="1335"/>
      <c r="R10" s="1335"/>
      <c r="S10" s="1201"/>
      <c r="T10" s="1201"/>
      <c r="U10" s="1201"/>
      <c r="V10" s="1337"/>
      <c r="W10" s="1337"/>
      <c r="X10" s="1201"/>
      <c r="Y10" s="1201"/>
      <c r="Z10" s="1343"/>
      <c r="AA10" s="1201"/>
      <c r="AB10" s="1201"/>
      <c r="AC10" s="1201"/>
      <c r="AD10" s="1201"/>
      <c r="AE10" s="1201"/>
      <c r="AF10" s="1201"/>
      <c r="AG10" s="1201"/>
      <c r="AH10" s="1201"/>
      <c r="AI10" s="1201"/>
      <c r="AJ10" s="1201"/>
      <c r="AK10" s="1201"/>
      <c r="AL10" s="1201"/>
      <c r="AM10" s="1339"/>
    </row>
    <row r="11" spans="1:39" x14ac:dyDescent="0.25">
      <c r="A11" s="955" t="s">
        <v>29</v>
      </c>
      <c r="C11" s="955" t="s">
        <v>30</v>
      </c>
      <c r="G11" s="955" t="s">
        <v>31</v>
      </c>
      <c r="I11" s="816" t="s">
        <v>32</v>
      </c>
      <c r="J11" s="816"/>
      <c r="K11" s="816"/>
      <c r="M11" s="955" t="s">
        <v>33</v>
      </c>
      <c r="N11" s="1201"/>
      <c r="O11" s="1363"/>
      <c r="P11" s="1201"/>
      <c r="Q11" s="1335"/>
      <c r="R11" s="1335"/>
      <c r="S11" s="1201"/>
      <c r="T11" s="1201"/>
      <c r="U11" s="1201"/>
      <c r="V11" s="1339"/>
      <c r="W11" s="1337"/>
      <c r="X11" s="1201"/>
      <c r="Y11" s="1201"/>
      <c r="Z11" s="1201"/>
      <c r="AA11" s="1201"/>
      <c r="AB11" s="1201"/>
      <c r="AC11" s="1201"/>
      <c r="AD11" s="1201"/>
      <c r="AE11" s="1201"/>
      <c r="AF11" s="1201"/>
      <c r="AG11" s="1201"/>
      <c r="AH11" s="1201"/>
      <c r="AI11" s="1201"/>
      <c r="AJ11" s="1201"/>
      <c r="AK11" s="1201"/>
      <c r="AL11" s="1201"/>
      <c r="AM11" s="1339"/>
    </row>
    <row r="12" spans="1:39" x14ac:dyDescent="0.25">
      <c r="A12" s="817" t="s">
        <v>9</v>
      </c>
      <c r="C12" s="817" t="s">
        <v>34</v>
      </c>
      <c r="E12" s="817" t="s">
        <v>30</v>
      </c>
      <c r="F12" s="955"/>
      <c r="G12" s="817" t="s">
        <v>603</v>
      </c>
      <c r="I12" s="817" t="s">
        <v>31</v>
      </c>
      <c r="J12" s="818"/>
      <c r="K12" s="817" t="s">
        <v>35</v>
      </c>
      <c r="M12" s="817" t="s">
        <v>35</v>
      </c>
      <c r="N12" s="1201"/>
      <c r="O12" s="1342"/>
      <c r="P12" s="1201"/>
      <c r="Q12" s="1335"/>
      <c r="R12" s="1335"/>
      <c r="S12" s="1201"/>
      <c r="T12" s="1201"/>
      <c r="U12" s="1201"/>
      <c r="V12" s="1337"/>
      <c r="W12" s="1337"/>
      <c r="X12" s="1201"/>
      <c r="Y12" s="1201"/>
      <c r="Z12" s="1343"/>
      <c r="AA12" s="1201"/>
      <c r="AB12" s="1344"/>
      <c r="AC12" s="1201"/>
      <c r="AD12" s="1344"/>
      <c r="AE12" s="1343"/>
      <c r="AF12" s="1343"/>
      <c r="AG12" s="1343"/>
      <c r="AH12" s="1343"/>
      <c r="AI12" s="1201"/>
      <c r="AJ12" s="1201"/>
      <c r="AK12" s="1201"/>
      <c r="AL12" s="1201"/>
      <c r="AM12" s="1201"/>
    </row>
    <row r="13" spans="1:39" x14ac:dyDescent="0.25">
      <c r="C13" s="959" t="s">
        <v>739</v>
      </c>
      <c r="D13" s="959"/>
      <c r="E13" s="959"/>
      <c r="F13" s="804"/>
      <c r="G13" s="955" t="s">
        <v>36</v>
      </c>
      <c r="H13" s="804"/>
      <c r="I13" s="804" t="s">
        <v>711</v>
      </c>
      <c r="J13" s="819"/>
      <c r="K13" s="804"/>
      <c r="L13" s="804"/>
      <c r="M13" s="804"/>
      <c r="N13" s="1201"/>
      <c r="O13" s="1201"/>
      <c r="P13" s="1201"/>
      <c r="Q13" s="1335"/>
      <c r="R13" s="1335"/>
      <c r="S13" s="1201"/>
      <c r="T13" s="1201"/>
      <c r="U13" s="1201"/>
      <c r="V13" s="1337"/>
      <c r="W13" s="1337"/>
      <c r="X13" s="1345"/>
      <c r="Y13" s="1345"/>
      <c r="Z13" s="1345"/>
      <c r="AA13" s="1201"/>
      <c r="AB13" s="1346"/>
      <c r="AC13" s="1201"/>
      <c r="AD13" s="1346"/>
      <c r="AE13" s="1201"/>
      <c r="AF13" s="1346"/>
      <c r="AG13" s="1201"/>
      <c r="AH13" s="1342"/>
      <c r="AI13" s="1201"/>
      <c r="AJ13" s="1201"/>
      <c r="AK13" s="1201"/>
      <c r="AL13" s="1201"/>
      <c r="AM13" s="1339"/>
    </row>
    <row r="14" spans="1:39" hidden="1" x14ac:dyDescent="0.25">
      <c r="C14" s="820" t="s">
        <v>332</v>
      </c>
      <c r="D14" s="804"/>
      <c r="E14" s="804"/>
      <c r="F14" s="804"/>
      <c r="G14" s="955"/>
      <c r="H14" s="804"/>
      <c r="I14" s="804"/>
      <c r="J14" s="819"/>
      <c r="K14" s="804"/>
      <c r="L14" s="804"/>
      <c r="M14" s="804"/>
      <c r="N14" s="1201"/>
      <c r="O14" s="1201"/>
      <c r="P14" s="1201"/>
      <c r="Q14" s="1347"/>
      <c r="R14" s="1364"/>
      <c r="S14" s="1337"/>
      <c r="T14" s="1337"/>
      <c r="U14" s="1337"/>
      <c r="V14" s="1337"/>
      <c r="W14" s="1337"/>
      <c r="X14" s="1201"/>
      <c r="Y14" s="1201"/>
      <c r="Z14" s="1201"/>
      <c r="AA14" s="1201"/>
      <c r="AB14" s="1201"/>
      <c r="AC14" s="1201"/>
      <c r="AD14" s="1365"/>
      <c r="AE14" s="1201"/>
      <c r="AF14" s="1201"/>
      <c r="AG14" s="1201"/>
      <c r="AH14" s="1201"/>
      <c r="AI14" s="1201"/>
      <c r="AJ14" s="1201"/>
      <c r="AK14" s="1201"/>
      <c r="AL14" s="1201"/>
      <c r="AM14" s="1339"/>
    </row>
    <row r="15" spans="1:39" hidden="1" x14ac:dyDescent="0.25">
      <c r="A15" s="822">
        <v>44013</v>
      </c>
      <c r="C15" s="815"/>
      <c r="E15" s="810"/>
      <c r="F15" s="810"/>
      <c r="G15" s="823"/>
      <c r="I15" s="824"/>
      <c r="J15" s="801"/>
      <c r="K15" s="824"/>
      <c r="L15" s="801"/>
      <c r="M15" s="801"/>
      <c r="N15" s="1337"/>
      <c r="O15" s="1337"/>
      <c r="P15" s="1337"/>
      <c r="Q15" s="1347"/>
      <c r="R15" s="1364"/>
      <c r="S15" s="1337"/>
      <c r="T15" s="1337"/>
      <c r="U15" s="1337"/>
      <c r="V15" s="1337"/>
      <c r="W15" s="1348"/>
      <c r="X15" s="1201"/>
      <c r="Y15" s="1201"/>
      <c r="Z15" s="1200"/>
      <c r="AA15" s="1201"/>
      <c r="AB15" s="1349"/>
      <c r="AC15" s="1201"/>
      <c r="AD15" s="1365"/>
      <c r="AE15" s="1201"/>
      <c r="AF15" s="1349"/>
      <c r="AG15" s="1201"/>
      <c r="AH15" s="1350"/>
      <c r="AI15" s="1201"/>
      <c r="AJ15" s="1351"/>
      <c r="AK15" s="1201"/>
      <c r="AL15" s="1201"/>
      <c r="AM15" s="1201"/>
    </row>
    <row r="16" spans="1:39" hidden="1" x14ac:dyDescent="0.25">
      <c r="A16" s="822">
        <f>EDATE(A15,6)</f>
        <v>44197</v>
      </c>
      <c r="C16" s="815"/>
      <c r="E16" s="815"/>
      <c r="F16" s="810"/>
      <c r="I16" s="801"/>
      <c r="J16" s="801"/>
      <c r="K16" s="801"/>
      <c r="L16" s="801"/>
      <c r="M16" s="824"/>
      <c r="N16" s="1337"/>
      <c r="O16" s="1337"/>
      <c r="P16" s="1337"/>
      <c r="Q16" s="1347"/>
      <c r="R16" s="1364"/>
      <c r="S16" s="1337"/>
      <c r="T16" s="1337"/>
      <c r="U16" s="1337"/>
      <c r="V16" s="1337"/>
      <c r="W16" s="1352"/>
      <c r="X16" s="1353"/>
      <c r="Y16" s="1349"/>
      <c r="Z16" s="1353"/>
      <c r="AA16" s="1201"/>
      <c r="AB16" s="1353"/>
      <c r="AC16" s="1201"/>
      <c r="AD16" s="1366"/>
      <c r="AE16" s="1201"/>
      <c r="AF16" s="1353"/>
      <c r="AG16" s="1201"/>
      <c r="AH16" s="1354"/>
      <c r="AI16" s="1201"/>
      <c r="AJ16" s="1351"/>
      <c r="AK16" s="1366"/>
      <c r="AL16" s="1201"/>
      <c r="AM16" s="1201"/>
    </row>
    <row r="17" spans="1:41" x14ac:dyDescent="0.25">
      <c r="A17" s="822"/>
      <c r="C17" s="815"/>
      <c r="E17" s="815"/>
      <c r="F17" s="810"/>
      <c r="I17" s="801"/>
      <c r="J17" s="801"/>
      <c r="K17" s="801"/>
      <c r="L17" s="801"/>
      <c r="M17" s="824"/>
      <c r="N17" s="1337"/>
      <c r="O17" s="1201"/>
      <c r="P17" s="1337"/>
      <c r="Q17" s="1347"/>
      <c r="R17" s="1364"/>
      <c r="S17" s="1337"/>
      <c r="T17" s="1337"/>
      <c r="U17" s="1337"/>
      <c r="V17" s="1337"/>
      <c r="W17" s="1352"/>
      <c r="X17" s="1349"/>
      <c r="Y17" s="1349"/>
      <c r="Z17" s="1349"/>
      <c r="AA17" s="1201"/>
      <c r="AB17" s="1349"/>
      <c r="AC17" s="1201"/>
      <c r="AD17" s="1366"/>
      <c r="AE17" s="1201"/>
      <c r="AF17" s="1349"/>
      <c r="AG17" s="1201"/>
      <c r="AH17" s="1350"/>
      <c r="AI17" s="1201"/>
      <c r="AJ17" s="1351"/>
      <c r="AK17" s="1366"/>
      <c r="AL17" s="1201"/>
      <c r="AM17" s="1201"/>
    </row>
    <row r="18" spans="1:41" x14ac:dyDescent="0.25">
      <c r="A18" s="822">
        <f>EDATE(A16,6)</f>
        <v>44378</v>
      </c>
      <c r="C18" s="810"/>
      <c r="E18" s="815"/>
      <c r="F18" s="810"/>
      <c r="I18" s="824">
        <f>ROUND((+E18*1000*G18/100/2+I19*(V5/180)),2)</f>
        <v>0</v>
      </c>
      <c r="J18" s="801"/>
      <c r="K18" s="824">
        <f t="shared" ref="K18:K44" si="0">E18*1000+I18</f>
        <v>0</v>
      </c>
      <c r="L18" s="801"/>
      <c r="M18" s="801"/>
      <c r="N18" s="1337"/>
      <c r="O18" s="1337"/>
      <c r="P18" s="1337"/>
      <c r="Q18" s="1347"/>
      <c r="R18" s="1364"/>
      <c r="S18" s="1337"/>
      <c r="T18" s="1337"/>
      <c r="U18" s="1337"/>
      <c r="V18" s="1337"/>
      <c r="W18" s="1352"/>
      <c r="X18" s="1349"/>
      <c r="Y18" s="1349"/>
      <c r="Z18" s="1349"/>
      <c r="AA18" s="1201"/>
      <c r="AB18" s="1349"/>
      <c r="AC18" s="1201"/>
      <c r="AD18" s="1366"/>
      <c r="AE18" s="1201"/>
      <c r="AF18" s="1349"/>
      <c r="AG18" s="1201"/>
      <c r="AH18" s="1350"/>
      <c r="AI18" s="1201"/>
      <c r="AJ18" s="1351"/>
      <c r="AK18" s="1366"/>
      <c r="AL18" s="1201"/>
      <c r="AM18" s="1201"/>
    </row>
    <row r="19" spans="1:41" x14ac:dyDescent="0.25">
      <c r="A19" s="822">
        <f t="shared" ref="A19:A47" si="1">EDATE(A18,6)</f>
        <v>44562</v>
      </c>
      <c r="C19" s="815">
        <f>E49</f>
        <v>24650</v>
      </c>
      <c r="E19" s="815">
        <v>2690</v>
      </c>
      <c r="F19" s="823"/>
      <c r="G19" s="823">
        <v>0.3</v>
      </c>
      <c r="I19" s="801">
        <f>ROUND((+E19*1000*G19/100/2+I20),2)</f>
        <v>120534.25</v>
      </c>
      <c r="J19" s="801"/>
      <c r="K19" s="801">
        <f t="shared" si="0"/>
        <v>2810534.25</v>
      </c>
      <c r="L19" s="801"/>
      <c r="M19" s="824">
        <f>K18+K19</f>
        <v>2810534.25</v>
      </c>
      <c r="N19" s="1337"/>
      <c r="O19" s="1354"/>
      <c r="P19" s="1337"/>
      <c r="Q19" s="1347"/>
      <c r="R19" s="1364"/>
      <c r="S19" s="1337"/>
      <c r="T19" s="1337"/>
      <c r="U19" s="1337"/>
      <c r="V19" s="1337"/>
      <c r="W19" s="1352"/>
      <c r="X19" s="1349"/>
      <c r="Y19" s="1349"/>
      <c r="Z19" s="1349"/>
      <c r="AA19" s="1201"/>
      <c r="AB19" s="1349"/>
      <c r="AC19" s="1201"/>
      <c r="AD19" s="1366"/>
      <c r="AE19" s="1201"/>
      <c r="AF19" s="1349"/>
      <c r="AG19" s="1201"/>
      <c r="AH19" s="1350"/>
      <c r="AI19" s="1201"/>
      <c r="AJ19" s="1351"/>
      <c r="AK19" s="1366"/>
      <c r="AL19" s="1201"/>
      <c r="AM19" s="1201"/>
    </row>
    <row r="20" spans="1:41" x14ac:dyDescent="0.25">
      <c r="A20" s="822">
        <f t="shared" si="1"/>
        <v>44743</v>
      </c>
      <c r="C20" s="810"/>
      <c r="E20" s="961"/>
      <c r="F20" s="810"/>
      <c r="G20" s="823"/>
      <c r="I20" s="801">
        <f t="shared" ref="I20:I47" si="2">ROUND((+E20*1000*G20/100/2+I21),2)</f>
        <v>116499.25</v>
      </c>
      <c r="J20" s="801"/>
      <c r="K20" s="801">
        <f t="shared" si="0"/>
        <v>116499.25</v>
      </c>
      <c r="L20" s="801"/>
      <c r="M20" s="801"/>
      <c r="N20" s="1337"/>
      <c r="O20" s="1337"/>
      <c r="P20" s="1337"/>
      <c r="Q20" s="1347"/>
      <c r="R20" s="1364"/>
      <c r="S20" s="1337"/>
      <c r="T20" s="1337"/>
      <c r="U20" s="1337"/>
      <c r="V20" s="1337"/>
      <c r="W20" s="1352"/>
      <c r="X20" s="1349"/>
      <c r="Y20" s="1349"/>
      <c r="Z20" s="1349"/>
      <c r="AA20" s="1201"/>
      <c r="AB20" s="1349"/>
      <c r="AC20" s="1201"/>
      <c r="AD20" s="1366"/>
      <c r="AE20" s="1201"/>
      <c r="AF20" s="1349"/>
      <c r="AG20" s="1201"/>
      <c r="AH20" s="1350"/>
      <c r="AI20" s="1201"/>
      <c r="AJ20" s="1351"/>
      <c r="AK20" s="1366"/>
      <c r="AL20" s="1201"/>
      <c r="AM20" s="1201"/>
    </row>
    <row r="21" spans="1:41" x14ac:dyDescent="0.25">
      <c r="A21" s="822">
        <f t="shared" si="1"/>
        <v>44927</v>
      </c>
      <c r="C21" s="810">
        <f>C19-E19</f>
        <v>21960</v>
      </c>
      <c r="E21" s="961">
        <v>3285</v>
      </c>
      <c r="F21" s="810"/>
      <c r="G21" s="823">
        <v>0.35</v>
      </c>
      <c r="I21" s="801">
        <f t="shared" si="2"/>
        <v>116499.25</v>
      </c>
      <c r="J21" s="801"/>
      <c r="K21" s="801">
        <f t="shared" si="0"/>
        <v>3401499.25</v>
      </c>
      <c r="L21" s="801"/>
      <c r="M21" s="801">
        <f>K20+K21</f>
        <v>3517998.5</v>
      </c>
      <c r="N21" s="1337"/>
      <c r="O21" s="1354"/>
      <c r="P21" s="1337"/>
      <c r="Q21" s="1347"/>
      <c r="R21" s="1364"/>
      <c r="S21" s="1337"/>
      <c r="T21" s="1337"/>
      <c r="U21" s="1337"/>
      <c r="V21" s="1337"/>
      <c r="W21" s="1352"/>
      <c r="X21" s="1349"/>
      <c r="Y21" s="1349"/>
      <c r="Z21" s="1349"/>
      <c r="AA21" s="1201"/>
      <c r="AB21" s="1349"/>
      <c r="AC21" s="1201"/>
      <c r="AD21" s="1366"/>
      <c r="AE21" s="1201"/>
      <c r="AF21" s="1349"/>
      <c r="AG21" s="1201"/>
      <c r="AH21" s="1350"/>
      <c r="AI21" s="1201"/>
      <c r="AJ21" s="1351"/>
      <c r="AK21" s="1366"/>
      <c r="AL21" s="1201"/>
      <c r="AM21" s="1201"/>
    </row>
    <row r="22" spans="1:41" x14ac:dyDescent="0.25">
      <c r="A22" s="822">
        <f t="shared" si="1"/>
        <v>45108</v>
      </c>
      <c r="C22" s="810"/>
      <c r="E22" s="961"/>
      <c r="F22" s="810"/>
      <c r="G22" s="823"/>
      <c r="I22" s="801">
        <f t="shared" si="2"/>
        <v>110750.5</v>
      </c>
      <c r="J22" s="801"/>
      <c r="K22" s="801">
        <f t="shared" si="0"/>
        <v>110750.5</v>
      </c>
      <c r="L22" s="801"/>
      <c r="M22" s="801"/>
      <c r="N22" s="1367"/>
      <c r="O22" s="1337"/>
      <c r="P22" s="1367"/>
      <c r="Q22" s="1347"/>
      <c r="R22" s="1364"/>
      <c r="S22" s="1337"/>
      <c r="T22" s="1337"/>
      <c r="U22" s="1337"/>
      <c r="V22" s="1337"/>
      <c r="W22" s="1352"/>
      <c r="X22" s="1349"/>
      <c r="Y22" s="1349"/>
      <c r="Z22" s="1349"/>
      <c r="AA22" s="1201"/>
      <c r="AB22" s="1349"/>
      <c r="AC22" s="1201"/>
      <c r="AD22" s="1366"/>
      <c r="AE22" s="1201"/>
      <c r="AF22" s="1349"/>
      <c r="AG22" s="1201"/>
      <c r="AH22" s="1350"/>
      <c r="AI22" s="1201"/>
      <c r="AJ22" s="1351"/>
      <c r="AK22" s="1366"/>
      <c r="AL22" s="1201"/>
      <c r="AM22" s="1201"/>
    </row>
    <row r="23" spans="1:41" x14ac:dyDescent="0.25">
      <c r="A23" s="822">
        <f t="shared" si="1"/>
        <v>45292</v>
      </c>
      <c r="C23" s="810">
        <f>C21-E21</f>
        <v>18675</v>
      </c>
      <c r="E23" s="961">
        <v>3295</v>
      </c>
      <c r="F23" s="810"/>
      <c r="G23" s="823">
        <v>0.45</v>
      </c>
      <c r="I23" s="801">
        <f t="shared" si="2"/>
        <v>110750.5</v>
      </c>
      <c r="J23" s="801"/>
      <c r="K23" s="801">
        <f t="shared" si="0"/>
        <v>3405750.5</v>
      </c>
      <c r="L23" s="801"/>
      <c r="M23" s="801">
        <f>K22+K23</f>
        <v>3516501</v>
      </c>
      <c r="N23" s="1337"/>
      <c r="O23" s="1354"/>
      <c r="P23" s="1337"/>
      <c r="Q23" s="1347"/>
      <c r="R23" s="1364"/>
      <c r="S23" s="1337"/>
      <c r="T23" s="1337"/>
      <c r="U23" s="1337"/>
      <c r="V23" s="1337"/>
      <c r="W23" s="1352"/>
      <c r="X23" s="1349"/>
      <c r="Y23" s="1349"/>
      <c r="Z23" s="1349"/>
      <c r="AA23" s="1201"/>
      <c r="AB23" s="1349"/>
      <c r="AC23" s="1201"/>
      <c r="AD23" s="1366"/>
      <c r="AE23" s="1201"/>
      <c r="AF23" s="1349"/>
      <c r="AG23" s="1201"/>
      <c r="AH23" s="1350"/>
      <c r="AI23" s="1201"/>
      <c r="AJ23" s="1351"/>
      <c r="AK23" s="1366"/>
      <c r="AL23" s="1201"/>
      <c r="AM23" s="1201"/>
    </row>
    <row r="24" spans="1:41" x14ac:dyDescent="0.25">
      <c r="A24" s="822">
        <f t="shared" si="1"/>
        <v>45474</v>
      </c>
      <c r="C24" s="810"/>
      <c r="E24" s="961"/>
      <c r="F24" s="810"/>
      <c r="G24" s="823"/>
      <c r="I24" s="801">
        <f t="shared" si="2"/>
        <v>103336.75</v>
      </c>
      <c r="J24" s="801"/>
      <c r="K24" s="801">
        <f t="shared" si="0"/>
        <v>103336.75</v>
      </c>
      <c r="L24" s="801"/>
      <c r="M24" s="801"/>
      <c r="N24" s="1337"/>
      <c r="O24" s="1337"/>
      <c r="P24" s="1337"/>
      <c r="Q24" s="1347"/>
      <c r="R24" s="1364"/>
      <c r="S24" s="1337"/>
      <c r="T24" s="1337"/>
      <c r="U24" s="1337"/>
      <c r="V24" s="1337"/>
      <c r="W24" s="1352"/>
      <c r="X24" s="1349"/>
      <c r="Y24" s="1349"/>
      <c r="Z24" s="1349"/>
      <c r="AA24" s="1201"/>
      <c r="AB24" s="1349"/>
      <c r="AC24" s="1201"/>
      <c r="AD24" s="1366"/>
      <c r="AE24" s="1201"/>
      <c r="AF24" s="1349"/>
      <c r="AG24" s="1201"/>
      <c r="AH24" s="1350"/>
      <c r="AI24" s="1201"/>
      <c r="AJ24" s="1351"/>
      <c r="AK24" s="1366"/>
      <c r="AL24" s="1201"/>
      <c r="AM24" s="1201"/>
    </row>
    <row r="25" spans="1:41" x14ac:dyDescent="0.25">
      <c r="A25" s="822">
        <f t="shared" si="1"/>
        <v>45658</v>
      </c>
      <c r="C25" s="810">
        <f>C23-E23</f>
        <v>15380</v>
      </c>
      <c r="E25" s="961">
        <v>3345</v>
      </c>
      <c r="F25" s="810"/>
      <c r="G25" s="823">
        <v>0.68</v>
      </c>
      <c r="I25" s="801">
        <f t="shared" si="2"/>
        <v>103336.75</v>
      </c>
      <c r="J25" s="801"/>
      <c r="K25" s="801">
        <f t="shared" si="0"/>
        <v>3448336.75</v>
      </c>
      <c r="L25" s="801"/>
      <c r="M25" s="801">
        <f>K24+K25</f>
        <v>3551673.5</v>
      </c>
      <c r="N25" s="1337"/>
      <c r="O25" s="1354"/>
      <c r="P25" s="1337"/>
      <c r="Q25" s="1347"/>
      <c r="R25" s="1364"/>
      <c r="S25" s="1337"/>
      <c r="T25" s="1337"/>
      <c r="U25" s="1337"/>
      <c r="V25" s="1337"/>
      <c r="W25" s="1352"/>
      <c r="X25" s="1349"/>
      <c r="Y25" s="1349"/>
      <c r="Z25" s="1349"/>
      <c r="AA25" s="1201"/>
      <c r="AB25" s="1349"/>
      <c r="AC25" s="1201"/>
      <c r="AD25" s="1366"/>
      <c r="AE25" s="1201"/>
      <c r="AF25" s="1349"/>
      <c r="AG25" s="1201"/>
      <c r="AH25" s="1350"/>
      <c r="AI25" s="1201"/>
      <c r="AJ25" s="1351"/>
      <c r="AK25" s="1366"/>
      <c r="AL25" s="1201"/>
      <c r="AM25" s="1201"/>
    </row>
    <row r="26" spans="1:41" x14ac:dyDescent="0.25">
      <c r="A26" s="822">
        <f t="shared" si="1"/>
        <v>45839</v>
      </c>
      <c r="C26" s="810"/>
      <c r="E26" s="961"/>
      <c r="F26" s="810"/>
      <c r="G26" s="823"/>
      <c r="I26" s="801">
        <f t="shared" si="2"/>
        <v>91963.75</v>
      </c>
      <c r="J26" s="801"/>
      <c r="K26" s="801">
        <f t="shared" si="0"/>
        <v>91963.75</v>
      </c>
      <c r="L26" s="801"/>
      <c r="M26" s="801"/>
      <c r="N26" s="1337"/>
      <c r="O26" s="1337"/>
      <c r="P26" s="1337"/>
      <c r="Q26" s="1347"/>
      <c r="R26" s="1364"/>
      <c r="S26" s="1337"/>
      <c r="T26" s="1337"/>
      <c r="U26" s="1337"/>
      <c r="V26" s="1337"/>
      <c r="W26" s="1352"/>
      <c r="X26" s="1349"/>
      <c r="Y26" s="1349"/>
      <c r="Z26" s="1349"/>
      <c r="AA26" s="1201"/>
      <c r="AB26" s="1349"/>
      <c r="AC26" s="1201"/>
      <c r="AD26" s="1366"/>
      <c r="AE26" s="1201"/>
      <c r="AF26" s="1349"/>
      <c r="AG26" s="1201"/>
      <c r="AH26" s="1350"/>
      <c r="AI26" s="1201"/>
      <c r="AJ26" s="1351"/>
      <c r="AK26" s="1366"/>
      <c r="AL26" s="1201"/>
      <c r="AM26" s="1201"/>
      <c r="AO26" s="829">
        <v>319026.88</v>
      </c>
    </row>
    <row r="27" spans="1:41" x14ac:dyDescent="0.25">
      <c r="A27" s="822">
        <f t="shared" si="1"/>
        <v>46023</v>
      </c>
      <c r="C27" s="810">
        <f>C25-E25</f>
        <v>12035</v>
      </c>
      <c r="E27" s="961">
        <v>805</v>
      </c>
      <c r="F27" s="810"/>
      <c r="G27" s="823">
        <v>1</v>
      </c>
      <c r="I27" s="801">
        <f t="shared" si="2"/>
        <v>91963.75</v>
      </c>
      <c r="J27" s="801"/>
      <c r="K27" s="801">
        <f t="shared" si="0"/>
        <v>896963.75</v>
      </c>
      <c r="L27" s="801"/>
      <c r="M27" s="801">
        <f>K26+K27</f>
        <v>988927.5</v>
      </c>
      <c r="N27" s="1337"/>
      <c r="O27" s="1354"/>
      <c r="P27" s="1337"/>
      <c r="Q27" s="1347"/>
      <c r="R27" s="1364"/>
      <c r="S27" s="1337"/>
      <c r="T27" s="1337"/>
      <c r="U27" s="1337"/>
      <c r="V27" s="1337"/>
      <c r="W27" s="1352"/>
      <c r="X27" s="1349"/>
      <c r="Y27" s="1349"/>
      <c r="Z27" s="1349"/>
      <c r="AA27" s="1201"/>
      <c r="AB27" s="1349"/>
      <c r="AC27" s="1201"/>
      <c r="AD27" s="1366"/>
      <c r="AE27" s="1201"/>
      <c r="AF27" s="1349"/>
      <c r="AG27" s="1201"/>
      <c r="AH27" s="1350"/>
      <c r="AI27" s="1201"/>
      <c r="AJ27" s="1351"/>
      <c r="AK27" s="1366"/>
      <c r="AL27" s="1201"/>
      <c r="AM27" s="1201"/>
      <c r="AO27" s="829">
        <v>638053.75</v>
      </c>
    </row>
    <row r="28" spans="1:41" x14ac:dyDescent="0.25">
      <c r="A28" s="822">
        <f t="shared" si="1"/>
        <v>46204</v>
      </c>
      <c r="C28" s="810"/>
      <c r="E28" s="961"/>
      <c r="F28" s="810"/>
      <c r="G28" s="823"/>
      <c r="I28" s="801">
        <f t="shared" si="2"/>
        <v>87938.75</v>
      </c>
      <c r="J28" s="801"/>
      <c r="K28" s="801">
        <f t="shared" si="0"/>
        <v>87938.75</v>
      </c>
      <c r="L28" s="801"/>
      <c r="M28" s="801"/>
      <c r="N28" s="1367"/>
      <c r="O28" s="1337"/>
      <c r="P28" s="1367"/>
      <c r="Q28" s="1347"/>
      <c r="R28" s="1364"/>
      <c r="S28" s="1337"/>
      <c r="T28" s="1337"/>
      <c r="U28" s="1337"/>
      <c r="V28" s="1337"/>
      <c r="W28" s="1352"/>
      <c r="X28" s="1349"/>
      <c r="Y28" s="1349"/>
      <c r="Z28" s="1349"/>
      <c r="AA28" s="1201"/>
      <c r="AB28" s="1349"/>
      <c r="AC28" s="1201"/>
      <c r="AD28" s="1366"/>
      <c r="AE28" s="1201"/>
      <c r="AF28" s="1349"/>
      <c r="AG28" s="1201"/>
      <c r="AH28" s="1350"/>
      <c r="AI28" s="1201"/>
      <c r="AJ28" s="1351"/>
      <c r="AK28" s="1366"/>
      <c r="AL28" s="1201"/>
      <c r="AM28" s="1201"/>
      <c r="AO28" s="829">
        <v>638053.75</v>
      </c>
    </row>
    <row r="29" spans="1:41" x14ac:dyDescent="0.25">
      <c r="A29" s="822">
        <f t="shared" si="1"/>
        <v>46388</v>
      </c>
      <c r="C29" s="810">
        <f>C27-E27</f>
        <v>11230</v>
      </c>
      <c r="E29" s="961">
        <v>805</v>
      </c>
      <c r="F29" s="810"/>
      <c r="G29" s="823">
        <v>2</v>
      </c>
      <c r="I29" s="801">
        <f t="shared" si="2"/>
        <v>87938.75</v>
      </c>
      <c r="J29" s="801"/>
      <c r="K29" s="801">
        <f t="shared" si="0"/>
        <v>892938.75</v>
      </c>
      <c r="L29" s="801"/>
      <c r="M29" s="801">
        <f>K28+K29</f>
        <v>980877.5</v>
      </c>
      <c r="N29" s="1337"/>
      <c r="O29" s="1354"/>
      <c r="P29" s="1337"/>
      <c r="Q29" s="1347"/>
      <c r="R29" s="1364"/>
      <c r="S29" s="1337"/>
      <c r="T29" s="1337"/>
      <c r="U29" s="1337"/>
      <c r="V29" s="1337"/>
      <c r="W29" s="1352"/>
      <c r="X29" s="1349"/>
      <c r="Y29" s="1349"/>
      <c r="Z29" s="1349"/>
      <c r="AA29" s="1201"/>
      <c r="AB29" s="1349"/>
      <c r="AC29" s="1201"/>
      <c r="AD29" s="1366"/>
      <c r="AE29" s="1201"/>
      <c r="AF29" s="1349"/>
      <c r="AG29" s="1201"/>
      <c r="AH29" s="1350"/>
      <c r="AI29" s="1201"/>
      <c r="AJ29" s="1351"/>
      <c r="AK29" s="1366"/>
      <c r="AL29" s="1201"/>
      <c r="AM29" s="1201"/>
      <c r="AO29" s="829">
        <v>638053.75</v>
      </c>
    </row>
    <row r="30" spans="1:41" x14ac:dyDescent="0.25">
      <c r="A30" s="822">
        <f t="shared" si="1"/>
        <v>46569</v>
      </c>
      <c r="C30" s="810"/>
      <c r="E30" s="961"/>
      <c r="F30" s="810"/>
      <c r="G30" s="823"/>
      <c r="I30" s="801">
        <f t="shared" si="2"/>
        <v>79888.75</v>
      </c>
      <c r="J30" s="801"/>
      <c r="K30" s="801">
        <f t="shared" si="0"/>
        <v>79888.75</v>
      </c>
      <c r="L30" s="801"/>
      <c r="M30" s="801"/>
      <c r="N30" s="1337"/>
      <c r="O30" s="1337"/>
      <c r="P30" s="1337"/>
      <c r="Q30" s="1347"/>
      <c r="R30" s="1364"/>
      <c r="S30" s="1337"/>
      <c r="T30" s="1337"/>
      <c r="U30" s="1337"/>
      <c r="V30" s="1337"/>
      <c r="W30" s="1352"/>
      <c r="X30" s="1349"/>
      <c r="Y30" s="1349"/>
      <c r="Z30" s="1349"/>
      <c r="AA30" s="1201"/>
      <c r="AB30" s="1349"/>
      <c r="AC30" s="1201"/>
      <c r="AD30" s="1366"/>
      <c r="AE30" s="1201"/>
      <c r="AF30" s="1349"/>
      <c r="AG30" s="1201"/>
      <c r="AH30" s="1350"/>
      <c r="AI30" s="1201"/>
      <c r="AJ30" s="1351"/>
      <c r="AK30" s="1366"/>
      <c r="AL30" s="1201"/>
      <c r="AM30" s="1201"/>
      <c r="AO30" s="829">
        <v>633653.75</v>
      </c>
    </row>
    <row r="31" spans="1:41" x14ac:dyDescent="0.25">
      <c r="A31" s="822">
        <f t="shared" si="1"/>
        <v>46753</v>
      </c>
      <c r="C31" s="810">
        <f>C29-E29</f>
        <v>10425</v>
      </c>
      <c r="E31" s="961">
        <v>905</v>
      </c>
      <c r="F31" s="810"/>
      <c r="G31" s="823">
        <v>1.5</v>
      </c>
      <c r="I31" s="801">
        <f t="shared" si="2"/>
        <v>79888.75</v>
      </c>
      <c r="J31" s="801"/>
      <c r="K31" s="801">
        <f t="shared" si="0"/>
        <v>984888.75</v>
      </c>
      <c r="L31" s="801"/>
      <c r="M31" s="801">
        <f>K30+K31</f>
        <v>1064777.5</v>
      </c>
      <c r="N31" s="1337"/>
      <c r="O31" s="1354"/>
      <c r="P31" s="1337"/>
      <c r="Q31" s="1347"/>
      <c r="R31" s="1364"/>
      <c r="S31" s="1337"/>
      <c r="T31" s="1337"/>
      <c r="U31" s="1337"/>
      <c r="V31" s="1337"/>
      <c r="W31" s="1352"/>
      <c r="X31" s="1349"/>
      <c r="Y31" s="1349"/>
      <c r="Z31" s="1349"/>
      <c r="AA31" s="1201"/>
      <c r="AB31" s="1349"/>
      <c r="AC31" s="1201"/>
      <c r="AD31" s="1366"/>
      <c r="AE31" s="1201"/>
      <c r="AF31" s="1349"/>
      <c r="AG31" s="1201"/>
      <c r="AH31" s="1350"/>
      <c r="AI31" s="1201"/>
      <c r="AJ31" s="1351"/>
      <c r="AK31" s="1366"/>
      <c r="AL31" s="1201"/>
      <c r="AM31" s="1201"/>
      <c r="AO31" s="829">
        <v>633653.75</v>
      </c>
    </row>
    <row r="32" spans="1:41" x14ac:dyDescent="0.25">
      <c r="A32" s="822">
        <f t="shared" si="1"/>
        <v>46935</v>
      </c>
      <c r="C32" s="810"/>
      <c r="E32" s="961"/>
      <c r="F32" s="810"/>
      <c r="G32" s="823"/>
      <c r="I32" s="801">
        <f t="shared" si="2"/>
        <v>73101.25</v>
      </c>
      <c r="J32" s="801"/>
      <c r="K32" s="801">
        <f t="shared" si="0"/>
        <v>73101.25</v>
      </c>
      <c r="L32" s="801"/>
      <c r="M32" s="801"/>
      <c r="N32" s="1337"/>
      <c r="O32" s="1337"/>
      <c r="P32" s="1337"/>
      <c r="Q32" s="1347"/>
      <c r="R32" s="1364"/>
      <c r="S32" s="1337"/>
      <c r="T32" s="1337"/>
      <c r="U32" s="1337"/>
      <c r="V32" s="1337"/>
      <c r="W32" s="1352"/>
      <c r="X32" s="1349"/>
      <c r="Y32" s="1349"/>
      <c r="Z32" s="1349"/>
      <c r="AA32" s="1201"/>
      <c r="AB32" s="1349"/>
      <c r="AC32" s="1201"/>
      <c r="AD32" s="1366"/>
      <c r="AE32" s="1201"/>
      <c r="AF32" s="1349"/>
      <c r="AG32" s="1201"/>
      <c r="AH32" s="1350"/>
      <c r="AI32" s="1201"/>
      <c r="AJ32" s="1351"/>
      <c r="AK32" s="1366"/>
      <c r="AL32" s="1201"/>
      <c r="AM32" s="1201"/>
      <c r="AO32" s="829">
        <v>617438.75</v>
      </c>
    </row>
    <row r="33" spans="1:41" x14ac:dyDescent="0.25">
      <c r="A33" s="822">
        <f t="shared" si="1"/>
        <v>47119</v>
      </c>
      <c r="C33" s="810">
        <f>C31-E31</f>
        <v>9520</v>
      </c>
      <c r="E33" s="961">
        <v>980</v>
      </c>
      <c r="F33" s="810"/>
      <c r="G33" s="823">
        <v>1.3</v>
      </c>
      <c r="I33" s="801">
        <f t="shared" si="2"/>
        <v>73101.25</v>
      </c>
      <c r="J33" s="801"/>
      <c r="K33" s="801">
        <f t="shared" si="0"/>
        <v>1053101.25</v>
      </c>
      <c r="L33" s="801"/>
      <c r="M33" s="801">
        <f>K32+K33</f>
        <v>1126202.5</v>
      </c>
      <c r="N33" s="1337"/>
      <c r="O33" s="1354"/>
      <c r="P33" s="1337"/>
      <c r="Q33" s="1347"/>
      <c r="R33" s="1364"/>
      <c r="S33" s="1337"/>
      <c r="T33" s="1337"/>
      <c r="U33" s="1337"/>
      <c r="V33" s="1337"/>
      <c r="W33" s="1352"/>
      <c r="X33" s="1349"/>
      <c r="Y33" s="1349"/>
      <c r="Z33" s="1349"/>
      <c r="AA33" s="1201"/>
      <c r="AB33" s="1349"/>
      <c r="AC33" s="1201"/>
      <c r="AD33" s="1366"/>
      <c r="AE33" s="1201"/>
      <c r="AF33" s="1349"/>
      <c r="AG33" s="1201"/>
      <c r="AH33" s="1350"/>
      <c r="AI33" s="1201"/>
      <c r="AJ33" s="1351"/>
      <c r="AK33" s="1366"/>
      <c r="AL33" s="1201"/>
      <c r="AM33" s="1201"/>
      <c r="AO33" s="829">
        <v>617438.75</v>
      </c>
    </row>
    <row r="34" spans="1:41" x14ac:dyDescent="0.25">
      <c r="A34" s="822">
        <f t="shared" si="1"/>
        <v>47300</v>
      </c>
      <c r="C34" s="810"/>
      <c r="E34" s="961"/>
      <c r="F34" s="810"/>
      <c r="G34" s="823"/>
      <c r="I34" s="801">
        <f t="shared" si="2"/>
        <v>66731.25</v>
      </c>
      <c r="J34" s="801"/>
      <c r="K34" s="801">
        <f t="shared" si="0"/>
        <v>66731.25</v>
      </c>
      <c r="L34" s="801"/>
      <c r="M34" s="801"/>
      <c r="N34" s="1337"/>
      <c r="O34" s="1337"/>
      <c r="P34" s="1337"/>
      <c r="Q34" s="1347"/>
      <c r="R34" s="1364"/>
      <c r="S34" s="1337"/>
      <c r="T34" s="1337"/>
      <c r="U34" s="1337"/>
      <c r="V34" s="1337"/>
      <c r="W34" s="1352"/>
      <c r="X34" s="1349"/>
      <c r="Y34" s="1349"/>
      <c r="Z34" s="1349"/>
      <c r="AA34" s="1201"/>
      <c r="AB34" s="1349"/>
      <c r="AC34" s="1201"/>
      <c r="AD34" s="1366"/>
      <c r="AE34" s="1201"/>
      <c r="AF34" s="1349"/>
      <c r="AG34" s="1201"/>
      <c r="AH34" s="1350"/>
      <c r="AI34" s="1201"/>
      <c r="AJ34" s="1351"/>
      <c r="AK34" s="1366"/>
      <c r="AL34" s="1201"/>
      <c r="AM34" s="1201"/>
      <c r="AO34" s="829">
        <v>599737.5</v>
      </c>
    </row>
    <row r="35" spans="1:41" x14ac:dyDescent="0.25">
      <c r="A35" s="822">
        <f t="shared" si="1"/>
        <v>47484</v>
      </c>
      <c r="C35" s="810">
        <f>C33-E33</f>
        <v>8540</v>
      </c>
      <c r="E35" s="961">
        <v>1040</v>
      </c>
      <c r="F35" s="810"/>
      <c r="G35" s="823">
        <v>1.3</v>
      </c>
      <c r="I35" s="801">
        <f t="shared" si="2"/>
        <v>66731.25</v>
      </c>
      <c r="J35" s="801"/>
      <c r="K35" s="801">
        <f t="shared" si="0"/>
        <v>1106731.25</v>
      </c>
      <c r="L35" s="801"/>
      <c r="M35" s="801">
        <f>K34+K35</f>
        <v>1173462.5</v>
      </c>
      <c r="N35" s="1337"/>
      <c r="O35" s="1354"/>
      <c r="P35" s="1337"/>
      <c r="Q35" s="1347"/>
      <c r="R35" s="1364"/>
      <c r="S35" s="1337"/>
      <c r="T35" s="1337"/>
      <c r="U35" s="1337"/>
      <c r="V35" s="1337"/>
      <c r="W35" s="1352"/>
      <c r="X35" s="1349"/>
      <c r="Y35" s="1349"/>
      <c r="Z35" s="1349"/>
      <c r="AA35" s="1201"/>
      <c r="AB35" s="1349"/>
      <c r="AC35" s="1201"/>
      <c r="AD35" s="1366"/>
      <c r="AE35" s="1201"/>
      <c r="AF35" s="1349"/>
      <c r="AG35" s="1201"/>
      <c r="AH35" s="1350"/>
      <c r="AI35" s="1201"/>
      <c r="AJ35" s="1351"/>
      <c r="AK35" s="1366"/>
      <c r="AL35" s="1201"/>
      <c r="AM35" s="1201"/>
      <c r="AO35" s="829">
        <v>599737.5</v>
      </c>
    </row>
    <row r="36" spans="1:41" x14ac:dyDescent="0.25">
      <c r="A36" s="822">
        <f t="shared" si="1"/>
        <v>47665</v>
      </c>
      <c r="C36" s="810"/>
      <c r="E36" s="961"/>
      <c r="F36" s="810"/>
      <c r="G36" s="823"/>
      <c r="I36" s="801">
        <f t="shared" si="2"/>
        <v>59971.25</v>
      </c>
      <c r="J36" s="801"/>
      <c r="K36" s="801">
        <f t="shared" si="0"/>
        <v>59971.25</v>
      </c>
      <c r="L36" s="801"/>
      <c r="M36" s="801"/>
      <c r="N36" s="1337"/>
      <c r="O36" s="1337"/>
      <c r="P36" s="1337"/>
      <c r="Q36" s="1347"/>
      <c r="R36" s="1364"/>
      <c r="S36" s="1337"/>
      <c r="T36" s="1337"/>
      <c r="U36" s="1337"/>
      <c r="V36" s="1337"/>
      <c r="W36" s="1352"/>
      <c r="X36" s="1349"/>
      <c r="Y36" s="1349"/>
      <c r="Z36" s="1349"/>
      <c r="AA36" s="1201"/>
      <c r="AB36" s="1349"/>
      <c r="AC36" s="1201"/>
      <c r="AD36" s="1366"/>
      <c r="AE36" s="1201"/>
      <c r="AF36" s="1349"/>
      <c r="AG36" s="1201"/>
      <c r="AH36" s="1350"/>
      <c r="AI36" s="1201"/>
      <c r="AJ36" s="1351"/>
      <c r="AK36" s="1366"/>
      <c r="AL36" s="1201"/>
      <c r="AM36" s="1201"/>
      <c r="AO36" s="829">
        <v>580127.5</v>
      </c>
    </row>
    <row r="37" spans="1:41" x14ac:dyDescent="0.25">
      <c r="A37" s="822">
        <f t="shared" si="1"/>
        <v>47849</v>
      </c>
      <c r="C37" s="810">
        <f>C35-E35</f>
        <v>7500</v>
      </c>
      <c r="E37" s="961">
        <v>1105</v>
      </c>
      <c r="F37" s="810"/>
      <c r="G37" s="823">
        <v>1.4</v>
      </c>
      <c r="I37" s="801">
        <f t="shared" si="2"/>
        <v>59971.25</v>
      </c>
      <c r="J37" s="801"/>
      <c r="K37" s="801">
        <f t="shared" si="0"/>
        <v>1164971.25</v>
      </c>
      <c r="L37" s="801"/>
      <c r="M37" s="801">
        <f>K36+K37</f>
        <v>1224942.5</v>
      </c>
      <c r="N37" s="1337"/>
      <c r="O37" s="1354"/>
      <c r="P37" s="1337"/>
      <c r="Q37" s="1347"/>
      <c r="R37" s="1364"/>
      <c r="S37" s="1337"/>
      <c r="T37" s="1337"/>
      <c r="U37" s="1337"/>
      <c r="V37" s="1337"/>
      <c r="W37" s="1352"/>
      <c r="X37" s="1349"/>
      <c r="Y37" s="1349"/>
      <c r="Z37" s="1349"/>
      <c r="AA37" s="1201"/>
      <c r="AB37" s="1349"/>
      <c r="AC37" s="1201"/>
      <c r="AD37" s="1366"/>
      <c r="AE37" s="1201"/>
      <c r="AF37" s="1349"/>
      <c r="AG37" s="1201"/>
      <c r="AH37" s="1350"/>
      <c r="AI37" s="1201"/>
      <c r="AJ37" s="1351"/>
      <c r="AK37" s="1366"/>
      <c r="AL37" s="1201"/>
      <c r="AM37" s="1201"/>
      <c r="AO37" s="829">
        <v>580127.5</v>
      </c>
    </row>
    <row r="38" spans="1:41" x14ac:dyDescent="0.25">
      <c r="A38" s="822">
        <f t="shared" si="1"/>
        <v>48030</v>
      </c>
      <c r="C38" s="810"/>
      <c r="E38" s="961"/>
      <c r="F38" s="810"/>
      <c r="G38" s="823"/>
      <c r="I38" s="801">
        <f t="shared" si="2"/>
        <v>52236.25</v>
      </c>
      <c r="J38" s="801"/>
      <c r="K38" s="801">
        <f t="shared" si="0"/>
        <v>52236.25</v>
      </c>
      <c r="L38" s="801"/>
      <c r="M38" s="801"/>
      <c r="N38" s="1337"/>
      <c r="O38" s="1337"/>
      <c r="P38" s="1337"/>
      <c r="Q38" s="1347"/>
      <c r="R38" s="1364"/>
      <c r="S38" s="1337"/>
      <c r="T38" s="1337"/>
      <c r="U38" s="1337"/>
      <c r="V38" s="1337"/>
      <c r="W38" s="1352"/>
      <c r="X38" s="1349"/>
      <c r="Y38" s="1349"/>
      <c r="Z38" s="1349"/>
      <c r="AA38" s="1201"/>
      <c r="AB38" s="1349"/>
      <c r="AC38" s="1201"/>
      <c r="AD38" s="1366"/>
      <c r="AE38" s="1201"/>
      <c r="AF38" s="1349"/>
      <c r="AG38" s="1201"/>
      <c r="AH38" s="1350"/>
      <c r="AI38" s="1201"/>
      <c r="AJ38" s="1351"/>
      <c r="AK38" s="1366"/>
      <c r="AL38" s="1201"/>
      <c r="AM38" s="1201"/>
      <c r="AO38" s="829">
        <v>559296.25</v>
      </c>
    </row>
    <row r="39" spans="1:41" x14ac:dyDescent="0.25">
      <c r="A39" s="822">
        <f t="shared" si="1"/>
        <v>48214</v>
      </c>
      <c r="C39" s="810">
        <f>C37-E37</f>
        <v>6395</v>
      </c>
      <c r="E39" s="961">
        <v>1235</v>
      </c>
      <c r="F39" s="810"/>
      <c r="G39" s="823">
        <v>1.5</v>
      </c>
      <c r="I39" s="801">
        <f t="shared" si="2"/>
        <v>52236.25</v>
      </c>
      <c r="J39" s="801"/>
      <c r="K39" s="801">
        <f t="shared" si="0"/>
        <v>1287236.25</v>
      </c>
      <c r="L39" s="801"/>
      <c r="M39" s="801">
        <f>K38+K39</f>
        <v>1339472.5</v>
      </c>
      <c r="N39" s="1337"/>
      <c r="O39" s="1354"/>
      <c r="P39" s="1337"/>
      <c r="Q39" s="1347"/>
      <c r="R39" s="1364"/>
      <c r="S39" s="1337"/>
      <c r="T39" s="1337"/>
      <c r="U39" s="1337"/>
      <c r="V39" s="1337"/>
      <c r="W39" s="1352"/>
      <c r="X39" s="1349"/>
      <c r="Y39" s="1349"/>
      <c r="Z39" s="1349"/>
      <c r="AA39" s="1201"/>
      <c r="AB39" s="1349"/>
      <c r="AC39" s="1201"/>
      <c r="AD39" s="1366"/>
      <c r="AE39" s="1201"/>
      <c r="AF39" s="1349"/>
      <c r="AG39" s="1201"/>
      <c r="AH39" s="1350"/>
      <c r="AI39" s="1201"/>
      <c r="AJ39" s="1351"/>
      <c r="AK39" s="1366"/>
      <c r="AL39" s="1201"/>
      <c r="AM39" s="1201"/>
      <c r="AO39" s="829">
        <v>559296.25</v>
      </c>
    </row>
    <row r="40" spans="1:41" x14ac:dyDescent="0.25">
      <c r="A40" s="822">
        <f t="shared" si="1"/>
        <v>48396</v>
      </c>
      <c r="C40" s="810"/>
      <c r="E40" s="961"/>
      <c r="F40" s="810"/>
      <c r="G40" s="823"/>
      <c r="I40" s="801">
        <f t="shared" si="2"/>
        <v>42973.75</v>
      </c>
      <c r="J40" s="801"/>
      <c r="K40" s="801">
        <f t="shared" si="0"/>
        <v>42973.75</v>
      </c>
      <c r="L40" s="801"/>
      <c r="M40" s="801"/>
      <c r="N40" s="1337"/>
      <c r="O40" s="1337"/>
      <c r="P40" s="1337"/>
      <c r="Q40" s="1347"/>
      <c r="R40" s="1364"/>
      <c r="S40" s="1337"/>
      <c r="T40" s="1337"/>
      <c r="U40" s="1337"/>
      <c r="V40" s="1337"/>
      <c r="W40" s="1352"/>
      <c r="X40" s="1349"/>
      <c r="Y40" s="1349"/>
      <c r="Z40" s="1349"/>
      <c r="AA40" s="1201"/>
      <c r="AB40" s="1349"/>
      <c r="AC40" s="1201"/>
      <c r="AD40" s="1366"/>
      <c r="AE40" s="1201"/>
      <c r="AF40" s="1349"/>
      <c r="AG40" s="1201"/>
      <c r="AH40" s="1350"/>
      <c r="AI40" s="1201"/>
      <c r="AJ40" s="1351"/>
      <c r="AK40" s="1366"/>
      <c r="AL40" s="1201"/>
      <c r="AM40" s="1201"/>
      <c r="AO40" s="829">
        <v>536676.25</v>
      </c>
    </row>
    <row r="41" spans="1:41" x14ac:dyDescent="0.25">
      <c r="A41" s="822">
        <f t="shared" si="1"/>
        <v>48580</v>
      </c>
      <c r="C41" s="810">
        <f>C39-E39</f>
        <v>5160</v>
      </c>
      <c r="E41" s="961">
        <v>1255</v>
      </c>
      <c r="F41" s="830"/>
      <c r="G41" s="823">
        <v>1.55</v>
      </c>
      <c r="I41" s="801">
        <f t="shared" si="2"/>
        <v>42973.75</v>
      </c>
      <c r="J41" s="801"/>
      <c r="K41" s="801">
        <f t="shared" si="0"/>
        <v>1297973.75</v>
      </c>
      <c r="L41" s="801"/>
      <c r="M41" s="801">
        <f>K40+K41</f>
        <v>1340947.5</v>
      </c>
      <c r="N41" s="1337"/>
      <c r="O41" s="1354"/>
      <c r="P41" s="1337"/>
      <c r="Q41" s="1347"/>
      <c r="R41" s="1364"/>
      <c r="S41" s="1337"/>
      <c r="T41" s="1337"/>
      <c r="U41" s="1337"/>
      <c r="V41" s="1337"/>
      <c r="W41" s="1352"/>
      <c r="X41" s="1349"/>
      <c r="Y41" s="1349"/>
      <c r="Z41" s="1349"/>
      <c r="AA41" s="1201"/>
      <c r="AB41" s="1349"/>
      <c r="AC41" s="1201"/>
      <c r="AD41" s="1366"/>
      <c r="AE41" s="1201"/>
      <c r="AF41" s="1349"/>
      <c r="AG41" s="1201"/>
      <c r="AH41" s="1350"/>
      <c r="AI41" s="1201"/>
      <c r="AJ41" s="1351"/>
      <c r="AK41" s="1366"/>
      <c r="AL41" s="1201"/>
      <c r="AM41" s="1201"/>
      <c r="AO41" s="829">
        <v>536676.25</v>
      </c>
    </row>
    <row r="42" spans="1:41" x14ac:dyDescent="0.25">
      <c r="A42" s="822">
        <f t="shared" si="1"/>
        <v>48761</v>
      </c>
      <c r="C42" s="810"/>
      <c r="E42" s="961"/>
      <c r="F42" s="810"/>
      <c r="G42" s="823"/>
      <c r="I42" s="801">
        <f t="shared" si="2"/>
        <v>33247.5</v>
      </c>
      <c r="J42" s="801"/>
      <c r="K42" s="801">
        <f t="shared" si="0"/>
        <v>33247.5</v>
      </c>
      <c r="L42" s="801"/>
      <c r="M42" s="801"/>
      <c r="N42" s="1337"/>
      <c r="O42" s="1337"/>
      <c r="P42" s="1337"/>
      <c r="Q42" s="1347"/>
      <c r="R42" s="1364"/>
      <c r="S42" s="1337"/>
      <c r="T42" s="1337"/>
      <c r="U42" s="1337"/>
      <c r="V42" s="1337"/>
      <c r="W42" s="1352"/>
      <c r="X42" s="1349"/>
      <c r="Y42" s="1349"/>
      <c r="Z42" s="1349"/>
      <c r="AA42" s="1201"/>
      <c r="AB42" s="1349"/>
      <c r="AC42" s="1201"/>
      <c r="AD42" s="1366"/>
      <c r="AE42" s="1201"/>
      <c r="AF42" s="1349"/>
      <c r="AG42" s="1201"/>
      <c r="AH42" s="1350"/>
      <c r="AI42" s="1201"/>
      <c r="AJ42" s="1351"/>
      <c r="AK42" s="1366"/>
      <c r="AL42" s="1201"/>
      <c r="AM42" s="1201"/>
      <c r="AO42" s="829">
        <v>512601.25</v>
      </c>
    </row>
    <row r="43" spans="1:41" x14ac:dyDescent="0.25">
      <c r="A43" s="822">
        <f t="shared" si="1"/>
        <v>48945</v>
      </c>
      <c r="C43" s="810">
        <f>C41-E41</f>
        <v>3905</v>
      </c>
      <c r="E43" s="961">
        <v>1255</v>
      </c>
      <c r="F43" s="830"/>
      <c r="G43" s="823">
        <v>1.65</v>
      </c>
      <c r="I43" s="801">
        <f t="shared" si="2"/>
        <v>33247.5</v>
      </c>
      <c r="J43" s="801"/>
      <c r="K43" s="801">
        <f t="shared" si="0"/>
        <v>1288247.5</v>
      </c>
      <c r="L43" s="801"/>
      <c r="M43" s="801">
        <f>K42+K43</f>
        <v>1321495</v>
      </c>
      <c r="N43" s="1337"/>
      <c r="O43" s="1354"/>
      <c r="P43" s="1337"/>
      <c r="Q43" s="1347"/>
      <c r="R43" s="1364"/>
      <c r="S43" s="1337"/>
      <c r="T43" s="1337"/>
      <c r="U43" s="1337"/>
      <c r="V43" s="1337"/>
      <c r="W43" s="1352"/>
      <c r="X43" s="1349"/>
      <c r="Y43" s="1349"/>
      <c r="Z43" s="1349"/>
      <c r="AA43" s="1201"/>
      <c r="AB43" s="1349"/>
      <c r="AC43" s="1201"/>
      <c r="AD43" s="1366"/>
      <c r="AE43" s="1201"/>
      <c r="AF43" s="1349"/>
      <c r="AG43" s="1201"/>
      <c r="AH43" s="1350"/>
      <c r="AI43" s="1201"/>
      <c r="AJ43" s="1351"/>
      <c r="AK43" s="1366"/>
      <c r="AL43" s="1201"/>
      <c r="AM43" s="1201"/>
      <c r="AO43" s="829">
        <v>512601.25</v>
      </c>
    </row>
    <row r="44" spans="1:41" x14ac:dyDescent="0.25">
      <c r="A44" s="822">
        <f t="shared" si="1"/>
        <v>49126</v>
      </c>
      <c r="C44" s="810"/>
      <c r="E44" s="961"/>
      <c r="F44" s="810"/>
      <c r="G44" s="823"/>
      <c r="I44" s="801">
        <f t="shared" si="2"/>
        <v>22893.75</v>
      </c>
      <c r="J44" s="801"/>
      <c r="K44" s="801">
        <f t="shared" si="0"/>
        <v>22893.75</v>
      </c>
      <c r="L44" s="801"/>
      <c r="M44" s="801"/>
      <c r="N44" s="1337"/>
      <c r="O44" s="1337"/>
      <c r="P44" s="1337"/>
      <c r="Q44" s="1347"/>
      <c r="R44" s="1364"/>
      <c r="S44" s="1337"/>
      <c r="T44" s="1337"/>
      <c r="U44" s="1337"/>
      <c r="V44" s="1337"/>
      <c r="W44" s="1352"/>
      <c r="X44" s="1349"/>
      <c r="Y44" s="1349"/>
      <c r="Z44" s="1349"/>
      <c r="AA44" s="1201"/>
      <c r="AB44" s="1349"/>
      <c r="AC44" s="1201"/>
      <c r="AD44" s="1366"/>
      <c r="AE44" s="1201"/>
      <c r="AF44" s="1349"/>
      <c r="AG44" s="1201"/>
      <c r="AH44" s="1350"/>
      <c r="AI44" s="1201"/>
      <c r="AJ44" s="1351"/>
      <c r="AK44" s="1366"/>
      <c r="AL44" s="1201"/>
      <c r="AM44" s="1201"/>
      <c r="AO44" s="829">
        <v>487026.25</v>
      </c>
    </row>
    <row r="45" spans="1:41" x14ac:dyDescent="0.25">
      <c r="A45" s="822">
        <f>EDATE(A44,6)</f>
        <v>49310</v>
      </c>
      <c r="C45" s="810">
        <f>C43-E43</f>
        <v>2650</v>
      </c>
      <c r="E45" s="961">
        <v>1275</v>
      </c>
      <c r="F45" s="810"/>
      <c r="G45" s="823">
        <v>1.65</v>
      </c>
      <c r="I45" s="801">
        <f t="shared" si="2"/>
        <v>22893.75</v>
      </c>
      <c r="J45" s="801"/>
      <c r="K45" s="801">
        <f>E45*1000+I45</f>
        <v>1297893.75</v>
      </c>
      <c r="L45" s="801"/>
      <c r="M45" s="801">
        <f>K44+K45</f>
        <v>1320787.5</v>
      </c>
      <c r="N45" s="1337"/>
      <c r="O45" s="1354"/>
      <c r="P45" s="1337"/>
      <c r="Q45" s="1347"/>
      <c r="R45" s="1347"/>
      <c r="S45" s="1337"/>
      <c r="T45" s="1337"/>
      <c r="U45" s="1337"/>
      <c r="V45" s="1337"/>
      <c r="W45" s="1352"/>
      <c r="X45" s="1349"/>
      <c r="Y45" s="1349"/>
      <c r="Z45" s="1349"/>
      <c r="AA45" s="1201"/>
      <c r="AB45" s="1349"/>
      <c r="AC45" s="1201"/>
      <c r="AD45" s="1366"/>
      <c r="AE45" s="1201"/>
      <c r="AF45" s="1349"/>
      <c r="AG45" s="1201"/>
      <c r="AH45" s="1350"/>
      <c r="AI45" s="1201"/>
      <c r="AJ45" s="1351"/>
      <c r="AK45" s="1366"/>
      <c r="AL45" s="1201"/>
      <c r="AM45" s="1201"/>
      <c r="AO45" s="829">
        <v>487026.25</v>
      </c>
    </row>
    <row r="46" spans="1:41" x14ac:dyDescent="0.25">
      <c r="A46" s="822">
        <f t="shared" si="1"/>
        <v>49491</v>
      </c>
      <c r="C46" s="810"/>
      <c r="E46" s="961"/>
      <c r="F46" s="810"/>
      <c r="G46" s="823"/>
      <c r="I46" s="801">
        <f t="shared" si="2"/>
        <v>12375</v>
      </c>
      <c r="J46" s="801"/>
      <c r="K46" s="801">
        <f t="shared" ref="K46:K47" si="3">E46*1000+I46</f>
        <v>12375</v>
      </c>
      <c r="L46" s="801"/>
      <c r="M46" s="801"/>
      <c r="N46" s="1337"/>
      <c r="O46" s="1337"/>
      <c r="P46" s="1337"/>
      <c r="Q46" s="1347"/>
      <c r="R46" s="1347"/>
      <c r="S46" s="1337"/>
      <c r="T46" s="1337"/>
      <c r="U46" s="1337"/>
      <c r="V46" s="1337"/>
      <c r="W46" s="1352"/>
      <c r="X46" s="1349"/>
      <c r="Y46" s="1349"/>
      <c r="Z46" s="1349"/>
      <c r="AA46" s="1201"/>
      <c r="AB46" s="1349"/>
      <c r="AC46" s="1201"/>
      <c r="AD46" s="1366"/>
      <c r="AE46" s="1201"/>
      <c r="AF46" s="1349"/>
      <c r="AG46" s="1201"/>
      <c r="AH46" s="1350"/>
      <c r="AI46" s="1201"/>
      <c r="AJ46" s="1351"/>
      <c r="AK46" s="1366"/>
      <c r="AL46" s="1201"/>
      <c r="AM46" s="1201"/>
      <c r="AO46" s="829">
        <v>459320</v>
      </c>
    </row>
    <row r="47" spans="1:41" x14ac:dyDescent="0.25">
      <c r="A47" s="822">
        <f t="shared" si="1"/>
        <v>49675</v>
      </c>
      <c r="C47" s="810">
        <f t="shared" ref="C47" si="4">C45-E45</f>
        <v>1375</v>
      </c>
      <c r="E47" s="961">
        <v>1375</v>
      </c>
      <c r="G47" s="823">
        <v>1.8</v>
      </c>
      <c r="I47" s="801">
        <f t="shared" si="2"/>
        <v>12375</v>
      </c>
      <c r="K47" s="801">
        <f t="shared" si="3"/>
        <v>1387375</v>
      </c>
      <c r="M47" s="801">
        <f>K46+K47</f>
        <v>1399750</v>
      </c>
      <c r="N47" s="1337"/>
      <c r="O47" s="1354"/>
      <c r="P47" s="1337"/>
      <c r="Q47" s="1347"/>
      <c r="R47" s="1347"/>
      <c r="S47" s="1337"/>
      <c r="T47" s="1337"/>
      <c r="U47" s="1337"/>
      <c r="V47" s="1337"/>
      <c r="W47" s="1352"/>
      <c r="X47" s="1349"/>
      <c r="Y47" s="1349"/>
      <c r="Z47" s="1349"/>
      <c r="AA47" s="1201"/>
      <c r="AB47" s="1349"/>
      <c r="AC47" s="1201"/>
      <c r="AD47" s="1366"/>
      <c r="AE47" s="1201"/>
      <c r="AF47" s="1349"/>
      <c r="AG47" s="1201"/>
      <c r="AH47" s="1350"/>
      <c r="AI47" s="1201"/>
      <c r="AJ47" s="1351"/>
      <c r="AK47" s="1366"/>
      <c r="AL47" s="1201"/>
      <c r="AM47" s="1201"/>
      <c r="AO47" s="829">
        <v>459320</v>
      </c>
    </row>
    <row r="48" spans="1:41" x14ac:dyDescent="0.25">
      <c r="A48" s="831"/>
      <c r="E48" s="832"/>
      <c r="F48" s="810"/>
      <c r="G48" s="833"/>
      <c r="I48" s="834"/>
      <c r="J48" s="801"/>
      <c r="K48" s="834"/>
      <c r="L48" s="801"/>
      <c r="M48" s="834"/>
      <c r="N48" s="1337"/>
      <c r="O48" s="1337"/>
      <c r="P48" s="1337"/>
      <c r="Q48" s="1347"/>
      <c r="R48" s="1347"/>
      <c r="S48" s="1337"/>
      <c r="T48" s="1337"/>
      <c r="U48" s="1337"/>
      <c r="V48" s="1337"/>
      <c r="W48" s="1352"/>
      <c r="X48" s="1349"/>
      <c r="Y48" s="1349"/>
      <c r="Z48" s="1349"/>
      <c r="AA48" s="1201"/>
      <c r="AB48" s="1349"/>
      <c r="AC48" s="1201"/>
      <c r="AD48" s="1366"/>
      <c r="AE48" s="1201"/>
      <c r="AF48" s="1349"/>
      <c r="AG48" s="1201"/>
      <c r="AH48" s="1350"/>
      <c r="AI48" s="1201"/>
      <c r="AJ48" s="1351"/>
      <c r="AK48" s="1366"/>
      <c r="AL48" s="1201"/>
      <c r="AM48" s="1201"/>
      <c r="AO48" s="829">
        <v>429840</v>
      </c>
    </row>
    <row r="49" spans="1:41" ht="16.5" thickBot="1" x14ac:dyDescent="0.3">
      <c r="A49" s="835" t="s">
        <v>27</v>
      </c>
      <c r="E49" s="836">
        <f>SUM(E19:E48)</f>
        <v>24650</v>
      </c>
      <c r="F49" s="815"/>
      <c r="I49" s="837">
        <f>SUM(I18:I48)</f>
        <v>2028349.75</v>
      </c>
      <c r="J49" s="824"/>
      <c r="K49" s="837">
        <f>SUM(K18:K48)</f>
        <v>26678349.75</v>
      </c>
      <c r="L49" s="824"/>
      <c r="M49" s="837">
        <f>SUM(M18:M48)</f>
        <v>26678349.75</v>
      </c>
      <c r="N49" s="1337"/>
      <c r="O49" s="1337"/>
      <c r="P49" s="1337"/>
      <c r="Q49" s="1337"/>
      <c r="R49" s="1337"/>
      <c r="S49" s="1337"/>
      <c r="T49" s="1337"/>
      <c r="U49" s="1337"/>
      <c r="V49" s="1337"/>
      <c r="W49" s="1352"/>
      <c r="X49" s="1349"/>
      <c r="Y49" s="1349"/>
      <c r="Z49" s="1349"/>
      <c r="AA49" s="1201"/>
      <c r="AB49" s="1349"/>
      <c r="AC49" s="1201"/>
      <c r="AD49" s="1366"/>
      <c r="AE49" s="1201"/>
      <c r="AF49" s="1349"/>
      <c r="AG49" s="1201"/>
      <c r="AH49" s="1350"/>
      <c r="AI49" s="1201"/>
      <c r="AJ49" s="1351"/>
      <c r="AK49" s="1366"/>
      <c r="AL49" s="1201"/>
      <c r="AM49" s="1201"/>
      <c r="AO49" s="829">
        <v>429840</v>
      </c>
    </row>
    <row r="50" spans="1:41" ht="16.5" thickTop="1" x14ac:dyDescent="0.25">
      <c r="A50" s="835"/>
      <c r="E50" s="815"/>
      <c r="F50" s="815"/>
      <c r="I50" s="824"/>
      <c r="J50" s="824"/>
      <c r="K50" s="824"/>
      <c r="L50" s="824"/>
      <c r="M50" s="824"/>
      <c r="N50" s="1347"/>
      <c r="O50" s="1347"/>
      <c r="P50" s="1337"/>
      <c r="Q50" s="1335"/>
      <c r="R50" s="1335"/>
      <c r="S50" s="1337"/>
      <c r="T50" s="1337"/>
      <c r="U50" s="1337"/>
      <c r="V50" s="1338"/>
      <c r="W50" s="1352"/>
      <c r="X50" s="1349"/>
      <c r="Y50" s="1349"/>
      <c r="Z50" s="1349"/>
      <c r="AA50" s="1201"/>
      <c r="AB50" s="1349"/>
      <c r="AC50" s="1201"/>
      <c r="AD50" s="1366"/>
      <c r="AE50" s="1201"/>
      <c r="AF50" s="1349"/>
      <c r="AG50" s="1201"/>
      <c r="AH50" s="1350"/>
      <c r="AI50" s="1201"/>
      <c r="AJ50" s="1351"/>
      <c r="AK50" s="1366"/>
      <c r="AL50" s="1201"/>
      <c r="AM50" s="1201"/>
      <c r="AO50" s="829">
        <v>397990</v>
      </c>
    </row>
    <row r="51" spans="1:41" x14ac:dyDescent="0.25">
      <c r="A51" s="799" t="s">
        <v>985</v>
      </c>
      <c r="C51" s="810"/>
      <c r="I51" s="801"/>
      <c r="J51" s="801"/>
      <c r="K51" s="801"/>
      <c r="L51" s="801"/>
      <c r="M51" s="824"/>
      <c r="N51" s="1347"/>
      <c r="O51" s="1347"/>
      <c r="P51" s="1337"/>
      <c r="Q51" s="1335"/>
      <c r="R51" s="1335"/>
      <c r="S51" s="1337"/>
      <c r="T51" s="1337"/>
      <c r="U51" s="1337"/>
      <c r="V51" s="1357"/>
      <c r="W51" s="1352"/>
      <c r="X51" s="1349"/>
      <c r="Y51" s="1349"/>
      <c r="Z51" s="1349"/>
      <c r="AA51" s="1201"/>
      <c r="AB51" s="1349"/>
      <c r="AC51" s="1201"/>
      <c r="AD51" s="1366"/>
      <c r="AE51" s="1201"/>
      <c r="AF51" s="1349"/>
      <c r="AG51" s="1201"/>
      <c r="AH51" s="1350"/>
      <c r="AI51" s="1201"/>
      <c r="AJ51" s="1351"/>
      <c r="AK51" s="1366"/>
      <c r="AL51" s="1201"/>
      <c r="AM51" s="1201"/>
      <c r="AO51" s="829">
        <v>397990</v>
      </c>
    </row>
    <row r="52" spans="1:41" x14ac:dyDescent="0.25">
      <c r="A52" s="835"/>
      <c r="C52" s="810"/>
      <c r="I52" s="801"/>
      <c r="J52" s="801"/>
      <c r="K52" s="801"/>
      <c r="L52" s="801"/>
      <c r="M52" s="824"/>
      <c r="N52" s="1347"/>
      <c r="O52" s="1347"/>
      <c r="P52" s="1337"/>
      <c r="Q52" s="1335"/>
      <c r="R52" s="1335"/>
      <c r="S52" s="1337"/>
      <c r="T52" s="1337"/>
      <c r="U52" s="1337"/>
      <c r="V52" s="1357"/>
      <c r="W52" s="1352"/>
      <c r="X52" s="1349"/>
      <c r="Y52" s="1349"/>
      <c r="Z52" s="1349"/>
      <c r="AA52" s="1201"/>
      <c r="AB52" s="1349"/>
      <c r="AC52" s="1201"/>
      <c r="AD52" s="1366"/>
      <c r="AE52" s="1201"/>
      <c r="AF52" s="1349"/>
      <c r="AG52" s="1201"/>
      <c r="AH52" s="1350"/>
      <c r="AI52" s="1201"/>
      <c r="AJ52" s="1351"/>
      <c r="AK52" s="1366"/>
      <c r="AL52" s="1201"/>
      <c r="AM52" s="1201"/>
      <c r="AO52" s="829"/>
    </row>
    <row r="53" spans="1:41" x14ac:dyDescent="0.25">
      <c r="A53" s="1486"/>
      <c r="B53" s="1486"/>
      <c r="C53" s="1486"/>
      <c r="D53" s="1486"/>
      <c r="E53" s="1486"/>
      <c r="F53" s="1486"/>
      <c r="G53" s="1486"/>
      <c r="H53" s="1486"/>
      <c r="I53" s="1486"/>
      <c r="J53" s="1486"/>
      <c r="K53" s="1486"/>
      <c r="L53" s="1486"/>
      <c r="M53" s="1486"/>
      <c r="N53" s="1347"/>
      <c r="O53" s="1337"/>
      <c r="P53" s="1337"/>
      <c r="Q53" s="1335"/>
      <c r="R53" s="1347"/>
      <c r="S53" s="1337"/>
      <c r="T53" s="1337"/>
      <c r="U53" s="1337"/>
      <c r="V53" s="1357"/>
      <c r="W53" s="1352"/>
      <c r="X53" s="1349"/>
      <c r="Y53" s="1349"/>
      <c r="Z53" s="1349"/>
      <c r="AA53" s="1201"/>
      <c r="AB53" s="1349"/>
      <c r="AC53" s="1201"/>
      <c r="AD53" s="1201"/>
      <c r="AE53" s="1201"/>
      <c r="AF53" s="1349"/>
      <c r="AG53" s="1201"/>
      <c r="AH53" s="1350"/>
      <c r="AI53" s="1201"/>
      <c r="AJ53" s="1351"/>
      <c r="AK53" s="1366"/>
      <c r="AL53" s="1201"/>
      <c r="AM53" s="1201"/>
      <c r="AO53" s="829"/>
    </row>
    <row r="54" spans="1:41" x14ac:dyDescent="0.25">
      <c r="A54" s="1486"/>
      <c r="B54" s="1486"/>
      <c r="C54" s="1486"/>
      <c r="D54" s="1486"/>
      <c r="E54" s="1486"/>
      <c r="F54" s="1486"/>
      <c r="G54" s="1486"/>
      <c r="H54" s="1486"/>
      <c r="I54" s="1486"/>
      <c r="J54" s="1486"/>
      <c r="K54" s="1486"/>
      <c r="L54" s="1486"/>
      <c r="M54" s="1486"/>
      <c r="N54" s="1337"/>
      <c r="O54" s="1337"/>
      <c r="P54" s="1337"/>
      <c r="Q54" s="1335"/>
      <c r="R54" s="1347"/>
      <c r="S54" s="1337"/>
      <c r="T54" s="1337"/>
      <c r="U54" s="1337"/>
      <c r="V54" s="1354"/>
      <c r="W54" s="1352"/>
      <c r="X54" s="1349"/>
      <c r="Y54" s="1349"/>
      <c r="Z54" s="1349"/>
      <c r="AA54" s="1201"/>
      <c r="AB54" s="1349"/>
      <c r="AC54" s="1201"/>
      <c r="AD54" s="1201"/>
      <c r="AE54" s="1201"/>
      <c r="AF54" s="1349"/>
      <c r="AG54" s="1201"/>
      <c r="AH54" s="1350"/>
      <c r="AI54" s="1201"/>
      <c r="AJ54" s="1351"/>
      <c r="AK54" s="1366"/>
      <c r="AL54" s="1201"/>
      <c r="AM54" s="1201"/>
      <c r="AO54" s="829">
        <v>364150</v>
      </c>
    </row>
    <row r="55" spans="1:41" x14ac:dyDescent="0.25">
      <c r="A55" s="1486" t="str">
        <f>INFO!A26</f>
        <v>(See Accountants' Report)</v>
      </c>
      <c r="B55" s="1486"/>
      <c r="C55" s="1486"/>
      <c r="D55" s="1486"/>
      <c r="E55" s="1486"/>
      <c r="F55" s="1486"/>
      <c r="G55" s="1486"/>
      <c r="H55" s="1486"/>
      <c r="I55" s="1486"/>
      <c r="J55" s="1486"/>
      <c r="K55" s="1486"/>
      <c r="L55" s="1486"/>
      <c r="M55" s="1486"/>
      <c r="N55" s="1337"/>
      <c r="O55" s="1337"/>
      <c r="P55" s="1337"/>
      <c r="Q55" s="1347"/>
      <c r="R55" s="1347"/>
      <c r="S55" s="1337"/>
      <c r="T55" s="1337"/>
      <c r="U55" s="1337"/>
      <c r="V55" s="1354"/>
      <c r="W55" s="1337"/>
      <c r="X55" s="1201"/>
      <c r="Y55" s="1201"/>
      <c r="Z55" s="1200"/>
      <c r="AA55" s="1201"/>
      <c r="AB55" s="1201"/>
      <c r="AC55" s="1201"/>
      <c r="AD55" s="1201"/>
      <c r="AE55" s="1201"/>
      <c r="AF55" s="1201"/>
      <c r="AG55" s="1201"/>
      <c r="AH55" s="1201"/>
      <c r="AI55" s="1201"/>
      <c r="AJ55" s="1351"/>
      <c r="AK55" s="1201"/>
      <c r="AL55" s="1201"/>
      <c r="AM55" s="1201"/>
      <c r="AO55" s="829">
        <v>364150</v>
      </c>
    </row>
    <row r="56" spans="1:41" x14ac:dyDescent="0.25">
      <c r="A56" s="1114"/>
      <c r="B56" s="1114"/>
      <c r="C56" s="1114"/>
      <c r="D56" s="1114"/>
      <c r="E56" s="1114"/>
      <c r="F56" s="1114"/>
      <c r="G56" s="1114"/>
      <c r="H56" s="1114"/>
      <c r="I56" s="1114"/>
      <c r="J56" s="1114"/>
      <c r="K56" s="1114"/>
      <c r="L56" s="1114"/>
      <c r="M56" s="1114"/>
      <c r="N56" s="1337"/>
      <c r="O56" s="1337"/>
      <c r="P56" s="1337"/>
      <c r="Q56" s="1347"/>
      <c r="R56" s="1347"/>
      <c r="S56" s="1337"/>
      <c r="T56" s="1337"/>
      <c r="U56" s="1337"/>
      <c r="V56" s="1354"/>
      <c r="W56" s="1337"/>
      <c r="X56" s="1201"/>
      <c r="Y56" s="1201"/>
      <c r="Z56" s="1200"/>
      <c r="AA56" s="1201"/>
      <c r="AB56" s="1201"/>
      <c r="AC56" s="1201"/>
      <c r="AD56" s="1201"/>
      <c r="AE56" s="1201"/>
      <c r="AF56" s="1201"/>
      <c r="AG56" s="1201"/>
      <c r="AH56" s="1201"/>
      <c r="AI56" s="1201"/>
      <c r="AJ56" s="1351"/>
      <c r="AK56" s="1201"/>
      <c r="AL56" s="1201"/>
      <c r="AM56" s="1201"/>
      <c r="AO56" s="829"/>
    </row>
    <row r="57" spans="1:41" x14ac:dyDescent="0.25">
      <c r="A57" s="792">
        <v>47</v>
      </c>
      <c r="B57" s="804"/>
      <c r="C57" s="838"/>
      <c r="D57" s="804"/>
      <c r="E57" s="804"/>
      <c r="F57" s="804"/>
      <c r="G57" s="804"/>
      <c r="H57" s="804"/>
      <c r="I57" s="839"/>
      <c r="J57" s="839"/>
      <c r="K57" s="839"/>
      <c r="L57" s="839"/>
      <c r="M57" s="840"/>
      <c r="N57" s="1337"/>
      <c r="O57" s="1337"/>
      <c r="P57" s="1337"/>
      <c r="Q57" s="1347"/>
      <c r="R57" s="1347"/>
      <c r="S57" s="1337"/>
      <c r="T57" s="1337"/>
      <c r="U57" s="1337"/>
      <c r="V57" s="1354"/>
      <c r="W57" s="1201"/>
      <c r="X57" s="1353"/>
      <c r="Y57" s="1358"/>
      <c r="Z57" s="1353"/>
      <c r="AA57" s="1201"/>
      <c r="AB57" s="1353"/>
      <c r="AC57" s="1201"/>
      <c r="AD57" s="1353"/>
      <c r="AE57" s="1201"/>
      <c r="AF57" s="1353"/>
      <c r="AG57" s="1201"/>
      <c r="AH57" s="1353"/>
      <c r="AI57" s="1201"/>
      <c r="AJ57" s="1351"/>
      <c r="AK57" s="1353"/>
      <c r="AL57" s="1201"/>
      <c r="AM57" s="1201"/>
      <c r="AO57" s="829">
        <v>328075</v>
      </c>
    </row>
    <row r="58" spans="1:41" x14ac:dyDescent="0.25">
      <c r="A58" s="841"/>
      <c r="C58" s="810"/>
      <c r="I58" s="801"/>
      <c r="J58" s="801"/>
      <c r="K58" s="801"/>
      <c r="L58" s="801"/>
      <c r="M58" s="824"/>
      <c r="N58" s="1337"/>
      <c r="O58" s="1337"/>
      <c r="P58" s="1337"/>
      <c r="Q58" s="1347"/>
      <c r="R58" s="1347"/>
      <c r="S58" s="1337"/>
      <c r="T58" s="1337"/>
      <c r="U58" s="1337"/>
      <c r="V58" s="1337"/>
      <c r="W58" s="1201"/>
      <c r="X58" s="1201"/>
      <c r="Y58" s="1201"/>
      <c r="Z58" s="1201"/>
      <c r="AA58" s="1201"/>
      <c r="AB58" s="1201"/>
      <c r="AC58" s="1201"/>
      <c r="AD58" s="1201"/>
      <c r="AE58" s="1201"/>
      <c r="AF58" s="1201"/>
      <c r="AG58" s="1201"/>
      <c r="AH58" s="1201"/>
      <c r="AI58" s="1201"/>
      <c r="AJ58" s="1351"/>
      <c r="AK58" s="1201"/>
      <c r="AL58" s="1201"/>
      <c r="AM58" s="1201"/>
      <c r="AO58" s="829">
        <v>328075</v>
      </c>
    </row>
    <row r="59" spans="1:41" x14ac:dyDescent="0.25">
      <c r="A59" s="962"/>
      <c r="C59" s="810"/>
      <c r="I59" s="801"/>
      <c r="J59" s="801"/>
      <c r="K59" s="801"/>
      <c r="L59" s="801"/>
      <c r="M59" s="824"/>
      <c r="N59" s="1368"/>
      <c r="O59" s="1368"/>
      <c r="P59" s="1368"/>
      <c r="Q59" s="1347"/>
      <c r="R59" s="1347"/>
      <c r="S59" s="1337"/>
      <c r="T59" s="1337"/>
      <c r="U59" s="1337"/>
      <c r="V59" s="1337"/>
      <c r="W59" s="1201"/>
      <c r="X59" s="1201"/>
      <c r="Y59" s="1201"/>
      <c r="Z59" s="1201"/>
      <c r="AA59" s="1201"/>
      <c r="AB59" s="1201"/>
      <c r="AC59" s="1201"/>
      <c r="AD59" s="1201"/>
      <c r="AE59" s="1201"/>
      <c r="AF59" s="1201"/>
      <c r="AG59" s="1201"/>
      <c r="AH59" s="1201"/>
      <c r="AI59" s="1201"/>
      <c r="AJ59" s="1351"/>
      <c r="AK59" s="1201"/>
      <c r="AL59" s="1201"/>
      <c r="AM59" s="1201"/>
      <c r="AO59" s="829">
        <v>289695</v>
      </c>
    </row>
    <row r="60" spans="1:41" x14ac:dyDescent="0.25">
      <c r="N60" s="1201"/>
      <c r="O60" s="1201"/>
      <c r="P60" s="1201"/>
      <c r="Q60" s="1347"/>
      <c r="R60" s="1347"/>
      <c r="S60" s="1337"/>
      <c r="T60" s="1337"/>
      <c r="U60" s="1337"/>
      <c r="V60" s="1354"/>
      <c r="W60" s="1201"/>
      <c r="X60" s="1201"/>
      <c r="Y60" s="1201"/>
      <c r="Z60" s="1201"/>
      <c r="AA60" s="1201"/>
      <c r="AB60" s="1201"/>
      <c r="AC60" s="1201"/>
      <c r="AD60" s="1201"/>
      <c r="AE60" s="1201"/>
      <c r="AF60" s="1201"/>
      <c r="AG60" s="1201"/>
      <c r="AH60" s="1201"/>
      <c r="AI60" s="1201"/>
      <c r="AJ60" s="1201"/>
      <c r="AK60" s="1201"/>
      <c r="AL60" s="1201"/>
      <c r="AM60" s="1201"/>
      <c r="AO60" s="829">
        <v>289695</v>
      </c>
    </row>
    <row r="61" spans="1:41" x14ac:dyDescent="0.25">
      <c r="N61" s="1201"/>
      <c r="O61" s="1201"/>
      <c r="P61" s="1201"/>
      <c r="Q61" s="1347"/>
      <c r="R61" s="1347"/>
      <c r="S61" s="1337"/>
      <c r="T61" s="1337"/>
      <c r="U61" s="1337"/>
      <c r="V61" s="1354"/>
      <c r="W61" s="1201"/>
      <c r="X61" s="1201"/>
      <c r="Y61" s="1201"/>
      <c r="Z61" s="1349"/>
      <c r="AA61" s="1201"/>
      <c r="AB61" s="1201"/>
      <c r="AC61" s="1201"/>
      <c r="AD61" s="1353"/>
      <c r="AE61" s="1201"/>
      <c r="AF61" s="1201"/>
      <c r="AG61" s="1201"/>
      <c r="AH61" s="1201"/>
      <c r="AI61" s="1201"/>
      <c r="AJ61" s="1201"/>
      <c r="AK61" s="1201"/>
      <c r="AL61" s="1201"/>
      <c r="AM61" s="1201"/>
      <c r="AO61" s="829">
        <v>248745</v>
      </c>
    </row>
    <row r="62" spans="1:41" x14ac:dyDescent="0.25">
      <c r="B62" s="962"/>
      <c r="C62" s="962"/>
      <c r="D62" s="962"/>
      <c r="E62" s="962"/>
      <c r="F62" s="962"/>
      <c r="G62" s="962"/>
      <c r="H62" s="962"/>
      <c r="I62" s="962"/>
      <c r="J62" s="962"/>
      <c r="K62" s="962"/>
      <c r="L62" s="962"/>
      <c r="M62" s="962"/>
      <c r="N62" s="1201"/>
      <c r="O62" s="1201"/>
      <c r="P62" s="1201"/>
      <c r="Q62" s="1347"/>
      <c r="R62" s="1347"/>
      <c r="S62" s="1337"/>
      <c r="T62" s="1337"/>
      <c r="U62" s="1337"/>
      <c r="V62" s="1201"/>
      <c r="W62" s="1201"/>
      <c r="X62" s="1337"/>
      <c r="Y62" s="1337"/>
      <c r="Z62" s="1201"/>
      <c r="AA62" s="1201"/>
      <c r="AB62" s="1201"/>
      <c r="AC62" s="1201"/>
      <c r="AD62" s="1201"/>
      <c r="AE62" s="1201"/>
      <c r="AF62" s="1201"/>
      <c r="AG62" s="1201"/>
      <c r="AH62" s="1201"/>
      <c r="AI62" s="1201"/>
      <c r="AJ62" s="1201"/>
      <c r="AK62" s="1201"/>
      <c r="AL62" s="1201"/>
      <c r="AM62" s="1201"/>
      <c r="AO62" s="829">
        <v>248745</v>
      </c>
    </row>
    <row r="63" spans="1:41" ht="20.25" customHeight="1" x14ac:dyDescent="0.25">
      <c r="N63" s="1201"/>
      <c r="O63" s="1201"/>
      <c r="P63" s="1201"/>
      <c r="Q63" s="1347"/>
      <c r="R63" s="1347"/>
      <c r="S63" s="1337"/>
      <c r="T63" s="1337"/>
      <c r="U63" s="1337"/>
      <c r="V63" s="1201"/>
      <c r="W63" s="1201"/>
      <c r="X63" s="1337"/>
      <c r="Y63" s="1337"/>
      <c r="Z63" s="1349"/>
      <c r="AA63" s="1201"/>
      <c r="AB63" s="1201"/>
      <c r="AC63" s="1201"/>
      <c r="AD63" s="1201"/>
      <c r="AE63" s="1201"/>
      <c r="AF63" s="1201"/>
      <c r="AG63" s="1201"/>
      <c r="AH63" s="1201"/>
      <c r="AI63" s="1201"/>
      <c r="AJ63" s="1201"/>
      <c r="AK63" s="1201"/>
      <c r="AL63" s="1201"/>
      <c r="AM63" s="1201"/>
      <c r="AO63" s="829">
        <v>205145</v>
      </c>
    </row>
    <row r="64" spans="1:41" x14ac:dyDescent="0.25">
      <c r="N64" s="1201"/>
      <c r="O64" s="1201"/>
      <c r="P64" s="1201"/>
      <c r="Q64" s="1347"/>
      <c r="R64" s="1347"/>
      <c r="S64" s="1337"/>
      <c r="T64" s="1337"/>
      <c r="U64" s="1337"/>
      <c r="V64" s="1201"/>
      <c r="W64" s="1201"/>
      <c r="X64" s="1337"/>
      <c r="Y64" s="1337"/>
      <c r="Z64" s="1349"/>
      <c r="AA64" s="1201"/>
      <c r="AB64" s="1201"/>
      <c r="AC64" s="1201"/>
      <c r="AD64" s="1201"/>
      <c r="AE64" s="1201"/>
      <c r="AF64" s="1201"/>
      <c r="AG64" s="1201"/>
      <c r="AH64" s="1201"/>
      <c r="AI64" s="1201"/>
      <c r="AJ64" s="1201"/>
      <c r="AK64" s="1201"/>
      <c r="AL64" s="1201"/>
      <c r="AM64" s="1201"/>
      <c r="AO64" s="829">
        <v>205145</v>
      </c>
    </row>
    <row r="65" spans="1:41" x14ac:dyDescent="0.25">
      <c r="N65" s="1201"/>
      <c r="O65" s="1201"/>
      <c r="P65" s="1201"/>
      <c r="Q65" s="1347"/>
      <c r="R65" s="1347"/>
      <c r="S65" s="1337"/>
      <c r="T65" s="1337"/>
      <c r="U65" s="1337"/>
      <c r="V65" s="1201"/>
      <c r="W65" s="1337"/>
      <c r="X65" s="1201"/>
      <c r="Y65" s="1201"/>
      <c r="Z65" s="1349"/>
      <c r="AA65" s="1201"/>
      <c r="AB65" s="1201"/>
      <c r="AC65" s="1201"/>
      <c r="AD65" s="1201"/>
      <c r="AE65" s="1201"/>
      <c r="AF65" s="1201"/>
      <c r="AG65" s="1201"/>
      <c r="AH65" s="1201"/>
      <c r="AI65" s="1201"/>
      <c r="AJ65" s="1201"/>
      <c r="AK65" s="1201"/>
      <c r="AL65" s="1201"/>
      <c r="AM65" s="1201"/>
      <c r="AO65" s="829">
        <v>158712.5</v>
      </c>
    </row>
    <row r="66" spans="1:41" x14ac:dyDescent="0.25">
      <c r="N66" s="1201"/>
      <c r="O66" s="1201"/>
      <c r="P66" s="1201"/>
      <c r="Q66" s="1347"/>
      <c r="R66" s="1347"/>
      <c r="S66" s="1337"/>
      <c r="T66" s="1337"/>
      <c r="U66" s="1337"/>
      <c r="V66" s="1201"/>
      <c r="W66" s="1337"/>
      <c r="X66" s="1349"/>
      <c r="Y66" s="1201"/>
      <c r="Z66" s="1349"/>
      <c r="AA66" s="1201"/>
      <c r="AB66" s="1201"/>
      <c r="AC66" s="1201"/>
      <c r="AD66" s="1201"/>
      <c r="AE66" s="1201"/>
      <c r="AF66" s="1201"/>
      <c r="AG66" s="1201"/>
      <c r="AH66" s="1201"/>
      <c r="AI66" s="1201"/>
      <c r="AJ66" s="1201"/>
      <c r="AK66" s="1201"/>
      <c r="AL66" s="1201"/>
      <c r="AM66" s="1201"/>
      <c r="AO66" s="829">
        <v>158712.5</v>
      </c>
    </row>
    <row r="67" spans="1:41" x14ac:dyDescent="0.25">
      <c r="N67" s="1201"/>
      <c r="O67" s="1201"/>
      <c r="P67" s="1201"/>
      <c r="Q67" s="1347"/>
      <c r="R67" s="1347"/>
      <c r="S67" s="1337"/>
      <c r="T67" s="1337"/>
      <c r="U67" s="1337"/>
      <c r="V67" s="1201"/>
      <c r="W67" s="1337"/>
      <c r="X67" s="1201"/>
      <c r="Y67" s="1201"/>
      <c r="Z67" s="1201"/>
      <c r="AA67" s="1201"/>
      <c r="AB67" s="1201"/>
      <c r="AC67" s="1201"/>
      <c r="AD67" s="1201"/>
      <c r="AE67" s="1201"/>
      <c r="AF67" s="1201"/>
      <c r="AG67" s="1201"/>
      <c r="AH67" s="1201"/>
      <c r="AI67" s="1201"/>
      <c r="AJ67" s="1201"/>
      <c r="AK67" s="1201"/>
      <c r="AL67" s="1201"/>
      <c r="AM67" s="1201"/>
      <c r="AO67" s="829"/>
    </row>
    <row r="68" spans="1:41" x14ac:dyDescent="0.25">
      <c r="N68" s="1201"/>
      <c r="O68" s="1201"/>
      <c r="P68" s="1201"/>
      <c r="Q68" s="1347"/>
      <c r="R68" s="1347"/>
      <c r="S68" s="1337"/>
      <c r="T68" s="1337"/>
      <c r="U68" s="1337"/>
      <c r="V68" s="1201"/>
      <c r="W68" s="1337"/>
      <c r="X68" s="1201"/>
      <c r="Y68" s="1201"/>
      <c r="Z68" s="1201"/>
      <c r="AA68" s="1201"/>
      <c r="AB68" s="1201"/>
      <c r="AC68" s="1201"/>
      <c r="AD68" s="1201"/>
      <c r="AE68" s="1201"/>
      <c r="AF68" s="1201"/>
      <c r="AG68" s="1201"/>
      <c r="AH68" s="1201"/>
      <c r="AI68" s="1201"/>
      <c r="AJ68" s="1201"/>
      <c r="AK68" s="1201"/>
      <c r="AL68" s="1201"/>
      <c r="AM68" s="1201"/>
      <c r="AO68" s="829"/>
    </row>
    <row r="69" spans="1:41" x14ac:dyDescent="0.25">
      <c r="N69" s="1201"/>
      <c r="O69" s="1201"/>
      <c r="P69" s="1201"/>
      <c r="Q69" s="1347"/>
      <c r="R69" s="1347"/>
      <c r="S69" s="1337"/>
      <c r="T69" s="1337"/>
      <c r="U69" s="1337"/>
      <c r="V69" s="1354"/>
      <c r="W69" s="1337"/>
      <c r="X69" s="1201"/>
      <c r="Y69" s="1201"/>
      <c r="Z69" s="1201"/>
      <c r="AA69" s="1201"/>
      <c r="AB69" s="1201"/>
      <c r="AC69" s="1201"/>
      <c r="AD69" s="1201"/>
      <c r="AE69" s="1201"/>
      <c r="AF69" s="1201"/>
      <c r="AG69" s="1201"/>
      <c r="AH69" s="1201"/>
      <c r="AI69" s="1201"/>
      <c r="AJ69" s="1201"/>
      <c r="AK69" s="1201"/>
      <c r="AL69" s="1201"/>
      <c r="AM69" s="1201"/>
      <c r="AO69" s="829"/>
    </row>
    <row r="70" spans="1:41" x14ac:dyDescent="0.25">
      <c r="N70" s="1337"/>
      <c r="O70" s="1337"/>
      <c r="P70" s="1337"/>
      <c r="Q70" s="1347"/>
      <c r="R70" s="1347"/>
      <c r="S70" s="1337"/>
      <c r="T70" s="1337"/>
      <c r="U70" s="1337"/>
      <c r="V70" s="1354"/>
      <c r="W70" s="1337"/>
      <c r="X70" s="1201"/>
      <c r="Y70" s="1201"/>
      <c r="Z70" s="1201"/>
      <c r="AA70" s="1201"/>
      <c r="AB70" s="1201"/>
      <c r="AC70" s="1201"/>
      <c r="AD70" s="1201"/>
      <c r="AE70" s="1201"/>
      <c r="AF70" s="1201"/>
      <c r="AG70" s="1201"/>
      <c r="AH70" s="1201"/>
      <c r="AI70" s="1201"/>
      <c r="AJ70" s="1201"/>
      <c r="AK70" s="1201"/>
      <c r="AL70" s="1201"/>
      <c r="AM70" s="1201"/>
      <c r="AO70" s="829"/>
    </row>
    <row r="71" spans="1:41" x14ac:dyDescent="0.25">
      <c r="N71" s="1337"/>
      <c r="O71" s="1337"/>
      <c r="P71" s="1337"/>
      <c r="Q71" s="1347"/>
      <c r="R71" s="1347"/>
      <c r="S71" s="1337"/>
      <c r="T71" s="1337"/>
      <c r="U71" s="1337"/>
      <c r="V71" s="1337"/>
      <c r="W71" s="1337"/>
      <c r="X71" s="1201"/>
      <c r="Y71" s="1201"/>
      <c r="Z71" s="1201"/>
      <c r="AA71" s="1201"/>
      <c r="AB71" s="1201"/>
      <c r="AC71" s="1201"/>
      <c r="AD71" s="1201"/>
      <c r="AE71" s="1201"/>
      <c r="AF71" s="1201"/>
      <c r="AG71" s="1201"/>
      <c r="AH71" s="1201"/>
      <c r="AI71" s="1201"/>
      <c r="AJ71" s="1201"/>
      <c r="AK71" s="1201"/>
      <c r="AL71" s="1201"/>
      <c r="AM71" s="1201"/>
    </row>
    <row r="72" spans="1:41" x14ac:dyDescent="0.25">
      <c r="N72" s="1337"/>
      <c r="O72" s="1337"/>
      <c r="P72" s="1337"/>
      <c r="Q72" s="1347"/>
      <c r="R72" s="1347"/>
      <c r="S72" s="1337"/>
      <c r="T72" s="1337"/>
      <c r="U72" s="1337"/>
      <c r="V72" s="1337"/>
      <c r="W72" s="1337"/>
      <c r="X72" s="1201"/>
      <c r="Y72" s="1201"/>
      <c r="Z72" s="1201"/>
      <c r="AA72" s="1201"/>
      <c r="AB72" s="1201"/>
      <c r="AC72" s="1201"/>
      <c r="AD72" s="1201"/>
      <c r="AE72" s="1201"/>
      <c r="AF72" s="1201"/>
      <c r="AG72" s="1201"/>
      <c r="AH72" s="1201"/>
      <c r="AI72" s="1201"/>
      <c r="AJ72" s="1201"/>
      <c r="AK72" s="1201"/>
      <c r="AL72" s="1201"/>
      <c r="AM72" s="1201"/>
    </row>
    <row r="73" spans="1:41" x14ac:dyDescent="0.25">
      <c r="A73" s="955"/>
      <c r="B73" s="955"/>
      <c r="C73" s="955"/>
      <c r="D73" s="955"/>
      <c r="E73" s="955"/>
      <c r="F73" s="955"/>
      <c r="G73" s="955"/>
      <c r="H73" s="955"/>
      <c r="I73" s="955"/>
      <c r="J73" s="955"/>
      <c r="K73" s="955"/>
      <c r="L73" s="955"/>
      <c r="M73" s="955"/>
      <c r="N73" s="1337"/>
      <c r="O73" s="1337"/>
      <c r="P73" s="1337"/>
      <c r="Q73" s="1347"/>
      <c r="R73" s="1347"/>
      <c r="S73" s="1337"/>
      <c r="T73" s="1337"/>
      <c r="U73" s="1337"/>
      <c r="V73" s="1337"/>
      <c r="W73" s="1337"/>
      <c r="X73" s="1201"/>
      <c r="Y73" s="1201"/>
      <c r="Z73" s="1201"/>
      <c r="AA73" s="1201"/>
      <c r="AB73" s="1201"/>
      <c r="AC73" s="1201"/>
      <c r="AD73" s="1201"/>
      <c r="AE73" s="1201"/>
      <c r="AF73" s="1201"/>
      <c r="AG73" s="1201"/>
      <c r="AH73" s="1201"/>
      <c r="AI73" s="1201"/>
      <c r="AJ73" s="1201"/>
      <c r="AK73" s="1201"/>
      <c r="AL73" s="1201"/>
      <c r="AM73" s="1201"/>
      <c r="AO73" s="829">
        <f>SUM(AO26:AO69)</f>
        <v>17049648.129999999</v>
      </c>
    </row>
    <row r="74" spans="1:41" hidden="1" x14ac:dyDescent="0.25">
      <c r="A74" s="1485"/>
      <c r="B74" s="1483"/>
      <c r="C74" s="1483"/>
      <c r="D74" s="1483"/>
      <c r="E74" s="1483"/>
      <c r="F74" s="1483"/>
      <c r="G74" s="1483"/>
      <c r="H74" s="1483"/>
      <c r="I74" s="1483"/>
      <c r="J74" s="1483"/>
      <c r="K74" s="1483"/>
      <c r="L74" s="1483"/>
      <c r="M74" s="1483"/>
      <c r="N74" s="1337"/>
      <c r="O74" s="1337"/>
      <c r="P74" s="1337"/>
      <c r="Q74" s="1347"/>
      <c r="R74" s="1347"/>
      <c r="S74" s="1337"/>
      <c r="T74" s="1337"/>
      <c r="U74" s="1337"/>
      <c r="V74" s="1337"/>
      <c r="W74" s="1337"/>
      <c r="X74" s="1201"/>
      <c r="Y74" s="1201"/>
      <c r="Z74" s="1201"/>
      <c r="AA74" s="1201"/>
      <c r="AB74" s="1201"/>
      <c r="AC74" s="1201"/>
      <c r="AD74" s="1201"/>
      <c r="AE74" s="1201"/>
      <c r="AF74" s="1201"/>
      <c r="AG74" s="1201"/>
      <c r="AH74" s="1201"/>
      <c r="AI74" s="1201"/>
      <c r="AJ74" s="1201"/>
      <c r="AK74" s="1201"/>
      <c r="AL74" s="1201"/>
      <c r="AM74" s="1201"/>
    </row>
    <row r="75" spans="1:41" x14ac:dyDescent="0.25">
      <c r="A75" s="838"/>
      <c r="B75" s="839"/>
      <c r="C75" s="839"/>
      <c r="D75" s="839"/>
      <c r="E75" s="839"/>
      <c r="F75" s="839"/>
      <c r="G75" s="839"/>
      <c r="H75" s="839"/>
      <c r="I75" s="839"/>
      <c r="J75" s="839"/>
      <c r="K75" s="839"/>
      <c r="L75" s="839"/>
      <c r="M75" s="839"/>
      <c r="N75" s="1337"/>
      <c r="O75" s="1337"/>
      <c r="P75" s="1337"/>
      <c r="Q75" s="1347"/>
      <c r="R75" s="1347"/>
      <c r="S75" s="1337"/>
      <c r="T75" s="1337"/>
      <c r="U75" s="1337"/>
      <c r="V75" s="1337"/>
      <c r="W75" s="1337"/>
      <c r="X75" s="1201"/>
      <c r="Y75" s="1201"/>
      <c r="Z75" s="1201"/>
      <c r="AA75" s="1201"/>
      <c r="AB75" s="1201"/>
      <c r="AC75" s="1201"/>
      <c r="AD75" s="1201"/>
      <c r="AE75" s="1201"/>
      <c r="AF75" s="1201"/>
      <c r="AG75" s="1201"/>
      <c r="AH75" s="1201"/>
      <c r="AI75" s="1201"/>
      <c r="AJ75" s="1201"/>
      <c r="AK75" s="1201"/>
      <c r="AL75" s="1201"/>
      <c r="AM75" s="1201"/>
    </row>
    <row r="76" spans="1:41" x14ac:dyDescent="0.25">
      <c r="A76" s="838"/>
      <c r="B76" s="839"/>
      <c r="C76" s="839"/>
      <c r="D76" s="839"/>
      <c r="E76" s="839"/>
      <c r="F76" s="839"/>
      <c r="G76" s="839"/>
      <c r="H76" s="839"/>
      <c r="I76" s="839"/>
      <c r="J76" s="839"/>
      <c r="K76" s="839"/>
      <c r="L76" s="839"/>
      <c r="M76" s="839"/>
      <c r="N76" s="1337"/>
      <c r="O76" s="1337"/>
      <c r="P76" s="1337"/>
      <c r="Q76" s="1335"/>
      <c r="R76" s="1335"/>
      <c r="S76" s="1201"/>
      <c r="T76" s="1201"/>
      <c r="U76" s="1201"/>
      <c r="V76" s="1201"/>
      <c r="W76" s="1201"/>
      <c r="X76" s="1201"/>
      <c r="Y76" s="1201"/>
      <c r="Z76" s="1201"/>
      <c r="AA76" s="1201"/>
      <c r="AB76" s="1201"/>
      <c r="AC76" s="1201"/>
      <c r="AD76" s="1201"/>
      <c r="AE76" s="1201"/>
      <c r="AF76" s="1201"/>
      <c r="AG76" s="1201"/>
      <c r="AH76" s="1201"/>
      <c r="AI76" s="1201"/>
      <c r="AJ76" s="1201"/>
      <c r="AK76" s="1201"/>
      <c r="AL76" s="1201"/>
      <c r="AM76" s="1201"/>
    </row>
    <row r="77" spans="1:41" x14ac:dyDescent="0.25">
      <c r="A77" s="838"/>
      <c r="B77" s="839"/>
      <c r="C77" s="839"/>
      <c r="D77" s="839"/>
      <c r="E77" s="839"/>
      <c r="F77" s="839"/>
      <c r="G77" s="839"/>
      <c r="H77" s="839"/>
      <c r="I77" s="839"/>
      <c r="J77" s="839"/>
      <c r="K77" s="839"/>
      <c r="L77" s="839"/>
      <c r="M77" s="839"/>
      <c r="N77" s="1201"/>
      <c r="O77" s="1201"/>
      <c r="P77" s="1201"/>
      <c r="Q77" s="1335"/>
      <c r="R77" s="1335"/>
      <c r="S77" s="1201"/>
      <c r="T77" s="1201"/>
      <c r="U77" s="1201"/>
      <c r="V77" s="1201"/>
      <c r="W77" s="1201"/>
      <c r="X77" s="1201"/>
      <c r="Y77" s="1201"/>
      <c r="Z77" s="1201"/>
      <c r="AA77" s="1201"/>
      <c r="AB77" s="1201"/>
      <c r="AC77" s="1201"/>
      <c r="AD77" s="1201"/>
      <c r="AE77" s="1201"/>
      <c r="AF77" s="1201"/>
      <c r="AG77" s="1201"/>
      <c r="AH77" s="1201"/>
      <c r="AI77" s="1201"/>
      <c r="AJ77" s="1201"/>
      <c r="AK77" s="1201"/>
      <c r="AL77" s="1201"/>
      <c r="AM77" s="1201"/>
    </row>
    <row r="78" spans="1:41" x14ac:dyDescent="0.25">
      <c r="A78" s="838"/>
      <c r="B78" s="839"/>
      <c r="C78" s="839"/>
      <c r="D78" s="839"/>
      <c r="E78" s="839"/>
      <c r="F78" s="839"/>
      <c r="G78" s="839"/>
      <c r="H78" s="839"/>
      <c r="I78" s="839"/>
      <c r="J78" s="839"/>
      <c r="K78" s="839"/>
      <c r="L78" s="839"/>
      <c r="M78" s="821"/>
      <c r="N78" s="1201"/>
      <c r="O78" s="1201"/>
      <c r="P78" s="1201"/>
      <c r="Q78" s="1335"/>
      <c r="R78" s="1335"/>
      <c r="S78" s="1201"/>
      <c r="T78" s="1201"/>
      <c r="U78" s="1201"/>
      <c r="V78" s="1201"/>
      <c r="W78" s="1201"/>
      <c r="X78" s="1201"/>
      <c r="Y78" s="1201"/>
      <c r="Z78" s="1201"/>
      <c r="AA78" s="1201"/>
      <c r="AB78" s="1201"/>
      <c r="AC78" s="1201"/>
      <c r="AD78" s="1201"/>
      <c r="AE78" s="1201"/>
      <c r="AF78" s="1201"/>
      <c r="AG78" s="1201"/>
      <c r="AH78" s="1201"/>
      <c r="AI78" s="1201"/>
      <c r="AJ78" s="1201"/>
      <c r="AK78" s="1201"/>
      <c r="AL78" s="1201"/>
      <c r="AM78" s="1201"/>
    </row>
    <row r="79" spans="1:41" x14ac:dyDescent="0.25">
      <c r="K79" s="827"/>
      <c r="M79" s="798"/>
      <c r="N79" s="1201"/>
      <c r="O79" s="1201"/>
      <c r="P79" s="1201"/>
      <c r="Q79" s="1335"/>
      <c r="R79" s="1335"/>
      <c r="S79" s="1201"/>
      <c r="T79" s="1201"/>
      <c r="U79" s="1201"/>
      <c r="V79" s="1201"/>
      <c r="W79" s="1201"/>
      <c r="X79" s="1201"/>
      <c r="Y79" s="1201"/>
      <c r="Z79" s="1201"/>
      <c r="AA79" s="1201"/>
      <c r="AB79" s="1201"/>
      <c r="AC79" s="1201"/>
      <c r="AD79" s="1201"/>
      <c r="AE79" s="1201"/>
      <c r="AF79" s="1201"/>
      <c r="AG79" s="1201"/>
      <c r="AH79" s="1201"/>
      <c r="AI79" s="1201"/>
      <c r="AJ79" s="1201"/>
      <c r="AK79" s="1201"/>
      <c r="AL79" s="1201"/>
      <c r="AM79" s="1201"/>
    </row>
    <row r="80" spans="1:41" x14ac:dyDescent="0.25">
      <c r="A80" s="792"/>
      <c r="B80" s="804"/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  <c r="N80" s="1201"/>
      <c r="O80" s="1201"/>
      <c r="P80" s="1201"/>
      <c r="Q80" s="1335"/>
      <c r="R80" s="1335"/>
      <c r="S80" s="1201"/>
      <c r="T80" s="1201"/>
      <c r="U80" s="1201"/>
      <c r="V80" s="1201"/>
      <c r="W80" s="1201"/>
      <c r="X80" s="1201"/>
      <c r="Y80" s="1201"/>
      <c r="Z80" s="1201"/>
      <c r="AA80" s="1201"/>
      <c r="AB80" s="1201"/>
      <c r="AC80" s="1201"/>
      <c r="AD80" s="1201"/>
      <c r="AE80" s="1201"/>
      <c r="AF80" s="1201"/>
      <c r="AG80" s="1201"/>
      <c r="AH80" s="1201"/>
      <c r="AI80" s="1201"/>
      <c r="AJ80" s="1201"/>
      <c r="AK80" s="1201"/>
      <c r="AL80" s="1201"/>
      <c r="AM80" s="1201"/>
    </row>
    <row r="81" spans="1:39" x14ac:dyDescent="0.25">
      <c r="A81" s="822"/>
      <c r="C81" s="815"/>
      <c r="E81" s="826"/>
      <c r="F81" s="810"/>
      <c r="G81" s="823"/>
      <c r="I81" s="824"/>
      <c r="J81" s="801"/>
      <c r="K81" s="824"/>
      <c r="L81" s="801"/>
      <c r="M81" s="824"/>
      <c r="N81" s="1201"/>
      <c r="O81" s="1201"/>
      <c r="P81" s="1201"/>
      <c r="Q81" s="1335"/>
      <c r="R81" s="1335"/>
      <c r="S81" s="1201"/>
      <c r="T81" s="1201"/>
      <c r="U81" s="1201"/>
      <c r="V81" s="1201"/>
      <c r="W81" s="1201"/>
      <c r="X81" s="1201"/>
      <c r="Y81" s="1201"/>
      <c r="Z81" s="1201"/>
      <c r="AA81" s="1201"/>
      <c r="AB81" s="1201"/>
      <c r="AC81" s="1201"/>
      <c r="AD81" s="1201"/>
      <c r="AE81" s="1201"/>
      <c r="AF81" s="1201"/>
      <c r="AG81" s="1201"/>
      <c r="AH81" s="1201"/>
      <c r="AI81" s="1201"/>
      <c r="AJ81" s="1201"/>
      <c r="AK81" s="1201"/>
      <c r="AL81" s="1201"/>
      <c r="AM81" s="1201"/>
    </row>
    <row r="82" spans="1:39" x14ac:dyDescent="0.25">
      <c r="E82" s="844"/>
    </row>
    <row r="83" spans="1:39" x14ac:dyDescent="0.25">
      <c r="E83" s="826"/>
    </row>
    <row r="84" spans="1:39" x14ac:dyDescent="0.25">
      <c r="E84" s="826"/>
    </row>
    <row r="85" spans="1:39" x14ac:dyDescent="0.25">
      <c r="E85" s="826"/>
    </row>
  </sheetData>
  <mergeCells count="4">
    <mergeCell ref="A53:M53"/>
    <mergeCell ref="A74:M74"/>
    <mergeCell ref="A54:M54"/>
    <mergeCell ref="A55:M55"/>
  </mergeCells>
  <printOptions horizontalCentered="1"/>
  <pageMargins left="0.5" right="0.5" top="0.5" bottom="0.5" header="0.5" footer="0.5"/>
  <pageSetup scale="86" orientation="portrait" horizontalDpi="200" verticalDpi="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"/>
  <dimension ref="A1:AN96"/>
  <sheetViews>
    <sheetView view="pageBreakPreview" topLeftCell="A48" zoomScale="60" zoomScaleNormal="100" workbookViewId="0">
      <selection activeCell="Y70" sqref="Y70"/>
    </sheetView>
  </sheetViews>
  <sheetFormatPr defaultColWidth="8" defaultRowHeight="15.75" x14ac:dyDescent="0.25"/>
  <cols>
    <col min="1" max="1" width="12.7109375" style="221" customWidth="1"/>
    <col min="2" max="2" width="1.85546875" style="221" customWidth="1"/>
    <col min="3" max="3" width="16.28515625" style="411" customWidth="1"/>
    <col min="4" max="4" width="3.28515625" style="411" customWidth="1"/>
    <col min="5" max="5" width="16.28515625" style="411" customWidth="1"/>
    <col min="6" max="6" width="2.7109375" style="221" customWidth="1"/>
    <col min="7" max="7" width="16.42578125" style="411" customWidth="1"/>
    <col min="8" max="8" width="2.7109375" style="411" customWidth="1"/>
    <col min="9" max="9" width="16.42578125" style="411" customWidth="1"/>
    <col min="10" max="10" width="2.7109375" style="411" customWidth="1"/>
    <col min="11" max="11" width="16.42578125" style="411" customWidth="1"/>
    <col min="12" max="12" width="2.7109375" style="411" customWidth="1"/>
    <col min="13" max="13" width="16.42578125" style="411" customWidth="1"/>
    <col min="14" max="14" width="2.7109375" style="411" customWidth="1"/>
    <col min="15" max="15" width="16.42578125" style="411" customWidth="1"/>
    <col min="16" max="16" width="2.7109375" style="411" customWidth="1"/>
    <col min="17" max="17" width="16.28515625" style="221" customWidth="1"/>
    <col min="18" max="18" width="2.7109375" style="221" customWidth="1"/>
    <col min="19" max="19" width="17.42578125" style="221" customWidth="1"/>
    <col min="20" max="21" width="8" style="221" customWidth="1"/>
    <col min="22" max="22" width="21.140625" style="221" bestFit="1" customWidth="1"/>
    <col min="23" max="23" width="7.28515625" style="221" customWidth="1"/>
    <col min="24" max="24" width="22" style="221" customWidth="1"/>
    <col min="25" max="27" width="8" style="221" customWidth="1"/>
    <col min="28" max="28" width="18.7109375" style="221" customWidth="1"/>
    <col min="29" max="33" width="8" style="221"/>
    <col min="34" max="34" width="18.42578125" style="221" bestFit="1" customWidth="1"/>
    <col min="35" max="16384" width="8" style="221"/>
  </cols>
  <sheetData>
    <row r="1" spans="1:40" x14ac:dyDescent="0.25">
      <c r="A1" s="30" t="str">
        <f>INFO!B1</f>
        <v>EVANSVILLE (INDIANA) WATERWORKS DISTRICT</v>
      </c>
      <c r="B1" s="30"/>
      <c r="C1" s="412"/>
      <c r="D1" s="412"/>
      <c r="E1" s="412"/>
      <c r="F1" s="173"/>
      <c r="G1" s="412"/>
      <c r="H1" s="412"/>
      <c r="I1" s="412"/>
      <c r="J1" s="412"/>
      <c r="K1" s="412"/>
      <c r="L1" s="412"/>
      <c r="M1" s="412"/>
      <c r="N1" s="412"/>
      <c r="O1" s="412"/>
      <c r="P1" s="412"/>
      <c r="Q1" s="173"/>
      <c r="R1" s="173"/>
      <c r="S1" s="173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</row>
    <row r="2" spans="1:40" x14ac:dyDescent="0.25">
      <c r="A2" s="30"/>
      <c r="B2" s="30"/>
      <c r="C2" s="412"/>
      <c r="D2" s="412"/>
      <c r="E2" s="412"/>
      <c r="F2" s="173"/>
      <c r="G2" s="412"/>
      <c r="H2" s="412"/>
      <c r="I2" s="412"/>
      <c r="J2" s="412"/>
      <c r="K2" s="412"/>
      <c r="L2" s="412"/>
      <c r="M2" s="412"/>
      <c r="N2" s="412"/>
      <c r="O2" s="412"/>
      <c r="P2" s="412"/>
      <c r="Q2" s="173"/>
      <c r="R2" s="173"/>
      <c r="S2" s="30"/>
      <c r="T2" s="424"/>
      <c r="U2" s="424"/>
      <c r="V2" s="424"/>
      <c r="W2" s="424"/>
      <c r="X2" s="424"/>
      <c r="Y2" s="424"/>
      <c r="Z2" s="424"/>
      <c r="AA2" s="424"/>
      <c r="AB2" s="424"/>
      <c r="AC2" s="424"/>
      <c r="AD2" s="424"/>
      <c r="AE2" s="424"/>
      <c r="AF2" s="424"/>
      <c r="AG2" s="424"/>
      <c r="AH2" s="424"/>
      <c r="AI2" s="424"/>
      <c r="AJ2" s="424"/>
      <c r="AK2" s="424"/>
      <c r="AL2" s="424"/>
      <c r="AM2" s="424"/>
      <c r="AN2" s="424"/>
    </row>
    <row r="3" spans="1:40" x14ac:dyDescent="0.25">
      <c r="A3" s="218" t="s">
        <v>133</v>
      </c>
      <c r="B3" s="218"/>
      <c r="C3" s="412"/>
      <c r="D3" s="412"/>
      <c r="E3" s="412"/>
      <c r="F3" s="173"/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173"/>
      <c r="R3" s="173"/>
      <c r="S3" s="173"/>
      <c r="T3" s="424"/>
      <c r="U3" s="424"/>
      <c r="V3" s="424"/>
      <c r="W3" s="424"/>
      <c r="X3" s="424"/>
      <c r="Y3" s="424"/>
      <c r="Z3" s="424"/>
      <c r="AA3" s="424"/>
      <c r="AB3" s="424"/>
      <c r="AC3" s="424"/>
      <c r="AD3" s="424"/>
      <c r="AE3" s="424"/>
      <c r="AF3" s="424"/>
      <c r="AG3" s="424"/>
      <c r="AH3" s="424"/>
      <c r="AI3" s="424"/>
      <c r="AJ3" s="424"/>
      <c r="AK3" s="424"/>
      <c r="AL3" s="424"/>
      <c r="AM3" s="424"/>
      <c r="AN3" s="424"/>
    </row>
    <row r="4" spans="1:40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424"/>
      <c r="U4" s="424"/>
      <c r="V4" s="426"/>
      <c r="W4" s="424"/>
      <c r="X4" s="393"/>
      <c r="Y4" s="424"/>
      <c r="Z4" s="424"/>
      <c r="AA4" s="424"/>
      <c r="AB4" s="393"/>
      <c r="AC4" s="424"/>
      <c r="AD4" s="424"/>
      <c r="AE4" s="424"/>
      <c r="AF4" s="424"/>
      <c r="AG4" s="424"/>
      <c r="AH4" s="424"/>
      <c r="AI4" s="424"/>
      <c r="AJ4" s="424"/>
      <c r="AK4" s="424"/>
      <c r="AL4" s="424"/>
      <c r="AM4" s="424"/>
      <c r="AN4" s="424"/>
    </row>
    <row r="5" spans="1:40" x14ac:dyDescent="0.25">
      <c r="C5" s="1432" t="s">
        <v>422</v>
      </c>
      <c r="D5" s="1432"/>
      <c r="E5" s="1432"/>
      <c r="F5" s="1432"/>
      <c r="G5" s="1432"/>
      <c r="H5" s="1432"/>
      <c r="I5" s="1432"/>
      <c r="J5" s="1432"/>
      <c r="K5" s="1432"/>
      <c r="L5" s="1432"/>
      <c r="M5" s="1432"/>
      <c r="N5" s="1432"/>
      <c r="O5" s="1432"/>
      <c r="T5" s="424"/>
      <c r="U5" s="424"/>
      <c r="V5" s="426"/>
      <c r="W5" s="424"/>
      <c r="X5" s="393"/>
      <c r="Y5" s="424"/>
      <c r="Z5" s="424"/>
      <c r="AA5" s="424"/>
      <c r="AB5" s="393"/>
      <c r="AC5" s="424"/>
      <c r="AD5" s="424"/>
      <c r="AE5" s="424"/>
      <c r="AF5" s="424"/>
      <c r="AG5" s="424"/>
      <c r="AH5" s="424"/>
      <c r="AI5" s="424"/>
      <c r="AJ5" s="424"/>
      <c r="AK5" s="424"/>
      <c r="AL5" s="424"/>
      <c r="AM5" s="424"/>
      <c r="AN5" s="424"/>
    </row>
    <row r="6" spans="1:40" x14ac:dyDescent="0.25">
      <c r="A6" s="229" t="s">
        <v>29</v>
      </c>
      <c r="B6" s="229"/>
      <c r="C6" s="527" t="s">
        <v>632</v>
      </c>
      <c r="D6" s="527"/>
      <c r="E6" s="527" t="s">
        <v>636</v>
      </c>
      <c r="F6" s="237"/>
      <c r="G6" s="794" t="s">
        <v>723</v>
      </c>
      <c r="H6" s="794"/>
      <c r="I6" s="794" t="s">
        <v>724</v>
      </c>
      <c r="J6" s="794"/>
      <c r="K6" s="794" t="s">
        <v>725</v>
      </c>
      <c r="L6" s="794"/>
      <c r="M6" s="794" t="s">
        <v>726</v>
      </c>
      <c r="N6" s="956"/>
      <c r="O6" s="956" t="s">
        <v>740</v>
      </c>
      <c r="P6" s="794"/>
      <c r="Q6" s="229"/>
      <c r="R6" s="229"/>
      <c r="S6" s="229" t="s">
        <v>33</v>
      </c>
      <c r="T6" s="424"/>
      <c r="U6" s="424"/>
      <c r="V6" s="424"/>
      <c r="W6" s="424"/>
      <c r="X6" s="424"/>
      <c r="Y6" s="424"/>
      <c r="Z6" s="424"/>
      <c r="AA6" s="424"/>
      <c r="AB6" s="424"/>
      <c r="AC6" s="424"/>
      <c r="AD6" s="424"/>
      <c r="AE6" s="424"/>
      <c r="AF6" s="424"/>
      <c r="AG6" s="424"/>
      <c r="AH6" s="424"/>
      <c r="AI6" s="424"/>
      <c r="AJ6" s="424"/>
      <c r="AK6" s="424"/>
      <c r="AL6" s="424"/>
      <c r="AM6" s="424"/>
      <c r="AN6" s="424"/>
    </row>
    <row r="7" spans="1:40" x14ac:dyDescent="0.25">
      <c r="A7" s="230" t="s">
        <v>9</v>
      </c>
      <c r="B7" s="229"/>
      <c r="C7" s="526" t="s">
        <v>37</v>
      </c>
      <c r="D7" s="413"/>
      <c r="E7" s="526" t="s">
        <v>37</v>
      </c>
      <c r="F7" s="146"/>
      <c r="G7" s="795" t="s">
        <v>37</v>
      </c>
      <c r="H7" s="413"/>
      <c r="I7" s="795" t="s">
        <v>37</v>
      </c>
      <c r="J7" s="413"/>
      <c r="K7" s="795" t="s">
        <v>37</v>
      </c>
      <c r="L7" s="413"/>
      <c r="M7" s="795" t="s">
        <v>37</v>
      </c>
      <c r="N7" s="413"/>
      <c r="O7" s="953" t="s">
        <v>37</v>
      </c>
      <c r="P7" s="413"/>
      <c r="Q7" s="230" t="s">
        <v>35</v>
      </c>
      <c r="R7" s="229"/>
      <c r="S7" s="230" t="s">
        <v>35</v>
      </c>
      <c r="T7" s="424"/>
      <c r="U7" s="424"/>
      <c r="V7" s="424"/>
      <c r="W7" s="424"/>
      <c r="X7" s="424"/>
      <c r="Y7" s="424"/>
      <c r="Z7" s="424"/>
      <c r="AA7" s="424"/>
      <c r="AB7" s="424"/>
      <c r="AC7" s="424"/>
      <c r="AD7" s="424"/>
      <c r="AE7" s="424"/>
      <c r="AF7" s="424"/>
      <c r="AG7" s="424"/>
      <c r="AH7" s="424"/>
      <c r="AI7" s="424"/>
      <c r="AJ7" s="424"/>
      <c r="AK7" s="424"/>
      <c r="AL7" s="424"/>
      <c r="AM7" s="424"/>
      <c r="AN7" s="424"/>
    </row>
    <row r="8" spans="1:40" x14ac:dyDescent="0.25">
      <c r="A8" s="229"/>
      <c r="B8" s="229"/>
      <c r="C8" s="413"/>
      <c r="D8" s="413"/>
      <c r="E8" s="413"/>
      <c r="F8" s="146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229"/>
      <c r="R8" s="229"/>
      <c r="S8" s="229"/>
      <c r="T8" s="424"/>
      <c r="U8" s="424"/>
      <c r="V8" s="424"/>
      <c r="W8" s="424"/>
      <c r="X8" s="424"/>
      <c r="Y8" s="424"/>
      <c r="Z8" s="424"/>
      <c r="AA8" s="424"/>
      <c r="AB8" s="424"/>
      <c r="AC8" s="424"/>
      <c r="AD8" s="424"/>
      <c r="AE8" s="424"/>
      <c r="AF8" s="424"/>
      <c r="AG8" s="424"/>
      <c r="AH8" s="424"/>
      <c r="AI8" s="424"/>
      <c r="AJ8" s="424"/>
      <c r="AK8" s="424"/>
      <c r="AL8" s="424"/>
      <c r="AM8" s="424"/>
      <c r="AN8" s="424"/>
    </row>
    <row r="9" spans="1:40" ht="15.75" hidden="1" customHeight="1" x14ac:dyDescent="0.25">
      <c r="R9" s="217"/>
      <c r="S9" s="217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</row>
    <row r="10" spans="1:40" ht="15.75" hidden="1" customHeight="1" x14ac:dyDescent="0.25">
      <c r="A10" s="48">
        <v>39630</v>
      </c>
      <c r="B10" s="48"/>
      <c r="C10" s="381"/>
      <c r="D10" s="381"/>
      <c r="E10" s="381"/>
      <c r="F10" s="142"/>
      <c r="G10" s="381"/>
      <c r="H10" s="381"/>
      <c r="I10" s="381"/>
      <c r="J10" s="381"/>
      <c r="K10" s="381"/>
      <c r="L10" s="381"/>
      <c r="M10" s="381"/>
      <c r="N10" s="381"/>
      <c r="O10" s="381"/>
      <c r="P10" s="381"/>
      <c r="Q10" s="142" t="e">
        <f>SUM(#REF!)</f>
        <v>#REF!</v>
      </c>
      <c r="R10" s="217"/>
      <c r="S10" s="217"/>
      <c r="T10" s="424"/>
      <c r="U10" s="424"/>
      <c r="V10" s="393"/>
      <c r="W10" s="424"/>
      <c r="X10" s="424"/>
      <c r="Y10" s="424"/>
      <c r="Z10" s="424"/>
      <c r="AA10" s="424"/>
      <c r="AB10" s="424"/>
      <c r="AC10" s="424"/>
      <c r="AD10" s="424"/>
      <c r="AE10" s="424"/>
      <c r="AF10" s="424"/>
      <c r="AG10" s="424"/>
      <c r="AH10" s="424"/>
      <c r="AI10" s="424"/>
      <c r="AJ10" s="424"/>
      <c r="AK10" s="424"/>
      <c r="AL10" s="424"/>
      <c r="AM10" s="424"/>
      <c r="AN10" s="424"/>
    </row>
    <row r="11" spans="1:40" ht="15.75" hidden="1" customHeight="1" x14ac:dyDescent="0.25">
      <c r="A11" s="48">
        <v>39814</v>
      </c>
      <c r="B11" s="48"/>
      <c r="C11" s="405"/>
      <c r="D11" s="405"/>
      <c r="E11" s="405"/>
      <c r="F11" s="142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217" t="e">
        <f>SUM(#REF!)</f>
        <v>#REF!</v>
      </c>
      <c r="R11" s="217"/>
      <c r="S11" s="142" t="e">
        <f>Q10+Q11</f>
        <v>#REF!</v>
      </c>
      <c r="T11" s="424"/>
      <c r="U11" s="424"/>
      <c r="V11" s="393"/>
      <c r="W11" s="424"/>
      <c r="X11" s="393"/>
      <c r="Y11" s="424"/>
      <c r="Z11" s="424"/>
      <c r="AA11" s="424"/>
      <c r="AB11" s="424"/>
      <c r="AC11" s="424"/>
      <c r="AD11" s="424"/>
      <c r="AE11" s="424"/>
      <c r="AF11" s="424"/>
      <c r="AG11" s="424"/>
      <c r="AH11" s="424"/>
      <c r="AI11" s="424"/>
      <c r="AJ11" s="424"/>
      <c r="AK11" s="424"/>
      <c r="AL11" s="424"/>
      <c r="AM11" s="424"/>
      <c r="AN11" s="424"/>
    </row>
    <row r="12" spans="1:40" ht="15.75" hidden="1" customHeight="1" x14ac:dyDescent="0.25">
      <c r="A12" s="48">
        <v>39995</v>
      </c>
      <c r="B12" s="48"/>
      <c r="C12" s="405"/>
      <c r="D12" s="405"/>
      <c r="E12" s="405"/>
      <c r="F12" s="142"/>
      <c r="G12" s="381"/>
      <c r="H12" s="381"/>
      <c r="I12" s="381"/>
      <c r="J12" s="381"/>
      <c r="K12" s="381"/>
      <c r="L12" s="381"/>
      <c r="M12" s="381"/>
      <c r="N12" s="381"/>
      <c r="O12" s="381"/>
      <c r="P12" s="381"/>
      <c r="Q12" s="217" t="e">
        <f>SUM(#REF!)</f>
        <v>#REF!</v>
      </c>
      <c r="R12" s="217"/>
      <c r="S12" s="217"/>
      <c r="T12" s="424"/>
      <c r="U12" s="424"/>
      <c r="V12" s="393"/>
      <c r="W12" s="424"/>
      <c r="X12" s="424"/>
      <c r="Y12" s="424"/>
      <c r="Z12" s="424"/>
      <c r="AA12" s="424"/>
      <c r="AB12" s="424"/>
      <c r="AC12" s="424"/>
      <c r="AD12" s="424"/>
      <c r="AE12" s="424"/>
      <c r="AF12" s="424"/>
      <c r="AG12" s="424"/>
      <c r="AH12" s="424"/>
      <c r="AI12" s="424"/>
      <c r="AJ12" s="424"/>
      <c r="AK12" s="424"/>
      <c r="AL12" s="424"/>
      <c r="AM12" s="424"/>
      <c r="AN12" s="424"/>
    </row>
    <row r="13" spans="1:40" ht="15.75" hidden="1" customHeight="1" x14ac:dyDescent="0.25">
      <c r="A13" s="48">
        <v>40179</v>
      </c>
      <c r="B13" s="48"/>
      <c r="C13" s="405"/>
      <c r="D13" s="405"/>
      <c r="E13" s="405"/>
      <c r="F13" s="217"/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217" t="e">
        <f>SUM(#REF!)</f>
        <v>#REF!</v>
      </c>
      <c r="R13" s="217"/>
      <c r="S13" s="217" t="e">
        <f>Q12+Q13</f>
        <v>#REF!</v>
      </c>
      <c r="T13" s="424"/>
      <c r="U13" s="424"/>
      <c r="V13" s="393"/>
      <c r="W13" s="424"/>
      <c r="X13" s="393"/>
      <c r="Y13" s="424"/>
      <c r="Z13" s="424"/>
      <c r="AA13" s="424"/>
      <c r="AB13" s="424"/>
      <c r="AC13" s="424"/>
      <c r="AD13" s="424"/>
      <c r="AE13" s="424"/>
      <c r="AF13" s="424"/>
      <c r="AG13" s="424"/>
      <c r="AH13" s="424"/>
      <c r="AI13" s="424"/>
      <c r="AJ13" s="424"/>
      <c r="AK13" s="424"/>
      <c r="AL13" s="424"/>
      <c r="AM13" s="424"/>
      <c r="AN13" s="424"/>
    </row>
    <row r="14" spans="1:40" ht="15.75" hidden="1" customHeight="1" x14ac:dyDescent="0.25">
      <c r="A14" s="48">
        <v>40360</v>
      </c>
      <c r="B14" s="48"/>
      <c r="C14" s="405"/>
      <c r="D14" s="405"/>
      <c r="E14" s="405"/>
      <c r="F14" s="217"/>
      <c r="G14" s="405"/>
      <c r="H14" s="405"/>
      <c r="I14" s="405"/>
      <c r="J14" s="405"/>
      <c r="K14" s="405"/>
      <c r="L14" s="405"/>
      <c r="M14" s="405"/>
      <c r="N14" s="405"/>
      <c r="O14" s="405"/>
      <c r="P14" s="405"/>
      <c r="Q14" s="217" t="e">
        <f>SUM(#REF!)</f>
        <v>#REF!</v>
      </c>
      <c r="R14" s="217"/>
      <c r="S14" s="217"/>
      <c r="T14" s="424"/>
      <c r="U14" s="424"/>
      <c r="V14" s="393"/>
      <c r="W14" s="424"/>
      <c r="X14" s="424"/>
      <c r="Y14" s="424"/>
      <c r="Z14" s="424"/>
      <c r="AA14" s="424"/>
      <c r="AB14" s="424"/>
      <c r="AC14" s="424"/>
      <c r="AD14" s="424"/>
      <c r="AE14" s="424"/>
      <c r="AF14" s="424"/>
      <c r="AG14" s="424"/>
      <c r="AH14" s="424"/>
      <c r="AI14" s="424"/>
      <c r="AJ14" s="424"/>
      <c r="AK14" s="424"/>
      <c r="AL14" s="424"/>
      <c r="AM14" s="424"/>
      <c r="AN14" s="424"/>
    </row>
    <row r="15" spans="1:40" ht="15.75" hidden="1" customHeight="1" x14ac:dyDescent="0.25">
      <c r="A15" s="48">
        <v>40544</v>
      </c>
      <c r="B15" s="48"/>
      <c r="C15" s="405"/>
      <c r="D15" s="405"/>
      <c r="E15" s="405"/>
      <c r="F15" s="217"/>
      <c r="G15" s="405"/>
      <c r="H15" s="405"/>
      <c r="I15" s="405"/>
      <c r="J15" s="405"/>
      <c r="K15" s="405"/>
      <c r="L15" s="405"/>
      <c r="M15" s="405"/>
      <c r="N15" s="405"/>
      <c r="O15" s="405"/>
      <c r="P15" s="405"/>
      <c r="Q15" s="217" t="e">
        <f>SUM(#REF!)</f>
        <v>#REF!</v>
      </c>
      <c r="R15" s="217"/>
      <c r="S15" s="217" t="e">
        <f>Q14+Q15</f>
        <v>#REF!</v>
      </c>
      <c r="T15" s="424"/>
      <c r="U15" s="424"/>
      <c r="V15" s="393"/>
      <c r="W15" s="424"/>
      <c r="X15" s="393"/>
      <c r="Y15" s="424"/>
      <c r="Z15" s="424"/>
      <c r="AA15" s="424"/>
      <c r="AB15" s="424"/>
      <c r="AC15" s="424"/>
      <c r="AD15" s="424"/>
      <c r="AE15" s="424"/>
      <c r="AF15" s="424"/>
      <c r="AG15" s="424"/>
      <c r="AH15" s="424"/>
      <c r="AI15" s="424"/>
      <c r="AJ15" s="424"/>
      <c r="AK15" s="424"/>
      <c r="AL15" s="424"/>
      <c r="AM15" s="424"/>
      <c r="AN15" s="424"/>
    </row>
    <row r="16" spans="1:40" ht="0.75" customHeight="1" x14ac:dyDescent="0.25">
      <c r="A16" s="48">
        <v>40725</v>
      </c>
      <c r="B16" s="48"/>
      <c r="C16" s="405"/>
      <c r="D16" s="405"/>
      <c r="E16" s="405"/>
      <c r="F16" s="217"/>
      <c r="G16" s="405"/>
      <c r="H16" s="405"/>
      <c r="I16" s="405"/>
      <c r="J16" s="405"/>
      <c r="K16" s="405"/>
      <c r="L16" s="405"/>
      <c r="M16" s="405"/>
      <c r="N16" s="405"/>
      <c r="O16" s="405"/>
      <c r="P16" s="405"/>
      <c r="Q16" s="217" t="e">
        <f>SUM(#REF!)</f>
        <v>#REF!</v>
      </c>
      <c r="R16" s="217"/>
      <c r="S16" s="217"/>
      <c r="T16" s="424"/>
      <c r="U16" s="424"/>
      <c r="V16" s="393"/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4"/>
      <c r="AJ16" s="424"/>
      <c r="AK16" s="424"/>
      <c r="AL16" s="424"/>
      <c r="AM16" s="424"/>
      <c r="AN16" s="424"/>
    </row>
    <row r="17" spans="1:40" s="119" customFormat="1" ht="15.75" hidden="1" customHeight="1" x14ac:dyDescent="0.25">
      <c r="A17" s="118">
        <v>40909</v>
      </c>
      <c r="B17" s="118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 t="e">
        <f>SUM(#REF!)</f>
        <v>#REF!</v>
      </c>
      <c r="R17" s="220"/>
      <c r="S17" s="157" t="e">
        <f>Q17</f>
        <v>#REF!</v>
      </c>
      <c r="T17" s="392"/>
      <c r="U17" s="392"/>
      <c r="V17" s="219"/>
      <c r="W17" s="392"/>
      <c r="X17" s="219"/>
      <c r="Y17" s="392"/>
      <c r="Z17" s="392"/>
      <c r="AA17" s="392"/>
      <c r="AB17" s="392"/>
      <c r="AC17" s="392"/>
      <c r="AD17" s="392"/>
      <c r="AE17" s="392"/>
      <c r="AF17" s="392"/>
      <c r="AG17" s="392"/>
      <c r="AH17" s="392"/>
      <c r="AI17" s="392"/>
      <c r="AJ17" s="392"/>
      <c r="AK17" s="392"/>
      <c r="AL17" s="392"/>
      <c r="AM17" s="392"/>
      <c r="AN17" s="392"/>
    </row>
    <row r="18" spans="1:40" ht="15.75" hidden="1" customHeight="1" x14ac:dyDescent="0.25">
      <c r="A18" s="48">
        <v>41091</v>
      </c>
      <c r="B18" s="48"/>
      <c r="C18" s="381"/>
      <c r="D18" s="381"/>
      <c r="E18" s="381"/>
      <c r="F18" s="142"/>
      <c r="G18" s="381"/>
      <c r="H18" s="381"/>
      <c r="I18" s="381"/>
      <c r="J18" s="381"/>
      <c r="K18" s="381"/>
      <c r="L18" s="381"/>
      <c r="M18" s="381"/>
      <c r="N18" s="381"/>
      <c r="O18" s="381"/>
      <c r="P18" s="381"/>
      <c r="Q18" s="142" t="e">
        <f>SUM(#REF!)</f>
        <v>#REF!</v>
      </c>
      <c r="R18" s="217"/>
      <c r="S18" s="217"/>
      <c r="T18" s="424"/>
      <c r="U18" s="424"/>
      <c r="V18" s="393"/>
      <c r="W18" s="424"/>
      <c r="X18" s="424"/>
      <c r="Y18" s="424"/>
      <c r="Z18" s="424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4"/>
    </row>
    <row r="19" spans="1:40" ht="15.75" hidden="1" customHeight="1" x14ac:dyDescent="0.25">
      <c r="A19" s="48">
        <v>41275</v>
      </c>
      <c r="B19" s="48"/>
      <c r="C19" s="405"/>
      <c r="D19" s="405"/>
      <c r="E19" s="405"/>
      <c r="F19" s="217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217" t="e">
        <f>SUM(#REF!)</f>
        <v>#REF!</v>
      </c>
      <c r="R19" s="217"/>
      <c r="S19" s="142" t="e">
        <f>Q18+Q19</f>
        <v>#REF!</v>
      </c>
      <c r="T19" s="424"/>
      <c r="U19" s="424"/>
      <c r="V19" s="393"/>
      <c r="W19" s="424"/>
      <c r="X19" s="393"/>
      <c r="Y19" s="424"/>
      <c r="Z19" s="424"/>
      <c r="AA19" s="424"/>
      <c r="AB19" s="424"/>
      <c r="AC19" s="424"/>
      <c r="AD19" s="424"/>
      <c r="AE19" s="424"/>
      <c r="AF19" s="424"/>
      <c r="AG19" s="424"/>
      <c r="AH19" s="424"/>
      <c r="AI19" s="424"/>
      <c r="AJ19" s="424"/>
      <c r="AK19" s="424"/>
      <c r="AL19" s="424"/>
      <c r="AM19" s="424"/>
      <c r="AN19" s="424"/>
    </row>
    <row r="20" spans="1:40" ht="15.75" hidden="1" customHeight="1" x14ac:dyDescent="0.25">
      <c r="A20" s="48">
        <v>41456</v>
      </c>
      <c r="B20" s="48"/>
      <c r="C20" s="381"/>
      <c r="D20" s="381"/>
      <c r="E20" s="381"/>
      <c r="F20" s="142"/>
      <c r="G20" s="381"/>
      <c r="H20" s="381"/>
      <c r="I20" s="381"/>
      <c r="J20" s="381"/>
      <c r="K20" s="381"/>
      <c r="L20" s="381"/>
      <c r="M20" s="381"/>
      <c r="N20" s="381"/>
      <c r="O20" s="381"/>
      <c r="P20" s="381"/>
      <c r="Q20" s="142" t="e">
        <f>SUM(#REF!)</f>
        <v>#REF!</v>
      </c>
      <c r="R20" s="217"/>
      <c r="S20" s="217"/>
      <c r="T20" s="424"/>
      <c r="U20" s="424"/>
      <c r="V20" s="393"/>
      <c r="W20" s="424"/>
      <c r="X20" s="424"/>
      <c r="Y20" s="424"/>
      <c r="Z20" s="424"/>
      <c r="AA20" s="424"/>
      <c r="AB20" s="424"/>
      <c r="AC20" s="424"/>
      <c r="AD20" s="424"/>
      <c r="AE20" s="424"/>
      <c r="AF20" s="424"/>
      <c r="AG20" s="424"/>
      <c r="AH20" s="424"/>
      <c r="AI20" s="424"/>
      <c r="AJ20" s="424"/>
      <c r="AK20" s="424"/>
      <c r="AL20" s="424"/>
      <c r="AM20" s="424"/>
      <c r="AN20" s="424"/>
    </row>
    <row r="21" spans="1:40" hidden="1" x14ac:dyDescent="0.25">
      <c r="A21" s="48">
        <v>41640</v>
      </c>
      <c r="B21" s="48"/>
      <c r="C21" s="381"/>
      <c r="D21" s="381"/>
      <c r="E21" s="381"/>
      <c r="F21" s="142"/>
      <c r="G21" s="381"/>
      <c r="H21" s="381"/>
      <c r="I21" s="381"/>
      <c r="J21" s="381"/>
      <c r="K21" s="381"/>
      <c r="L21" s="381"/>
      <c r="M21" s="381"/>
      <c r="N21" s="381"/>
      <c r="O21" s="381"/>
      <c r="P21" s="381"/>
      <c r="Q21" s="142" t="e">
        <f>SUM(#REF!)</f>
        <v>#REF!</v>
      </c>
      <c r="R21" s="217"/>
      <c r="S21" s="142" t="e">
        <f>Q21</f>
        <v>#REF!</v>
      </c>
      <c r="T21" s="424"/>
      <c r="U21" s="424"/>
      <c r="V21" s="393"/>
      <c r="W21" s="424"/>
      <c r="X21" s="393"/>
      <c r="Y21" s="424"/>
      <c r="Z21" s="424"/>
      <c r="AA21" s="424"/>
      <c r="AB21" s="424"/>
      <c r="AC21" s="424"/>
      <c r="AD21" s="424"/>
      <c r="AE21" s="424"/>
      <c r="AF21" s="424"/>
      <c r="AG21" s="424"/>
      <c r="AH21" s="424"/>
      <c r="AI21" s="424"/>
      <c r="AJ21" s="424"/>
      <c r="AK21" s="424"/>
      <c r="AL21" s="424"/>
      <c r="AM21" s="424"/>
      <c r="AN21" s="424"/>
    </row>
    <row r="22" spans="1:40" hidden="1" x14ac:dyDescent="0.25">
      <c r="A22" s="48">
        <v>41821</v>
      </c>
      <c r="B22" s="48"/>
      <c r="C22" s="381"/>
      <c r="D22" s="381"/>
      <c r="E22" s="381"/>
      <c r="F22" s="142"/>
      <c r="G22" s="381"/>
      <c r="H22" s="381"/>
      <c r="I22" s="381"/>
      <c r="J22" s="381"/>
      <c r="K22" s="381"/>
      <c r="L22" s="381"/>
      <c r="M22" s="381"/>
      <c r="N22" s="381"/>
      <c r="O22" s="381"/>
      <c r="P22" s="381"/>
      <c r="Q22" s="142" t="e">
        <f>SUM(#REF!)</f>
        <v>#REF!</v>
      </c>
      <c r="R22" s="217"/>
      <c r="S22" s="217"/>
      <c r="T22" s="424"/>
      <c r="U22" s="424"/>
      <c r="V22" s="393"/>
      <c r="W22" s="424"/>
      <c r="X22" s="424"/>
      <c r="Y22" s="424"/>
      <c r="Z22" s="424"/>
      <c r="AA22" s="424"/>
      <c r="AB22" s="424"/>
      <c r="AC22" s="424"/>
      <c r="AD22" s="424"/>
      <c r="AE22" s="424"/>
      <c r="AF22" s="424"/>
      <c r="AG22" s="424"/>
      <c r="AH22" s="424"/>
      <c r="AI22" s="424"/>
      <c r="AJ22" s="424"/>
      <c r="AK22" s="424"/>
      <c r="AL22" s="424"/>
      <c r="AM22" s="424"/>
      <c r="AN22" s="424"/>
    </row>
    <row r="23" spans="1:40" hidden="1" x14ac:dyDescent="0.25">
      <c r="A23" s="48">
        <v>42005</v>
      </c>
      <c r="B23" s="48"/>
      <c r="C23" s="381"/>
      <c r="D23" s="381"/>
      <c r="E23" s="381"/>
      <c r="F23" s="217"/>
      <c r="G23" s="405"/>
      <c r="H23" s="405"/>
      <c r="I23" s="405"/>
      <c r="J23" s="405"/>
      <c r="K23" s="405"/>
      <c r="L23" s="405"/>
      <c r="M23" s="405"/>
      <c r="N23" s="405"/>
      <c r="O23" s="405"/>
      <c r="P23" s="405"/>
      <c r="Q23" s="142" t="e">
        <f>SUM(#REF!)</f>
        <v>#REF!</v>
      </c>
      <c r="R23" s="217"/>
      <c r="S23" s="142" t="e">
        <f>Q23</f>
        <v>#REF!</v>
      </c>
      <c r="T23" s="424"/>
      <c r="U23" s="424"/>
      <c r="V23" s="393"/>
      <c r="W23" s="424"/>
      <c r="X23" s="393"/>
      <c r="Y23" s="424"/>
      <c r="Z23" s="424"/>
      <c r="AA23" s="424"/>
      <c r="AB23" s="424"/>
      <c r="AC23" s="424"/>
      <c r="AD23" s="424"/>
      <c r="AE23" s="424"/>
      <c r="AF23" s="424"/>
      <c r="AG23" s="424"/>
      <c r="AH23" s="424"/>
      <c r="AI23" s="424"/>
      <c r="AJ23" s="424"/>
      <c r="AK23" s="424"/>
      <c r="AL23" s="424"/>
      <c r="AM23" s="424"/>
      <c r="AN23" s="424"/>
    </row>
    <row r="24" spans="1:40" s="119" customFormat="1" hidden="1" x14ac:dyDescent="0.25">
      <c r="A24" s="118">
        <v>42186</v>
      </c>
      <c r="B24" s="118"/>
      <c r="C24" s="157"/>
      <c r="D24" s="157"/>
      <c r="E24" s="157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157" t="e">
        <f>SUM(#REF!)</f>
        <v>#REF!</v>
      </c>
      <c r="R24" s="220"/>
      <c r="S24" s="220"/>
      <c r="T24" s="392"/>
      <c r="U24" s="392"/>
      <c r="V24" s="219"/>
      <c r="W24" s="392"/>
      <c r="X24" s="392"/>
      <c r="Y24" s="392"/>
      <c r="Z24" s="392"/>
      <c r="AA24" s="392"/>
      <c r="AB24" s="392"/>
      <c r="AC24" s="392"/>
      <c r="AD24" s="392"/>
      <c r="AE24" s="392"/>
      <c r="AF24" s="392"/>
      <c r="AG24" s="392"/>
      <c r="AH24" s="153"/>
      <c r="AI24" s="392"/>
      <c r="AJ24" s="392"/>
      <c r="AK24" s="392"/>
      <c r="AL24" s="392"/>
      <c r="AM24" s="392"/>
      <c r="AN24" s="392"/>
    </row>
    <row r="25" spans="1:40" s="119" customFormat="1" hidden="1" x14ac:dyDescent="0.25">
      <c r="A25" s="118">
        <v>42370</v>
      </c>
      <c r="B25" s="118"/>
      <c r="C25" s="219"/>
      <c r="D25" s="219"/>
      <c r="E25" s="219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19" t="e">
        <f>SUM(#REF!)</f>
        <v>#REF!</v>
      </c>
      <c r="R25" s="220"/>
      <c r="S25" s="157" t="e">
        <f>Q24+Q25</f>
        <v>#REF!</v>
      </c>
      <c r="T25" s="392"/>
      <c r="U25" s="392"/>
      <c r="V25" s="219"/>
      <c r="W25" s="392"/>
      <c r="X25" s="392"/>
      <c r="Y25" s="392"/>
      <c r="Z25" s="392"/>
      <c r="AA25" s="392"/>
      <c r="AB25" s="392"/>
      <c r="AC25" s="392"/>
      <c r="AD25" s="392"/>
      <c r="AE25" s="392"/>
      <c r="AF25" s="392"/>
      <c r="AG25" s="392"/>
      <c r="AH25" s="219"/>
      <c r="AI25" s="392"/>
      <c r="AJ25" s="392"/>
      <c r="AK25" s="392"/>
      <c r="AL25" s="392"/>
      <c r="AM25" s="392"/>
      <c r="AN25" s="392"/>
    </row>
    <row r="26" spans="1:40" hidden="1" x14ac:dyDescent="0.25">
      <c r="A26" s="48">
        <v>42552</v>
      </c>
      <c r="B26" s="48"/>
      <c r="C26" s="362"/>
      <c r="D26" s="362"/>
      <c r="E26" s="362"/>
      <c r="F26" s="381"/>
      <c r="G26" s="381"/>
      <c r="H26" s="381"/>
      <c r="I26" s="381"/>
      <c r="J26" s="381"/>
      <c r="K26" s="381"/>
      <c r="L26" s="381"/>
      <c r="M26" s="381"/>
      <c r="N26" s="381"/>
      <c r="O26" s="381"/>
      <c r="P26" s="381"/>
      <c r="Q26" s="362">
        <f>SUM(C26:E26)</f>
        <v>0</v>
      </c>
      <c r="R26" s="217"/>
      <c r="S26" s="217"/>
      <c r="T26" s="424"/>
      <c r="U26" s="424"/>
      <c r="V26" s="393"/>
      <c r="W26" s="424"/>
      <c r="X26" s="424"/>
      <c r="Y26" s="424"/>
      <c r="Z26" s="424"/>
      <c r="AA26" s="424"/>
      <c r="AB26" s="424"/>
      <c r="AC26" s="424"/>
      <c r="AD26" s="424"/>
      <c r="AE26" s="424"/>
      <c r="AF26" s="424"/>
      <c r="AG26" s="424"/>
      <c r="AH26" s="424"/>
      <c r="AI26" s="424"/>
      <c r="AJ26" s="424"/>
      <c r="AK26" s="424"/>
      <c r="AL26" s="424"/>
      <c r="AM26" s="424"/>
      <c r="AN26" s="424"/>
    </row>
    <row r="27" spans="1:40" hidden="1" x14ac:dyDescent="0.25">
      <c r="A27" s="48">
        <v>42736</v>
      </c>
      <c r="B27" s="48"/>
      <c r="C27" s="393"/>
      <c r="D27" s="393"/>
      <c r="E27" s="393"/>
      <c r="F27" s="217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144">
        <f>SUM(C27:E27)</f>
        <v>0</v>
      </c>
      <c r="R27" s="217"/>
      <c r="S27" s="381">
        <f>Q26+Q27</f>
        <v>0</v>
      </c>
      <c r="T27" s="424"/>
      <c r="U27" s="424"/>
      <c r="V27" s="393"/>
      <c r="W27" s="424"/>
      <c r="X27" s="424"/>
      <c r="Y27" s="424"/>
      <c r="Z27" s="424"/>
      <c r="AA27" s="424"/>
      <c r="AB27" s="424"/>
      <c r="AC27" s="424"/>
      <c r="AD27" s="424"/>
      <c r="AE27" s="424"/>
      <c r="AF27" s="424"/>
      <c r="AG27" s="424"/>
      <c r="AH27" s="393"/>
      <c r="AI27" s="424"/>
      <c r="AJ27" s="424"/>
      <c r="AK27" s="424"/>
      <c r="AL27" s="424"/>
      <c r="AM27" s="424"/>
      <c r="AN27" s="424"/>
    </row>
    <row r="28" spans="1:40" hidden="1" x14ac:dyDescent="0.25">
      <c r="A28" s="48">
        <v>42917</v>
      </c>
      <c r="B28" s="48"/>
      <c r="C28" s="393"/>
      <c r="D28" s="393"/>
      <c r="E28" s="393"/>
      <c r="F28" s="217"/>
      <c r="G28" s="405"/>
      <c r="H28" s="405"/>
      <c r="I28" s="405"/>
      <c r="J28" s="405"/>
      <c r="K28" s="405"/>
      <c r="L28" s="405"/>
      <c r="M28" s="405"/>
      <c r="N28" s="405"/>
      <c r="O28" s="405"/>
      <c r="P28" s="405"/>
      <c r="Q28" s="393">
        <f>SUM(C28:E28)</f>
        <v>0</v>
      </c>
      <c r="R28" s="217"/>
      <c r="S28" s="217"/>
      <c r="T28" s="424"/>
      <c r="U28" s="424"/>
      <c r="V28" s="393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393"/>
      <c r="AI28" s="424"/>
      <c r="AJ28" s="424"/>
      <c r="AK28" s="424"/>
      <c r="AL28" s="424"/>
      <c r="AM28" s="424"/>
      <c r="AN28" s="424"/>
    </row>
    <row r="29" spans="1:40" hidden="1" x14ac:dyDescent="0.25">
      <c r="A29" s="48">
        <v>43101</v>
      </c>
      <c r="B29" s="48"/>
      <c r="C29" s="393"/>
      <c r="D29" s="393"/>
      <c r="E29" s="393"/>
      <c r="F29" s="217"/>
      <c r="G29" s="405"/>
      <c r="H29" s="405"/>
      <c r="I29" s="405"/>
      <c r="J29" s="405"/>
      <c r="K29" s="405"/>
      <c r="L29" s="405"/>
      <c r="M29" s="405"/>
      <c r="N29" s="405"/>
      <c r="O29" s="405"/>
      <c r="P29" s="405"/>
      <c r="Q29" s="393">
        <f>SUM(C29:E29)</f>
        <v>0</v>
      </c>
      <c r="R29" s="217"/>
      <c r="S29" s="217">
        <f>Q28+Q29</f>
        <v>0</v>
      </c>
      <c r="T29" s="424"/>
      <c r="U29" s="424"/>
      <c r="V29" s="393"/>
      <c r="W29" s="424"/>
      <c r="X29" s="424"/>
      <c r="Y29" s="424"/>
      <c r="Z29" s="424"/>
      <c r="AA29" s="424"/>
      <c r="AB29" s="424"/>
      <c r="AC29" s="424"/>
      <c r="AD29" s="424"/>
      <c r="AE29" s="424"/>
      <c r="AF29" s="424"/>
      <c r="AG29" s="424"/>
      <c r="AH29" s="393"/>
      <c r="AI29" s="424"/>
      <c r="AJ29" s="424"/>
      <c r="AK29" s="424"/>
      <c r="AL29" s="424"/>
      <c r="AM29" s="424"/>
      <c r="AN29" s="424"/>
    </row>
    <row r="30" spans="1:40" hidden="1" x14ac:dyDescent="0.25">
      <c r="A30" s="48">
        <v>43282</v>
      </c>
      <c r="B30" s="48"/>
      <c r="C30" s="362">
        <f>'2016A'!K17</f>
        <v>792800</v>
      </c>
      <c r="D30" s="393"/>
      <c r="E30" s="362">
        <f>'2016B'!K17</f>
        <v>496246.88</v>
      </c>
      <c r="F30" s="217"/>
      <c r="G30" s="405"/>
      <c r="H30" s="405"/>
      <c r="I30" s="405"/>
      <c r="J30" s="405"/>
      <c r="K30" s="405"/>
      <c r="L30" s="405"/>
      <c r="M30" s="405"/>
      <c r="N30" s="405"/>
      <c r="O30" s="405"/>
      <c r="P30" s="405"/>
      <c r="Q30" s="362">
        <f t="shared" ref="Q30:Q35" si="0">SUM(C30:M30)</f>
        <v>1289046.8799999999</v>
      </c>
      <c r="R30" s="217"/>
      <c r="S30" s="217"/>
      <c r="T30" s="424"/>
      <c r="U30" s="424"/>
      <c r="V30" s="393"/>
      <c r="W30" s="424"/>
      <c r="X30" s="424"/>
      <c r="Y30" s="424"/>
      <c r="Z30" s="424"/>
      <c r="AA30" s="424"/>
      <c r="AB30" s="424"/>
      <c r="AC30" s="424"/>
      <c r="AD30" s="424"/>
      <c r="AE30" s="424"/>
      <c r="AF30" s="424"/>
      <c r="AG30" s="424"/>
      <c r="AH30" s="383"/>
      <c r="AI30" s="424"/>
      <c r="AJ30" s="424"/>
      <c r="AK30" s="424"/>
      <c r="AL30" s="424"/>
      <c r="AM30" s="424"/>
      <c r="AN30" s="424"/>
    </row>
    <row r="31" spans="1:40" hidden="1" x14ac:dyDescent="0.25">
      <c r="A31" s="48">
        <v>43466</v>
      </c>
      <c r="B31" s="48"/>
      <c r="C31" s="393">
        <f>'2016A'!K18</f>
        <v>2377800</v>
      </c>
      <c r="D31" s="393"/>
      <c r="E31" s="393">
        <f>'2016B'!K18</f>
        <v>1641246.88</v>
      </c>
      <c r="F31" s="217"/>
      <c r="G31" s="405"/>
      <c r="H31" s="405"/>
      <c r="I31" s="405"/>
      <c r="J31" s="405"/>
      <c r="K31" s="405"/>
      <c r="L31" s="405"/>
      <c r="M31" s="405"/>
      <c r="N31" s="405"/>
      <c r="O31" s="405"/>
      <c r="P31" s="405"/>
      <c r="Q31" s="362">
        <f t="shared" si="0"/>
        <v>4019046.88</v>
      </c>
      <c r="R31" s="217"/>
      <c r="S31" s="362">
        <f>Q30+Q31</f>
        <v>5308093.76</v>
      </c>
      <c r="T31" s="424"/>
      <c r="U31" s="424"/>
      <c r="V31" s="393"/>
      <c r="W31" s="424"/>
      <c r="X31" s="424"/>
      <c r="Y31" s="424"/>
      <c r="Z31" s="424"/>
      <c r="AA31" s="424"/>
      <c r="AB31" s="424"/>
      <c r="AC31" s="424"/>
      <c r="AD31" s="424"/>
      <c r="AE31" s="424"/>
      <c r="AF31" s="424"/>
      <c r="AG31" s="424"/>
      <c r="AH31" s="26"/>
      <c r="AI31" s="424"/>
      <c r="AJ31" s="424"/>
      <c r="AK31" s="424"/>
      <c r="AL31" s="424"/>
      <c r="AM31" s="424"/>
      <c r="AN31" s="424"/>
    </row>
    <row r="32" spans="1:40" hidden="1" x14ac:dyDescent="0.25">
      <c r="A32" s="48">
        <v>43647</v>
      </c>
      <c r="B32" s="48"/>
      <c r="C32" s="393">
        <f>'2016A'!K19</f>
        <v>761100</v>
      </c>
      <c r="D32" s="393"/>
      <c r="E32" s="393">
        <f>'2016B'!K19</f>
        <v>484796.88</v>
      </c>
      <c r="F32" s="217"/>
      <c r="G32" s="405">
        <f>'2018A-1 (SRF)'!M14</f>
        <v>0</v>
      </c>
      <c r="H32" s="405"/>
      <c r="I32" s="405">
        <f>'2018A-2 (SRF)'!M16</f>
        <v>0</v>
      </c>
      <c r="J32" s="405"/>
      <c r="K32" s="405">
        <f>'2019 (OM)'!K15</f>
        <v>0</v>
      </c>
      <c r="L32" s="405"/>
      <c r="M32" s="405"/>
      <c r="N32" s="405"/>
      <c r="O32" s="405"/>
      <c r="P32" s="405"/>
      <c r="Q32" s="362">
        <f t="shared" si="0"/>
        <v>1245896.8799999999</v>
      </c>
      <c r="R32" s="217"/>
      <c r="S32" s="390"/>
      <c r="T32" s="424"/>
      <c r="U32" s="424"/>
      <c r="V32" s="393"/>
      <c r="W32" s="424"/>
      <c r="X32" s="424"/>
      <c r="Y32" s="424"/>
      <c r="Z32" s="424"/>
      <c r="AA32" s="424"/>
      <c r="AB32" s="424"/>
      <c r="AC32" s="424"/>
      <c r="AD32" s="424"/>
      <c r="AE32" s="424"/>
      <c r="AF32" s="424"/>
      <c r="AG32" s="424"/>
      <c r="AH32" s="424"/>
      <c r="AI32" s="424"/>
      <c r="AJ32" s="424"/>
      <c r="AK32" s="424"/>
      <c r="AL32" s="424"/>
      <c r="AM32" s="424"/>
      <c r="AN32" s="424"/>
    </row>
    <row r="33" spans="1:40" hidden="1" x14ac:dyDescent="0.25">
      <c r="A33" s="48">
        <v>43831</v>
      </c>
      <c r="B33" s="48"/>
      <c r="C33" s="393">
        <f>'2016A'!K20</f>
        <v>2331100</v>
      </c>
      <c r="D33" s="393"/>
      <c r="E33" s="393">
        <f>'2016B'!K20</f>
        <v>1649796.88</v>
      </c>
      <c r="F33" s="217"/>
      <c r="G33" s="405">
        <f>'2018A-1 (SRF)'!M15</f>
        <v>86255</v>
      </c>
      <c r="H33" s="405"/>
      <c r="I33" s="405">
        <f>'2018A-2 (SRF)'!M17</f>
        <v>1168570</v>
      </c>
      <c r="J33" s="405"/>
      <c r="K33" s="405">
        <f>'2019 (OM)'!K16</f>
        <v>1264446.8799999999</v>
      </c>
      <c r="L33" s="405"/>
      <c r="M33" s="405"/>
      <c r="N33" s="405"/>
      <c r="O33" s="405"/>
      <c r="P33" s="405"/>
      <c r="Q33" s="362">
        <f t="shared" si="0"/>
        <v>6500168.7599999998</v>
      </c>
      <c r="S33" s="358">
        <f>Q32+Q33</f>
        <v>7746065.6399999997</v>
      </c>
      <c r="T33" s="424"/>
      <c r="U33" s="424"/>
      <c r="V33" s="393"/>
      <c r="W33" s="424"/>
      <c r="X33" s="424"/>
      <c r="Y33" s="424"/>
      <c r="Z33" s="424"/>
      <c r="AA33" s="424"/>
      <c r="AB33" s="424"/>
      <c r="AC33" s="424"/>
      <c r="AD33" s="424"/>
      <c r="AE33" s="424"/>
      <c r="AF33" s="424"/>
      <c r="AG33" s="424"/>
      <c r="AH33" s="424"/>
      <c r="AI33" s="424"/>
      <c r="AJ33" s="424"/>
      <c r="AK33" s="424"/>
      <c r="AL33" s="424"/>
      <c r="AM33" s="424"/>
      <c r="AN33" s="424"/>
    </row>
    <row r="34" spans="1:40" hidden="1" x14ac:dyDescent="0.25">
      <c r="A34" s="48">
        <v>44013</v>
      </c>
      <c r="B34" s="48"/>
      <c r="C34" s="362">
        <f>'2016A'!K21</f>
        <v>729700</v>
      </c>
      <c r="D34" s="393"/>
      <c r="E34" s="362">
        <f>'2016B'!K21</f>
        <v>473146.88</v>
      </c>
      <c r="F34" s="217"/>
      <c r="G34" s="362">
        <f>'2018A-1 (SRF)'!M16</f>
        <v>86255</v>
      </c>
      <c r="H34" s="405"/>
      <c r="I34" s="362">
        <f>'2018A-2 (SRF)'!M18</f>
        <v>1168570</v>
      </c>
      <c r="J34" s="405"/>
      <c r="K34" s="362">
        <f>'2019 (OM)'!K17</f>
        <v>567546.88</v>
      </c>
      <c r="L34" s="405"/>
      <c r="M34" s="362">
        <f>'2020 (OM)'!K15</f>
        <v>-0.01</v>
      </c>
      <c r="N34" s="405"/>
      <c r="O34" s="405"/>
      <c r="P34" s="405"/>
      <c r="Q34" s="362">
        <f t="shared" si="0"/>
        <v>3025218.75</v>
      </c>
      <c r="S34" s="390"/>
      <c r="T34" s="424"/>
      <c r="U34" s="424"/>
      <c r="V34" s="393"/>
      <c r="W34" s="424"/>
      <c r="X34" s="424"/>
      <c r="Y34" s="424"/>
      <c r="Z34" s="424"/>
      <c r="AA34" s="424"/>
      <c r="AB34" s="424"/>
      <c r="AC34" s="424"/>
      <c r="AD34" s="424"/>
      <c r="AE34" s="424"/>
      <c r="AF34" s="424"/>
      <c r="AG34" s="424"/>
      <c r="AH34" s="424"/>
      <c r="AI34" s="424"/>
      <c r="AJ34" s="424"/>
      <c r="AK34" s="424"/>
      <c r="AL34" s="424"/>
      <c r="AM34" s="424"/>
      <c r="AN34" s="424"/>
    </row>
    <row r="35" spans="1:40" hidden="1" x14ac:dyDescent="0.25">
      <c r="A35" s="48">
        <v>44197</v>
      </c>
      <c r="B35" s="48"/>
      <c r="C35" s="393">
        <f>'2016A'!K22</f>
        <v>2354700</v>
      </c>
      <c r="D35" s="393"/>
      <c r="E35" s="393">
        <f>'2016B'!K22</f>
        <v>1658146.88</v>
      </c>
      <c r="F35" s="217"/>
      <c r="G35" s="405">
        <f>'2018A-1 (SRF)'!M17</f>
        <v>2884558</v>
      </c>
      <c r="H35" s="405"/>
      <c r="I35" s="405">
        <f>'2018A-2 (SRF)'!M19</f>
        <v>1168570</v>
      </c>
      <c r="J35" s="405"/>
      <c r="K35" s="405">
        <f>'2019 (OM)'!K18</f>
        <v>1262546.8799999999</v>
      </c>
      <c r="L35" s="405"/>
      <c r="M35" s="405">
        <f>'2020 (OM)'!K16</f>
        <v>624618.42999999993</v>
      </c>
      <c r="N35" s="405"/>
      <c r="O35" s="405"/>
      <c r="P35" s="405"/>
      <c r="Q35" s="362">
        <f t="shared" si="0"/>
        <v>9953140.1899999995</v>
      </c>
      <c r="S35" s="358">
        <f>Q34+Q35</f>
        <v>12978358.939999999</v>
      </c>
      <c r="T35" s="424"/>
      <c r="U35" s="424"/>
      <c r="V35" s="393"/>
      <c r="W35" s="424"/>
      <c r="X35" s="424"/>
      <c r="Y35" s="424"/>
      <c r="Z35" s="424"/>
      <c r="AA35" s="424"/>
      <c r="AB35" s="424"/>
      <c r="AC35" s="424"/>
      <c r="AD35" s="424"/>
      <c r="AE35" s="424"/>
      <c r="AF35" s="424"/>
      <c r="AG35" s="424"/>
      <c r="AH35" s="424"/>
      <c r="AI35" s="424"/>
      <c r="AJ35" s="424"/>
      <c r="AK35" s="424"/>
      <c r="AL35" s="424"/>
      <c r="AM35" s="424"/>
      <c r="AN35" s="424"/>
    </row>
    <row r="36" spans="1:40" x14ac:dyDescent="0.25">
      <c r="A36" s="48">
        <v>44378</v>
      </c>
      <c r="B36" s="48"/>
      <c r="C36" s="362">
        <f>'2016A'!K23</f>
        <v>697200</v>
      </c>
      <c r="D36" s="393"/>
      <c r="E36" s="362">
        <f>'2016B'!K23</f>
        <v>455371.88</v>
      </c>
      <c r="F36" s="217"/>
      <c r="G36" s="362">
        <f>'2018A-1 (SRF)'!M18</f>
        <v>40782.58</v>
      </c>
      <c r="H36" s="405"/>
      <c r="I36" s="362">
        <f>'2018A-2 (SRF)'!M20</f>
        <v>1168570</v>
      </c>
      <c r="J36" s="405"/>
      <c r="K36" s="362">
        <f>'2019 (OM)'!K19</f>
        <v>560596.88</v>
      </c>
      <c r="L36" s="405"/>
      <c r="M36" s="362">
        <f>'2020 (OM)'!K17</f>
        <v>377701.3</v>
      </c>
      <c r="N36" s="405"/>
      <c r="O36" s="362">
        <f>'2021 (Level)'!K18</f>
        <v>0</v>
      </c>
      <c r="P36" s="405"/>
      <c r="Q36" s="362">
        <f t="shared" ref="Q36:Q73" si="1">SUM(C36:O36)</f>
        <v>3300222.6399999997</v>
      </c>
      <c r="S36" s="390"/>
      <c r="T36" s="424"/>
      <c r="U36" s="424"/>
      <c r="V36" s="587"/>
      <c r="W36" s="424"/>
      <c r="X36" s="587"/>
      <c r="Y36" s="424"/>
      <c r="Z36" s="424"/>
      <c r="AA36" s="424"/>
      <c r="AB36" s="424"/>
      <c r="AC36" s="424"/>
      <c r="AD36" s="424"/>
      <c r="AE36" s="424"/>
      <c r="AF36" s="424"/>
      <c r="AG36" s="424"/>
      <c r="AH36" s="424"/>
      <c r="AI36" s="424"/>
      <c r="AJ36" s="424"/>
      <c r="AK36" s="424"/>
      <c r="AL36" s="424"/>
      <c r="AM36" s="424"/>
      <c r="AN36" s="424"/>
    </row>
    <row r="37" spans="1:40" x14ac:dyDescent="0.25">
      <c r="A37" s="48">
        <v>44562</v>
      </c>
      <c r="B37" s="48"/>
      <c r="C37" s="393">
        <f>'2016A'!K24</f>
        <v>2302200</v>
      </c>
      <c r="D37" s="393"/>
      <c r="E37" s="393">
        <f>'2016B'!K24</f>
        <v>1670371.88</v>
      </c>
      <c r="F37" s="217"/>
      <c r="G37" s="405">
        <f>'2018A-1 (SRF)'!M19</f>
        <v>2550479.58</v>
      </c>
      <c r="H37" s="405"/>
      <c r="I37" s="405">
        <f>'2018A-2 (SRF)'!M21</f>
        <v>1548120</v>
      </c>
      <c r="J37" s="405"/>
      <c r="K37" s="405">
        <f>'2019 (OM)'!K20</f>
        <v>2065596.88</v>
      </c>
      <c r="L37" s="405"/>
      <c r="M37" s="405">
        <f>'2020 (OM)'!K18</f>
        <v>617701.30000000005</v>
      </c>
      <c r="N37" s="405"/>
      <c r="O37" s="405">
        <f>'2021 (Level)'!K19</f>
        <v>2810534.25</v>
      </c>
      <c r="P37" s="405"/>
      <c r="Q37" s="393">
        <f t="shared" si="1"/>
        <v>13565003.890000001</v>
      </c>
      <c r="S37" s="362">
        <f>Q36+Q37</f>
        <v>16865226.530000001</v>
      </c>
      <c r="T37" s="424"/>
      <c r="U37" s="424"/>
      <c r="V37" s="587"/>
      <c r="W37" s="424"/>
      <c r="X37" s="587"/>
      <c r="Y37" s="424"/>
      <c r="Z37" s="424"/>
      <c r="AA37" s="424"/>
      <c r="AB37" s="424"/>
      <c r="AC37" s="424"/>
      <c r="AD37" s="424"/>
      <c r="AE37" s="424"/>
      <c r="AF37" s="424"/>
      <c r="AG37" s="424"/>
      <c r="AH37" s="424"/>
      <c r="AI37" s="424"/>
      <c r="AJ37" s="424"/>
      <c r="AK37" s="424"/>
      <c r="AL37" s="424"/>
      <c r="AM37" s="424"/>
      <c r="AN37" s="424"/>
    </row>
    <row r="38" spans="1:40" x14ac:dyDescent="0.25">
      <c r="A38" s="48">
        <v>44743</v>
      </c>
      <c r="B38" s="48"/>
      <c r="C38" s="393">
        <f>'2016A'!K25</f>
        <v>665100</v>
      </c>
      <c r="D38" s="393"/>
      <c r="E38" s="393">
        <f>'2016B'!K25</f>
        <v>437146.88</v>
      </c>
      <c r="F38" s="217"/>
      <c r="G38" s="405"/>
      <c r="H38" s="405"/>
      <c r="I38" s="405">
        <f>'2018A-2 (SRF)'!M22</f>
        <v>1162402.31</v>
      </c>
      <c r="J38" s="405"/>
      <c r="K38" s="405">
        <f>'2019 (OM)'!K21</f>
        <v>545546.88</v>
      </c>
      <c r="L38" s="405"/>
      <c r="M38" s="405">
        <f>'2020 (OM)'!K19</f>
        <v>375703.3</v>
      </c>
      <c r="N38" s="405"/>
      <c r="O38" s="405">
        <f>'2021 (Level)'!K20</f>
        <v>116499.25</v>
      </c>
      <c r="P38" s="405"/>
      <c r="Q38" s="393">
        <f t="shared" si="1"/>
        <v>3302398.6199999996</v>
      </c>
      <c r="S38" s="213"/>
      <c r="T38" s="424"/>
      <c r="U38" s="424"/>
      <c r="V38" s="587"/>
      <c r="W38" s="424"/>
      <c r="X38" s="587"/>
      <c r="Y38" s="424"/>
      <c r="Z38" s="424"/>
      <c r="AA38" s="424"/>
      <c r="AB38" s="424"/>
      <c r="AC38" s="424"/>
      <c r="AD38" s="424"/>
      <c r="AE38" s="424"/>
      <c r="AF38" s="424"/>
      <c r="AG38" s="424"/>
      <c r="AH38" s="424"/>
      <c r="AI38" s="424"/>
      <c r="AJ38" s="424"/>
      <c r="AK38" s="424"/>
      <c r="AL38" s="424"/>
      <c r="AM38" s="424"/>
      <c r="AN38" s="424"/>
    </row>
    <row r="39" spans="1:40" x14ac:dyDescent="0.25">
      <c r="A39" s="48">
        <v>44927</v>
      </c>
      <c r="B39" s="48"/>
      <c r="C39" s="393">
        <f>'2016A'!K26</f>
        <v>2285100</v>
      </c>
      <c r="D39" s="393"/>
      <c r="E39" s="393">
        <f>'2016B'!K26</f>
        <v>1677146.88</v>
      </c>
      <c r="F39" s="217"/>
      <c r="G39" s="405"/>
      <c r="H39" s="405"/>
      <c r="I39" s="405">
        <f>'2018A-2 (SRF)'!M23</f>
        <v>4145550.31</v>
      </c>
      <c r="J39" s="405"/>
      <c r="K39" s="405">
        <f>'2019 (OM)'!K22</f>
        <v>2095546.88</v>
      </c>
      <c r="L39" s="405"/>
      <c r="M39" s="405">
        <f>'2020 (OM)'!K20</f>
        <v>620703.30000000005</v>
      </c>
      <c r="N39" s="405"/>
      <c r="O39" s="405">
        <f>'2021 (Level)'!K21</f>
        <v>3401499.25</v>
      </c>
      <c r="P39" s="405"/>
      <c r="Q39" s="393">
        <f t="shared" si="1"/>
        <v>14225546.620000001</v>
      </c>
      <c r="S39" s="358">
        <f>Q38+Q39</f>
        <v>17527945.240000002</v>
      </c>
      <c r="T39" s="424"/>
      <c r="U39" s="424"/>
      <c r="V39" s="587"/>
      <c r="W39" s="424"/>
      <c r="X39" s="587"/>
      <c r="Y39" s="424"/>
      <c r="Z39" s="424"/>
      <c r="AA39" s="424"/>
      <c r="AB39" s="424"/>
      <c r="AC39" s="424"/>
      <c r="AD39" s="424"/>
      <c r="AE39" s="424"/>
      <c r="AF39" s="424"/>
      <c r="AG39" s="424"/>
      <c r="AH39" s="424"/>
      <c r="AI39" s="424"/>
      <c r="AJ39" s="424"/>
      <c r="AK39" s="424"/>
      <c r="AL39" s="424"/>
      <c r="AM39" s="424"/>
      <c r="AN39" s="424"/>
    </row>
    <row r="40" spans="1:40" x14ac:dyDescent="0.25">
      <c r="A40" s="48">
        <v>45108</v>
      </c>
      <c r="B40" s="48"/>
      <c r="C40" s="393">
        <f>'2016A'!K27</f>
        <v>632700</v>
      </c>
      <c r="D40" s="393"/>
      <c r="E40" s="393">
        <f>'2016B'!K27</f>
        <v>418546.88</v>
      </c>
      <c r="F40" s="217"/>
      <c r="G40" s="405"/>
      <c r="H40" s="405"/>
      <c r="I40" s="405">
        <f>'2018A-2 (SRF)'!M24</f>
        <v>1113926.1599999999</v>
      </c>
      <c r="J40" s="405"/>
      <c r="K40" s="405">
        <f>'2019 (OM)'!K23</f>
        <v>530046.88</v>
      </c>
      <c r="L40" s="405"/>
      <c r="M40" s="405">
        <f>'2020 (OM)'!K21</f>
        <v>373633.05</v>
      </c>
      <c r="N40" s="405"/>
      <c r="O40" s="405">
        <f>'2021 (Level)'!K22</f>
        <v>110750.5</v>
      </c>
      <c r="P40" s="405"/>
      <c r="Q40" s="393">
        <f t="shared" si="1"/>
        <v>3179603.4699999997</v>
      </c>
      <c r="S40" s="213"/>
      <c r="T40" s="424"/>
      <c r="U40" s="424"/>
      <c r="V40" s="587"/>
      <c r="W40" s="424"/>
      <c r="X40" s="587"/>
      <c r="Y40" s="424"/>
      <c r="Z40" s="424"/>
      <c r="AA40" s="424"/>
      <c r="AB40" s="424"/>
      <c r="AC40" s="424"/>
      <c r="AD40" s="424"/>
      <c r="AE40" s="424"/>
      <c r="AF40" s="424"/>
      <c r="AG40" s="424"/>
      <c r="AH40" s="424"/>
      <c r="AI40" s="424"/>
      <c r="AJ40" s="424"/>
      <c r="AK40" s="424"/>
      <c r="AL40" s="424"/>
      <c r="AM40" s="424"/>
      <c r="AN40" s="424"/>
    </row>
    <row r="41" spans="1:40" x14ac:dyDescent="0.25">
      <c r="A41" s="48">
        <v>45292</v>
      </c>
      <c r="B41" s="48"/>
      <c r="C41" s="393">
        <f>'2016A'!K28</f>
        <v>2322700</v>
      </c>
      <c r="D41" s="393"/>
      <c r="E41" s="393">
        <f>'2016B'!K28</f>
        <v>1678546.88</v>
      </c>
      <c r="F41" s="217"/>
      <c r="G41" s="405"/>
      <c r="H41" s="405"/>
      <c r="I41" s="405">
        <f>'2018A-2 (SRF)'!M25</f>
        <v>4194026.16</v>
      </c>
      <c r="J41" s="405"/>
      <c r="K41" s="405">
        <f>'2019 (OM)'!K24</f>
        <v>2125046.88</v>
      </c>
      <c r="L41" s="405"/>
      <c r="M41" s="405">
        <f>'2020 (OM)'!K22</f>
        <v>623633.05000000005</v>
      </c>
      <c r="N41" s="405"/>
      <c r="O41" s="405">
        <f>'2021 (Level)'!K23</f>
        <v>3405750.5</v>
      </c>
      <c r="P41" s="405"/>
      <c r="Q41" s="393">
        <f t="shared" si="1"/>
        <v>14349703.470000001</v>
      </c>
      <c r="S41" s="358">
        <f>Q40+Q41</f>
        <v>17529306.940000001</v>
      </c>
      <c r="T41" s="424"/>
      <c r="U41" s="424"/>
      <c r="V41" s="393"/>
      <c r="W41" s="424"/>
      <c r="X41" s="424"/>
      <c r="Y41" s="424"/>
      <c r="Z41" s="424"/>
      <c r="AA41" s="424"/>
      <c r="AB41" s="424"/>
      <c r="AC41" s="424"/>
      <c r="AD41" s="424"/>
      <c r="AE41" s="424"/>
      <c r="AF41" s="424"/>
      <c r="AG41" s="424"/>
      <c r="AH41" s="424"/>
      <c r="AI41" s="424"/>
      <c r="AJ41" s="424"/>
      <c r="AK41" s="424"/>
      <c r="AL41" s="424"/>
      <c r="AM41" s="424"/>
      <c r="AN41" s="424"/>
    </row>
    <row r="42" spans="1:40" x14ac:dyDescent="0.25">
      <c r="A42" s="48">
        <v>45474</v>
      </c>
      <c r="B42" s="48"/>
      <c r="C42" s="393">
        <f>'2016A'!K29</f>
        <v>598900</v>
      </c>
      <c r="D42" s="393"/>
      <c r="E42" s="393">
        <f>'2016B'!K29</f>
        <v>399646.88</v>
      </c>
      <c r="F42" s="217"/>
      <c r="G42" s="405"/>
      <c r="H42" s="405"/>
      <c r="I42" s="405">
        <f>'2018A-2 (SRF)'!M26</f>
        <v>1063874.53</v>
      </c>
      <c r="J42" s="405"/>
      <c r="K42" s="405">
        <f>'2019 (OM)'!K25</f>
        <v>514096.88</v>
      </c>
      <c r="L42" s="405"/>
      <c r="M42" s="405">
        <f>'2020 (OM)'!K23</f>
        <v>371378.05</v>
      </c>
      <c r="N42" s="405"/>
      <c r="O42" s="405">
        <f>'2021 (Level)'!K24</f>
        <v>103336.75</v>
      </c>
      <c r="P42" s="405"/>
      <c r="Q42" s="393">
        <f t="shared" si="1"/>
        <v>3051233.09</v>
      </c>
      <c r="S42" s="213"/>
      <c r="T42" s="424"/>
      <c r="U42" s="424"/>
      <c r="V42" s="393"/>
      <c r="W42" s="424"/>
      <c r="X42" s="424"/>
      <c r="Y42" s="424"/>
      <c r="Z42" s="424"/>
      <c r="AA42" s="424"/>
      <c r="AB42" s="424"/>
      <c r="AC42" s="424"/>
      <c r="AD42" s="424"/>
      <c r="AE42" s="424"/>
      <c r="AF42" s="424"/>
      <c r="AG42" s="424"/>
      <c r="AH42" s="424"/>
      <c r="AI42" s="424"/>
      <c r="AJ42" s="424"/>
      <c r="AK42" s="424"/>
      <c r="AL42" s="424"/>
      <c r="AM42" s="424"/>
      <c r="AN42" s="424"/>
    </row>
    <row r="43" spans="1:40" x14ac:dyDescent="0.25">
      <c r="A43" s="48">
        <v>45658</v>
      </c>
      <c r="B43" s="48"/>
      <c r="C43" s="393">
        <f>'2016A'!K30</f>
        <v>2303900</v>
      </c>
      <c r="D43" s="393"/>
      <c r="E43" s="393">
        <f>'2016B'!K30</f>
        <v>1694646.88</v>
      </c>
      <c r="F43" s="144"/>
      <c r="G43" s="405"/>
      <c r="H43" s="393"/>
      <c r="I43" s="405">
        <f>'2018A-2 (SRF)'!M27</f>
        <v>4244078.53</v>
      </c>
      <c r="J43" s="393"/>
      <c r="K43" s="405">
        <f>'2019 (OM)'!K26</f>
        <v>2159096.88</v>
      </c>
      <c r="L43" s="393"/>
      <c r="M43" s="405">
        <f>'2020 (OM)'!K24</f>
        <v>626378.05000000005</v>
      </c>
      <c r="N43" s="393"/>
      <c r="O43" s="405">
        <f>'2021 (Level)'!K25</f>
        <v>3448336.75</v>
      </c>
      <c r="P43" s="393"/>
      <c r="Q43" s="393">
        <f t="shared" si="1"/>
        <v>14476437.09</v>
      </c>
      <c r="S43" s="358">
        <f>Q42+Q43</f>
        <v>17527670.18</v>
      </c>
      <c r="T43" s="424"/>
      <c r="U43" s="424"/>
      <c r="V43" s="393"/>
      <c r="W43" s="424"/>
      <c r="X43" s="424"/>
      <c r="Y43" s="424"/>
      <c r="Z43" s="424"/>
      <c r="AA43" s="424"/>
      <c r="AB43" s="424"/>
      <c r="AC43" s="424"/>
      <c r="AD43" s="424"/>
      <c r="AE43" s="424"/>
      <c r="AF43" s="424"/>
      <c r="AG43" s="424"/>
      <c r="AH43" s="424"/>
      <c r="AI43" s="424"/>
      <c r="AJ43" s="424"/>
      <c r="AK43" s="424"/>
      <c r="AL43" s="424"/>
      <c r="AM43" s="424"/>
      <c r="AN43" s="424"/>
    </row>
    <row r="44" spans="1:40" x14ac:dyDescent="0.25">
      <c r="A44" s="48">
        <v>45839</v>
      </c>
      <c r="B44" s="48"/>
      <c r="C44" s="393">
        <f>'2016A'!K31</f>
        <v>564800</v>
      </c>
      <c r="D44" s="393"/>
      <c r="E44" s="393">
        <f>'2016B'!K31</f>
        <v>380221.88</v>
      </c>
      <c r="F44" s="144"/>
      <c r="G44" s="405"/>
      <c r="H44" s="393"/>
      <c r="I44" s="405">
        <f>'2018A-2 (SRF)'!M28</f>
        <v>1012196.22</v>
      </c>
      <c r="J44" s="393"/>
      <c r="K44" s="405">
        <f>'2019 (OM)'!K27</f>
        <v>489421.88</v>
      </c>
      <c r="L44" s="393"/>
      <c r="M44" s="405">
        <f>'2020 (OM)'!K25</f>
        <v>369014.2</v>
      </c>
      <c r="N44" s="393"/>
      <c r="O44" s="405">
        <f>'2021 (Level)'!K26</f>
        <v>91963.75</v>
      </c>
      <c r="P44" s="393"/>
      <c r="Q44" s="393">
        <f t="shared" si="1"/>
        <v>2907617.93</v>
      </c>
      <c r="S44" s="358"/>
      <c r="T44" s="424"/>
      <c r="U44" s="424"/>
      <c r="V44" s="393"/>
      <c r="W44" s="424"/>
      <c r="X44" s="424"/>
      <c r="Y44" s="424"/>
      <c r="Z44" s="424"/>
      <c r="AA44" s="424"/>
      <c r="AB44" s="424"/>
      <c r="AC44" s="424"/>
      <c r="AD44" s="424"/>
      <c r="AE44" s="424"/>
      <c r="AF44" s="424"/>
      <c r="AG44" s="424"/>
      <c r="AH44" s="424"/>
      <c r="AI44" s="424"/>
      <c r="AJ44" s="424"/>
      <c r="AK44" s="424"/>
      <c r="AL44" s="424"/>
      <c r="AM44" s="424"/>
      <c r="AN44" s="424"/>
    </row>
    <row r="45" spans="1:40" x14ac:dyDescent="0.25">
      <c r="A45" s="48">
        <v>46023</v>
      </c>
      <c r="B45" s="48"/>
      <c r="C45" s="393">
        <f>'2016A'!K32</f>
        <v>2159800</v>
      </c>
      <c r="D45" s="393"/>
      <c r="E45" s="393">
        <f>'2016B'!K32</f>
        <v>4465221.88</v>
      </c>
      <c r="F45" s="144"/>
      <c r="G45" s="405"/>
      <c r="H45" s="393"/>
      <c r="I45" s="405">
        <f>'2018A-2 (SRF)'!M29</f>
        <v>4295756.22</v>
      </c>
      <c r="J45" s="393"/>
      <c r="K45" s="405">
        <f>'2019 (OM)'!K28</f>
        <v>2179421.88</v>
      </c>
      <c r="L45" s="393"/>
      <c r="M45" s="405">
        <f>'2020 (OM)'!K26</f>
        <v>624014.19999999995</v>
      </c>
      <c r="N45" s="393"/>
      <c r="O45" s="405">
        <f>'2021 (Level)'!K27</f>
        <v>896963.75</v>
      </c>
      <c r="P45" s="393"/>
      <c r="Q45" s="393">
        <f t="shared" si="1"/>
        <v>14621177.93</v>
      </c>
      <c r="S45" s="358">
        <f>Q44+Q45</f>
        <v>17528795.859999999</v>
      </c>
      <c r="T45" s="424"/>
      <c r="U45" s="424"/>
      <c r="V45" s="393"/>
      <c r="W45" s="424"/>
      <c r="X45" s="424"/>
      <c r="Y45" s="424"/>
      <c r="Z45" s="424"/>
      <c r="AA45" s="424"/>
      <c r="AB45" s="424"/>
      <c r="AC45" s="424"/>
      <c r="AD45" s="424"/>
      <c r="AE45" s="424"/>
      <c r="AF45" s="424"/>
      <c r="AG45" s="424"/>
      <c r="AH45" s="424"/>
      <c r="AI45" s="424"/>
      <c r="AJ45" s="424"/>
      <c r="AK45" s="424"/>
      <c r="AL45" s="424"/>
      <c r="AM45" s="424"/>
      <c r="AN45" s="424"/>
    </row>
    <row r="46" spans="1:40" x14ac:dyDescent="0.25">
      <c r="A46" s="48">
        <v>46204</v>
      </c>
      <c r="B46" s="48"/>
      <c r="C46" s="393">
        <f>'2016A'!K33</f>
        <v>532900</v>
      </c>
      <c r="D46" s="393"/>
      <c r="E46" s="393">
        <f>'2016B'!K33</f>
        <v>318946.88</v>
      </c>
      <c r="F46" s="144"/>
      <c r="G46" s="405"/>
      <c r="H46" s="393"/>
      <c r="I46" s="405">
        <f>'2018A-2 (SRF)'!M30</f>
        <v>958838.37</v>
      </c>
      <c r="J46" s="393"/>
      <c r="K46" s="405">
        <f>'2019 (OM)'!K29</f>
        <v>464071.88</v>
      </c>
      <c r="L46" s="393"/>
      <c r="M46" s="405">
        <f>'2020 (OM)'!K27</f>
        <v>366462.93</v>
      </c>
      <c r="N46" s="393"/>
      <c r="O46" s="405">
        <f>'2021 (Level)'!K28</f>
        <v>87938.75</v>
      </c>
      <c r="P46" s="393"/>
      <c r="Q46" s="393">
        <f t="shared" si="1"/>
        <v>2729158.81</v>
      </c>
      <c r="S46" s="358"/>
      <c r="T46" s="424"/>
      <c r="U46" s="424"/>
      <c r="V46" s="393"/>
      <c r="W46" s="424"/>
      <c r="X46" s="424"/>
      <c r="Y46" s="424"/>
      <c r="Z46" s="424"/>
      <c r="AA46" s="424"/>
      <c r="AB46" s="424"/>
      <c r="AC46" s="424"/>
      <c r="AD46" s="424"/>
      <c r="AE46" s="424"/>
      <c r="AF46" s="424"/>
      <c r="AG46" s="424"/>
      <c r="AH46" s="424"/>
      <c r="AI46" s="424"/>
      <c r="AJ46" s="424"/>
      <c r="AK46" s="424"/>
      <c r="AL46" s="424"/>
      <c r="AM46" s="424"/>
      <c r="AN46" s="424"/>
    </row>
    <row r="47" spans="1:40" x14ac:dyDescent="0.25">
      <c r="A47" s="48">
        <v>46388</v>
      </c>
      <c r="B47" s="48"/>
      <c r="C47" s="393">
        <f>'2016A'!K34</f>
        <v>2192900</v>
      </c>
      <c r="D47" s="393"/>
      <c r="E47" s="393">
        <f>'2016B'!K34</f>
        <v>4523946.88</v>
      </c>
      <c r="F47" s="144"/>
      <c r="G47" s="405"/>
      <c r="H47" s="393"/>
      <c r="I47" s="405">
        <f>'2018A-2 (SRF)'!M31</f>
        <v>4349114.37</v>
      </c>
      <c r="J47" s="393"/>
      <c r="K47" s="405">
        <f>'2019 (OM)'!K30</f>
        <v>2209071.88</v>
      </c>
      <c r="L47" s="393"/>
      <c r="M47" s="405">
        <f>'2020 (OM)'!K28</f>
        <v>631462.92999999993</v>
      </c>
      <c r="N47" s="393"/>
      <c r="O47" s="405">
        <f>'2021 (Level)'!K29</f>
        <v>892938.75</v>
      </c>
      <c r="P47" s="393"/>
      <c r="Q47" s="393">
        <f t="shared" si="1"/>
        <v>14799434.809999999</v>
      </c>
      <c r="S47" s="358">
        <f>Q46+Q47</f>
        <v>17528593.619999997</v>
      </c>
      <c r="T47" s="424"/>
      <c r="U47" s="424"/>
      <c r="V47" s="393"/>
      <c r="W47" s="424"/>
      <c r="X47" s="424"/>
      <c r="Y47" s="424"/>
      <c r="Z47" s="424"/>
      <c r="AA47" s="424"/>
      <c r="AB47" s="424"/>
      <c r="AC47" s="424"/>
      <c r="AD47" s="424"/>
      <c r="AE47" s="424"/>
      <c r="AF47" s="424"/>
      <c r="AG47" s="424"/>
      <c r="AH47" s="424"/>
      <c r="AI47" s="424"/>
      <c r="AJ47" s="424"/>
      <c r="AK47" s="424"/>
      <c r="AL47" s="424"/>
      <c r="AM47" s="424"/>
      <c r="AN47" s="424"/>
    </row>
    <row r="48" spans="1:40" x14ac:dyDescent="0.25">
      <c r="A48" s="48">
        <v>46569</v>
      </c>
      <c r="B48" s="48"/>
      <c r="C48" s="393">
        <f>'2016A'!K35</f>
        <v>499700</v>
      </c>
      <c r="D48" s="393"/>
      <c r="E48" s="393">
        <f>'2016B'!K35</f>
        <v>253243.75</v>
      </c>
      <c r="F48" s="144"/>
      <c r="G48" s="405"/>
      <c r="H48" s="393"/>
      <c r="I48" s="405">
        <f>'2018A-2 (SRF)'!M32</f>
        <v>903746.38</v>
      </c>
      <c r="J48" s="393"/>
      <c r="K48" s="405">
        <f>'2019 (OM)'!K31</f>
        <v>437896.88</v>
      </c>
      <c r="L48" s="393"/>
      <c r="M48" s="405">
        <f>'2020 (OM)'!K29</f>
        <v>363679.1</v>
      </c>
      <c r="N48" s="393"/>
      <c r="O48" s="405">
        <f>'2021 (Level)'!K30</f>
        <v>79888.75</v>
      </c>
      <c r="P48" s="393"/>
      <c r="Q48" s="393">
        <f t="shared" si="1"/>
        <v>2538154.86</v>
      </c>
      <c r="S48" s="358"/>
      <c r="T48" s="424"/>
      <c r="U48" s="424"/>
      <c r="V48" s="393"/>
      <c r="W48" s="424"/>
      <c r="X48" s="424"/>
      <c r="Y48" s="424"/>
      <c r="Z48" s="424"/>
      <c r="AA48" s="424"/>
      <c r="AB48" s="424"/>
      <c r="AC48" s="424"/>
      <c r="AD48" s="424"/>
      <c r="AE48" s="424"/>
      <c r="AF48" s="424"/>
      <c r="AG48" s="424"/>
      <c r="AH48" s="424"/>
      <c r="AI48" s="424"/>
      <c r="AJ48" s="424"/>
      <c r="AK48" s="424"/>
      <c r="AL48" s="424"/>
      <c r="AM48" s="424"/>
      <c r="AN48" s="424"/>
    </row>
    <row r="49" spans="1:40" x14ac:dyDescent="0.25">
      <c r="A49" s="48">
        <v>46753</v>
      </c>
      <c r="B49" s="48"/>
      <c r="C49" s="393">
        <f>'2016A'!K36</f>
        <v>2149700</v>
      </c>
      <c r="D49" s="393"/>
      <c r="E49" s="393">
        <f>'2016B'!K36</f>
        <v>4588243.75</v>
      </c>
      <c r="F49" s="144"/>
      <c r="G49" s="405"/>
      <c r="H49" s="393"/>
      <c r="I49" s="405">
        <f>'2018A-2 (SRF)'!M33</f>
        <v>4404206.38</v>
      </c>
      <c r="J49" s="393"/>
      <c r="K49" s="405">
        <f>'2019 (OM)'!K32</f>
        <v>2232896.88</v>
      </c>
      <c r="L49" s="393"/>
      <c r="M49" s="405">
        <f>'2020 (OM)'!K30</f>
        <v>633679.1</v>
      </c>
      <c r="N49" s="393"/>
      <c r="O49" s="405">
        <f>'2021 (Level)'!K31</f>
        <v>984888.75</v>
      </c>
      <c r="P49" s="393"/>
      <c r="Q49" s="393">
        <f t="shared" si="1"/>
        <v>14993614.859999998</v>
      </c>
      <c r="S49" s="358">
        <f>Q48+Q49</f>
        <v>17531769.719999999</v>
      </c>
      <c r="T49" s="424"/>
      <c r="U49" s="424"/>
      <c r="V49" s="393"/>
      <c r="W49" s="424"/>
      <c r="X49" s="424"/>
      <c r="Y49" s="424"/>
      <c r="Z49" s="424"/>
      <c r="AA49" s="424"/>
      <c r="AB49" s="424"/>
      <c r="AC49" s="424"/>
      <c r="AD49" s="424"/>
      <c r="AE49" s="424"/>
      <c r="AF49" s="424"/>
      <c r="AG49" s="424"/>
      <c r="AH49" s="424"/>
      <c r="AI49" s="424"/>
      <c r="AJ49" s="424"/>
      <c r="AK49" s="424"/>
      <c r="AL49" s="424"/>
      <c r="AM49" s="424"/>
      <c r="AN49" s="424"/>
    </row>
    <row r="50" spans="1:40" x14ac:dyDescent="0.25">
      <c r="A50" s="48">
        <v>46935</v>
      </c>
      <c r="B50" s="48"/>
      <c r="C50" s="393">
        <f>'2016A'!K37</f>
        <v>466700</v>
      </c>
      <c r="D50" s="393"/>
      <c r="E50" s="393">
        <f>'2016B'!K37</f>
        <v>182800</v>
      </c>
      <c r="F50" s="144"/>
      <c r="G50" s="405"/>
      <c r="H50" s="393"/>
      <c r="I50" s="405">
        <f>'2018A-2 (SRF)'!M34</f>
        <v>846863.91</v>
      </c>
      <c r="J50" s="393"/>
      <c r="K50" s="405">
        <f>'2019 (OM)'!K33</f>
        <v>410971.88</v>
      </c>
      <c r="L50" s="393"/>
      <c r="M50" s="405">
        <f>'2020 (OM)'!K31</f>
        <v>360725.3</v>
      </c>
      <c r="N50" s="393"/>
      <c r="O50" s="405">
        <f>'2021 (Level)'!K32</f>
        <v>73101.25</v>
      </c>
      <c r="P50" s="393"/>
      <c r="Q50" s="393">
        <f t="shared" si="1"/>
        <v>2341162.34</v>
      </c>
      <c r="S50" s="358"/>
      <c r="T50" s="424"/>
      <c r="U50" s="424"/>
      <c r="V50" s="393"/>
      <c r="W50" s="424"/>
      <c r="X50" s="424"/>
      <c r="Y50" s="424"/>
      <c r="Z50" s="424"/>
      <c r="AA50" s="424"/>
      <c r="AB50" s="424"/>
      <c r="AC50" s="424"/>
      <c r="AD50" s="424"/>
      <c r="AE50" s="424"/>
      <c r="AF50" s="424"/>
      <c r="AG50" s="424"/>
      <c r="AH50" s="424"/>
      <c r="AI50" s="424"/>
      <c r="AJ50" s="424"/>
      <c r="AK50" s="424"/>
      <c r="AL50" s="424"/>
      <c r="AM50" s="424"/>
      <c r="AN50" s="424"/>
    </row>
    <row r="51" spans="1:40" x14ac:dyDescent="0.25">
      <c r="A51" s="48">
        <v>47119</v>
      </c>
      <c r="B51" s="48"/>
      <c r="C51" s="393">
        <f>'2016A'!K38</f>
        <v>2116700</v>
      </c>
      <c r="D51" s="393"/>
      <c r="E51" s="393">
        <f>'2016B'!K38</f>
        <v>4662800</v>
      </c>
      <c r="F51" s="144"/>
      <c r="G51" s="405"/>
      <c r="H51" s="393"/>
      <c r="I51" s="405">
        <f>'2018A-2 (SRF)'!M35</f>
        <v>4461088.91</v>
      </c>
      <c r="J51" s="393"/>
      <c r="K51" s="405">
        <f>'2019 (OM)'!K34</f>
        <v>2260971.88</v>
      </c>
      <c r="L51" s="393"/>
      <c r="M51" s="405">
        <f>'2020 (OM)'!K32</f>
        <v>635725.30000000005</v>
      </c>
      <c r="N51" s="393"/>
      <c r="O51" s="405">
        <f>'2021 (Level)'!K33</f>
        <v>1053101.25</v>
      </c>
      <c r="P51" s="393"/>
      <c r="Q51" s="393">
        <f t="shared" si="1"/>
        <v>15190387.34</v>
      </c>
      <c r="S51" s="358">
        <f>Q50+Q51</f>
        <v>17531549.68</v>
      </c>
      <c r="T51" s="424"/>
      <c r="U51" s="424"/>
      <c r="V51" s="393"/>
      <c r="W51" s="424"/>
      <c r="X51" s="424"/>
      <c r="Y51" s="424"/>
      <c r="Z51" s="424"/>
      <c r="AA51" s="424"/>
      <c r="AB51" s="424"/>
      <c r="AC51" s="424"/>
      <c r="AD51" s="424"/>
      <c r="AE51" s="424"/>
      <c r="AF51" s="424"/>
      <c r="AG51" s="424"/>
      <c r="AH51" s="424"/>
      <c r="AI51" s="424"/>
      <c r="AJ51" s="424"/>
      <c r="AK51" s="424"/>
      <c r="AL51" s="424"/>
      <c r="AM51" s="424"/>
      <c r="AN51" s="424"/>
    </row>
    <row r="52" spans="1:40" x14ac:dyDescent="0.25">
      <c r="A52" s="48">
        <v>47300</v>
      </c>
      <c r="B52" s="48"/>
      <c r="C52" s="393">
        <f>'2016A'!K39</f>
        <v>433700</v>
      </c>
      <c r="D52" s="393"/>
      <c r="E52" s="393">
        <f>'2016B'!K39</f>
        <v>93200</v>
      </c>
      <c r="F52" s="144"/>
      <c r="G52" s="405"/>
      <c r="H52" s="393"/>
      <c r="I52" s="405">
        <f>'2018A-2 (SRF)'!M36</f>
        <v>788132.75</v>
      </c>
      <c r="J52" s="393"/>
      <c r="K52" s="405">
        <f>'2019 (OM)'!K35</f>
        <v>383221.88</v>
      </c>
      <c r="L52" s="393"/>
      <c r="M52" s="405">
        <f>'2020 (OM)'!K33</f>
        <v>357579.3</v>
      </c>
      <c r="N52" s="393"/>
      <c r="O52" s="405">
        <f>'2021 (Level)'!K34</f>
        <v>66731.25</v>
      </c>
      <c r="P52" s="393"/>
      <c r="Q52" s="393">
        <f t="shared" si="1"/>
        <v>2122565.1799999997</v>
      </c>
      <c r="S52" s="217"/>
      <c r="T52" s="424"/>
      <c r="U52" s="424"/>
      <c r="V52" s="393"/>
      <c r="W52" s="424"/>
      <c r="X52" s="424"/>
      <c r="Y52" s="424"/>
      <c r="Z52" s="424"/>
      <c r="AA52" s="424"/>
      <c r="AB52" s="424"/>
      <c r="AC52" s="424"/>
      <c r="AD52" s="424"/>
      <c r="AE52" s="424"/>
      <c r="AF52" s="424"/>
      <c r="AG52" s="424"/>
      <c r="AH52" s="424"/>
      <c r="AI52" s="424"/>
      <c r="AJ52" s="424"/>
      <c r="AK52" s="424"/>
      <c r="AL52" s="424"/>
      <c r="AM52" s="424"/>
      <c r="AN52" s="424"/>
    </row>
    <row r="53" spans="1:40" x14ac:dyDescent="0.25">
      <c r="A53" s="48">
        <v>47484</v>
      </c>
      <c r="B53" s="48"/>
      <c r="C53" s="393">
        <f>'2016A'!K40</f>
        <v>2103700</v>
      </c>
      <c r="D53" s="393"/>
      <c r="E53" s="393">
        <f>'2016B'!K40</f>
        <v>4753200</v>
      </c>
      <c r="F53" s="144"/>
      <c r="G53" s="405"/>
      <c r="H53" s="393"/>
      <c r="I53" s="405">
        <f>'2018A-2 (SRF)'!M37</f>
        <v>4519819.75</v>
      </c>
      <c r="J53" s="393"/>
      <c r="K53" s="405">
        <f>'2019 (OM)'!K36</f>
        <v>2288221.88</v>
      </c>
      <c r="L53" s="393"/>
      <c r="M53" s="405">
        <f>'2020 (OM)'!K34</f>
        <v>637579.30000000005</v>
      </c>
      <c r="N53" s="393"/>
      <c r="O53" s="405">
        <f>'2021 (Level)'!K35</f>
        <v>1106731.25</v>
      </c>
      <c r="P53" s="393"/>
      <c r="Q53" s="393">
        <f t="shared" si="1"/>
        <v>15409252.18</v>
      </c>
      <c r="R53" s="222"/>
      <c r="S53" s="144">
        <f>Q52+Q53</f>
        <v>17531817.359999999</v>
      </c>
      <c r="T53" s="424"/>
      <c r="U53" s="424"/>
      <c r="V53" s="362"/>
      <c r="W53" s="424"/>
      <c r="X53" s="362"/>
      <c r="Y53" s="424"/>
      <c r="Z53" s="424"/>
      <c r="AA53" s="424"/>
      <c r="AB53" s="424"/>
      <c r="AC53" s="424"/>
      <c r="AD53" s="424"/>
      <c r="AE53" s="424"/>
      <c r="AF53" s="424"/>
      <c r="AG53" s="424"/>
      <c r="AH53" s="424"/>
      <c r="AI53" s="424"/>
      <c r="AJ53" s="424"/>
      <c r="AK53" s="424"/>
      <c r="AL53" s="424"/>
      <c r="AM53" s="424"/>
      <c r="AN53" s="424"/>
    </row>
    <row r="54" spans="1:40" x14ac:dyDescent="0.25">
      <c r="A54" s="48">
        <v>47665</v>
      </c>
      <c r="B54" s="48"/>
      <c r="C54" s="393">
        <f>'2016A'!K41</f>
        <v>400300</v>
      </c>
      <c r="D54" s="393"/>
      <c r="E54" s="393"/>
      <c r="G54" s="405"/>
      <c r="I54" s="405">
        <f>'2018A-2 (SRF)'!M38</f>
        <v>727492.84</v>
      </c>
      <c r="K54" s="405">
        <f>'2019 (OM)'!K37</f>
        <v>354646.88</v>
      </c>
      <c r="M54" s="405">
        <f>'2020 (OM)'!K35</f>
        <v>354306.1</v>
      </c>
      <c r="O54" s="405">
        <f>'2021 (Level)'!K36</f>
        <v>59971.25</v>
      </c>
      <c r="Q54" s="393">
        <f t="shared" si="1"/>
        <v>1896717.0699999998</v>
      </c>
      <c r="T54" s="424"/>
      <c r="U54" s="424"/>
      <c r="V54" s="362"/>
      <c r="W54" s="424"/>
      <c r="X54" s="362"/>
      <c r="Y54" s="424"/>
      <c r="Z54" s="424"/>
      <c r="AA54" s="424"/>
      <c r="AB54" s="424"/>
      <c r="AC54" s="424"/>
      <c r="AD54" s="424"/>
      <c r="AE54" s="424"/>
      <c r="AF54" s="424"/>
      <c r="AG54" s="424"/>
      <c r="AH54" s="424"/>
      <c r="AI54" s="424"/>
      <c r="AJ54" s="424"/>
      <c r="AK54" s="424"/>
      <c r="AL54" s="424"/>
      <c r="AM54" s="424"/>
      <c r="AN54" s="424"/>
    </row>
    <row r="55" spans="1:40" x14ac:dyDescent="0.25">
      <c r="A55" s="48">
        <v>47849</v>
      </c>
      <c r="B55" s="48"/>
      <c r="C55" s="393">
        <f>'2016A'!K42</f>
        <v>1755300</v>
      </c>
      <c r="D55" s="393"/>
      <c r="E55" s="393"/>
      <c r="F55" s="144"/>
      <c r="G55" s="405"/>
      <c r="H55" s="393"/>
      <c r="I55" s="405">
        <f>'2018A-2 (SRF)'!M39</f>
        <v>4580459.84</v>
      </c>
      <c r="J55" s="393"/>
      <c r="K55" s="405">
        <f>'2019 (OM)'!K38</f>
        <v>2314646.88</v>
      </c>
      <c r="L55" s="393"/>
      <c r="M55" s="405">
        <f>'2020 (OM)'!K36</f>
        <v>5629306.0999999996</v>
      </c>
      <c r="N55" s="393"/>
      <c r="O55" s="405">
        <f>'2021 (Level)'!K37</f>
        <v>1164971.25</v>
      </c>
      <c r="P55" s="393"/>
      <c r="Q55" s="393">
        <f t="shared" si="1"/>
        <v>15444684.069999998</v>
      </c>
      <c r="S55" s="144">
        <f>Q54+Q55</f>
        <v>17341401.139999997</v>
      </c>
      <c r="T55" s="424"/>
      <c r="U55" s="424"/>
      <c r="V55" s="362"/>
      <c r="W55" s="424"/>
      <c r="X55" s="362"/>
      <c r="Y55" s="424"/>
      <c r="Z55" s="424"/>
      <c r="AA55" s="424"/>
      <c r="AB55" s="424"/>
      <c r="AC55" s="424"/>
      <c r="AD55" s="424"/>
      <c r="AE55" s="424"/>
      <c r="AF55" s="424"/>
      <c r="AG55" s="424"/>
      <c r="AH55" s="424"/>
      <c r="AI55" s="424"/>
      <c r="AJ55" s="424"/>
      <c r="AK55" s="424"/>
      <c r="AL55" s="424"/>
      <c r="AM55" s="424"/>
      <c r="AN55" s="424"/>
    </row>
    <row r="56" spans="1:40" x14ac:dyDescent="0.25">
      <c r="A56" s="48">
        <v>48030</v>
      </c>
      <c r="B56" s="48"/>
      <c r="C56" s="393">
        <f>'2016A'!K43</f>
        <v>373200</v>
      </c>
      <c r="D56" s="393"/>
      <c r="E56" s="393"/>
      <c r="F56" s="144"/>
      <c r="G56" s="405"/>
      <c r="H56" s="393"/>
      <c r="I56" s="405">
        <f>'2018A-2 (SRF)'!M40</f>
        <v>664882.12</v>
      </c>
      <c r="J56" s="393"/>
      <c r="K56" s="405">
        <f>'2019 (OM)'!K39</f>
        <v>325246.88</v>
      </c>
      <c r="L56" s="393"/>
      <c r="M56" s="405">
        <f>'2020 (OM)'!K37</f>
        <v>292113.84999999998</v>
      </c>
      <c r="N56" s="393"/>
      <c r="O56" s="405">
        <f>'2021 (Level)'!K38</f>
        <v>52236.25</v>
      </c>
      <c r="P56" s="393"/>
      <c r="Q56" s="393">
        <f t="shared" si="1"/>
        <v>1707679.1</v>
      </c>
      <c r="S56" s="144"/>
      <c r="T56" s="424"/>
      <c r="U56" s="424"/>
      <c r="V56" s="362"/>
      <c r="W56" s="424"/>
      <c r="X56" s="424"/>
      <c r="Y56" s="419"/>
      <c r="Z56" s="414"/>
      <c r="AA56" s="424"/>
      <c r="AB56" s="424"/>
      <c r="AC56" s="424"/>
      <c r="AD56" s="424"/>
      <c r="AE56" s="424"/>
      <c r="AF56" s="424"/>
      <c r="AG56" s="424"/>
      <c r="AH56" s="424"/>
      <c r="AI56" s="424"/>
      <c r="AJ56" s="424"/>
      <c r="AK56" s="424"/>
      <c r="AL56" s="424"/>
      <c r="AM56" s="424"/>
      <c r="AN56" s="424"/>
    </row>
    <row r="57" spans="1:40" x14ac:dyDescent="0.25">
      <c r="A57" s="48">
        <v>48214</v>
      </c>
      <c r="B57" s="48"/>
      <c r="C57" s="393">
        <f>'2016A'!K44</f>
        <v>1623200</v>
      </c>
      <c r="D57" s="393"/>
      <c r="E57" s="393"/>
      <c r="F57" s="144"/>
      <c r="G57" s="405"/>
      <c r="H57" s="393"/>
      <c r="I57" s="405">
        <f>'2018A-2 (SRF)'!M41</f>
        <v>4643070.12</v>
      </c>
      <c r="J57" s="393"/>
      <c r="K57" s="405">
        <f>'2019 (OM)'!K40</f>
        <v>2350246.88</v>
      </c>
      <c r="L57" s="393"/>
      <c r="M57" s="405">
        <f>'2020 (OM)'!K38</f>
        <v>5727113.8499999996</v>
      </c>
      <c r="N57" s="393"/>
      <c r="O57" s="405">
        <f>'2021 (Level)'!K39</f>
        <v>1287236.25</v>
      </c>
      <c r="P57" s="393"/>
      <c r="Q57" s="393">
        <f t="shared" si="1"/>
        <v>15630867.1</v>
      </c>
      <c r="S57" s="144">
        <f>Q56+Q57</f>
        <v>17338546.199999999</v>
      </c>
      <c r="T57" s="424"/>
      <c r="U57" s="424"/>
      <c r="V57" s="362"/>
      <c r="W57" s="424"/>
      <c r="X57" s="424"/>
      <c r="Y57" s="419"/>
      <c r="Z57" s="414"/>
      <c r="AA57" s="424"/>
      <c r="AB57" s="424"/>
      <c r="AC57" s="424"/>
      <c r="AD57" s="424"/>
      <c r="AE57" s="424"/>
      <c r="AF57" s="424"/>
      <c r="AG57" s="424"/>
      <c r="AH57" s="424"/>
      <c r="AI57" s="424"/>
      <c r="AJ57" s="424"/>
      <c r="AK57" s="424"/>
      <c r="AL57" s="424"/>
      <c r="AM57" s="424"/>
      <c r="AN57" s="424"/>
    </row>
    <row r="58" spans="1:40" x14ac:dyDescent="0.25">
      <c r="A58" s="48">
        <v>48396</v>
      </c>
      <c r="B58" s="48"/>
      <c r="C58" s="393">
        <f>'2016A'!K45</f>
        <v>348200</v>
      </c>
      <c r="D58" s="393"/>
      <c r="E58" s="393"/>
      <c r="F58" s="144"/>
      <c r="G58" s="405"/>
      <c r="H58" s="393"/>
      <c r="I58" s="405">
        <f>'2018A-2 (SRF)'!M42</f>
        <v>600236.56999999995</v>
      </c>
      <c r="J58" s="393"/>
      <c r="K58" s="405">
        <f>'2019 (OM)'!K41</f>
        <v>294871.88</v>
      </c>
      <c r="L58" s="393"/>
      <c r="M58" s="405">
        <f>'2020 (OM)'!K39</f>
        <v>225317.7</v>
      </c>
      <c r="N58" s="393"/>
      <c r="O58" s="405">
        <f>'2021 (Level)'!K40</f>
        <v>42973.75</v>
      </c>
      <c r="P58" s="393"/>
      <c r="Q58" s="393">
        <f t="shared" si="1"/>
        <v>1511599.9</v>
      </c>
      <c r="S58" s="144"/>
      <c r="T58" s="424"/>
      <c r="U58" s="424"/>
      <c r="V58" s="362"/>
      <c r="W58" s="424"/>
      <c r="X58" s="424"/>
      <c r="Y58" s="414"/>
      <c r="Z58" s="414"/>
      <c r="AA58" s="417"/>
      <c r="AB58" s="414"/>
      <c r="AC58" s="414"/>
      <c r="AD58" s="414"/>
      <c r="AE58" s="419"/>
      <c r="AF58" s="424"/>
      <c r="AG58" s="424"/>
      <c r="AH58" s="424"/>
      <c r="AI58" s="424"/>
      <c r="AJ58" s="424"/>
      <c r="AK58" s="424"/>
      <c r="AL58" s="424"/>
      <c r="AM58" s="424"/>
      <c r="AN58" s="424"/>
    </row>
    <row r="59" spans="1:40" x14ac:dyDescent="0.25">
      <c r="A59" s="48">
        <v>48580</v>
      </c>
      <c r="B59" s="48"/>
      <c r="C59" s="393">
        <f>'2016A'!K46</f>
        <v>1598200</v>
      </c>
      <c r="D59" s="393"/>
      <c r="E59" s="393"/>
      <c r="F59" s="144"/>
      <c r="G59" s="405"/>
      <c r="H59" s="393"/>
      <c r="I59" s="405">
        <f>'2018A-2 (SRF)'!M43</f>
        <v>4707715.57</v>
      </c>
      <c r="J59" s="393"/>
      <c r="K59" s="405">
        <f>'2019 (OM)'!K42</f>
        <v>2384871.88</v>
      </c>
      <c r="L59" s="393"/>
      <c r="M59" s="405">
        <f>'2020 (OM)'!K40</f>
        <v>5840317.7000000002</v>
      </c>
      <c r="N59" s="393"/>
      <c r="O59" s="405">
        <f>'2021 (Level)'!K41</f>
        <v>1297973.75</v>
      </c>
      <c r="P59" s="393"/>
      <c r="Q59" s="393">
        <f t="shared" si="1"/>
        <v>15829078.899999999</v>
      </c>
      <c r="S59" s="144">
        <f>Q58+Q59</f>
        <v>17340678.799999997</v>
      </c>
      <c r="T59" s="424"/>
      <c r="U59" s="424"/>
      <c r="V59" s="362"/>
      <c r="W59" s="424"/>
      <c r="X59" s="424"/>
      <c r="Y59" s="414"/>
      <c r="Z59" s="414"/>
      <c r="AA59" s="417"/>
      <c r="AB59" s="414"/>
      <c r="AC59" s="414"/>
      <c r="AD59" s="414"/>
      <c r="AE59" s="419"/>
      <c r="AF59" s="424"/>
      <c r="AG59" s="424"/>
      <c r="AH59" s="424"/>
      <c r="AI59" s="424"/>
      <c r="AJ59" s="424"/>
      <c r="AK59" s="424"/>
      <c r="AL59" s="424"/>
      <c r="AM59" s="424"/>
      <c r="AN59" s="424"/>
    </row>
    <row r="60" spans="1:40" x14ac:dyDescent="0.25">
      <c r="A60" s="48">
        <v>48761</v>
      </c>
      <c r="B60" s="48"/>
      <c r="C60" s="393">
        <f>'2016A'!K47</f>
        <v>323200</v>
      </c>
      <c r="D60" s="393"/>
      <c r="E60" s="393"/>
      <c r="F60" s="144"/>
      <c r="G60" s="405"/>
      <c r="H60" s="393"/>
      <c r="I60" s="405">
        <f>'2018A-2 (SRF)'!M44</f>
        <v>533490.04</v>
      </c>
      <c r="J60" s="393"/>
      <c r="K60" s="405">
        <f>'2019 (OM)'!K43</f>
        <v>263521.88</v>
      </c>
      <c r="L60" s="393"/>
      <c r="M60" s="405">
        <f>'2020 (OM)'!K41</f>
        <v>154905.60000000001</v>
      </c>
      <c r="N60" s="393"/>
      <c r="O60" s="405">
        <f>'2021 (Level)'!K42</f>
        <v>33247.5</v>
      </c>
      <c r="P60" s="393"/>
      <c r="Q60" s="393">
        <f t="shared" si="1"/>
        <v>1308365.02</v>
      </c>
      <c r="S60" s="144"/>
      <c r="T60" s="424"/>
      <c r="U60" s="424"/>
      <c r="V60" s="362"/>
      <c r="W60" s="424"/>
      <c r="X60" s="424"/>
      <c r="Y60" s="393"/>
      <c r="Z60" s="414"/>
      <c r="AA60" s="414"/>
      <c r="AB60" s="414"/>
      <c r="AC60" s="414"/>
      <c r="AD60" s="414"/>
      <c r="AE60" s="419"/>
      <c r="AF60" s="424"/>
      <c r="AG60" s="424"/>
      <c r="AH60" s="424"/>
      <c r="AI60" s="424"/>
      <c r="AJ60" s="424"/>
      <c r="AK60" s="424"/>
      <c r="AL60" s="424"/>
      <c r="AM60" s="424"/>
      <c r="AN60" s="424"/>
    </row>
    <row r="61" spans="1:40" x14ac:dyDescent="0.25">
      <c r="A61" s="48">
        <v>48945</v>
      </c>
      <c r="B61" s="48"/>
      <c r="C61" s="393">
        <f>'2016A'!K48</f>
        <v>1583200</v>
      </c>
      <c r="D61" s="393"/>
      <c r="E61" s="393"/>
      <c r="F61" s="144"/>
      <c r="G61" s="405"/>
      <c r="H61" s="393"/>
      <c r="I61" s="405">
        <f>'2018A-2 (SRF)'!M45</f>
        <v>4774463.04</v>
      </c>
      <c r="J61" s="393"/>
      <c r="K61" s="405">
        <f>'2019 (OM)'!K44</f>
        <v>2428521.88</v>
      </c>
      <c r="L61" s="393"/>
      <c r="M61" s="405">
        <f>'2020 (OM)'!K42</f>
        <v>5959905.5999999996</v>
      </c>
      <c r="N61" s="393"/>
      <c r="O61" s="405">
        <f>'2021 (Level)'!K43</f>
        <v>1288247.5</v>
      </c>
      <c r="P61" s="393"/>
      <c r="Q61" s="393">
        <f t="shared" si="1"/>
        <v>16034338.02</v>
      </c>
      <c r="S61" s="144">
        <f>Q60+Q61</f>
        <v>17342703.039999999</v>
      </c>
      <c r="T61" s="424"/>
      <c r="U61" s="424"/>
      <c r="V61" s="362"/>
      <c r="W61" s="424"/>
      <c r="X61" s="424"/>
      <c r="Y61" s="424"/>
      <c r="Z61" s="424"/>
      <c r="AA61" s="424"/>
      <c r="AB61" s="424"/>
      <c r="AC61" s="424"/>
      <c r="AD61" s="424"/>
      <c r="AE61" s="424"/>
      <c r="AF61" s="424"/>
      <c r="AG61" s="424"/>
      <c r="AH61" s="424"/>
      <c r="AI61" s="424"/>
      <c r="AJ61" s="424"/>
      <c r="AK61" s="424"/>
      <c r="AL61" s="424"/>
      <c r="AM61" s="424"/>
      <c r="AN61" s="424"/>
    </row>
    <row r="62" spans="1:40" x14ac:dyDescent="0.25">
      <c r="A62" s="48">
        <v>49126</v>
      </c>
      <c r="B62" s="48"/>
      <c r="C62" s="393">
        <f>'2016A'!K49</f>
        <v>298000</v>
      </c>
      <c r="D62" s="393"/>
      <c r="E62" s="393"/>
      <c r="F62" s="144"/>
      <c r="G62" s="405"/>
      <c r="H62" s="393"/>
      <c r="I62" s="405">
        <f>'2018A-2 (SRF)'!M46</f>
        <v>464574.22</v>
      </c>
      <c r="J62" s="393"/>
      <c r="K62" s="405">
        <f>'2019 (OM)'!K45</f>
        <v>231046.88</v>
      </c>
      <c r="L62" s="393"/>
      <c r="M62" s="405">
        <f>'2020 (OM)'!K43</f>
        <v>79208.399999999994</v>
      </c>
      <c r="N62" s="393"/>
      <c r="O62" s="405">
        <f>'2021 (Level)'!K44</f>
        <v>22893.75</v>
      </c>
      <c r="P62" s="393"/>
      <c r="Q62" s="393">
        <f t="shared" si="1"/>
        <v>1095723.25</v>
      </c>
      <c r="S62" s="144"/>
      <c r="T62" s="424"/>
      <c r="U62" s="424"/>
      <c r="V62" s="362"/>
      <c r="W62" s="424"/>
      <c r="X62" s="424"/>
      <c r="Y62" s="424"/>
      <c r="Z62" s="424"/>
      <c r="AA62" s="424"/>
      <c r="AB62" s="424"/>
      <c r="AC62" s="424"/>
      <c r="AD62" s="424"/>
      <c r="AE62" s="424"/>
      <c r="AF62" s="424"/>
      <c r="AG62" s="424"/>
      <c r="AH62" s="424"/>
      <c r="AI62" s="424"/>
      <c r="AJ62" s="424"/>
      <c r="AK62" s="424"/>
      <c r="AL62" s="424"/>
      <c r="AM62" s="424"/>
      <c r="AN62" s="424"/>
    </row>
    <row r="63" spans="1:40" x14ac:dyDescent="0.25">
      <c r="A63" s="48">
        <v>49310</v>
      </c>
      <c r="B63" s="48"/>
      <c r="C63" s="393">
        <f>'2016A'!K50</f>
        <v>1593000</v>
      </c>
      <c r="D63" s="393"/>
      <c r="E63" s="393"/>
      <c r="F63" s="144"/>
      <c r="G63" s="405"/>
      <c r="H63" s="393"/>
      <c r="I63" s="405">
        <f>'2018A-2 (SRF)'!M47</f>
        <v>4843378.22</v>
      </c>
      <c r="J63" s="393"/>
      <c r="K63" s="405">
        <f>'2019 (OM)'!K46</f>
        <v>2471046.88</v>
      </c>
      <c r="L63" s="393"/>
      <c r="M63" s="405">
        <f>'2020 (OM)'!K44</f>
        <v>6039208.4000000004</v>
      </c>
      <c r="N63" s="393"/>
      <c r="O63" s="405">
        <f>'2021 (Level)'!K45</f>
        <v>1297893.75</v>
      </c>
      <c r="P63" s="393"/>
      <c r="Q63" s="393">
        <f t="shared" si="1"/>
        <v>16244527.25</v>
      </c>
      <c r="S63" s="144">
        <f>Q62+Q63</f>
        <v>17340250.5</v>
      </c>
      <c r="T63" s="424"/>
      <c r="U63" s="424"/>
      <c r="V63" s="362"/>
      <c r="W63" s="424"/>
      <c r="X63" s="424"/>
      <c r="Y63" s="424"/>
      <c r="Z63" s="424"/>
      <c r="AA63" s="424"/>
      <c r="AB63" s="424"/>
      <c r="AC63" s="424"/>
      <c r="AD63" s="424"/>
      <c r="AE63" s="424"/>
      <c r="AF63" s="424"/>
      <c r="AG63" s="424"/>
      <c r="AH63" s="424"/>
      <c r="AI63" s="424"/>
      <c r="AJ63" s="424"/>
      <c r="AK63" s="424"/>
      <c r="AL63" s="424"/>
      <c r="AM63" s="424"/>
      <c r="AN63" s="424"/>
    </row>
    <row r="64" spans="1:40" s="222" customFormat="1" x14ac:dyDescent="0.25">
      <c r="A64" s="48">
        <v>49491</v>
      </c>
      <c r="B64" s="147"/>
      <c r="C64" s="393">
        <f>'2016A'!K51</f>
        <v>272100</v>
      </c>
      <c r="D64" s="393"/>
      <c r="E64" s="393"/>
      <c r="F64" s="144"/>
      <c r="G64" s="405"/>
      <c r="H64" s="393"/>
      <c r="I64" s="405">
        <f>'2018A-2 (SRF)'!M48</f>
        <v>393418.66</v>
      </c>
      <c r="J64" s="393"/>
      <c r="K64" s="405">
        <f>'2019 (OM)'!K47</f>
        <v>197446.88</v>
      </c>
      <c r="L64" s="393"/>
      <c r="M64" s="405"/>
      <c r="N64" s="393"/>
      <c r="O64" s="405">
        <f>'2021 (Level)'!K46</f>
        <v>12375</v>
      </c>
      <c r="P64" s="393"/>
      <c r="Q64" s="393">
        <f t="shared" si="1"/>
        <v>875340.53999999992</v>
      </c>
      <c r="S64" s="144"/>
      <c r="T64" s="424"/>
      <c r="U64" s="424"/>
      <c r="V64" s="362"/>
      <c r="W64" s="424"/>
      <c r="X64" s="424"/>
      <c r="Y64" s="424"/>
      <c r="Z64" s="424"/>
      <c r="AA64" s="424"/>
      <c r="AB64" s="424"/>
      <c r="AC64" s="424"/>
      <c r="AD64" s="424"/>
      <c r="AE64" s="424"/>
      <c r="AF64" s="424"/>
      <c r="AG64" s="424"/>
      <c r="AH64" s="424"/>
      <c r="AI64" s="424"/>
      <c r="AJ64" s="424"/>
      <c r="AK64" s="424"/>
      <c r="AL64" s="424"/>
      <c r="AM64" s="424"/>
      <c r="AN64" s="424"/>
    </row>
    <row r="65" spans="1:40" s="222" customFormat="1" x14ac:dyDescent="0.25">
      <c r="A65" s="48">
        <v>49675</v>
      </c>
      <c r="B65" s="147"/>
      <c r="C65" s="393">
        <f>'2016A'!K52</f>
        <v>3642100</v>
      </c>
      <c r="D65" s="393"/>
      <c r="E65" s="393"/>
      <c r="F65" s="144"/>
      <c r="G65" s="405"/>
      <c r="H65" s="393"/>
      <c r="I65" s="405">
        <f>'2018A-2 (SRF)'!M49</f>
        <v>4914533.66</v>
      </c>
      <c r="J65" s="393"/>
      <c r="K65" s="405">
        <f>'2019 (OM)'!K48</f>
        <v>2522446.88</v>
      </c>
      <c r="L65" s="393"/>
      <c r="M65" s="405"/>
      <c r="N65" s="393"/>
      <c r="O65" s="405">
        <f>'2021 (Level)'!K47</f>
        <v>1387375</v>
      </c>
      <c r="P65" s="393"/>
      <c r="Q65" s="393">
        <f t="shared" si="1"/>
        <v>12466455.539999999</v>
      </c>
      <c r="S65" s="144">
        <f>Q64+Q65</f>
        <v>13341796.079999998</v>
      </c>
      <c r="T65" s="424"/>
      <c r="U65" s="424"/>
      <c r="V65" s="362"/>
      <c r="W65" s="424"/>
      <c r="X65" s="392"/>
      <c r="Y65" s="392"/>
      <c r="Z65" s="392"/>
      <c r="AA65" s="392"/>
      <c r="AB65" s="392"/>
      <c r="AC65" s="392"/>
      <c r="AD65" s="392"/>
      <c r="AE65" s="392"/>
      <c r="AF65" s="424"/>
      <c r="AG65" s="424"/>
      <c r="AH65" s="424"/>
      <c r="AI65" s="424"/>
      <c r="AJ65" s="424"/>
      <c r="AK65" s="424"/>
      <c r="AL65" s="424"/>
      <c r="AM65" s="424"/>
      <c r="AN65" s="424"/>
    </row>
    <row r="66" spans="1:40" s="424" customFormat="1" x14ac:dyDescent="0.25">
      <c r="A66" s="371">
        <v>49857</v>
      </c>
      <c r="B66" s="147"/>
      <c r="C66" s="393">
        <f>'2016A'!K53</f>
        <v>204700</v>
      </c>
      <c r="D66" s="393"/>
      <c r="E66" s="393"/>
      <c r="F66" s="393"/>
      <c r="G66" s="405"/>
      <c r="H66" s="393"/>
      <c r="I66" s="405">
        <f>'2018A-2 (SRF)'!M50</f>
        <v>319950.53999999998</v>
      </c>
      <c r="J66" s="393"/>
      <c r="K66" s="405">
        <f>'2019 (OM)'!K49</f>
        <v>162571.88</v>
      </c>
      <c r="L66" s="393"/>
      <c r="M66" s="405"/>
      <c r="N66" s="393"/>
      <c r="O66" s="405"/>
      <c r="P66" s="393"/>
      <c r="Q66" s="393">
        <f t="shared" si="1"/>
        <v>687222.42</v>
      </c>
      <c r="S66" s="393"/>
      <c r="V66" s="362"/>
      <c r="Y66" s="393"/>
    </row>
    <row r="67" spans="1:40" s="424" customFormat="1" x14ac:dyDescent="0.25">
      <c r="A67" s="371">
        <v>50041</v>
      </c>
      <c r="B67" s="147"/>
      <c r="C67" s="393">
        <f>'2016A'!K54</f>
        <v>5219700</v>
      </c>
      <c r="D67" s="393"/>
      <c r="E67" s="393"/>
      <c r="F67" s="393"/>
      <c r="G67" s="405"/>
      <c r="H67" s="393"/>
      <c r="I67" s="405">
        <f>'2018A-2 (SRF)'!M51</f>
        <v>4988002.54</v>
      </c>
      <c r="J67" s="393"/>
      <c r="K67" s="405">
        <f>'2019 (OM)'!K50</f>
        <v>2572571.88</v>
      </c>
      <c r="L67" s="393"/>
      <c r="M67" s="405"/>
      <c r="N67" s="393"/>
      <c r="O67" s="405"/>
      <c r="P67" s="393"/>
      <c r="Q67" s="393">
        <f t="shared" si="1"/>
        <v>12780274.419999998</v>
      </c>
      <c r="S67" s="393">
        <f t="shared" ref="S67" si="2">Q66+Q67</f>
        <v>13467496.839999998</v>
      </c>
      <c r="V67" s="362"/>
      <c r="Y67" s="393"/>
    </row>
    <row r="68" spans="1:40" s="424" customFormat="1" x14ac:dyDescent="0.25">
      <c r="A68" s="371">
        <v>50222</v>
      </c>
      <c r="B68" s="147"/>
      <c r="C68" s="393">
        <f>'2016A'!K55</f>
        <v>104400</v>
      </c>
      <c r="D68" s="393"/>
      <c r="E68" s="393"/>
      <c r="F68" s="393"/>
      <c r="G68" s="405"/>
      <c r="H68" s="393"/>
      <c r="I68" s="405">
        <f>'2018A-2 (SRF)'!M52</f>
        <v>244094.7</v>
      </c>
      <c r="J68" s="393"/>
      <c r="K68" s="405">
        <f>'2019 (OM)'!K51</f>
        <v>124915.63</v>
      </c>
      <c r="L68" s="393"/>
      <c r="M68" s="405"/>
      <c r="N68" s="393"/>
      <c r="O68" s="405"/>
      <c r="P68" s="393"/>
      <c r="Q68" s="393">
        <f t="shared" si="1"/>
        <v>473410.33</v>
      </c>
      <c r="S68" s="393"/>
      <c r="V68" s="362"/>
    </row>
    <row r="69" spans="1:40" s="424" customFormat="1" x14ac:dyDescent="0.25">
      <c r="A69" s="371">
        <v>50406</v>
      </c>
      <c r="B69" s="147"/>
      <c r="C69" s="393">
        <f>'2016A'!K56</f>
        <v>5324400</v>
      </c>
      <c r="D69" s="393"/>
      <c r="E69" s="393"/>
      <c r="F69" s="393"/>
      <c r="G69" s="393"/>
      <c r="H69" s="393"/>
      <c r="I69" s="405">
        <f>'2018A-2 (SRF)'!M53</f>
        <v>5063857.7</v>
      </c>
      <c r="J69" s="393"/>
      <c r="K69" s="405">
        <f>'2019 (OM)'!K52</f>
        <v>2634915.63</v>
      </c>
      <c r="L69" s="393"/>
      <c r="M69" s="393"/>
      <c r="N69" s="393"/>
      <c r="O69" s="393"/>
      <c r="P69" s="393"/>
      <c r="Q69" s="393">
        <f t="shared" si="1"/>
        <v>13023173.329999998</v>
      </c>
      <c r="S69" s="393">
        <f t="shared" ref="S69" si="3">Q68+Q69</f>
        <v>13496583.659999998</v>
      </c>
      <c r="V69" s="362"/>
      <c r="Y69" s="1098"/>
    </row>
    <row r="70" spans="1:40" s="424" customFormat="1" x14ac:dyDescent="0.25">
      <c r="A70" s="371">
        <v>50587</v>
      </c>
      <c r="B70" s="147"/>
      <c r="C70" s="393"/>
      <c r="D70" s="393"/>
      <c r="E70" s="393"/>
      <c r="F70" s="393"/>
      <c r="G70" s="393"/>
      <c r="H70" s="393"/>
      <c r="I70" s="405">
        <f>'2018A-2 (SRF)'!M54</f>
        <v>2753999.55</v>
      </c>
      <c r="J70" s="393"/>
      <c r="K70" s="405">
        <f>'2019 (OM)'!K53</f>
        <v>1390696.88</v>
      </c>
      <c r="L70" s="393"/>
      <c r="M70" s="393"/>
      <c r="N70" s="393"/>
      <c r="O70" s="393"/>
      <c r="P70" s="393"/>
      <c r="Q70" s="393">
        <f t="shared" si="1"/>
        <v>4144696.4299999997</v>
      </c>
      <c r="S70" s="393"/>
      <c r="V70" s="362"/>
      <c r="X70" s="362"/>
    </row>
    <row r="71" spans="1:40" s="424" customFormat="1" x14ac:dyDescent="0.25">
      <c r="A71" s="371">
        <v>50771</v>
      </c>
      <c r="B71" s="147"/>
      <c r="C71" s="393"/>
      <c r="D71" s="393"/>
      <c r="E71" s="393"/>
      <c r="F71" s="393"/>
      <c r="G71" s="393"/>
      <c r="H71" s="393"/>
      <c r="I71" s="405">
        <f>'2018A-2 (SRF)'!M55</f>
        <v>2553999.87</v>
      </c>
      <c r="J71" s="393"/>
      <c r="K71" s="405">
        <f>'2019 (OM)'!K54</f>
        <v>1395306.25</v>
      </c>
      <c r="L71" s="393"/>
      <c r="M71" s="393"/>
      <c r="N71" s="393"/>
      <c r="O71" s="393"/>
      <c r="P71" s="393"/>
      <c r="Q71" s="393">
        <f t="shared" si="1"/>
        <v>3949306.12</v>
      </c>
      <c r="S71" s="393">
        <f t="shared" ref="S71" si="4">Q70+Q71</f>
        <v>8094002.5499999998</v>
      </c>
      <c r="V71" s="362"/>
      <c r="X71" s="362"/>
    </row>
    <row r="72" spans="1:40" s="424" customFormat="1" x14ac:dyDescent="0.25">
      <c r="A72" s="371">
        <v>50952</v>
      </c>
      <c r="B72" s="147"/>
      <c r="C72" s="393"/>
      <c r="D72" s="393"/>
      <c r="E72" s="393"/>
      <c r="F72" s="393"/>
      <c r="G72" s="393"/>
      <c r="H72" s="393"/>
      <c r="I72" s="405">
        <f>'2018A-2 (SRF)'!M56</f>
        <v>2753999.74</v>
      </c>
      <c r="J72" s="393"/>
      <c r="K72" s="405">
        <f>'2019 (OM)'!K55</f>
        <v>1399525</v>
      </c>
      <c r="L72" s="393"/>
      <c r="M72" s="393"/>
      <c r="N72" s="393"/>
      <c r="O72" s="393"/>
      <c r="P72" s="393"/>
      <c r="Q72" s="393">
        <f t="shared" si="1"/>
        <v>4153524.74</v>
      </c>
      <c r="S72" s="393"/>
      <c r="V72" s="362"/>
      <c r="X72" s="362"/>
    </row>
    <row r="73" spans="1:40" s="424" customFormat="1" x14ac:dyDescent="0.25">
      <c r="A73" s="371">
        <v>51136</v>
      </c>
      <c r="B73" s="147"/>
      <c r="C73" s="50"/>
      <c r="D73" s="393"/>
      <c r="E73" s="50"/>
      <c r="F73" s="393"/>
      <c r="G73" s="50"/>
      <c r="H73" s="393"/>
      <c r="I73" s="50">
        <f>'2018A-2 (SRF)'!M57</f>
        <v>2553999.87</v>
      </c>
      <c r="J73" s="393"/>
      <c r="K73" s="50">
        <f>'2019 (OM)'!K56</f>
        <v>1407506.25</v>
      </c>
      <c r="L73" s="393"/>
      <c r="M73" s="50"/>
      <c r="N73" s="393"/>
      <c r="O73" s="50"/>
      <c r="P73" s="393"/>
      <c r="Q73" s="50">
        <f t="shared" si="1"/>
        <v>3961506.12</v>
      </c>
      <c r="S73" s="50">
        <f>Q72+Q73</f>
        <v>8115030.8600000003</v>
      </c>
      <c r="V73" s="362"/>
      <c r="X73" s="362"/>
    </row>
    <row r="74" spans="1:40" s="424" customFormat="1" x14ac:dyDescent="0.25">
      <c r="A74" s="371"/>
      <c r="B74" s="147"/>
      <c r="C74" s="393"/>
      <c r="D74" s="393"/>
      <c r="E74" s="393"/>
      <c r="F74" s="393"/>
      <c r="G74" s="393"/>
      <c r="H74" s="393"/>
      <c r="I74" s="393"/>
      <c r="J74" s="393"/>
      <c r="K74" s="405"/>
      <c r="L74" s="393"/>
      <c r="M74" s="393"/>
      <c r="N74" s="393"/>
      <c r="O74" s="393"/>
      <c r="P74" s="393"/>
      <c r="Q74" s="393"/>
      <c r="S74" s="393"/>
      <c r="V74" s="362"/>
      <c r="X74" s="362"/>
    </row>
    <row r="75" spans="1:40" ht="16.5" thickBot="1" x14ac:dyDescent="0.3">
      <c r="A75" s="51" t="s">
        <v>27</v>
      </c>
      <c r="B75" s="51"/>
      <c r="C75" s="474">
        <f>SUM(C36:C73)</f>
        <v>49691600</v>
      </c>
      <c r="D75" s="362"/>
      <c r="E75" s="474">
        <f>SUM(E36:E73)</f>
        <v>32653250.060000002</v>
      </c>
      <c r="F75" s="155"/>
      <c r="G75" s="474">
        <f>SUM(G36:G73)</f>
        <v>2591262.16</v>
      </c>
      <c r="H75" s="362"/>
      <c r="I75" s="474">
        <f>SUM(I36:I73)</f>
        <v>98259930.670000002</v>
      </c>
      <c r="J75" s="362"/>
      <c r="K75" s="474">
        <f>SUM(K36:K73)</f>
        <v>51178315.800000019</v>
      </c>
      <c r="L75" s="362"/>
      <c r="M75" s="474">
        <f>SUM(M36:M73)</f>
        <v>39268456.359999992</v>
      </c>
      <c r="N75" s="362"/>
      <c r="O75" s="474">
        <f>SUM(O36:O73)</f>
        <v>26678349.75</v>
      </c>
      <c r="P75" s="362"/>
      <c r="Q75" s="474">
        <f>SUM(Q36:Q73)</f>
        <v>300321164.80000001</v>
      </c>
      <c r="R75" s="52"/>
      <c r="S75" s="474">
        <f>SUM(S36:S73)</f>
        <v>300321164.80000001</v>
      </c>
      <c r="T75" s="424"/>
      <c r="U75" s="424"/>
      <c r="V75" s="424"/>
      <c r="W75" s="424"/>
      <c r="X75" s="424"/>
      <c r="Y75" s="424"/>
      <c r="Z75" s="424"/>
      <c r="AA75" s="424"/>
      <c r="AB75" s="424"/>
      <c r="AC75" s="424"/>
      <c r="AD75" s="424"/>
      <c r="AE75" s="424"/>
      <c r="AF75" s="424"/>
      <c r="AG75" s="424"/>
      <c r="AH75" s="424"/>
      <c r="AI75" s="424"/>
      <c r="AJ75" s="424"/>
      <c r="AK75" s="424"/>
      <c r="AL75" s="424"/>
      <c r="AM75" s="424"/>
      <c r="AN75" s="424"/>
    </row>
    <row r="76" spans="1:40" ht="16.5" thickTop="1" x14ac:dyDescent="0.25">
      <c r="C76" s="424"/>
      <c r="D76" s="424"/>
      <c r="E76" s="424"/>
      <c r="F76" s="222"/>
      <c r="G76" s="424"/>
      <c r="H76" s="424"/>
      <c r="I76" s="424"/>
      <c r="J76" s="424"/>
      <c r="K76" s="424"/>
      <c r="L76" s="424"/>
      <c r="M76" s="424"/>
      <c r="N76" s="424"/>
      <c r="O76" s="424"/>
      <c r="P76" s="424"/>
      <c r="Q76" s="53"/>
      <c r="S76" s="53"/>
      <c r="T76" s="424"/>
      <c r="U76" s="424"/>
      <c r="V76" s="424"/>
      <c r="W76" s="424"/>
      <c r="X76" s="424"/>
      <c r="Y76" s="424"/>
      <c r="Z76" s="424"/>
      <c r="AA76" s="424"/>
      <c r="AB76" s="424"/>
      <c r="AC76" s="424"/>
      <c r="AD76" s="424"/>
      <c r="AE76" s="424"/>
      <c r="AF76" s="424"/>
      <c r="AG76" s="424"/>
      <c r="AH76" s="424"/>
      <c r="AI76" s="424"/>
      <c r="AJ76" s="424"/>
      <c r="AK76" s="424"/>
      <c r="AL76" s="424"/>
      <c r="AM76" s="424"/>
      <c r="AN76" s="424"/>
    </row>
    <row r="77" spans="1:40" ht="16.5" customHeight="1" thickBot="1" x14ac:dyDescent="0.3">
      <c r="A77" s="417" t="s">
        <v>741</v>
      </c>
      <c r="B77" s="47"/>
      <c r="C77" s="418"/>
      <c r="D77" s="418"/>
      <c r="E77" s="418"/>
      <c r="F77" s="47"/>
      <c r="G77" s="414"/>
      <c r="H77" s="414"/>
      <c r="I77" s="414"/>
      <c r="J77" s="414"/>
      <c r="K77" s="414"/>
      <c r="L77" s="414"/>
      <c r="M77" s="414"/>
      <c r="N77" s="414"/>
      <c r="O77" s="414"/>
      <c r="P77" s="414"/>
      <c r="Q77" s="49"/>
      <c r="R77" s="49"/>
      <c r="S77" s="488">
        <f>ROUND(SUM(S39:S47)/5,2)</f>
        <v>17528462.370000001</v>
      </c>
      <c r="T77" s="418"/>
      <c r="U77" s="424"/>
      <c r="V77" s="424"/>
      <c r="W77" s="424"/>
      <c r="X77" s="424"/>
      <c r="Y77" s="424"/>
      <c r="Z77" s="424"/>
      <c r="AA77" s="424"/>
      <c r="AB77" s="424"/>
      <c r="AC77" s="424"/>
      <c r="AD77" s="424"/>
      <c r="AE77" s="424"/>
      <c r="AF77" s="424"/>
      <c r="AG77" s="424"/>
      <c r="AH77" s="424"/>
      <c r="AI77" s="424"/>
      <c r="AJ77" s="424"/>
      <c r="AK77" s="424"/>
      <c r="AL77" s="424"/>
      <c r="AM77" s="424"/>
      <c r="AN77" s="424"/>
    </row>
    <row r="78" spans="1:40" ht="16.5" thickTop="1" x14ac:dyDescent="0.25">
      <c r="A78" s="193"/>
      <c r="B78" s="47"/>
      <c r="C78" s="418"/>
      <c r="D78" s="418"/>
      <c r="E78" s="418"/>
      <c r="F78" s="47"/>
      <c r="G78" s="414"/>
      <c r="H78" s="414"/>
      <c r="I78" s="414"/>
      <c r="J78" s="414"/>
      <c r="K78" s="414"/>
      <c r="L78" s="414"/>
      <c r="M78" s="414"/>
      <c r="N78" s="414"/>
      <c r="O78" s="414"/>
      <c r="P78" s="414"/>
      <c r="Q78" s="49"/>
      <c r="R78" s="49"/>
      <c r="S78" s="137"/>
      <c r="T78" s="418"/>
      <c r="U78" s="424"/>
      <c r="V78" s="424"/>
      <c r="W78" s="424"/>
      <c r="X78" s="424"/>
      <c r="Y78" s="424"/>
      <c r="Z78" s="424"/>
      <c r="AA78" s="424"/>
      <c r="AB78" s="424"/>
      <c r="AC78" s="424"/>
      <c r="AD78" s="424"/>
      <c r="AE78" s="424"/>
      <c r="AF78" s="424"/>
      <c r="AG78" s="424"/>
      <c r="AH78" s="424"/>
      <c r="AI78" s="424"/>
      <c r="AJ78" s="424"/>
      <c r="AK78" s="424"/>
      <c r="AL78" s="424"/>
      <c r="AM78" s="424"/>
      <c r="AN78" s="424"/>
    </row>
    <row r="79" spans="1:40" x14ac:dyDescent="0.25">
      <c r="A79" s="29"/>
      <c r="B79" s="29"/>
      <c r="C79" s="414"/>
      <c r="D79" s="414"/>
      <c r="E79" s="414"/>
      <c r="F79" s="47"/>
      <c r="G79" s="414"/>
      <c r="H79" s="414"/>
      <c r="I79" s="414"/>
      <c r="J79" s="414"/>
      <c r="K79" s="414"/>
      <c r="L79" s="414"/>
      <c r="M79" s="414"/>
      <c r="N79" s="414"/>
      <c r="O79" s="414"/>
      <c r="P79" s="414"/>
      <c r="Q79" s="49"/>
      <c r="R79" s="49"/>
      <c r="T79" s="418"/>
      <c r="U79" s="424"/>
      <c r="V79" s="424"/>
      <c r="W79" s="424"/>
      <c r="X79" s="424"/>
      <c r="Y79" s="424"/>
      <c r="Z79" s="424"/>
      <c r="AA79" s="424"/>
      <c r="AB79" s="424"/>
      <c r="AC79" s="414"/>
      <c r="AD79" s="418"/>
      <c r="AE79" s="418"/>
      <c r="AF79" s="424"/>
      <c r="AG79" s="424"/>
      <c r="AH79" s="424"/>
      <c r="AI79" s="424"/>
      <c r="AJ79" s="424"/>
      <c r="AK79" s="424"/>
      <c r="AL79" s="424"/>
      <c r="AM79" s="424"/>
      <c r="AN79" s="424"/>
    </row>
    <row r="80" spans="1:40" x14ac:dyDescent="0.25">
      <c r="A80" s="375"/>
      <c r="B80" s="173"/>
      <c r="C80" s="412"/>
      <c r="D80" s="412"/>
      <c r="E80" s="412"/>
      <c r="F80" s="173"/>
      <c r="G80" s="412"/>
      <c r="H80" s="412"/>
      <c r="I80" s="412"/>
      <c r="J80" s="412"/>
      <c r="K80" s="412"/>
      <c r="L80" s="412"/>
      <c r="M80" s="412"/>
      <c r="N80" s="412"/>
      <c r="O80" s="412"/>
      <c r="P80" s="412"/>
      <c r="Q80" s="173"/>
      <c r="R80" s="173"/>
      <c r="S80" s="173"/>
    </row>
    <row r="81" spans="1:24" s="379" customFormat="1" x14ac:dyDescent="0.25">
      <c r="A81" s="375"/>
      <c r="B81" s="376"/>
      <c r="C81" s="412"/>
      <c r="D81" s="412"/>
      <c r="E81" s="412"/>
      <c r="F81" s="376"/>
      <c r="G81" s="412"/>
      <c r="H81" s="412"/>
      <c r="I81" s="412"/>
      <c r="J81" s="412"/>
      <c r="K81" s="412"/>
      <c r="L81" s="412"/>
      <c r="M81" s="412"/>
      <c r="N81" s="412"/>
      <c r="O81" s="412"/>
      <c r="P81" s="412"/>
      <c r="Q81" s="376"/>
      <c r="R81" s="376"/>
      <c r="S81" s="376"/>
    </row>
    <row r="82" spans="1:24" s="379" customFormat="1" x14ac:dyDescent="0.25">
      <c r="A82" s="375" t="str">
        <f>INFO!A26</f>
        <v>(See Accountants' Report)</v>
      </c>
      <c r="B82" s="376"/>
      <c r="C82" s="412"/>
      <c r="D82" s="412"/>
      <c r="E82" s="412"/>
      <c r="F82" s="376"/>
      <c r="G82" s="412"/>
      <c r="H82" s="412"/>
      <c r="I82" s="412"/>
      <c r="J82" s="412"/>
      <c r="K82" s="412"/>
      <c r="L82" s="412"/>
      <c r="M82" s="412"/>
      <c r="N82" s="412"/>
      <c r="O82" s="412"/>
      <c r="P82" s="412"/>
      <c r="Q82" s="376"/>
      <c r="R82" s="376"/>
      <c r="S82" s="376"/>
    </row>
    <row r="83" spans="1:24" x14ac:dyDescent="0.25">
      <c r="A83" s="173"/>
      <c r="B83" s="173"/>
      <c r="C83" s="412"/>
      <c r="D83" s="412"/>
      <c r="E83" s="412"/>
      <c r="F83" s="173"/>
      <c r="G83" s="412"/>
      <c r="H83" s="412"/>
      <c r="I83" s="412"/>
      <c r="J83" s="412"/>
      <c r="K83" s="412"/>
      <c r="L83" s="412"/>
      <c r="M83" s="412"/>
      <c r="N83" s="412"/>
      <c r="O83" s="412"/>
      <c r="P83" s="412"/>
      <c r="Q83" s="173"/>
      <c r="R83" s="173"/>
      <c r="S83" s="173"/>
    </row>
    <row r="84" spans="1:24" s="119" customFormat="1" x14ac:dyDescent="0.25">
      <c r="A84" s="313">
        <f>'2021 (Level)'!A57+1</f>
        <v>48</v>
      </c>
      <c r="B84" s="313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</row>
    <row r="87" spans="1:24" x14ac:dyDescent="0.25">
      <c r="C87" s="381">
        <f>+C75</f>
        <v>49691600</v>
      </c>
      <c r="D87" s="381"/>
      <c r="E87" s="381">
        <f>+E75</f>
        <v>32653250.060000002</v>
      </c>
      <c r="F87" s="142"/>
      <c r="G87" s="381">
        <f>+G75</f>
        <v>2591262.16</v>
      </c>
      <c r="H87" s="381"/>
      <c r="I87" s="381">
        <f>+I75</f>
        <v>98259930.670000002</v>
      </c>
      <c r="J87" s="381"/>
      <c r="K87" s="381">
        <f>+K75</f>
        <v>51178315.800000019</v>
      </c>
      <c r="L87" s="381"/>
      <c r="M87" s="381">
        <f>+M75</f>
        <v>39268456.359999992</v>
      </c>
      <c r="N87" s="381"/>
      <c r="O87" s="381">
        <f>+O75</f>
        <v>26678349.75</v>
      </c>
      <c r="P87" s="381"/>
      <c r="Q87" s="142">
        <f>+Q75</f>
        <v>300321164.80000001</v>
      </c>
      <c r="S87" s="142">
        <f>S75</f>
        <v>300321164.80000001</v>
      </c>
    </row>
    <row r="88" spans="1:24" x14ac:dyDescent="0.25">
      <c r="C88" s="54">
        <f>'2016A'!K58</f>
        <v>49691600</v>
      </c>
      <c r="D88" s="362"/>
      <c r="E88" s="54">
        <f>'2016B'!K58</f>
        <v>32653250.060000002</v>
      </c>
      <c r="F88" s="155"/>
      <c r="G88" s="54">
        <f>'2018A-1 (SRF)'!M57</f>
        <v>2591262.16</v>
      </c>
      <c r="H88" s="362"/>
      <c r="I88" s="54">
        <f>'2018A-2 (SRF)'!M59</f>
        <v>98259930.670000002</v>
      </c>
      <c r="J88" s="362"/>
      <c r="K88" s="54">
        <f>'2019 (OM)'!K58</f>
        <v>51178315.800000019</v>
      </c>
      <c r="L88" s="362"/>
      <c r="M88" s="54">
        <f>'2020 (OM)'!K46</f>
        <v>39268456.359999992</v>
      </c>
      <c r="N88" s="362"/>
      <c r="O88" s="54">
        <f>'2021 (Level)'!K49</f>
        <v>26678349.75</v>
      </c>
      <c r="P88" s="362"/>
      <c r="Q88" s="54">
        <f>SUM(C88:O88)</f>
        <v>300321164.80000001</v>
      </c>
    </row>
    <row r="90" spans="1:24" ht="16.5" thickBot="1" x14ac:dyDescent="0.3">
      <c r="A90" s="51" t="s">
        <v>123</v>
      </c>
      <c r="C90" s="143">
        <f>C87-C88</f>
        <v>0</v>
      </c>
      <c r="D90" s="362"/>
      <c r="E90" s="143">
        <f>E87-E88</f>
        <v>0</v>
      </c>
      <c r="F90" s="155"/>
      <c r="G90" s="143">
        <f>G87-G88</f>
        <v>0</v>
      </c>
      <c r="H90" s="362"/>
      <c r="I90" s="143">
        <f>I87-I88</f>
        <v>0</v>
      </c>
      <c r="J90" s="362"/>
      <c r="K90" s="143">
        <f>K87-K88</f>
        <v>0</v>
      </c>
      <c r="L90" s="362"/>
      <c r="M90" s="143">
        <f>M87-M88</f>
        <v>0</v>
      </c>
      <c r="N90" s="362"/>
      <c r="O90" s="143">
        <f>O87-O88</f>
        <v>0</v>
      </c>
      <c r="P90" s="362"/>
      <c r="Q90" s="143">
        <f>Q87-Q88</f>
        <v>0</v>
      </c>
    </row>
    <row r="91" spans="1:24" ht="16.5" thickTop="1" x14ac:dyDescent="0.25"/>
    <row r="94" spans="1:24" x14ac:dyDescent="0.25">
      <c r="A94" s="48"/>
      <c r="B94" s="48"/>
      <c r="C94" s="381"/>
      <c r="D94" s="381"/>
      <c r="E94" s="381"/>
      <c r="F94" s="142"/>
      <c r="G94" s="381"/>
      <c r="H94" s="381"/>
      <c r="I94" s="381"/>
      <c r="J94" s="381"/>
      <c r="K94" s="381"/>
      <c r="L94" s="381"/>
      <c r="M94" s="381"/>
      <c r="N94" s="381"/>
      <c r="O94" s="381"/>
      <c r="P94" s="381"/>
      <c r="Q94" s="142"/>
      <c r="R94" s="217"/>
      <c r="S94" s="217"/>
      <c r="V94" s="142"/>
    </row>
    <row r="95" spans="1:24" x14ac:dyDescent="0.25">
      <c r="A95" s="48"/>
      <c r="B95" s="48"/>
      <c r="C95" s="405"/>
      <c r="D95" s="405"/>
      <c r="E95" s="405"/>
      <c r="F95" s="217"/>
      <c r="G95" s="405"/>
      <c r="H95" s="405"/>
      <c r="I95" s="405"/>
      <c r="J95" s="405"/>
      <c r="K95" s="405"/>
      <c r="L95" s="405"/>
      <c r="M95" s="405"/>
      <c r="N95" s="405"/>
      <c r="O95" s="405"/>
      <c r="P95" s="405"/>
      <c r="Q95" s="217"/>
      <c r="R95" s="217"/>
      <c r="S95" s="142"/>
      <c r="V95" s="217"/>
      <c r="X95" s="142"/>
    </row>
    <row r="96" spans="1:24" x14ac:dyDescent="0.25">
      <c r="A96" s="48"/>
      <c r="B96" s="48"/>
      <c r="C96" s="405"/>
      <c r="D96" s="405"/>
      <c r="E96" s="405"/>
      <c r="F96" s="217"/>
      <c r="G96" s="405"/>
      <c r="H96" s="405"/>
      <c r="I96" s="405"/>
      <c r="J96" s="405"/>
      <c r="K96" s="405"/>
      <c r="L96" s="405"/>
      <c r="M96" s="405"/>
      <c r="N96" s="405"/>
      <c r="O96" s="405"/>
      <c r="P96" s="405"/>
      <c r="Q96" s="142"/>
      <c r="R96" s="217"/>
      <c r="V96" s="142"/>
    </row>
  </sheetData>
  <mergeCells count="1">
    <mergeCell ref="C5:O5"/>
  </mergeCells>
  <phoneticPr fontId="14" type="noConversion"/>
  <printOptions horizontalCentered="1"/>
  <pageMargins left="0.75" right="0.75" top="0.75" bottom="0.5" header="0.3" footer="0.3"/>
  <pageSetup scale="62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17B84-0AD1-4EC6-8B5C-60542C6F79EF}">
  <ds:schemaRefs>
    <ds:schemaRef ds:uri="http://www.w3.org/XML/1998/namespace"/>
    <ds:schemaRef ds:uri="99180bc4-2f7d-45e7-9e22-353907fb92c6"/>
    <ds:schemaRef ds:uri="http://schemas.microsoft.com/office/2006/documentManagement/types"/>
    <ds:schemaRef ds:uri="http://schemas.microsoft.com/sharepoint/v3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7558938a-8a22-4524-afb0-58b16502930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ED1E2DA-DB43-445E-BFB7-EB33FA8951C7}"/>
</file>

<file path=customXml/itemProps3.xml><?xml version="1.0" encoding="utf-8"?>
<ds:datastoreItem xmlns:ds="http://schemas.openxmlformats.org/officeDocument/2006/customXml" ds:itemID="{3C0125C4-58D1-4F99-B7C9-86FEB1440DB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31</vt:i4>
      </vt:variant>
      <vt:variant>
        <vt:lpstr>Named Ranges</vt:lpstr>
      </vt:variant>
      <vt:variant>
        <vt:i4>27</vt:i4>
      </vt:variant>
    </vt:vector>
  </HeadingPairs>
  <TitlesOfParts>
    <vt:vector size="58" baseType="lpstr">
      <vt:lpstr>Cover Page</vt:lpstr>
      <vt:lpstr>INFO</vt:lpstr>
      <vt:lpstr>Fly 1</vt:lpstr>
      <vt:lpstr>Proj Costs (2)</vt:lpstr>
      <vt:lpstr>2022-2026 Projects</vt:lpstr>
      <vt:lpstr>OM 25 YR Alt II</vt:lpstr>
      <vt:lpstr>SRF 30 YR Pooled Alt II</vt:lpstr>
      <vt:lpstr>Prop Comb</vt:lpstr>
      <vt:lpstr>PF II (Forward)</vt:lpstr>
      <vt:lpstr>PF II Adj</vt:lpstr>
      <vt:lpstr>Norm</vt:lpstr>
      <vt:lpstr>Norm Adj</vt:lpstr>
      <vt:lpstr>PF Rev Req II </vt:lpstr>
      <vt:lpstr>PF Exp Rev Req II </vt:lpstr>
      <vt:lpstr>Rates I </vt:lpstr>
      <vt:lpstr>Rates II</vt:lpstr>
      <vt:lpstr>Rates III</vt:lpstr>
      <vt:lpstr>Fly 2</vt:lpstr>
      <vt:lpstr>SNP</vt:lpstr>
      <vt:lpstr>CNP</vt:lpstr>
      <vt:lpstr>SCF</vt:lpstr>
      <vt:lpstr>Min Bal</vt:lpstr>
      <vt:lpstr>Det Oper Exp</vt:lpstr>
      <vt:lpstr>2016A</vt:lpstr>
      <vt:lpstr>2016B</vt:lpstr>
      <vt:lpstr>2018A-1 (SRF)</vt:lpstr>
      <vt:lpstr>2018A-2 (SRF)</vt:lpstr>
      <vt:lpstr>2019 (OM)</vt:lpstr>
      <vt:lpstr>2020 (OM)</vt:lpstr>
      <vt:lpstr>2021 (Level)</vt:lpstr>
      <vt:lpstr>Combined</vt:lpstr>
      <vt:lpstr>'2016A'!Print_Area</vt:lpstr>
      <vt:lpstr>'2016B'!Print_Area</vt:lpstr>
      <vt:lpstr>'2018A-1 (SRF)'!Print_Area</vt:lpstr>
      <vt:lpstr>'2018A-2 (SRF)'!Print_Area</vt:lpstr>
      <vt:lpstr>'2019 (OM)'!Print_Area</vt:lpstr>
      <vt:lpstr>'2020 (OM)'!Print_Area</vt:lpstr>
      <vt:lpstr>'2021 (Level)'!Print_Area</vt:lpstr>
      <vt:lpstr>'2022-2026 Projects'!Print_Area</vt:lpstr>
      <vt:lpstr>CNP!Print_Area</vt:lpstr>
      <vt:lpstr>Combined!Print_Area</vt:lpstr>
      <vt:lpstr>'Det Oper Exp'!Print_Area</vt:lpstr>
      <vt:lpstr>'Min Bal'!Print_Area</vt:lpstr>
      <vt:lpstr>Norm!Print_Area</vt:lpstr>
      <vt:lpstr>'Norm Adj'!Print_Area</vt:lpstr>
      <vt:lpstr>'OM 25 YR Alt II'!Print_Area</vt:lpstr>
      <vt:lpstr>'PF Exp Rev Req II '!Print_Area</vt:lpstr>
      <vt:lpstr>'PF II (Forward)'!Print_Area</vt:lpstr>
      <vt:lpstr>'PF II Adj'!Print_Area</vt:lpstr>
      <vt:lpstr>'PF Rev Req II '!Print_Area</vt:lpstr>
      <vt:lpstr>'Proj Costs (2)'!Print_Area</vt:lpstr>
      <vt:lpstr>'Prop Comb'!Print_Area</vt:lpstr>
      <vt:lpstr>'Rates I '!Print_Area</vt:lpstr>
      <vt:lpstr>'Rates II'!Print_Area</vt:lpstr>
      <vt:lpstr>'Rates III'!Print_Area</vt:lpstr>
      <vt:lpstr>SCF!Print_Area</vt:lpstr>
      <vt:lpstr>SNP!Print_Area</vt:lpstr>
      <vt:lpstr>'SRF 30 YR Pooled Alt II'!Print_Area</vt:lpstr>
    </vt:vector>
  </TitlesOfParts>
  <Company>H.J. Umbaugh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Baldessari</dc:creator>
  <cp:lastModifiedBy>Coe, Shala</cp:lastModifiedBy>
  <cp:lastPrinted>2021-05-07T17:26:25Z</cp:lastPrinted>
  <dcterms:created xsi:type="dcterms:W3CDTF">2002-07-08T02:12:30Z</dcterms:created>
  <dcterms:modified xsi:type="dcterms:W3CDTF">2021-05-11T15:28:21Z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