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Ricks\Documents\filings\"/>
    </mc:Choice>
  </mc:AlternateContent>
  <xr:revisionPtr revIDLastSave="0" documentId="13_ncr:1_{3C7CD849-D972-4AA2-B471-1557AD335B0E}" xr6:coauthVersionLast="47" xr6:coauthVersionMax="47" xr10:uidLastSave="{00000000-0000-0000-0000-000000000000}"/>
  <bookViews>
    <workbookView xWindow="-19320" yWindow="-120" windowWidth="19440" windowHeight="15000" tabRatio="797" xr2:uid="{00000000-000D-0000-FFFF-FFFF00000000}"/>
  </bookViews>
  <sheets>
    <sheet name="Cover Sheet" sheetId="33" r:id="rId1"/>
    <sheet name="Proj Cost" sheetId="22" r:id="rId2"/>
    <sheet name="Prop Bonds (2)" sheetId="32" r:id="rId3"/>
    <sheet name="RevReq" sheetId="29" r:id="rId4"/>
    <sheet name="Rates" sheetId="31" r:id="rId5"/>
  </sheets>
  <externalReferences>
    <externalReference r:id="rId6"/>
    <externalReference r:id="rId7"/>
    <externalReference r:id="rId8"/>
  </externalReferences>
  <definedNames>
    <definedName name="____GF08" localSheetId="2" hidden="1">#REF!</definedName>
    <definedName name="____GF08" hidden="1">#REF!</definedName>
    <definedName name="___GF08" localSheetId="2" hidden="1">#REF!</definedName>
    <definedName name="___GF08" hidden="1">#REF!</definedName>
    <definedName name="__IntlFixup" hidden="1">TRUE</definedName>
    <definedName name="_GF08" localSheetId="2" hidden="1">#REF!</definedName>
    <definedName name="_GF08" hidden="1">#REF!</definedName>
    <definedName name="_Key1" localSheetId="2" hidden="1">[1]WATER04FINAL!#REF!</definedName>
    <definedName name="_Key1" hidden="1">[1]WATER04FINAL!#REF!</definedName>
    <definedName name="_Key2" localSheetId="2" hidden="1">[1]WATER04FINAL!#REF!</definedName>
    <definedName name="_Key2" hidden="1">[1]WATER04FINAL!#REF!</definedName>
    <definedName name="_Order1" hidden="1">255</definedName>
    <definedName name="_Order2" hidden="1">255</definedName>
    <definedName name="ADFA" localSheetId="2" hidden="1">[1]WATER04FINAL!#REF!</definedName>
    <definedName name="ADFA" hidden="1">[1]WATER04FINAL!#REF!</definedName>
    <definedName name="adfad" localSheetId="2" hidden="1">#REF!</definedName>
    <definedName name="adfad" hidden="1">#REF!</definedName>
    <definedName name="BAB.A" localSheetId="2" hidden="1">#REF!</definedName>
    <definedName name="BAB.A" hidden="1">#REF!</definedName>
    <definedName name="_xlnm.Print_Area" localSheetId="1">'Proj Cost'!$A$1:$E$41</definedName>
    <definedName name="_xlnm.Print_Area" localSheetId="2">'Prop Bonds (2)'!$A$1:$M$58</definedName>
    <definedName name="_xlnm.Print_Area" localSheetId="4">Rates!$A$1:$R$34</definedName>
    <definedName name="_xlnm.Print_Area" localSheetId="3">RevReq!$A$1:$O$47</definedName>
    <definedName name="S08MAY" localSheetId="2" hidden="1">[2]WATER04FINAL!#REF!</definedName>
    <definedName name="S08MAY" hidden="1">[2]WATER04FINAL!#REF!</definedName>
  </definedNames>
  <calcPr calcId="191028" iterate="1" iterateCount="1" iterateDelta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29" l="1"/>
  <c r="M24" i="29"/>
  <c r="M23" i="29"/>
  <c r="O16" i="29"/>
  <c r="O17" i="29"/>
  <c r="E18" i="32"/>
  <c r="A63" i="32"/>
  <c r="A61" i="32"/>
  <c r="A60" i="32"/>
  <c r="A59" i="32"/>
  <c r="G55" i="32"/>
  <c r="E55" i="32"/>
  <c r="G54" i="32"/>
  <c r="E54" i="32"/>
  <c r="G53" i="32"/>
  <c r="E53" i="32"/>
  <c r="G52" i="32"/>
  <c r="E52" i="32"/>
  <c r="G51" i="32"/>
  <c r="E51" i="32"/>
  <c r="G50" i="32"/>
  <c r="E50" i="32"/>
  <c r="G49" i="32"/>
  <c r="E49" i="32"/>
  <c r="G48" i="32"/>
  <c r="E48" i="32"/>
  <c r="G47" i="32"/>
  <c r="E47" i="32"/>
  <c r="G46" i="32"/>
  <c r="E46" i="32"/>
  <c r="G45" i="32"/>
  <c r="E45" i="32"/>
  <c r="G44" i="32"/>
  <c r="E44" i="32"/>
  <c r="G43" i="32"/>
  <c r="E43" i="32"/>
  <c r="G42" i="32"/>
  <c r="E42" i="32"/>
  <c r="G41" i="32"/>
  <c r="E41" i="32"/>
  <c r="G40" i="32"/>
  <c r="E40" i="32"/>
  <c r="G39" i="32"/>
  <c r="E39" i="32"/>
  <c r="G38" i="32"/>
  <c r="E38" i="32"/>
  <c r="G37" i="32"/>
  <c r="E37" i="32"/>
  <c r="G36" i="32"/>
  <c r="E36" i="32"/>
  <c r="G35" i="32"/>
  <c r="E35" i="32"/>
  <c r="G34" i="32"/>
  <c r="E34" i="32"/>
  <c r="G33" i="32"/>
  <c r="E33" i="32"/>
  <c r="G32" i="32"/>
  <c r="E32" i="32"/>
  <c r="G31" i="32"/>
  <c r="E31" i="32"/>
  <c r="G30" i="32"/>
  <c r="E30" i="32"/>
  <c r="G29" i="32"/>
  <c r="E29" i="32"/>
  <c r="G28" i="32"/>
  <c r="E28" i="32"/>
  <c r="G27" i="32"/>
  <c r="E27" i="32"/>
  <c r="G26" i="32"/>
  <c r="E26" i="32"/>
  <c r="G25" i="32"/>
  <c r="E25" i="32"/>
  <c r="G24" i="32"/>
  <c r="E24" i="32"/>
  <c r="G23" i="32"/>
  <c r="E23" i="32"/>
  <c r="G22" i="32"/>
  <c r="E22" i="32"/>
  <c r="G21" i="32"/>
  <c r="E21" i="32"/>
  <c r="G20" i="32"/>
  <c r="E20" i="32"/>
  <c r="G19" i="32"/>
  <c r="E19" i="32"/>
  <c r="G18" i="32"/>
  <c r="G17" i="32"/>
  <c r="E17" i="32"/>
  <c r="G16" i="32"/>
  <c r="E16" i="32"/>
  <c r="E57" i="32" s="1"/>
  <c r="C15" i="32"/>
  <c r="C16" i="32" s="1"/>
  <c r="C17" i="32" s="1"/>
  <c r="C18" i="32" s="1"/>
  <c r="C19" i="32" s="1"/>
  <c r="C20" i="32" s="1"/>
  <c r="C21" i="32" s="1"/>
  <c r="C22" i="32" s="1"/>
  <c r="C23" i="32" s="1"/>
  <c r="C24" i="32" s="1"/>
  <c r="C25" i="32" s="1"/>
  <c r="C26" i="32" s="1"/>
  <c r="C27" i="32" s="1"/>
  <c r="C28" i="32" s="1"/>
  <c r="C29" i="32" s="1"/>
  <c r="C30" i="32" s="1"/>
  <c r="C31" i="32" s="1"/>
  <c r="C32" i="32" s="1"/>
  <c r="C33" i="32" s="1"/>
  <c r="C34" i="32" s="1"/>
  <c r="C35" i="32" s="1"/>
  <c r="C36" i="32" s="1"/>
  <c r="C37" i="32" s="1"/>
  <c r="C38" i="32" s="1"/>
  <c r="C39" i="32" s="1"/>
  <c r="C40" i="32" s="1"/>
  <c r="C41" i="32" s="1"/>
  <c r="C42" i="32" s="1"/>
  <c r="C43" i="32" s="1"/>
  <c r="C44" i="32" s="1"/>
  <c r="C45" i="32" s="1"/>
  <c r="C46" i="32" s="1"/>
  <c r="C47" i="32" s="1"/>
  <c r="C48" i="32" s="1"/>
  <c r="C49" i="32" s="1"/>
  <c r="C50" i="32" s="1"/>
  <c r="C51" i="32" s="1"/>
  <c r="C52" i="32" s="1"/>
  <c r="C53" i="32" s="1"/>
  <c r="C54" i="32" s="1"/>
  <c r="C55" i="32" s="1"/>
  <c r="C14" i="32"/>
  <c r="A14" i="32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52" i="32" s="1"/>
  <c r="A53" i="32" s="1"/>
  <c r="A54" i="32" s="1"/>
  <c r="A55" i="32" s="1"/>
  <c r="P9" i="32"/>
  <c r="A7" i="32"/>
  <c r="A5" i="32"/>
  <c r="A4" i="32"/>
  <c r="A3" i="32"/>
  <c r="A1" i="32"/>
  <c r="A18" i="29"/>
  <c r="G26" i="22"/>
  <c r="I55" i="32" l="1"/>
  <c r="I54" i="32" s="1"/>
  <c r="K54" i="32" s="1"/>
  <c r="I53" i="32" l="1"/>
  <c r="K55" i="32"/>
  <c r="M55" i="32" s="1"/>
  <c r="K53" i="32" l="1"/>
  <c r="I52" i="32"/>
  <c r="K52" i="32" l="1"/>
  <c r="M53" i="32" s="1"/>
  <c r="I51" i="32"/>
  <c r="K51" i="32" l="1"/>
  <c r="I50" i="32"/>
  <c r="M51" i="32" l="1"/>
  <c r="K50" i="32"/>
  <c r="I49" i="32"/>
  <c r="K49" i="32" l="1"/>
  <c r="I48" i="32"/>
  <c r="M49" i="32" l="1"/>
  <c r="K48" i="32"/>
  <c r="I47" i="32"/>
  <c r="I46" i="32" l="1"/>
  <c r="K47" i="32"/>
  <c r="K46" i="32" l="1"/>
  <c r="M47" i="32" s="1"/>
  <c r="I45" i="32"/>
  <c r="K45" i="32" l="1"/>
  <c r="I44" i="32"/>
  <c r="M45" i="32" l="1"/>
  <c r="I43" i="32"/>
  <c r="K44" i="32"/>
  <c r="K43" i="32" l="1"/>
  <c r="I42" i="32"/>
  <c r="K42" i="32" l="1"/>
  <c r="M43" i="32" s="1"/>
  <c r="I41" i="32"/>
  <c r="K41" i="32" l="1"/>
  <c r="I40" i="32"/>
  <c r="M41" i="32" l="1"/>
  <c r="K40" i="32"/>
  <c r="I39" i="32"/>
  <c r="K39" i="32" l="1"/>
  <c r="I38" i="32"/>
  <c r="M39" i="32" l="1"/>
  <c r="I37" i="32"/>
  <c r="K38" i="32"/>
  <c r="K37" i="32" l="1"/>
  <c r="I36" i="32"/>
  <c r="M37" i="32" l="1"/>
  <c r="K36" i="32"/>
  <c r="I35" i="32"/>
  <c r="I34" i="32" l="1"/>
  <c r="K35" i="32"/>
  <c r="I33" i="32" l="1"/>
  <c r="K34" i="32"/>
  <c r="M35" i="32"/>
  <c r="I32" i="32" l="1"/>
  <c r="K33" i="32"/>
  <c r="M33" i="32" l="1"/>
  <c r="K32" i="32"/>
  <c r="I31" i="32"/>
  <c r="K31" i="32" l="1"/>
  <c r="I30" i="32"/>
  <c r="I29" i="32" l="1"/>
  <c r="K30" i="32"/>
  <c r="M31" i="32" s="1"/>
  <c r="I28" i="32" l="1"/>
  <c r="K29" i="32"/>
  <c r="K28" i="32" l="1"/>
  <c r="M29" i="32" s="1"/>
  <c r="I27" i="32"/>
  <c r="K27" i="32" l="1"/>
  <c r="I26" i="32"/>
  <c r="K26" i="32" l="1"/>
  <c r="M27" i="32" s="1"/>
  <c r="I25" i="32"/>
  <c r="K25" i="32" l="1"/>
  <c r="I24" i="32"/>
  <c r="I23" i="32" l="1"/>
  <c r="K24" i="32"/>
  <c r="M25" i="32"/>
  <c r="I22" i="32" l="1"/>
  <c r="K23" i="32"/>
  <c r="K22" i="32" l="1"/>
  <c r="M23" i="32" s="1"/>
  <c r="I21" i="32"/>
  <c r="K21" i="32" l="1"/>
  <c r="I20" i="32"/>
  <c r="I19" i="32" l="1"/>
  <c r="K20" i="32"/>
  <c r="M21" i="32"/>
  <c r="I18" i="32" l="1"/>
  <c r="K19" i="32"/>
  <c r="K18" i="32" l="1"/>
  <c r="M19" i="32" s="1"/>
  <c r="I17" i="32"/>
  <c r="I16" i="32" l="1"/>
  <c r="K17" i="32"/>
  <c r="K16" i="32" l="1"/>
  <c r="M17" i="32" s="1"/>
  <c r="I15" i="32"/>
  <c r="K15" i="32" l="1"/>
  <c r="P10" i="32"/>
  <c r="P11" i="32" s="1"/>
  <c r="I14" i="32" s="1"/>
  <c r="K14" i="32" l="1"/>
  <c r="K57" i="32" s="1"/>
  <c r="I57" i="32"/>
  <c r="M15" i="32"/>
  <c r="M57" i="32" s="1"/>
  <c r="E55" i="22" l="1"/>
  <c r="E56" i="22"/>
  <c r="E57" i="22" s="1"/>
  <c r="E26" i="22" s="1"/>
  <c r="E28" i="22" s="1"/>
  <c r="E10" i="22"/>
  <c r="E12" i="22" s="1"/>
  <c r="O24" i="29"/>
  <c r="O23" i="29"/>
  <c r="E13" i="22" l="1"/>
  <c r="E15" i="22" s="1"/>
  <c r="E30" i="22" s="1"/>
  <c r="E34" i="22" s="1"/>
  <c r="E38" i="22" s="1"/>
  <c r="K17" i="29" l="1"/>
  <c r="K29" i="29" l="1"/>
  <c r="I32" i="29"/>
  <c r="I13" i="29"/>
  <c r="M13" i="29" s="1"/>
  <c r="C29" i="29" l="1"/>
  <c r="E23" i="29"/>
  <c r="G23" i="29" s="1"/>
  <c r="M32" i="29" l="1"/>
  <c r="O29" i="29"/>
  <c r="C32" i="29"/>
  <c r="C56" i="22"/>
  <c r="C57" i="22" s="1"/>
  <c r="C10" i="22"/>
  <c r="E29" i="29" l="1"/>
  <c r="E32" i="29" l="1"/>
  <c r="G29" i="29"/>
  <c r="C12" i="22" l="1"/>
  <c r="C13" i="22" s="1"/>
  <c r="J17" i="31"/>
  <c r="G18" i="29" l="1"/>
  <c r="C26" i="22" l="1"/>
  <c r="C28" i="22" s="1"/>
  <c r="A13" i="22"/>
  <c r="C15" i="22" l="1"/>
  <c r="C30" i="22" l="1"/>
  <c r="C34" i="22" s="1"/>
  <c r="E16" i="29" l="1"/>
  <c r="C16" i="29"/>
  <c r="C38" i="22"/>
  <c r="E24" i="29"/>
  <c r="G24" i="29" s="1"/>
  <c r="C17" i="29" l="1"/>
  <c r="G16" i="29"/>
  <c r="G17" i="29" l="1"/>
  <c r="E17" i="29"/>
  <c r="C20" i="29" l="1"/>
  <c r="C26" i="29" s="1"/>
  <c r="E13" i="29" l="1"/>
  <c r="A5" i="29" l="1"/>
  <c r="C34" i="29"/>
  <c r="C37" i="29" s="1"/>
  <c r="T3" i="31"/>
  <c r="U3" i="31"/>
  <c r="L9" i="31"/>
  <c r="N9" i="31"/>
  <c r="P9" i="31"/>
  <c r="R9" i="31"/>
  <c r="S9" i="31"/>
  <c r="T9" i="31"/>
  <c r="X9" i="31"/>
  <c r="L10" i="31"/>
  <c r="N10" i="31"/>
  <c r="P10" i="31"/>
  <c r="R10" i="31"/>
  <c r="S10" i="31"/>
  <c r="T10" i="31"/>
  <c r="L11" i="31"/>
  <c r="N11" i="31"/>
  <c r="P11" i="31"/>
  <c r="R11" i="31"/>
  <c r="S11" i="31"/>
  <c r="T11" i="31"/>
  <c r="L12" i="31"/>
  <c r="N12" i="31"/>
  <c r="P12" i="31"/>
  <c r="R12" i="31"/>
  <c r="S12" i="31"/>
  <c r="T12" i="31"/>
  <c r="L13" i="31"/>
  <c r="N13" i="31"/>
  <c r="P13" i="31"/>
  <c r="R13" i="31"/>
  <c r="S13" i="31"/>
  <c r="T13" i="31"/>
  <c r="L17" i="31"/>
  <c r="N17" i="31"/>
  <c r="P17" i="31"/>
  <c r="R17" i="31"/>
  <c r="S17" i="31"/>
  <c r="T17" i="31"/>
  <c r="L18" i="31"/>
  <c r="N18" i="31"/>
  <c r="P18" i="31"/>
  <c r="R18" i="31"/>
  <c r="S18" i="31"/>
  <c r="T18" i="31"/>
  <c r="L19" i="31"/>
  <c r="N19" i="31"/>
  <c r="P19" i="31"/>
  <c r="R19" i="31"/>
  <c r="S19" i="31"/>
  <c r="T19" i="31"/>
  <c r="L20" i="31"/>
  <c r="N20" i="31"/>
  <c r="P20" i="31"/>
  <c r="R20" i="31"/>
  <c r="S20" i="31"/>
  <c r="T20" i="31"/>
  <c r="L21" i="31"/>
  <c r="N21" i="31"/>
  <c r="P21" i="31"/>
  <c r="R21" i="31"/>
  <c r="S21" i="31"/>
  <c r="T21" i="31"/>
  <c r="L22" i="31"/>
  <c r="N22" i="31"/>
  <c r="P22" i="31"/>
  <c r="R22" i="31"/>
  <c r="S22" i="31"/>
  <c r="T22" i="31"/>
  <c r="L23" i="31"/>
  <c r="N23" i="31"/>
  <c r="P23" i="31"/>
  <c r="R23" i="31"/>
  <c r="S23" i="31"/>
  <c r="T23" i="31"/>
  <c r="O13" i="29"/>
  <c r="E14" i="29"/>
  <c r="G14" i="29"/>
  <c r="I14" i="29"/>
  <c r="K14" i="29"/>
  <c r="M14" i="29"/>
  <c r="O14" i="29"/>
  <c r="E20" i="29"/>
  <c r="G20" i="29"/>
  <c r="I20" i="29"/>
  <c r="K20" i="29"/>
  <c r="M20" i="29"/>
  <c r="O20" i="29"/>
  <c r="E26" i="29"/>
  <c r="G26" i="29"/>
  <c r="I26" i="29"/>
  <c r="K26" i="29"/>
  <c r="M26" i="29"/>
  <c r="O26" i="29"/>
  <c r="G30" i="29"/>
  <c r="K30" i="29"/>
  <c r="O30" i="29"/>
  <c r="G32" i="29"/>
  <c r="K32" i="29"/>
  <c r="O32" i="29"/>
  <c r="E34" i="29"/>
  <c r="G34" i="29"/>
  <c r="I34" i="29"/>
  <c r="K34" i="29"/>
  <c r="M34" i="29"/>
  <c r="O34" i="29"/>
  <c r="E37" i="29"/>
  <c r="G37" i="29"/>
  <c r="I37" i="29"/>
  <c r="K37" i="29"/>
  <c r="M37" i="29"/>
  <c r="O37" i="29"/>
  <c r="G50" i="29"/>
  <c r="K50" i="29"/>
  <c r="O50" i="29"/>
</calcChain>
</file>

<file path=xl/sharedStrings.xml><?xml version="1.0" encoding="utf-8"?>
<sst xmlns="http://schemas.openxmlformats.org/spreadsheetml/2006/main" count="156" uniqueCount="123">
  <si>
    <t>OUCC</t>
  </si>
  <si>
    <t>Cause No. 45563-U</t>
  </si>
  <si>
    <t>Agreed Schedules</t>
  </si>
  <si>
    <t>TRI-TOWNSHIP WATER CORPORATION</t>
  </si>
  <si>
    <t>SCHEDULE OF ESTIMATED PROJECT COSTS AND FUNDING</t>
  </si>
  <si>
    <t>(Per Consulting Engineers)</t>
  </si>
  <si>
    <t>ESTIMATED PROJECT COSTS</t>
  </si>
  <si>
    <t>Original Filing</t>
  </si>
  <si>
    <t>Proposed Settlement</t>
  </si>
  <si>
    <t>Estimated Construction Costs:</t>
  </si>
  <si>
    <t>Water Storage Tank</t>
  </si>
  <si>
    <t>Water Transmission Mains</t>
  </si>
  <si>
    <t>Sub-totals</t>
  </si>
  <si>
    <t>Construction contingencies:</t>
  </si>
  <si>
    <t>Total Estimated Construction Costs</t>
  </si>
  <si>
    <t>Estimated Non-Construction Costs:</t>
  </si>
  <si>
    <t>Engineering - Design, Bidding and Contract Admin.</t>
  </si>
  <si>
    <t>Engineering - PER</t>
  </si>
  <si>
    <t>Geotechnical Engineering - Borings and Report</t>
  </si>
  <si>
    <t>Archaeological Investigation</t>
  </si>
  <si>
    <t>Construction Observation (by owner)</t>
  </si>
  <si>
    <t>Specialized Tank Inspections</t>
  </si>
  <si>
    <t>Asset Management Plan</t>
  </si>
  <si>
    <t>Labor Standards Administration</t>
  </si>
  <si>
    <t>Legal, loan counsel, financial advisory and contingencies (1)</t>
  </si>
  <si>
    <t>Total Estimated Non-Construction Costs</t>
  </si>
  <si>
    <t>Total Estimated Project Costs</t>
  </si>
  <si>
    <t>ESTIMATED PROJECT FUNDING</t>
  </si>
  <si>
    <t>Proposed SRF Loan</t>
  </si>
  <si>
    <t>SRF Grant Funding - Asset Management Plan</t>
  </si>
  <si>
    <t>Cash on hand</t>
  </si>
  <si>
    <t>Total Estimated Project Funding</t>
  </si>
  <si>
    <t>(1) Proposed settlement excludes $37,000 of of rate case costs.</t>
  </si>
  <si>
    <t>COI</t>
  </si>
  <si>
    <t>Bond Counsel</t>
  </si>
  <si>
    <t>Local Counsel</t>
  </si>
  <si>
    <t>FA/Attest</t>
  </si>
  <si>
    <t>Labor standards</t>
  </si>
  <si>
    <t>SRF Fees/Counsel</t>
  </si>
  <si>
    <t>IURC</t>
  </si>
  <si>
    <t>Rounding</t>
  </si>
  <si>
    <t>Total</t>
  </si>
  <si>
    <t>Bond Type:</t>
  </si>
  <si>
    <t>Waterworks Revenue</t>
  </si>
  <si>
    <t>Principal Amount:</t>
  </si>
  <si>
    <t>Flat Interest Rate (if applicable):</t>
  </si>
  <si>
    <t>Assumed interest rate as shown</t>
  </si>
  <si>
    <t>Dated Date:</t>
  </si>
  <si>
    <t>January</t>
  </si>
  <si>
    <t>Pmt Months</t>
  </si>
  <si>
    <t>1st Principal Payment Date:</t>
  </si>
  <si>
    <t>July</t>
  </si>
  <si>
    <t>Assumed</t>
  </si>
  <si>
    <t>Pro-Rated Days:</t>
  </si>
  <si>
    <t>Payment</t>
  </si>
  <si>
    <t>Principal</t>
  </si>
  <si>
    <t>Interest</t>
  </si>
  <si>
    <t>Debt Service</t>
  </si>
  <si>
    <t>Bond Year</t>
  </si>
  <si>
    <t>Daily Interest:</t>
  </si>
  <si>
    <t>Date</t>
  </si>
  <si>
    <t>Balance</t>
  </si>
  <si>
    <t>Rate</t>
  </si>
  <si>
    <t xml:space="preserve">Interest </t>
  </si>
  <si>
    <t>1st Interest Payment:</t>
  </si>
  <si>
    <t>(------In $1,000's------)</t>
  </si>
  <si>
    <t>(%)</t>
  </si>
  <si>
    <t>(--------------------In Dollars--------------------)</t>
  </si>
  <si>
    <t>Enter Munex Principal Payment Data</t>
  </si>
  <si>
    <t>PRO FORMA ANNUAL REVENUE REQUIREMENTS</t>
  </si>
  <si>
    <t>AND ANNUAL OPERATING REVENUES</t>
  </si>
  <si>
    <t>(Amounts rounded to the nearest $100)</t>
  </si>
  <si>
    <t>OUCC Report</t>
  </si>
  <si>
    <t>Phase I</t>
  </si>
  <si>
    <t>Phase II</t>
  </si>
  <si>
    <t>Pro Forma Revenue Requirements:</t>
  </si>
  <si>
    <t>Operation and Maintenance Expenses (1)</t>
  </si>
  <si>
    <t>Additional IURC Fee (0.13%)</t>
  </si>
  <si>
    <t>Debt Service:</t>
  </si>
  <si>
    <t>Proposed Bonds (2)</t>
  </si>
  <si>
    <t>Debt Service Reserve (3)</t>
  </si>
  <si>
    <t>Total Annual Revenue Requirements</t>
  </si>
  <si>
    <t>Less Penalties (5)</t>
  </si>
  <si>
    <t>Less Miscellaneous Revenues</t>
  </si>
  <si>
    <t>Less Interest Income</t>
  </si>
  <si>
    <t>Net Annual Revenue Requirements</t>
  </si>
  <si>
    <t>Pro Forma Annual Revenues:</t>
  </si>
  <si>
    <t>Water sales (4)</t>
  </si>
  <si>
    <t>Additional Revenues from Rate Increase Phase I</t>
  </si>
  <si>
    <t>Total Availalble Revenues</t>
  </si>
  <si>
    <t>Additional Revenue Required</t>
  </si>
  <si>
    <t xml:space="preserve">Approximate Across-The-Board Increase </t>
  </si>
  <si>
    <t>In Present Rates and Charges</t>
  </si>
  <si>
    <t>(1) Proposed settlement assumes the OUCC's operating expenses.</t>
  </si>
  <si>
    <t xml:space="preserve">(2) Proposed settlement assumes a 2.5% interest rate for the proposed bonds and a full year of interest only expense for Phase I </t>
  </si>
  <si>
    <t xml:space="preserve">       as the dating of the bonds is not yet fully known.  Phase II assumes the average of the 4 bond years ending January 1, 2027. </t>
  </si>
  <si>
    <t>(3) Proposed settlement increased based on the maximum annual funding from rates and charges of $27,500.</t>
  </si>
  <si>
    <t>(4) Proposed settlement assumes the OUCC's normalized test year revenues.</t>
  </si>
  <si>
    <t>SCHEDULE OF PRESENT AND PROPOSED RATES AND CHARGES</t>
  </si>
  <si>
    <t>Increase</t>
  </si>
  <si>
    <t>Proposed Rates</t>
  </si>
  <si>
    <t>Present (1)</t>
  </si>
  <si>
    <t>I</t>
  </si>
  <si>
    <t>II</t>
  </si>
  <si>
    <t>Monthly Metered Flow Rate (rate per 1,000 gallons):</t>
  </si>
  <si>
    <t>(IURC Approval)</t>
  </si>
  <si>
    <t>(1/1/23)</t>
  </si>
  <si>
    <t>First</t>
  </si>
  <si>
    <t>gallons</t>
  </si>
  <si>
    <t>Next</t>
  </si>
  <si>
    <t>Over</t>
  </si>
  <si>
    <t>Gallons</t>
  </si>
  <si>
    <t>Minimum Charge (per month)</t>
  </si>
  <si>
    <t>Allowed</t>
  </si>
  <si>
    <t>5/8 - 3/4</t>
  </si>
  <si>
    <t>inch meter</t>
  </si>
  <si>
    <t>(1) Present rates and charges approved pursuant to IURC Cause Number 40327,</t>
  </si>
  <si>
    <t xml:space="preserve">      dated April 17, 1996.</t>
  </si>
  <si>
    <t>(2) Assumes a 19.12% across-the-board increase.</t>
  </si>
  <si>
    <t>(3) Assumes a 21.13% across-the-board increase.</t>
  </si>
  <si>
    <t>FILED</t>
  </si>
  <si>
    <t>INDIANA UTILITY</t>
  </si>
  <si>
    <t>REGULATORY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</si>
</sst>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&quot;"/>
    <numFmt numFmtId="166" formatCode="_(* #,##0.000_);_(* \(#,##0.000\);_(* &quot;-&quot;??_);_(@_)"/>
    <numFmt numFmtId="167" formatCode="mm/dd/yy"/>
    <numFmt numFmtId="168" formatCode="&quot;$&quot;#,##0.00"/>
    <numFmt numFmtId="169" formatCode="0.00_);\(0.00\)"/>
  </numFmts>
  <fonts count="17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2"/>
      <color theme="10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Times New Roman"/>
    </font>
    <font>
      <sz val="11"/>
      <name val="Calibri"/>
      <family val="2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9" fontId="2" fillId="0" borderId="0" applyFont="0" applyFill="0" applyBorder="0" applyAlignment="0" applyProtection="0"/>
    <xf numFmtId="0" fontId="4" fillId="0" borderId="0" applyProtection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135">
    <xf numFmtId="0" fontId="0" fillId="0" borderId="0" xfId="0"/>
    <xf numFmtId="0" fontId="5" fillId="0" borderId="0" xfId="3" applyFont="1" applyAlignment="1">
      <alignment horizontal="centerContinuous"/>
    </xf>
    <xf numFmtId="0" fontId="3" fillId="0" borderId="0" xfId="3" applyFont="1"/>
    <xf numFmtId="0" fontId="6" fillId="0" borderId="0" xfId="3" applyFont="1" applyAlignment="1">
      <alignment horizontal="centerContinuous"/>
    </xf>
    <xf numFmtId="0" fontId="6" fillId="0" borderId="0" xfId="3" applyFont="1"/>
    <xf numFmtId="0" fontId="7" fillId="0" borderId="0" xfId="3" applyFont="1"/>
    <xf numFmtId="0" fontId="9" fillId="0" borderId="0" xfId="3" applyFont="1" applyAlignment="1">
      <alignment horizontal="centerContinuous"/>
    </xf>
    <xf numFmtId="0" fontId="9" fillId="0" borderId="0" xfId="3" applyFont="1"/>
    <xf numFmtId="165" fontId="5" fillId="0" borderId="0" xfId="3" applyNumberFormat="1" applyFont="1" applyAlignment="1">
      <alignment horizontal="centerContinuous"/>
    </xf>
    <xf numFmtId="0" fontId="8" fillId="0" borderId="0" xfId="3" applyAlignment="1">
      <alignment horizontal="centerContinuous"/>
    </xf>
    <xf numFmtId="37" fontId="10" fillId="0" borderId="0" xfId="3" applyNumberFormat="1" applyFont="1"/>
    <xf numFmtId="0" fontId="7" fillId="0" borderId="0" xfId="3" applyFont="1" applyAlignment="1">
      <alignment horizontal="left"/>
    </xf>
    <xf numFmtId="0" fontId="11" fillId="2" borderId="0" xfId="3" applyFont="1" applyFill="1"/>
    <xf numFmtId="0" fontId="2" fillId="0" borderId="0" xfId="0" applyFont="1"/>
    <xf numFmtId="0" fontId="2" fillId="0" borderId="0" xfId="3" applyFont="1"/>
    <xf numFmtId="0" fontId="2" fillId="0" borderId="0" xfId="3" applyFont="1" applyAlignment="1">
      <alignment horizontal="left" indent="1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Continuous"/>
    </xf>
    <xf numFmtId="9" fontId="2" fillId="0" borderId="0" xfId="1" applyAlignment="1">
      <alignment horizontal="right"/>
    </xf>
    <xf numFmtId="0" fontId="2" fillId="0" borderId="0" xfId="3" applyFont="1" applyAlignment="1">
      <alignment horizontal="right"/>
    </xf>
    <xf numFmtId="0" fontId="2" fillId="0" borderId="0" xfId="3" applyFont="1" applyAlignment="1">
      <alignment horizontal="center"/>
    </xf>
    <xf numFmtId="0" fontId="2" fillId="0" borderId="0" xfId="3" applyFont="1" applyAlignment="1">
      <alignment horizontal="left" indent="2"/>
    </xf>
    <xf numFmtId="0" fontId="2" fillId="0" borderId="0" xfId="3" quotePrefix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3" applyFont="1" applyBorder="1" applyAlignment="1"/>
    <xf numFmtId="0" fontId="2" fillId="0" borderId="0" xfId="3" applyFont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7" fillId="0" borderId="0" xfId="3" applyFont="1" applyBorder="1" applyAlignment="1">
      <alignment horizontal="left"/>
    </xf>
    <xf numFmtId="0" fontId="2" fillId="0" borderId="0" xfId="3" applyFont="1" applyBorder="1" applyAlignment="1">
      <alignment horizontal="left" indent="1"/>
    </xf>
    <xf numFmtId="0" fontId="2" fillId="0" borderId="0" xfId="3" applyFont="1" applyBorder="1"/>
    <xf numFmtId="0" fontId="2" fillId="0" borderId="0" xfId="3" applyFont="1" applyAlignment="1"/>
    <xf numFmtId="0" fontId="2" fillId="0" borderId="0" xfId="3" applyFont="1" applyBorder="1" applyAlignment="1">
      <alignment horizontal="left"/>
    </xf>
    <xf numFmtId="0" fontId="2" fillId="0" borderId="0" xfId="3" applyFont="1" applyAlignment="1">
      <alignment horizontal="centerContinuous"/>
    </xf>
    <xf numFmtId="166" fontId="2" fillId="0" borderId="0" xfId="3" applyNumberFormat="1" applyFont="1"/>
    <xf numFmtId="37" fontId="2" fillId="3" borderId="8" xfId="3" applyNumberFormat="1" applyFont="1" applyFill="1" applyBorder="1"/>
    <xf numFmtId="165" fontId="2" fillId="0" borderId="0" xfId="3" applyNumberFormat="1" applyFont="1"/>
    <xf numFmtId="44" fontId="2" fillId="0" borderId="0" xfId="3" applyNumberFormat="1" applyFont="1"/>
    <xf numFmtId="167" fontId="6" fillId="0" borderId="0" xfId="3" applyNumberFormat="1" applyFont="1" applyAlignment="1">
      <alignment horizontal="centerContinuous"/>
    </xf>
    <xf numFmtId="37" fontId="5" fillId="0" borderId="0" xfId="3" applyNumberFormat="1" applyFont="1" applyAlignment="1">
      <alignment horizontal="centerContinuous"/>
    </xf>
    <xf numFmtId="43" fontId="5" fillId="0" borderId="0" xfId="3" applyNumberFormat="1" applyFont="1" applyAlignment="1">
      <alignment horizontal="centerContinuous"/>
    </xf>
    <xf numFmtId="39" fontId="5" fillId="0" borderId="0" xfId="3" applyNumberFormat="1" applyFont="1" applyAlignment="1">
      <alignment horizontal="centerContinuous"/>
    </xf>
    <xf numFmtId="10" fontId="2" fillId="0" borderId="0" xfId="3" applyNumberFormat="1" applyFont="1" applyAlignment="1">
      <alignment horizontal="right"/>
    </xf>
    <xf numFmtId="43" fontId="2" fillId="0" borderId="0" xfId="3" applyNumberFormat="1" applyFont="1" applyAlignment="1">
      <alignment horizontal="left"/>
    </xf>
    <xf numFmtId="168" fontId="2" fillId="3" borderId="8" xfId="3" applyNumberFormat="1" applyFont="1" applyFill="1" applyBorder="1"/>
    <xf numFmtId="37" fontId="2" fillId="0" borderId="0" xfId="3" applyNumberFormat="1" applyFont="1" applyAlignment="1">
      <alignment horizontal="centerContinuous"/>
    </xf>
    <xf numFmtId="43" fontId="2" fillId="0" borderId="0" xfId="3" applyNumberFormat="1" applyFont="1" applyAlignment="1">
      <alignment horizontal="centerContinuous"/>
    </xf>
    <xf numFmtId="39" fontId="2" fillId="0" borderId="0" xfId="3" applyNumberFormat="1" applyFont="1" applyAlignment="1">
      <alignment horizontal="centerContinuous"/>
    </xf>
    <xf numFmtId="43" fontId="2" fillId="0" borderId="0" xfId="3" applyNumberFormat="1" applyFont="1"/>
    <xf numFmtId="10" fontId="2" fillId="3" borderId="8" xfId="3" applyNumberFormat="1" applyFont="1" applyFill="1" applyBorder="1"/>
    <xf numFmtId="167" fontId="5" fillId="0" borderId="0" xfId="3" applyNumberFormat="1" applyFont="1" applyAlignment="1">
      <alignment horizontal="centerContinuous"/>
    </xf>
    <xf numFmtId="37" fontId="2" fillId="0" borderId="0" xfId="3" applyNumberFormat="1" applyFont="1"/>
    <xf numFmtId="14" fontId="2" fillId="3" borderId="8" xfId="3" applyNumberFormat="1" applyFont="1" applyFill="1" applyBorder="1"/>
    <xf numFmtId="10" fontId="2" fillId="0" borderId="0" xfId="3" applyNumberFormat="1" applyFont="1"/>
    <xf numFmtId="8" fontId="2" fillId="0" borderId="0" xfId="3" applyNumberFormat="1" applyFont="1"/>
    <xf numFmtId="1" fontId="2" fillId="0" borderId="0" xfId="3" applyNumberFormat="1" applyFont="1" applyAlignment="1">
      <alignment horizontal="right"/>
    </xf>
    <xf numFmtId="0" fontId="2" fillId="0" borderId="1" xfId="3" applyFont="1" applyBorder="1" applyAlignment="1">
      <alignment horizontal="centerContinuous"/>
    </xf>
    <xf numFmtId="7" fontId="2" fillId="0" borderId="0" xfId="3" applyNumberFormat="1" applyFont="1"/>
    <xf numFmtId="0" fontId="2" fillId="0" borderId="9" xfId="3" applyFont="1" applyBorder="1"/>
    <xf numFmtId="0" fontId="2" fillId="0" borderId="9" xfId="3" applyFont="1" applyBorder="1" applyAlignment="1">
      <alignment horizontal="center"/>
    </xf>
    <xf numFmtId="0" fontId="2" fillId="0" borderId="9" xfId="3" applyFont="1" applyBorder="1" applyAlignment="1">
      <alignment horizontal="centerContinuous"/>
    </xf>
    <xf numFmtId="167" fontId="2" fillId="0" borderId="0" xfId="3" applyNumberFormat="1" applyFont="1" applyAlignment="1">
      <alignment horizontal="center"/>
    </xf>
    <xf numFmtId="39" fontId="2" fillId="0" borderId="0" xfId="3" applyNumberFormat="1" applyFont="1"/>
    <xf numFmtId="0" fontId="6" fillId="0" borderId="0" xfId="3" applyFont="1" applyAlignment="1">
      <alignment horizontal="center"/>
    </xf>
    <xf numFmtId="5" fontId="2" fillId="0" borderId="0" xfId="3" applyNumberFormat="1" applyFont="1"/>
    <xf numFmtId="169" fontId="2" fillId="0" borderId="0" xfId="3" applyNumberFormat="1" applyFont="1"/>
    <xf numFmtId="43" fontId="2" fillId="3" borderId="8" xfId="3" applyNumberFormat="1" applyFont="1" applyFill="1" applyBorder="1"/>
    <xf numFmtId="41" fontId="2" fillId="0" borderId="0" xfId="3" applyNumberFormat="1" applyFont="1"/>
    <xf numFmtId="37" fontId="2" fillId="0" borderId="3" xfId="3" applyNumberFormat="1" applyFont="1" applyBorder="1"/>
    <xf numFmtId="39" fontId="2" fillId="0" borderId="3" xfId="3" applyNumberFormat="1" applyFont="1" applyBorder="1"/>
    <xf numFmtId="43" fontId="2" fillId="0" borderId="3" xfId="3" applyNumberFormat="1" applyFont="1" applyBorder="1"/>
    <xf numFmtId="5" fontId="2" fillId="0" borderId="2" xfId="3" applyNumberFormat="1" applyFont="1" applyBorder="1"/>
    <xf numFmtId="7" fontId="2" fillId="0" borderId="2" xfId="3" applyNumberFormat="1" applyFont="1" applyBorder="1"/>
    <xf numFmtId="167" fontId="2" fillId="0" borderId="0" xfId="3" applyNumberFormat="1" applyFont="1" applyAlignment="1">
      <alignment horizontal="centerContinuous"/>
    </xf>
    <xf numFmtId="10" fontId="2" fillId="0" borderId="0" xfId="3" applyNumberFormat="1" applyFont="1" applyAlignment="1">
      <alignment horizontal="centerContinuous"/>
    </xf>
    <xf numFmtId="4" fontId="2" fillId="0" borderId="0" xfId="3" applyNumberFormat="1" applyFont="1" applyAlignment="1">
      <alignment horizontal="center"/>
    </xf>
    <xf numFmtId="9" fontId="2" fillId="0" borderId="0" xfId="3" applyNumberFormat="1" applyFont="1" applyBorder="1"/>
    <xf numFmtId="0" fontId="2" fillId="0" borderId="0" xfId="3" applyFont="1" applyBorder="1" applyAlignment="1">
      <alignment horizontal="left" indent="2"/>
    </xf>
    <xf numFmtId="8" fontId="2" fillId="0" borderId="0" xfId="3" quotePrefix="1" applyNumberFormat="1" applyFont="1" applyBorder="1" applyAlignment="1">
      <alignment horizontal="left" indent="2"/>
    </xf>
    <xf numFmtId="44" fontId="2" fillId="0" borderId="0" xfId="13" applyFont="1"/>
    <xf numFmtId="0" fontId="2" fillId="0" borderId="1" xfId="3" applyFont="1" applyBorder="1" applyAlignment="1">
      <alignment horizontal="center"/>
    </xf>
    <xf numFmtId="0" fontId="15" fillId="0" borderId="0" xfId="0" applyFont="1"/>
    <xf numFmtId="164" fontId="2" fillId="0" borderId="0" xfId="3" applyNumberFormat="1" applyFont="1" applyBorder="1"/>
    <xf numFmtId="164" fontId="2" fillId="0" borderId="3" xfId="3" applyNumberFormat="1" applyFont="1" applyBorder="1"/>
    <xf numFmtId="164" fontId="2" fillId="0" borderId="0" xfId="3" applyNumberFormat="1" applyFont="1"/>
    <xf numFmtId="164" fontId="2" fillId="0" borderId="1" xfId="3" applyNumberFormat="1" applyFont="1" applyBorder="1"/>
    <xf numFmtId="0" fontId="2" fillId="0" borderId="5" xfId="3" applyFont="1" applyBorder="1"/>
    <xf numFmtId="9" fontId="2" fillId="3" borderId="6" xfId="3" applyNumberFormat="1" applyFont="1" applyFill="1" applyBorder="1"/>
    <xf numFmtId="9" fontId="2" fillId="3" borderId="0" xfId="3" applyNumberFormat="1" applyFont="1" applyFill="1"/>
    <xf numFmtId="37" fontId="2" fillId="0" borderId="0" xfId="3" applyNumberFormat="1" applyFont="1" applyBorder="1"/>
    <xf numFmtId="0" fontId="2" fillId="0" borderId="3" xfId="3" applyFont="1" applyBorder="1"/>
    <xf numFmtId="5" fontId="2" fillId="0" borderId="0" xfId="3" applyNumberFormat="1" applyFont="1" applyBorder="1"/>
    <xf numFmtId="5" fontId="2" fillId="0" borderId="3" xfId="3" applyNumberFormat="1" applyFont="1" applyBorder="1"/>
    <xf numFmtId="42" fontId="2" fillId="0" borderId="0" xfId="3" applyNumberFormat="1" applyFont="1"/>
    <xf numFmtId="5" fontId="2" fillId="0" borderId="7" xfId="3" applyNumberFormat="1" applyFont="1" applyBorder="1"/>
    <xf numFmtId="164" fontId="2" fillId="0" borderId="0" xfId="12" applyNumberFormat="1" applyFont="1"/>
    <xf numFmtId="164" fontId="2" fillId="0" borderId="0" xfId="12" applyNumberFormat="1" applyFont="1" applyFill="1"/>
    <xf numFmtId="37" fontId="2" fillId="0" borderId="0" xfId="3" applyNumberFormat="1" applyFont="1" applyAlignment="1"/>
    <xf numFmtId="41" fontId="2" fillId="0" borderId="0" xfId="3" applyNumberFormat="1" applyFont="1" applyAlignment="1">
      <alignment horizontal="center"/>
    </xf>
    <xf numFmtId="41" fontId="2" fillId="0" borderId="0" xfId="3" applyNumberFormat="1" applyFont="1" applyFill="1"/>
    <xf numFmtId="41" fontId="2" fillId="0" borderId="1" xfId="3" applyNumberFormat="1" applyFont="1" applyBorder="1"/>
    <xf numFmtId="41" fontId="2" fillId="0" borderId="0" xfId="3" applyNumberFormat="1" applyFont="1" applyBorder="1"/>
    <xf numFmtId="41" fontId="2" fillId="0" borderId="3" xfId="3" applyNumberFormat="1" applyFont="1" applyBorder="1"/>
    <xf numFmtId="37" fontId="2" fillId="0" borderId="0" xfId="3" applyNumberFormat="1" applyFont="1" applyAlignment="1">
      <alignment horizontal="left" indent="2"/>
    </xf>
    <xf numFmtId="5" fontId="2" fillId="0" borderId="0" xfId="3" applyNumberFormat="1" applyFont="1" applyBorder="1" applyAlignment="1">
      <alignment horizontal="right"/>
    </xf>
    <xf numFmtId="164" fontId="2" fillId="0" borderId="1" xfId="12" applyNumberFormat="1" applyFont="1" applyBorder="1"/>
    <xf numFmtId="164" fontId="2" fillId="0" borderId="0" xfId="12" applyNumberFormat="1" applyFont="1" applyBorder="1"/>
    <xf numFmtId="42" fontId="2" fillId="0" borderId="3" xfId="3" applyNumberFormat="1" applyFont="1" applyBorder="1"/>
    <xf numFmtId="42" fontId="2" fillId="0" borderId="0" xfId="3" applyNumberFormat="1" applyFont="1" applyBorder="1"/>
    <xf numFmtId="5" fontId="2" fillId="0" borderId="2" xfId="3" applyNumberFormat="1" applyFont="1" applyBorder="1" applyAlignment="1">
      <alignment horizontal="right"/>
    </xf>
    <xf numFmtId="10" fontId="2" fillId="0" borderId="0" xfId="3" applyNumberFormat="1" applyFont="1" applyBorder="1"/>
    <xf numFmtId="10" fontId="2" fillId="0" borderId="2" xfId="3" applyNumberFormat="1" applyFont="1" applyBorder="1"/>
    <xf numFmtId="3" fontId="2" fillId="0" borderId="0" xfId="3" applyNumberFormat="1" applyFont="1" applyBorder="1" applyAlignment="1">
      <alignment horizontal="centerContinuous"/>
    </xf>
    <xf numFmtId="3" fontId="2" fillId="0" borderId="0" xfId="3" applyNumberFormat="1" applyFont="1" applyAlignment="1">
      <alignment horizontal="centerContinuous"/>
    </xf>
    <xf numFmtId="7" fontId="2" fillId="0" borderId="0" xfId="3" applyNumberFormat="1" applyFont="1" applyBorder="1"/>
    <xf numFmtId="39" fontId="2" fillId="0" borderId="0" xfId="3" applyNumberFormat="1" applyFont="1" applyAlignment="1"/>
    <xf numFmtId="44" fontId="2" fillId="0" borderId="0" xfId="3" applyNumberFormat="1" applyFont="1" applyBorder="1"/>
    <xf numFmtId="5" fontId="2" fillId="0" borderId="0" xfId="3" applyNumberFormat="1" applyFont="1" applyAlignment="1">
      <alignment horizontal="center"/>
    </xf>
    <xf numFmtId="3" fontId="2" fillId="0" borderId="0" xfId="3" applyNumberFormat="1" applyFont="1" applyBorder="1" applyAlignment="1">
      <alignment horizontal="center"/>
    </xf>
    <xf numFmtId="10" fontId="2" fillId="3" borderId="10" xfId="1" applyNumberFormat="1" applyFont="1" applyFill="1" applyBorder="1"/>
    <xf numFmtId="10" fontId="2" fillId="0" borderId="10" xfId="1" applyNumberFormat="1" applyFont="1" applyBorder="1"/>
    <xf numFmtId="43" fontId="2" fillId="0" borderId="0" xfId="3" applyNumberFormat="1" applyFont="1" applyBorder="1"/>
    <xf numFmtId="3" fontId="2" fillId="0" borderId="0" xfId="3" applyNumberFormat="1" applyFont="1" applyAlignment="1">
      <alignment horizontal="center"/>
    </xf>
    <xf numFmtId="5" fontId="2" fillId="0" borderId="0" xfId="3" applyNumberFormat="1" applyFont="1" applyAlignment="1">
      <alignment horizontal="centerContinuous"/>
    </xf>
    <xf numFmtId="37" fontId="2" fillId="0" borderId="0" xfId="3" applyNumberFormat="1" applyFont="1" applyAlignment="1">
      <alignment horizontal="center"/>
    </xf>
    <xf numFmtId="44" fontId="2" fillId="0" borderId="7" xfId="3" applyNumberFormat="1" applyFont="1" applyBorder="1"/>
    <xf numFmtId="0" fontId="2" fillId="0" borderId="4" xfId="3" applyFont="1" applyBorder="1" applyAlignment="1">
      <alignment horizontal="center"/>
    </xf>
    <xf numFmtId="0" fontId="2" fillId="0" borderId="3" xfId="3" applyFont="1" applyBorder="1" applyAlignment="1">
      <alignment horizontal="center"/>
    </xf>
    <xf numFmtId="10" fontId="2" fillId="0" borderId="0" xfId="1" applyNumberFormat="1" applyFont="1"/>
    <xf numFmtId="9" fontId="2" fillId="0" borderId="0" xfId="3" applyNumberFormat="1" applyFont="1"/>
    <xf numFmtId="12" fontId="2" fillId="0" borderId="0" xfId="3" quotePrefix="1" applyNumberFormat="1" applyFont="1" applyAlignment="1">
      <alignment horizontal="center"/>
    </xf>
    <xf numFmtId="0" fontId="2" fillId="0" borderId="1" xfId="3" applyFont="1" applyBorder="1" applyAlignment="1">
      <alignment horizontal="center"/>
    </xf>
    <xf numFmtId="0" fontId="16" fillId="0" borderId="0" xfId="0" applyFont="1" applyAlignment="1">
      <alignment horizontal="center"/>
    </xf>
    <xf numFmtId="15" fontId="16" fillId="0" borderId="0" xfId="0" applyNumberFormat="1" applyFont="1" applyAlignment="1">
      <alignment horizontal="center"/>
    </xf>
  </cellXfs>
  <cellStyles count="14">
    <cellStyle name="Comma" xfId="12" builtinId="3"/>
    <cellStyle name="Comma 2" xfId="6" xr:uid="{00000000-0005-0000-0000-000001000000}"/>
    <cellStyle name="Comma 3" xfId="9" xr:uid="{00000000-0005-0000-0000-000002000000}"/>
    <cellStyle name="Comma 4" xfId="11" xr:uid="{00000000-0005-0000-0000-000003000000}"/>
    <cellStyle name="Currency" xfId="13" builtinId="4"/>
    <cellStyle name="Normal" xfId="0" builtinId="0"/>
    <cellStyle name="Normal 2" xfId="2" xr:uid="{00000000-0005-0000-0000-000006000000}"/>
    <cellStyle name="Normal 2 2" xfId="4" xr:uid="{00000000-0005-0000-0000-000007000000}"/>
    <cellStyle name="Normal 3" xfId="3" xr:uid="{00000000-0005-0000-0000-000008000000}"/>
    <cellStyle name="Normal 4" xfId="7" xr:uid="{00000000-0005-0000-0000-000009000000}"/>
    <cellStyle name="Normal 4 2" xfId="10" xr:uid="{00000000-0005-0000-0000-00000A000000}"/>
    <cellStyle name="Percent" xfId="1" builtinId="5"/>
    <cellStyle name="Percent 2" xfId="5" xr:uid="{00000000-0005-0000-0000-00000E000000}"/>
    <cellStyle name="Percent 3" xfId="8" xr:uid="{00000000-0005-0000-0000-00000F000000}"/>
  </cellStyles>
  <dxfs count="0"/>
  <tableStyles count="0" defaultTableStyle="TableStyleMedium9" defaultPivotStyle="PivotStyleLight16"/>
  <colors>
    <mruColors>
      <color rgb="FFF4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WSU\DKHAYUM\WTR05\Water%20Year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WSU\DKHAYUM\CASHFS05\WaterJUNE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gov-my.sharepoint.com/personal/scott_hadler_bakertilly_com/Documents/Desktop/AR%20052121%20Update%20093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5"/>
      <sheetName val="TitzerQuery"/>
      <sheetName val="WATER05"/>
      <sheetName val="CAPITAL 2005"/>
      <sheetName val="Approp Transfers 05"/>
      <sheetName val="ckchange"/>
      <sheetName val="Rev. % 05"/>
      <sheetName val="BUDGETDETAIL"/>
      <sheetName val="Carryover05"/>
      <sheetName val="Sheet4"/>
      <sheetName val="Sheet3"/>
      <sheetName val="Sheet2"/>
      <sheetName val="WATER04FINAL"/>
      <sheetName val="CAPITAL 2004"/>
      <sheetName val="Approp Transfers"/>
      <sheetName val="Sheet1"/>
      <sheetName val="WATER04 UNADJ"/>
      <sheetName val="wtrsalesbudget"/>
      <sheetName val="Rev. %"/>
      <sheetName val="Carryover 2005"/>
      <sheetName val="Carryover 2004 "/>
      <sheetName val="Carryover 2006"/>
      <sheetName val="Rate Comp"/>
      <sheetName val="Disb"/>
      <sheetName val="Trial Balance (2)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5"/>
      <sheetName val="WATER05"/>
      <sheetName val="CAPITAL 2005"/>
      <sheetName val="Approp Transfers 05"/>
      <sheetName val="ckchange"/>
      <sheetName val="Rev. % 05"/>
      <sheetName val="BUDGETDETAIL"/>
      <sheetName val="Carryover05"/>
      <sheetName val="Sheet4"/>
      <sheetName val="Sheet3"/>
      <sheetName val="Sheet2"/>
      <sheetName val="WATER04FINAL"/>
      <sheetName val="CAPITAL 2004"/>
      <sheetName val="Approp Transfers"/>
      <sheetName val="Sheet1"/>
      <sheetName val="WATER04 UNADJ"/>
      <sheetName val="wtrsalesbudget"/>
      <sheetName val="Rev. %"/>
      <sheetName val="Carryover 2005"/>
      <sheetName val="Carryover 2004 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ExSum"/>
      <sheetName val="KPI"/>
      <sheetName val="Graphs"/>
      <sheetName val="RptData"/>
      <sheetName val="Out Amrt"/>
      <sheetName val="Proj Cost"/>
      <sheetName val="RevReq"/>
      <sheetName val="Rates"/>
      <sheetName val="Prop Bonds (2)"/>
      <sheetName val="Prop Bonds"/>
      <sheetName val="Comb. Amrt."/>
      <sheetName val="Cap Plan"/>
      <sheetName val="OpDis"/>
      <sheetName val="OpDisAdj1"/>
      <sheetName val="OpDisAdj2"/>
      <sheetName val="RR Ref"/>
      <sheetName val="WK PROG--&gt;"/>
      <sheetName val="SNP"/>
      <sheetName val="CNP"/>
      <sheetName val="SCF"/>
      <sheetName val="WTB"/>
      <sheetName val="Payroll Analysis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F699D-D99F-47DD-959E-8D9520C86FAF}">
  <sheetPr>
    <tabColor rgb="FFFF0000"/>
  </sheetPr>
  <dimension ref="A1:B6"/>
  <sheetViews>
    <sheetView tabSelected="1" workbookViewId="0">
      <selection activeCell="B15" sqref="B15"/>
    </sheetView>
  </sheetViews>
  <sheetFormatPr defaultRowHeight="15.5" x14ac:dyDescent="0.35"/>
  <cols>
    <col min="1" max="1" width="23.75" customWidth="1"/>
    <col min="2" max="2" width="28.5" customWidth="1"/>
  </cols>
  <sheetData>
    <row r="1" spans="1:2" x14ac:dyDescent="0.35">
      <c r="A1" t="s">
        <v>0</v>
      </c>
    </row>
    <row r="2" spans="1:2" x14ac:dyDescent="0.35">
      <c r="A2" t="s">
        <v>1</v>
      </c>
    </row>
    <row r="3" spans="1:2" x14ac:dyDescent="0.35">
      <c r="A3" s="82" t="s">
        <v>2</v>
      </c>
      <c r="B3" s="133" t="s">
        <v>120</v>
      </c>
    </row>
    <row r="4" spans="1:2" x14ac:dyDescent="0.35">
      <c r="B4" s="134">
        <v>44540</v>
      </c>
    </row>
    <row r="5" spans="1:2" x14ac:dyDescent="0.35">
      <c r="B5" s="133" t="s">
        <v>121</v>
      </c>
    </row>
    <row r="6" spans="1:2" x14ac:dyDescent="0.35">
      <c r="B6" s="133" t="s">
        <v>122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I58"/>
  <sheetViews>
    <sheetView view="pageBreakPreview" topLeftCell="A16" zoomScaleNormal="100" zoomScaleSheetLayoutView="100" zoomScalePageLayoutView="85" workbookViewId="0">
      <selection activeCell="J37" sqref="J37"/>
    </sheetView>
  </sheetViews>
  <sheetFormatPr defaultColWidth="8" defaultRowHeight="15.5" x14ac:dyDescent="0.35"/>
  <cols>
    <col min="1" max="1" width="51.33203125" style="2" customWidth="1"/>
    <col min="2" max="2" width="2.5" style="2" customWidth="1"/>
    <col min="3" max="3" width="15.83203125" style="2" customWidth="1"/>
    <col min="4" max="4" width="1.58203125" style="2" customWidth="1"/>
    <col min="5" max="5" width="15.83203125" style="2" customWidth="1"/>
    <col min="6" max="6" width="24.08203125" style="2" bestFit="1" customWidth="1"/>
    <col min="7" max="7" width="10.08203125" style="2" bestFit="1" customWidth="1"/>
    <col min="8" max="16384" width="8" style="2"/>
  </cols>
  <sheetData>
    <row r="1" spans="1:8" x14ac:dyDescent="0.35">
      <c r="A1" s="1" t="s">
        <v>3</v>
      </c>
      <c r="B1" s="1"/>
      <c r="C1" s="1"/>
      <c r="D1" s="1"/>
      <c r="E1" s="1"/>
      <c r="F1" s="14"/>
      <c r="G1" s="14"/>
      <c r="H1" s="14"/>
    </row>
    <row r="2" spans="1:8" x14ac:dyDescent="0.35">
      <c r="A2" s="37"/>
      <c r="B2" s="14"/>
      <c r="C2" s="14"/>
      <c r="D2" s="14"/>
      <c r="E2" s="14"/>
      <c r="F2" s="14"/>
      <c r="G2" s="14"/>
      <c r="H2" s="1" t="s">
        <v>3</v>
      </c>
    </row>
    <row r="3" spans="1:8" x14ac:dyDescent="0.35">
      <c r="A3" s="3" t="s">
        <v>4</v>
      </c>
      <c r="B3" s="1"/>
      <c r="C3" s="1"/>
      <c r="D3" s="1"/>
      <c r="E3" s="1"/>
      <c r="F3" s="14"/>
      <c r="G3" s="14"/>
      <c r="H3" s="14"/>
    </row>
    <row r="4" spans="1:8" x14ac:dyDescent="0.35">
      <c r="A4" s="1" t="s">
        <v>5</v>
      </c>
      <c r="B4" s="34"/>
      <c r="C4" s="34"/>
      <c r="D4" s="34"/>
      <c r="E4" s="34"/>
      <c r="F4" s="14"/>
      <c r="G4" s="14"/>
      <c r="H4" s="14"/>
    </row>
    <row r="5" spans="1:8" x14ac:dyDescent="0.35">
      <c r="A5" s="1"/>
      <c r="B5" s="34"/>
      <c r="C5" s="34"/>
      <c r="D5" s="34"/>
      <c r="E5" s="34"/>
      <c r="F5" s="14"/>
      <c r="G5" s="14"/>
      <c r="H5" s="14"/>
    </row>
    <row r="6" spans="1:8" x14ac:dyDescent="0.35">
      <c r="A6" s="4" t="s">
        <v>6</v>
      </c>
      <c r="B6" s="14"/>
      <c r="C6" s="21"/>
      <c r="D6" s="21"/>
      <c r="E6" s="21"/>
      <c r="F6" s="14"/>
      <c r="G6" s="14"/>
      <c r="H6" s="14"/>
    </row>
    <row r="7" spans="1:8" x14ac:dyDescent="0.35">
      <c r="A7" s="5"/>
      <c r="B7" s="14"/>
      <c r="C7" s="81" t="s">
        <v>7</v>
      </c>
      <c r="D7" s="28"/>
      <c r="E7" s="81" t="s">
        <v>8</v>
      </c>
      <c r="F7" s="14"/>
      <c r="G7" s="14"/>
      <c r="H7" s="14"/>
    </row>
    <row r="8" spans="1:8" x14ac:dyDescent="0.35">
      <c r="A8" s="14" t="s">
        <v>9</v>
      </c>
      <c r="B8" s="14"/>
      <c r="C8" s="21"/>
      <c r="D8" s="21"/>
      <c r="E8" s="21"/>
      <c r="F8" s="14"/>
      <c r="G8" s="14"/>
      <c r="H8" s="14"/>
    </row>
    <row r="9" spans="1:8" x14ac:dyDescent="0.35">
      <c r="A9" s="15" t="s">
        <v>10</v>
      </c>
      <c r="B9" s="14"/>
      <c r="C9" s="65">
        <v>2654900</v>
      </c>
      <c r="D9" s="65"/>
      <c r="E9" s="65">
        <v>2654900</v>
      </c>
      <c r="F9" s="14"/>
      <c r="G9" s="14"/>
      <c r="H9" s="14"/>
    </row>
    <row r="10" spans="1:8" x14ac:dyDescent="0.35">
      <c r="A10" s="15" t="s">
        <v>11</v>
      </c>
      <c r="B10" s="14"/>
      <c r="C10" s="83">
        <f>465105+309600</f>
        <v>774705</v>
      </c>
      <c r="D10" s="83"/>
      <c r="E10" s="83">
        <f>465105+309600</f>
        <v>774705</v>
      </c>
      <c r="F10" s="14"/>
      <c r="G10" s="14"/>
      <c r="H10" s="14"/>
    </row>
    <row r="11" spans="1:8" x14ac:dyDescent="0.35">
      <c r="A11" s="15"/>
      <c r="B11" s="14"/>
      <c r="C11" s="84"/>
      <c r="D11" s="83"/>
      <c r="E11" s="84"/>
      <c r="F11" s="14"/>
      <c r="G11" s="14"/>
      <c r="H11" s="14"/>
    </row>
    <row r="12" spans="1:8" ht="16" thickBot="1" x14ac:dyDescent="0.4">
      <c r="A12" s="22" t="s">
        <v>12</v>
      </c>
      <c r="B12" s="14"/>
      <c r="C12" s="85">
        <f>SUM(C9:C11)</f>
        <v>3429605</v>
      </c>
      <c r="D12" s="85"/>
      <c r="E12" s="85">
        <f>SUM(E9:E11)</f>
        <v>3429605</v>
      </c>
      <c r="F12" s="14"/>
      <c r="G12" s="14"/>
      <c r="H12" s="14"/>
    </row>
    <row r="13" spans="1:8" ht="16" thickBot="1" x14ac:dyDescent="0.4">
      <c r="A13" s="15" t="str">
        <f>"Construction Contingencies ("&amp;TEXT(G13,"0%")&amp;")"</f>
        <v>Construction Contingencies (15%)</v>
      </c>
      <c r="B13" s="14"/>
      <c r="C13" s="86">
        <f>ROUND(C12*0.15,-2)-200</f>
        <v>514200</v>
      </c>
      <c r="D13" s="83"/>
      <c r="E13" s="86">
        <f>ROUND(E12*0.15,-2)-200</f>
        <v>514200</v>
      </c>
      <c r="F13" s="87" t="s">
        <v>13</v>
      </c>
      <c r="G13" s="88">
        <v>0.15</v>
      </c>
      <c r="H13" s="14"/>
    </row>
    <row r="14" spans="1:8" x14ac:dyDescent="0.35">
      <c r="A14" s="15"/>
      <c r="B14" s="14"/>
      <c r="C14" s="85"/>
      <c r="D14" s="85"/>
      <c r="E14" s="85"/>
      <c r="F14" s="14"/>
      <c r="G14" s="89"/>
      <c r="H14" s="14"/>
    </row>
    <row r="15" spans="1:8" x14ac:dyDescent="0.35">
      <c r="A15" s="22" t="s">
        <v>14</v>
      </c>
      <c r="B15" s="14"/>
      <c r="C15" s="85">
        <f>SUM(C12:C13)</f>
        <v>3943805</v>
      </c>
      <c r="D15" s="85"/>
      <c r="E15" s="85">
        <f>SUM(E12:E13)</f>
        <v>3943805</v>
      </c>
      <c r="F15" s="14"/>
      <c r="G15" s="14"/>
      <c r="H15" s="14"/>
    </row>
    <row r="16" spans="1:8" x14ac:dyDescent="0.35">
      <c r="A16" s="14"/>
      <c r="B16" s="14"/>
      <c r="C16" s="69"/>
      <c r="D16" s="90"/>
      <c r="E16" s="69"/>
      <c r="F16" s="14"/>
      <c r="G16" s="14"/>
      <c r="H16" s="14"/>
    </row>
    <row r="17" spans="1:7" x14ac:dyDescent="0.35">
      <c r="A17" s="14" t="s">
        <v>15</v>
      </c>
      <c r="B17" s="14"/>
      <c r="C17" s="52"/>
      <c r="D17" s="52"/>
      <c r="E17" s="52"/>
      <c r="F17" s="14"/>
      <c r="G17" s="14"/>
    </row>
    <row r="18" spans="1:7" x14ac:dyDescent="0.35">
      <c r="A18" s="15" t="s">
        <v>16</v>
      </c>
      <c r="B18" s="14"/>
      <c r="C18" s="85">
        <v>307000</v>
      </c>
      <c r="D18" s="85"/>
      <c r="E18" s="85">
        <v>307000</v>
      </c>
      <c r="F18" s="14"/>
      <c r="G18" s="14"/>
    </row>
    <row r="19" spans="1:7" x14ac:dyDescent="0.35">
      <c r="A19" s="15" t="s">
        <v>17</v>
      </c>
      <c r="B19" s="14"/>
      <c r="C19" s="85">
        <v>25000</v>
      </c>
      <c r="D19" s="85"/>
      <c r="E19" s="85">
        <v>25000</v>
      </c>
      <c r="F19" s="14"/>
      <c r="G19" s="14"/>
    </row>
    <row r="20" spans="1:7" x14ac:dyDescent="0.35">
      <c r="A20" s="15" t="s">
        <v>18</v>
      </c>
      <c r="B20" s="14"/>
      <c r="C20" s="85">
        <v>5000</v>
      </c>
      <c r="D20" s="85"/>
      <c r="E20" s="85">
        <v>5000</v>
      </c>
      <c r="F20" s="14"/>
      <c r="G20" s="14"/>
    </row>
    <row r="21" spans="1:7" x14ac:dyDescent="0.35">
      <c r="A21" s="15" t="s">
        <v>19</v>
      </c>
      <c r="B21" s="14"/>
      <c r="C21" s="85">
        <v>5000</v>
      </c>
      <c r="D21" s="85"/>
      <c r="E21" s="85">
        <v>5000</v>
      </c>
      <c r="F21" s="14"/>
      <c r="G21" s="14"/>
    </row>
    <row r="22" spans="1:7" x14ac:dyDescent="0.35">
      <c r="A22" s="15" t="s">
        <v>20</v>
      </c>
      <c r="B22" s="14"/>
      <c r="C22" s="85">
        <v>0</v>
      </c>
      <c r="D22" s="85"/>
      <c r="E22" s="85">
        <v>0</v>
      </c>
      <c r="F22" s="14"/>
      <c r="G22" s="14"/>
    </row>
    <row r="23" spans="1:7" x14ac:dyDescent="0.35">
      <c r="A23" s="15" t="s">
        <v>21</v>
      </c>
      <c r="B23" s="14"/>
      <c r="C23" s="85">
        <v>15000</v>
      </c>
      <c r="D23" s="85"/>
      <c r="E23" s="85">
        <v>15000</v>
      </c>
      <c r="F23" s="14"/>
      <c r="G23" s="14"/>
    </row>
    <row r="24" spans="1:7" x14ac:dyDescent="0.35">
      <c r="A24" s="15" t="s">
        <v>22</v>
      </c>
      <c r="B24" s="14"/>
      <c r="C24" s="85">
        <v>25000</v>
      </c>
      <c r="D24" s="85"/>
      <c r="E24" s="85">
        <v>25000</v>
      </c>
      <c r="F24" s="14"/>
      <c r="G24" s="14"/>
    </row>
    <row r="25" spans="1:7" x14ac:dyDescent="0.35">
      <c r="A25" s="15" t="s">
        <v>23</v>
      </c>
      <c r="B25" s="14"/>
      <c r="C25" s="85">
        <v>10000</v>
      </c>
      <c r="D25" s="85"/>
      <c r="E25" s="85">
        <v>10000</v>
      </c>
      <c r="F25" s="14"/>
      <c r="G25" s="14"/>
    </row>
    <row r="26" spans="1:7" x14ac:dyDescent="0.35">
      <c r="A26" s="15" t="s">
        <v>24</v>
      </c>
      <c r="B26" s="14"/>
      <c r="C26" s="85">
        <f>C57</f>
        <v>214195</v>
      </c>
      <c r="D26" s="85"/>
      <c r="E26" s="85">
        <f>E57</f>
        <v>177195</v>
      </c>
      <c r="F26" s="13">
        <v>-20000</v>
      </c>
      <c r="G26" s="85">
        <f>C26-E26</f>
        <v>37000</v>
      </c>
    </row>
    <row r="27" spans="1:7" x14ac:dyDescent="0.35">
      <c r="A27" s="15"/>
      <c r="B27" s="14"/>
      <c r="C27" s="84"/>
      <c r="D27" s="83"/>
      <c r="E27" s="84"/>
      <c r="F27" s="13">
        <v>-10000</v>
      </c>
      <c r="G27" s="14"/>
    </row>
    <row r="28" spans="1:7" x14ac:dyDescent="0.35">
      <c r="A28" s="22" t="s">
        <v>25</v>
      </c>
      <c r="B28" s="14"/>
      <c r="C28" s="85">
        <f>SUM(C18:C26)</f>
        <v>606195</v>
      </c>
      <c r="D28" s="85"/>
      <c r="E28" s="85">
        <f>SUM(E18:E26)</f>
        <v>569195</v>
      </c>
      <c r="F28" s="14">
        <v>-2500</v>
      </c>
      <c r="G28" s="14"/>
    </row>
    <row r="29" spans="1:7" x14ac:dyDescent="0.35">
      <c r="A29" s="22"/>
      <c r="B29" s="14"/>
      <c r="C29" s="91"/>
      <c r="D29" s="31"/>
      <c r="E29" s="91"/>
      <c r="F29" s="14">
        <v>-10000</v>
      </c>
      <c r="G29" s="14"/>
    </row>
    <row r="30" spans="1:7" ht="16" thickBot="1" x14ac:dyDescent="0.4">
      <c r="A30" s="22" t="s">
        <v>26</v>
      </c>
      <c r="B30" s="14"/>
      <c r="C30" s="72">
        <f>C15+C28</f>
        <v>4550000</v>
      </c>
      <c r="D30" s="92"/>
      <c r="E30" s="72">
        <f>E15+E28</f>
        <v>4513000</v>
      </c>
      <c r="F30" s="14"/>
      <c r="G30" s="14"/>
    </row>
    <row r="31" spans="1:7" ht="16" thickTop="1" x14ac:dyDescent="0.35">
      <c r="A31" s="14"/>
      <c r="B31" s="14"/>
      <c r="C31" s="14"/>
      <c r="D31" s="14"/>
      <c r="E31" s="14"/>
      <c r="F31" s="14"/>
      <c r="G31" s="14"/>
    </row>
    <row r="32" spans="1:7" x14ac:dyDescent="0.35">
      <c r="A32" s="4" t="s">
        <v>27</v>
      </c>
      <c r="B32" s="14"/>
      <c r="C32" s="14"/>
      <c r="D32" s="14"/>
      <c r="E32" s="14"/>
      <c r="F32" s="14"/>
      <c r="G32" s="14"/>
    </row>
    <row r="34" spans="1:9" x14ac:dyDescent="0.35">
      <c r="A34" s="15" t="s">
        <v>28</v>
      </c>
      <c r="B34" s="14"/>
      <c r="C34" s="92">
        <f>C30-C35</f>
        <v>4525000</v>
      </c>
      <c r="D34" s="92"/>
      <c r="E34" s="92">
        <f>E30-E35</f>
        <v>4488000</v>
      </c>
      <c r="F34" s="49"/>
      <c r="G34" s="85"/>
      <c r="H34" s="14"/>
      <c r="I34" s="14"/>
    </row>
    <row r="35" spans="1:9" x14ac:dyDescent="0.35">
      <c r="A35" s="15" t="s">
        <v>29</v>
      </c>
      <c r="B35" s="14"/>
      <c r="C35" s="83">
        <v>25000</v>
      </c>
      <c r="D35" s="83"/>
      <c r="E35" s="83">
        <v>25000</v>
      </c>
      <c r="F35" s="14"/>
      <c r="G35" s="52"/>
      <c r="H35" s="14"/>
      <c r="I35" s="14"/>
    </row>
    <row r="36" spans="1:9" hidden="1" x14ac:dyDescent="0.35">
      <c r="A36" s="15" t="s">
        <v>30</v>
      </c>
      <c r="B36" s="14"/>
      <c r="C36" s="85">
        <v>0</v>
      </c>
      <c r="D36" s="85"/>
      <c r="E36" s="85">
        <v>0</v>
      </c>
      <c r="F36" s="14"/>
      <c r="G36" s="52"/>
      <c r="H36" s="14"/>
      <c r="I36" s="14"/>
    </row>
    <row r="37" spans="1:9" x14ac:dyDescent="0.35">
      <c r="A37" s="14"/>
      <c r="B37" s="14"/>
      <c r="C37" s="93"/>
      <c r="D37" s="92"/>
      <c r="E37" s="93"/>
      <c r="F37" s="14"/>
      <c r="G37" s="14"/>
      <c r="H37" s="14"/>
      <c r="I37" s="14"/>
    </row>
    <row r="38" spans="1:9" ht="16" thickBot="1" x14ac:dyDescent="0.4">
      <c r="A38" s="22" t="s">
        <v>31</v>
      </c>
      <c r="B38" s="14"/>
      <c r="C38" s="72">
        <f>SUM(C34:C37)</f>
        <v>4550000</v>
      </c>
      <c r="D38" s="92"/>
      <c r="E38" s="72">
        <f>SUM(E34:E37)</f>
        <v>4513000</v>
      </c>
      <c r="F38" s="65"/>
      <c r="G38" s="14"/>
      <c r="H38" s="65"/>
      <c r="I38" s="14"/>
    </row>
    <row r="39" spans="1:9" ht="16" thickTop="1" x14ac:dyDescent="0.35">
      <c r="A39" s="22"/>
      <c r="B39" s="14"/>
      <c r="C39" s="92"/>
      <c r="D39" s="92"/>
      <c r="E39" s="92"/>
      <c r="F39" s="65"/>
      <c r="G39" s="14"/>
      <c r="H39" s="65"/>
      <c r="I39" s="14"/>
    </row>
    <row r="40" spans="1:9" x14ac:dyDescent="0.35">
      <c r="A40" s="32" t="s">
        <v>32</v>
      </c>
      <c r="B40" s="14"/>
      <c r="C40" s="92"/>
      <c r="D40" s="92"/>
      <c r="E40" s="92"/>
      <c r="F40" s="65"/>
      <c r="G40" s="14"/>
      <c r="H40" s="65"/>
      <c r="I40" s="14"/>
    </row>
    <row r="41" spans="1:9" x14ac:dyDescent="0.35">
      <c r="A41" s="22"/>
      <c r="B41" s="14"/>
      <c r="C41" s="94"/>
      <c r="D41" s="94"/>
      <c r="E41" s="94"/>
      <c r="F41" s="65"/>
      <c r="G41" s="14"/>
      <c r="H41" s="65"/>
      <c r="I41" s="14"/>
    </row>
    <row r="42" spans="1:9" x14ac:dyDescent="0.35">
      <c r="A42" s="34"/>
      <c r="B42" s="6"/>
      <c r="C42" s="6"/>
      <c r="D42" s="6"/>
      <c r="E42" s="6"/>
      <c r="F42" s="7"/>
      <c r="G42" s="7"/>
      <c r="H42" s="7"/>
      <c r="I42" s="7"/>
    </row>
    <row r="43" spans="1:9" x14ac:dyDescent="0.35">
      <c r="A43" s="34"/>
      <c r="B43" s="34"/>
      <c r="C43" s="34"/>
      <c r="D43" s="34"/>
      <c r="E43" s="34"/>
      <c r="F43" s="14"/>
      <c r="G43" s="52"/>
      <c r="H43" s="14"/>
      <c r="I43" s="14"/>
    </row>
    <row r="44" spans="1:9" x14ac:dyDescent="0.35">
      <c r="A44" s="34"/>
      <c r="B44" s="34"/>
      <c r="C44" s="34"/>
      <c r="D44" s="34"/>
      <c r="E44" s="34"/>
      <c r="F44" s="14"/>
      <c r="G44" s="14"/>
      <c r="H44" s="14"/>
      <c r="I44" s="14"/>
    </row>
    <row r="45" spans="1:9" x14ac:dyDescent="0.35">
      <c r="A45" s="34"/>
      <c r="B45" s="34"/>
      <c r="C45" s="34"/>
      <c r="D45" s="34"/>
      <c r="E45" s="34"/>
      <c r="F45" s="14"/>
      <c r="G45" s="14"/>
      <c r="H45" s="14"/>
      <c r="I45" s="14"/>
    </row>
    <row r="46" spans="1:9" x14ac:dyDescent="0.35">
      <c r="A46" s="46"/>
      <c r="B46" s="34"/>
      <c r="C46" s="34"/>
      <c r="D46" s="34"/>
      <c r="E46" s="34"/>
      <c r="F46" s="14"/>
      <c r="G46" s="14"/>
      <c r="H46" s="14"/>
      <c r="I46" s="14"/>
    </row>
    <row r="48" spans="1:9" x14ac:dyDescent="0.35">
      <c r="A48" s="14"/>
      <c r="B48" s="14"/>
      <c r="C48" s="55"/>
      <c r="D48" s="55"/>
      <c r="E48" s="55"/>
      <c r="F48" s="14"/>
      <c r="G48" s="14"/>
      <c r="H48" s="14"/>
      <c r="I48" s="14"/>
    </row>
    <row r="49" spans="1:5" x14ac:dyDescent="0.35">
      <c r="A49" s="14"/>
      <c r="B49" s="14"/>
      <c r="C49" s="5" t="s">
        <v>33</v>
      </c>
      <c r="D49" s="5"/>
      <c r="E49" s="5" t="s">
        <v>33</v>
      </c>
    </row>
    <row r="50" spans="1:5" x14ac:dyDescent="0.35">
      <c r="A50" s="14" t="s">
        <v>34</v>
      </c>
      <c r="B50" s="14"/>
      <c r="C50" s="65">
        <v>60000</v>
      </c>
      <c r="D50" s="65"/>
      <c r="E50" s="65">
        <v>60000</v>
      </c>
    </row>
    <row r="51" spans="1:5" x14ac:dyDescent="0.35">
      <c r="A51" s="14" t="s">
        <v>35</v>
      </c>
      <c r="B51" s="14"/>
      <c r="C51" s="85">
        <v>5000</v>
      </c>
      <c r="D51" s="85"/>
      <c r="E51" s="85">
        <v>5000</v>
      </c>
    </row>
    <row r="52" spans="1:5" x14ac:dyDescent="0.35">
      <c r="A52" s="14" t="s">
        <v>36</v>
      </c>
      <c r="B52" s="14"/>
      <c r="C52" s="85">
        <v>50000</v>
      </c>
      <c r="D52" s="85"/>
      <c r="E52" s="85">
        <v>50000</v>
      </c>
    </row>
    <row r="53" spans="1:5" x14ac:dyDescent="0.35">
      <c r="A53" s="14" t="s">
        <v>37</v>
      </c>
      <c r="B53" s="14"/>
      <c r="C53" s="85"/>
      <c r="D53" s="85"/>
      <c r="E53" s="85"/>
    </row>
    <row r="54" spans="1:5" x14ac:dyDescent="0.35">
      <c r="A54" s="14" t="s">
        <v>38</v>
      </c>
      <c r="B54" s="14"/>
      <c r="C54" s="85">
        <v>10000</v>
      </c>
      <c r="D54" s="85"/>
      <c r="E54" s="85">
        <v>10000</v>
      </c>
    </row>
    <row r="55" spans="1:5" x14ac:dyDescent="0.35">
      <c r="A55" s="14" t="s">
        <v>39</v>
      </c>
      <c r="B55" s="14"/>
      <c r="C55" s="85">
        <v>75000</v>
      </c>
      <c r="D55" s="85"/>
      <c r="E55" s="85">
        <f>75000-37000</f>
        <v>38000</v>
      </c>
    </row>
    <row r="56" spans="1:5" x14ac:dyDescent="0.35">
      <c r="A56" s="14" t="s">
        <v>40</v>
      </c>
      <c r="B56" s="14"/>
      <c r="C56" s="85">
        <f>10520+3675</f>
        <v>14195</v>
      </c>
      <c r="D56" s="85"/>
      <c r="E56" s="85">
        <f>10520+3675</f>
        <v>14195</v>
      </c>
    </row>
    <row r="57" spans="1:5" ht="16" thickBot="1" x14ac:dyDescent="0.4">
      <c r="A57" s="22" t="s">
        <v>41</v>
      </c>
      <c r="B57" s="14"/>
      <c r="C57" s="95">
        <f>SUM(C50:C56)</f>
        <v>214195</v>
      </c>
      <c r="D57" s="92"/>
      <c r="E57" s="95">
        <f>SUM(E50:E56)</f>
        <v>177195</v>
      </c>
    </row>
    <row r="58" spans="1:5" ht="16" thickTop="1" x14ac:dyDescent="0.35">
      <c r="A58" s="14"/>
      <c r="B58" s="14"/>
      <c r="C58" s="14"/>
      <c r="D58" s="14"/>
      <c r="E58" s="14"/>
    </row>
  </sheetData>
  <printOptions horizontalCentered="1"/>
  <pageMargins left="0.75" right="0.75" top="1" bottom="1" header="0.5" footer="0.5"/>
  <pageSetup scale="96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CA8DC-1424-4404-B4EC-C463F158EBAE}">
  <sheetPr>
    <tabColor rgb="FFFF0000"/>
  </sheetPr>
  <dimension ref="A1:AA78"/>
  <sheetViews>
    <sheetView showWhiteSpace="0" view="pageBreakPreview" topLeftCell="A4" zoomScaleNormal="100" zoomScaleSheetLayoutView="100" zoomScalePageLayoutView="70" workbookViewId="0">
      <selection activeCell="J37" sqref="J37"/>
    </sheetView>
  </sheetViews>
  <sheetFormatPr defaultColWidth="13.75" defaultRowHeight="15.5" x14ac:dyDescent="0.35"/>
  <cols>
    <col min="1" max="1" width="7.83203125" style="14" bestFit="1" customWidth="1"/>
    <col min="2" max="2" width="2.58203125" style="14" customWidth="1"/>
    <col min="3" max="3" width="7.5" style="14" customWidth="1"/>
    <col min="4" max="4" width="2.58203125" style="14" customWidth="1"/>
    <col min="5" max="5" width="7.5" style="14" bestFit="1" customWidth="1"/>
    <col min="6" max="6" width="2.58203125" style="14" customWidth="1"/>
    <col min="7" max="7" width="7.83203125" style="14" bestFit="1" customWidth="1"/>
    <col min="8" max="8" width="2.58203125" style="14" customWidth="1"/>
    <col min="9" max="9" width="13.5" style="14" customWidth="1"/>
    <col min="10" max="10" width="2.58203125" style="14" customWidth="1"/>
    <col min="11" max="11" width="13.75" style="14" bestFit="1" customWidth="1"/>
    <col min="12" max="12" width="2.58203125" style="14" customWidth="1"/>
    <col min="13" max="13" width="13.75" style="14" bestFit="1" customWidth="1"/>
    <col min="14" max="14" width="6.33203125" style="14" bestFit="1" customWidth="1"/>
    <col min="15" max="15" width="32.83203125" style="14" bestFit="1" customWidth="1"/>
    <col min="16" max="16" width="22" style="14" bestFit="1" customWidth="1"/>
    <col min="17" max="16384" width="13.75" style="14"/>
  </cols>
  <sheetData>
    <row r="1" spans="1:27" x14ac:dyDescent="0.35">
      <c r="A1" s="1" t="str">
        <f>'[3]Proj Cost'!A1</f>
        <v>TRI-TOWNSHIP WATER CORPORATION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O1" s="35" t="s">
        <v>42</v>
      </c>
      <c r="P1" s="36" t="s">
        <v>43</v>
      </c>
    </row>
    <row r="2" spans="1:27" x14ac:dyDescent="0.35">
      <c r="A2" s="37"/>
      <c r="I2" s="38"/>
      <c r="AA2" s="14">
        <v>5</v>
      </c>
    </row>
    <row r="3" spans="1:27" x14ac:dyDescent="0.35">
      <c r="A3" s="39" t="str">
        <f>"SCHEDULE OF AMORTIZATION OF"&amp;" "&amp;TEXT($P$3,"$0,000")&amp;" "&amp;"PRINCIPAL AMOUNT"</f>
        <v>SCHEDULE OF AMORTIZATION OF $4,488,000 PRINCIPAL AMOUNT</v>
      </c>
      <c r="B3" s="1"/>
      <c r="C3" s="40"/>
      <c r="D3" s="1"/>
      <c r="E3" s="40"/>
      <c r="F3" s="1"/>
      <c r="G3" s="41"/>
      <c r="H3" s="1"/>
      <c r="I3" s="42"/>
      <c r="J3" s="1"/>
      <c r="K3" s="42"/>
      <c r="L3" s="1"/>
      <c r="M3" s="42"/>
      <c r="N3" s="43"/>
      <c r="O3" s="44" t="s">
        <v>44</v>
      </c>
      <c r="P3" s="45">
        <v>4488000</v>
      </c>
    </row>
    <row r="4" spans="1:27" x14ac:dyDescent="0.35">
      <c r="A4" s="39" t="str">
        <f>"OF PROPOSED "&amp;UPPER(P1)&amp;" BONDS OF "&amp;YEAR(P6)</f>
        <v>OF PROPOSED WATERWORKS REVENUE BONDS OF 2022</v>
      </c>
      <c r="B4" s="34"/>
      <c r="C4" s="46"/>
      <c r="D4" s="34"/>
      <c r="E4" s="46"/>
      <c r="F4" s="34"/>
      <c r="G4" s="47"/>
      <c r="H4" s="34"/>
      <c r="I4" s="48"/>
      <c r="J4" s="34"/>
      <c r="K4" s="48"/>
      <c r="L4" s="34"/>
      <c r="M4" s="42"/>
      <c r="N4" s="43"/>
      <c r="O4" s="49" t="s">
        <v>45</v>
      </c>
      <c r="P4" s="50">
        <v>2.5000000000000001E-2</v>
      </c>
    </row>
    <row r="5" spans="1:27" x14ac:dyDescent="0.35">
      <c r="A5" s="51" t="str">
        <f>"Interest and Principal payable semi-annually "&amp;Q6&amp;" 1st and "&amp;Q7&amp;" 1st"</f>
        <v>Interest and Principal payable semi-annually January 1st and July 1st</v>
      </c>
      <c r="B5" s="34"/>
      <c r="C5" s="46"/>
      <c r="D5" s="34"/>
      <c r="E5" s="46"/>
      <c r="F5" s="34"/>
      <c r="G5" s="47"/>
      <c r="H5" s="34"/>
      <c r="I5" s="48"/>
      <c r="J5" s="34"/>
      <c r="K5" s="48"/>
      <c r="L5" s="34"/>
      <c r="M5" s="48"/>
      <c r="N5" s="43"/>
      <c r="O5" s="49"/>
      <c r="P5" s="52"/>
    </row>
    <row r="6" spans="1:27" x14ac:dyDescent="0.35">
      <c r="A6" s="51" t="s">
        <v>46</v>
      </c>
      <c r="B6" s="34"/>
      <c r="C6" s="46"/>
      <c r="D6" s="34"/>
      <c r="E6" s="46"/>
      <c r="F6" s="34"/>
      <c r="G6" s="47"/>
      <c r="H6" s="34"/>
      <c r="I6" s="48"/>
      <c r="J6" s="34"/>
      <c r="K6" s="48"/>
      <c r="L6" s="34"/>
      <c r="M6" s="48"/>
      <c r="N6" s="43"/>
      <c r="O6" s="49" t="s">
        <v>47</v>
      </c>
      <c r="P6" s="53">
        <v>44681</v>
      </c>
      <c r="Q6" s="14" t="s">
        <v>48</v>
      </c>
      <c r="R6" s="14" t="s">
        <v>49</v>
      </c>
    </row>
    <row r="7" spans="1:27" x14ac:dyDescent="0.35">
      <c r="A7" s="51" t="str">
        <f>"Assumes bonds dated "&amp;TEXT(P6," Mmmm dd, yyyy")</f>
        <v>Assumes bonds dated  April 30, 2022</v>
      </c>
      <c r="B7" s="34"/>
      <c r="C7" s="46"/>
      <c r="D7" s="34"/>
      <c r="E7" s="46"/>
      <c r="F7" s="34"/>
      <c r="G7" s="47"/>
      <c r="H7" s="34"/>
      <c r="I7" s="48"/>
      <c r="J7" s="34"/>
      <c r="K7" s="48"/>
      <c r="L7" s="34"/>
      <c r="M7" s="48"/>
      <c r="N7" s="43"/>
      <c r="O7" s="49" t="s">
        <v>50</v>
      </c>
      <c r="P7" s="53">
        <v>44743</v>
      </c>
      <c r="Q7" s="14" t="s">
        <v>51</v>
      </c>
      <c r="S7" s="54"/>
      <c r="T7" s="38"/>
      <c r="U7" s="55"/>
      <c r="V7" s="55"/>
      <c r="W7" s="55"/>
      <c r="X7" s="55"/>
    </row>
    <row r="8" spans="1:27" ht="12" customHeight="1" x14ac:dyDescent="0.35">
      <c r="A8" s="51"/>
      <c r="B8" s="34"/>
      <c r="C8" s="46"/>
      <c r="D8" s="34"/>
      <c r="E8" s="46"/>
      <c r="F8" s="34"/>
      <c r="G8" s="47"/>
      <c r="H8" s="34"/>
      <c r="I8" s="48"/>
      <c r="J8" s="34"/>
      <c r="K8" s="48"/>
      <c r="L8" s="34"/>
      <c r="M8" s="48"/>
      <c r="N8" s="43"/>
      <c r="S8" s="54"/>
      <c r="T8" s="38"/>
      <c r="U8" s="55"/>
      <c r="V8" s="55"/>
      <c r="W8" s="55"/>
      <c r="X8" s="55"/>
    </row>
    <row r="9" spans="1:27" x14ac:dyDescent="0.35">
      <c r="G9" s="21" t="s">
        <v>52</v>
      </c>
      <c r="N9" s="43"/>
      <c r="O9" s="49" t="s">
        <v>53</v>
      </c>
      <c r="P9" s="56">
        <f>IF(DAYS360(P6,P7,FALSE)&gt;0,DAYS360(P6,P7,FALSE),0)</f>
        <v>61</v>
      </c>
      <c r="S9" s="54"/>
      <c r="T9" s="38"/>
      <c r="V9" s="55"/>
      <c r="W9" s="55"/>
    </row>
    <row r="10" spans="1:27" x14ac:dyDescent="0.35">
      <c r="A10" s="21" t="s">
        <v>54</v>
      </c>
      <c r="C10" s="21" t="s">
        <v>55</v>
      </c>
      <c r="G10" s="21" t="s">
        <v>56</v>
      </c>
      <c r="I10" s="57" t="s">
        <v>57</v>
      </c>
      <c r="J10" s="57"/>
      <c r="K10" s="57"/>
      <c r="M10" s="21" t="s">
        <v>58</v>
      </c>
      <c r="N10" s="43"/>
      <c r="O10" s="49" t="s">
        <v>59</v>
      </c>
      <c r="P10" s="58">
        <f>((E14*10*G14/2+I15)/180)</f>
        <v>311.66666666666669</v>
      </c>
      <c r="S10" s="54"/>
      <c r="T10" s="38"/>
      <c r="U10" s="55"/>
      <c r="V10" s="55"/>
      <c r="W10" s="55"/>
      <c r="X10" s="55"/>
    </row>
    <row r="11" spans="1:27" x14ac:dyDescent="0.35">
      <c r="A11" s="21" t="s">
        <v>60</v>
      </c>
      <c r="C11" s="81" t="s">
        <v>61</v>
      </c>
      <c r="E11" s="81" t="s">
        <v>55</v>
      </c>
      <c r="G11" s="21" t="s">
        <v>62</v>
      </c>
      <c r="I11" s="21" t="s">
        <v>63</v>
      </c>
      <c r="K11" s="21" t="s">
        <v>41</v>
      </c>
      <c r="M11" s="21" t="s">
        <v>41</v>
      </c>
      <c r="N11" s="43"/>
      <c r="O11" s="52" t="s">
        <v>64</v>
      </c>
      <c r="P11" s="58">
        <f>P9*P10</f>
        <v>19011.666666666668</v>
      </c>
      <c r="S11" s="54"/>
      <c r="T11" s="38"/>
      <c r="V11" s="55"/>
      <c r="W11" s="55"/>
    </row>
    <row r="12" spans="1:27" x14ac:dyDescent="0.35">
      <c r="A12" s="59"/>
      <c r="C12" s="34" t="s">
        <v>65</v>
      </c>
      <c r="D12" s="34"/>
      <c r="E12" s="34"/>
      <c r="G12" s="60" t="s">
        <v>66</v>
      </c>
      <c r="I12" s="61" t="s">
        <v>67</v>
      </c>
      <c r="J12" s="34"/>
      <c r="K12" s="61"/>
      <c r="L12" s="34"/>
      <c r="M12" s="61"/>
      <c r="N12" s="43"/>
      <c r="S12" s="54"/>
      <c r="T12" s="38"/>
      <c r="U12" s="55"/>
      <c r="V12" s="55"/>
      <c r="W12" s="55"/>
      <c r="X12" s="55"/>
    </row>
    <row r="13" spans="1:27" ht="12.75" customHeight="1" x14ac:dyDescent="0.35">
      <c r="A13" s="62"/>
      <c r="C13" s="52"/>
      <c r="E13" s="52"/>
      <c r="G13" s="49"/>
      <c r="I13" s="63"/>
      <c r="K13" s="63"/>
      <c r="M13" s="63"/>
      <c r="N13" s="43"/>
      <c r="O13" s="64" t="s">
        <v>68</v>
      </c>
      <c r="S13" s="54"/>
      <c r="T13" s="38"/>
      <c r="V13" s="55"/>
      <c r="W13" s="55"/>
    </row>
    <row r="14" spans="1:27" x14ac:dyDescent="0.35">
      <c r="A14" s="62">
        <f>P7</f>
        <v>44743</v>
      </c>
      <c r="C14" s="65">
        <f>($P$3/1000)</f>
        <v>4488</v>
      </c>
      <c r="E14" s="58"/>
      <c r="G14" s="66"/>
      <c r="I14" s="58">
        <f>IF($P$11&gt;0,$P$11,ROUND((+E14*G14)/2+I15,2))</f>
        <v>19011.666666666668</v>
      </c>
      <c r="J14" s="38"/>
      <c r="K14" s="58">
        <f>E14*1000+I14</f>
        <v>19011.666666666668</v>
      </c>
      <c r="M14" s="58"/>
      <c r="N14" s="43"/>
      <c r="O14" s="67"/>
      <c r="P14" s="52"/>
      <c r="Q14" s="55"/>
      <c r="S14" s="54"/>
      <c r="T14" s="38"/>
      <c r="U14" s="55"/>
      <c r="V14" s="55"/>
      <c r="W14" s="55"/>
      <c r="X14" s="55"/>
    </row>
    <row r="15" spans="1:27" x14ac:dyDescent="0.35">
      <c r="A15" s="62">
        <f>EDATE(A14,6)</f>
        <v>44927</v>
      </c>
      <c r="C15" s="68">
        <f t="shared" ref="C15:C55" si="0">C14-E14</f>
        <v>4488</v>
      </c>
      <c r="E15" s="65"/>
      <c r="G15" s="66"/>
      <c r="I15" s="49">
        <f>ROUND((+E15*G15*10)/2+I16,2)</f>
        <v>56100</v>
      </c>
      <c r="K15" s="49">
        <f>E15*1000+I15</f>
        <v>56100</v>
      </c>
      <c r="M15" s="58">
        <f>K15+K14</f>
        <v>75111.666666666672</v>
      </c>
      <c r="N15" s="43"/>
      <c r="O15" s="67"/>
      <c r="P15" s="52"/>
      <c r="Q15" s="49"/>
      <c r="S15" s="54"/>
      <c r="T15" s="38"/>
      <c r="V15" s="55"/>
      <c r="W15" s="55"/>
    </row>
    <row r="16" spans="1:27" x14ac:dyDescent="0.35">
      <c r="A16" s="62">
        <f t="shared" ref="A16:A55" si="1">EDATE(A15,6)</f>
        <v>45108</v>
      </c>
      <c r="C16" s="68">
        <f t="shared" si="0"/>
        <v>4488</v>
      </c>
      <c r="E16" s="68">
        <f t="shared" ref="E16" si="2">O16/1000</f>
        <v>87</v>
      </c>
      <c r="G16" s="66">
        <f t="shared" ref="G16:G55" si="3">$P$4*100</f>
        <v>2.5</v>
      </c>
      <c r="I16" s="49">
        <f t="shared" ref="I16:I55" si="4">ROUND((+E16*G16*10)/2+I17,2)</f>
        <v>56100</v>
      </c>
      <c r="K16" s="49">
        <f t="shared" ref="K16:K55" si="5">E16*1000+I16</f>
        <v>143100</v>
      </c>
      <c r="M16" s="49"/>
      <c r="N16" s="43"/>
      <c r="O16" s="67">
        <v>87000</v>
      </c>
      <c r="P16" s="52"/>
      <c r="S16" s="54"/>
      <c r="T16" s="38"/>
      <c r="U16" s="55"/>
      <c r="V16" s="55"/>
      <c r="W16" s="55"/>
      <c r="X16" s="55"/>
    </row>
    <row r="17" spans="1:24" x14ac:dyDescent="0.35">
      <c r="A17" s="62">
        <f t="shared" si="1"/>
        <v>45292</v>
      </c>
      <c r="C17" s="68">
        <f>C16-E16</f>
        <v>4401</v>
      </c>
      <c r="E17" s="68">
        <f>O17/1000</f>
        <v>88</v>
      </c>
      <c r="G17" s="66">
        <f t="shared" si="3"/>
        <v>2.5</v>
      </c>
      <c r="I17" s="49">
        <f t="shared" si="4"/>
        <v>55012.5</v>
      </c>
      <c r="K17" s="49">
        <f t="shared" si="5"/>
        <v>143012.5</v>
      </c>
      <c r="M17" s="49">
        <f>K17+K16</f>
        <v>286112.5</v>
      </c>
      <c r="N17" s="43"/>
      <c r="O17" s="67">
        <v>88000</v>
      </c>
      <c r="P17" s="52"/>
      <c r="S17" s="54"/>
      <c r="T17" s="38"/>
      <c r="V17" s="55"/>
      <c r="W17" s="55"/>
    </row>
    <row r="18" spans="1:24" x14ac:dyDescent="0.35">
      <c r="A18" s="62">
        <f>EDATE(A17,6)</f>
        <v>45474</v>
      </c>
      <c r="C18" s="68">
        <f t="shared" si="0"/>
        <v>4313</v>
      </c>
      <c r="E18" s="68">
        <f t="shared" ref="E18:E55" si="6">O18/1000</f>
        <v>89</v>
      </c>
      <c r="G18" s="66">
        <f t="shared" si="3"/>
        <v>2.5</v>
      </c>
      <c r="I18" s="49">
        <f t="shared" si="4"/>
        <v>53912.5</v>
      </c>
      <c r="K18" s="49">
        <f t="shared" si="5"/>
        <v>142912.5</v>
      </c>
      <c r="M18" s="49"/>
      <c r="N18" s="43"/>
      <c r="O18" s="67">
        <v>89000</v>
      </c>
      <c r="P18" s="52"/>
      <c r="S18" s="54"/>
      <c r="T18" s="38"/>
      <c r="U18" s="55"/>
      <c r="V18" s="55"/>
      <c r="W18" s="55"/>
      <c r="X18" s="55"/>
    </row>
    <row r="19" spans="1:24" x14ac:dyDescent="0.35">
      <c r="A19" s="62">
        <f t="shared" si="1"/>
        <v>45658</v>
      </c>
      <c r="C19" s="68">
        <f t="shared" si="0"/>
        <v>4224</v>
      </c>
      <c r="E19" s="68">
        <f t="shared" si="6"/>
        <v>90</v>
      </c>
      <c r="G19" s="66">
        <f t="shared" si="3"/>
        <v>2.5</v>
      </c>
      <c r="I19" s="49">
        <f t="shared" si="4"/>
        <v>52800</v>
      </c>
      <c r="K19" s="49">
        <f t="shared" si="5"/>
        <v>142800</v>
      </c>
      <c r="M19" s="49">
        <f>K19+K18</f>
        <v>285712.5</v>
      </c>
      <c r="N19" s="43"/>
      <c r="O19" s="67">
        <v>90000</v>
      </c>
      <c r="P19" s="52"/>
      <c r="S19" s="54"/>
      <c r="T19" s="38"/>
      <c r="V19" s="55"/>
      <c r="W19" s="55"/>
    </row>
    <row r="20" spans="1:24" x14ac:dyDescent="0.35">
      <c r="A20" s="62">
        <f t="shared" si="1"/>
        <v>45839</v>
      </c>
      <c r="C20" s="68">
        <f t="shared" si="0"/>
        <v>4134</v>
      </c>
      <c r="E20" s="68">
        <f t="shared" si="6"/>
        <v>92</v>
      </c>
      <c r="G20" s="66">
        <f t="shared" si="3"/>
        <v>2.5</v>
      </c>
      <c r="I20" s="49">
        <f t="shared" si="4"/>
        <v>51675</v>
      </c>
      <c r="K20" s="49">
        <f t="shared" si="5"/>
        <v>143675</v>
      </c>
      <c r="M20" s="49"/>
      <c r="N20" s="43"/>
      <c r="O20" s="67">
        <v>92000</v>
      </c>
      <c r="P20" s="52"/>
      <c r="S20" s="54"/>
      <c r="T20" s="38"/>
      <c r="U20" s="55"/>
      <c r="V20" s="55"/>
      <c r="W20" s="55"/>
      <c r="X20" s="55"/>
    </row>
    <row r="21" spans="1:24" x14ac:dyDescent="0.35">
      <c r="A21" s="62">
        <f t="shared" si="1"/>
        <v>46023</v>
      </c>
      <c r="C21" s="68">
        <f t="shared" si="0"/>
        <v>4042</v>
      </c>
      <c r="E21" s="68">
        <f t="shared" si="6"/>
        <v>93</v>
      </c>
      <c r="G21" s="66">
        <f t="shared" si="3"/>
        <v>2.5</v>
      </c>
      <c r="I21" s="49">
        <f t="shared" si="4"/>
        <v>50525</v>
      </c>
      <c r="K21" s="49">
        <f t="shared" si="5"/>
        <v>143525</v>
      </c>
      <c r="M21" s="49">
        <f>K21+K20</f>
        <v>287200</v>
      </c>
      <c r="N21" s="43"/>
      <c r="O21" s="67">
        <v>93000</v>
      </c>
      <c r="P21" s="52"/>
      <c r="S21" s="54"/>
      <c r="T21" s="38"/>
      <c r="V21" s="55"/>
      <c r="W21" s="55"/>
    </row>
    <row r="22" spans="1:24" x14ac:dyDescent="0.35">
      <c r="A22" s="62">
        <f t="shared" si="1"/>
        <v>46204</v>
      </c>
      <c r="C22" s="68">
        <f t="shared" si="0"/>
        <v>3949</v>
      </c>
      <c r="E22" s="68">
        <f t="shared" si="6"/>
        <v>94</v>
      </c>
      <c r="G22" s="66">
        <f t="shared" si="3"/>
        <v>2.5</v>
      </c>
      <c r="I22" s="49">
        <f t="shared" si="4"/>
        <v>49362.5</v>
      </c>
      <c r="K22" s="49">
        <f t="shared" si="5"/>
        <v>143362.5</v>
      </c>
      <c r="M22" s="49"/>
      <c r="N22" s="43"/>
      <c r="O22" s="67">
        <v>94000</v>
      </c>
      <c r="P22" s="52"/>
      <c r="S22" s="54"/>
      <c r="T22" s="38"/>
      <c r="U22" s="55"/>
      <c r="V22" s="55"/>
      <c r="W22" s="55"/>
      <c r="X22" s="55"/>
    </row>
    <row r="23" spans="1:24" x14ac:dyDescent="0.35">
      <c r="A23" s="62">
        <f t="shared" si="1"/>
        <v>46388</v>
      </c>
      <c r="C23" s="68">
        <f t="shared" si="0"/>
        <v>3855</v>
      </c>
      <c r="E23" s="68">
        <f t="shared" si="6"/>
        <v>95</v>
      </c>
      <c r="G23" s="66">
        <f t="shared" si="3"/>
        <v>2.5</v>
      </c>
      <c r="I23" s="49">
        <f t="shared" si="4"/>
        <v>48187.5</v>
      </c>
      <c r="K23" s="49">
        <f t="shared" si="5"/>
        <v>143187.5</v>
      </c>
      <c r="M23" s="49">
        <f>K23+K22</f>
        <v>286550</v>
      </c>
      <c r="N23" s="43"/>
      <c r="O23" s="67">
        <v>95000</v>
      </c>
      <c r="P23" s="52"/>
      <c r="S23" s="54"/>
      <c r="T23" s="38"/>
      <c r="V23" s="55"/>
      <c r="W23" s="55"/>
    </row>
    <row r="24" spans="1:24" x14ac:dyDescent="0.35">
      <c r="A24" s="62">
        <f t="shared" si="1"/>
        <v>46569</v>
      </c>
      <c r="C24" s="68">
        <f t="shared" si="0"/>
        <v>3760</v>
      </c>
      <c r="E24" s="68">
        <f t="shared" si="6"/>
        <v>96</v>
      </c>
      <c r="G24" s="66">
        <f t="shared" si="3"/>
        <v>2.5</v>
      </c>
      <c r="I24" s="49">
        <f t="shared" si="4"/>
        <v>47000</v>
      </c>
      <c r="K24" s="49">
        <f t="shared" si="5"/>
        <v>143000</v>
      </c>
      <c r="M24" s="49"/>
      <c r="N24" s="43"/>
      <c r="O24" s="67">
        <v>96000</v>
      </c>
      <c r="P24" s="52"/>
      <c r="S24" s="54"/>
      <c r="T24" s="38"/>
      <c r="U24" s="55"/>
      <c r="V24" s="55"/>
      <c r="W24" s="55"/>
      <c r="X24" s="55"/>
    </row>
    <row r="25" spans="1:24" x14ac:dyDescent="0.35">
      <c r="A25" s="62">
        <f t="shared" si="1"/>
        <v>46753</v>
      </c>
      <c r="C25" s="68">
        <f t="shared" si="0"/>
        <v>3664</v>
      </c>
      <c r="E25" s="68">
        <f t="shared" si="6"/>
        <v>98</v>
      </c>
      <c r="G25" s="66">
        <f t="shared" si="3"/>
        <v>2.5</v>
      </c>
      <c r="I25" s="49">
        <f t="shared" si="4"/>
        <v>45800</v>
      </c>
      <c r="K25" s="49">
        <f t="shared" si="5"/>
        <v>143800</v>
      </c>
      <c r="M25" s="49">
        <f>K25+K24</f>
        <v>286800</v>
      </c>
      <c r="N25" s="43"/>
      <c r="O25" s="67">
        <v>98000</v>
      </c>
      <c r="P25" s="52"/>
      <c r="S25" s="54"/>
      <c r="T25" s="38"/>
      <c r="V25" s="55"/>
      <c r="W25" s="55"/>
    </row>
    <row r="26" spans="1:24" x14ac:dyDescent="0.35">
      <c r="A26" s="62">
        <f t="shared" si="1"/>
        <v>46935</v>
      </c>
      <c r="C26" s="68">
        <f t="shared" si="0"/>
        <v>3566</v>
      </c>
      <c r="E26" s="68">
        <f t="shared" si="6"/>
        <v>99</v>
      </c>
      <c r="G26" s="66">
        <f t="shared" si="3"/>
        <v>2.5</v>
      </c>
      <c r="I26" s="49">
        <f t="shared" si="4"/>
        <v>44575</v>
      </c>
      <c r="K26" s="49">
        <f t="shared" si="5"/>
        <v>143575</v>
      </c>
      <c r="M26" s="49"/>
      <c r="N26" s="43"/>
      <c r="O26" s="67">
        <v>99000</v>
      </c>
      <c r="P26" s="52"/>
      <c r="S26" s="54"/>
      <c r="T26" s="38"/>
      <c r="U26" s="55"/>
      <c r="V26" s="55"/>
      <c r="W26" s="55"/>
      <c r="X26" s="55"/>
    </row>
    <row r="27" spans="1:24" x14ac:dyDescent="0.35">
      <c r="A27" s="62">
        <f t="shared" si="1"/>
        <v>47119</v>
      </c>
      <c r="C27" s="68">
        <f t="shared" si="0"/>
        <v>3467</v>
      </c>
      <c r="E27" s="68">
        <f t="shared" si="6"/>
        <v>100</v>
      </c>
      <c r="G27" s="66">
        <f t="shared" si="3"/>
        <v>2.5</v>
      </c>
      <c r="I27" s="49">
        <f t="shared" si="4"/>
        <v>43337.5</v>
      </c>
      <c r="K27" s="49">
        <f t="shared" si="5"/>
        <v>143337.5</v>
      </c>
      <c r="M27" s="49">
        <f>K27+K26</f>
        <v>286912.5</v>
      </c>
      <c r="N27" s="43"/>
      <c r="O27" s="67">
        <v>100000</v>
      </c>
      <c r="P27" s="52"/>
      <c r="S27" s="54"/>
      <c r="T27" s="38"/>
      <c r="V27" s="55"/>
      <c r="W27" s="55"/>
    </row>
    <row r="28" spans="1:24" x14ac:dyDescent="0.35">
      <c r="A28" s="62">
        <f t="shared" si="1"/>
        <v>47300</v>
      </c>
      <c r="C28" s="68">
        <f t="shared" si="0"/>
        <v>3367</v>
      </c>
      <c r="E28" s="68">
        <f t="shared" si="6"/>
        <v>101</v>
      </c>
      <c r="G28" s="66">
        <f t="shared" si="3"/>
        <v>2.5</v>
      </c>
      <c r="I28" s="49">
        <f t="shared" si="4"/>
        <v>42087.5</v>
      </c>
      <c r="K28" s="49">
        <f t="shared" si="5"/>
        <v>143087.5</v>
      </c>
      <c r="M28" s="49"/>
      <c r="N28" s="43"/>
      <c r="O28" s="67">
        <v>101000</v>
      </c>
      <c r="P28" s="52"/>
      <c r="S28" s="54"/>
      <c r="T28" s="38"/>
      <c r="U28" s="55"/>
      <c r="V28" s="55"/>
      <c r="W28" s="55"/>
      <c r="X28" s="55"/>
    </row>
    <row r="29" spans="1:24" x14ac:dyDescent="0.35">
      <c r="A29" s="62">
        <f t="shared" si="1"/>
        <v>47484</v>
      </c>
      <c r="C29" s="68">
        <f t="shared" si="0"/>
        <v>3266</v>
      </c>
      <c r="E29" s="68">
        <f t="shared" si="6"/>
        <v>102</v>
      </c>
      <c r="G29" s="66">
        <f t="shared" si="3"/>
        <v>2.5</v>
      </c>
      <c r="I29" s="49">
        <f t="shared" si="4"/>
        <v>40825</v>
      </c>
      <c r="K29" s="49">
        <f t="shared" si="5"/>
        <v>142825</v>
      </c>
      <c r="M29" s="49">
        <f>K29+K28</f>
        <v>285912.5</v>
      </c>
      <c r="N29" s="43"/>
      <c r="O29" s="67">
        <v>102000</v>
      </c>
      <c r="P29" s="52"/>
      <c r="S29" s="54"/>
      <c r="T29" s="38"/>
      <c r="V29" s="55"/>
      <c r="W29" s="55"/>
    </row>
    <row r="30" spans="1:24" x14ac:dyDescent="0.35">
      <c r="A30" s="62">
        <f t="shared" si="1"/>
        <v>47665</v>
      </c>
      <c r="C30" s="68">
        <f t="shared" si="0"/>
        <v>3164</v>
      </c>
      <c r="E30" s="68">
        <f t="shared" si="6"/>
        <v>104</v>
      </c>
      <c r="G30" s="66">
        <f t="shared" si="3"/>
        <v>2.5</v>
      </c>
      <c r="I30" s="49">
        <f t="shared" si="4"/>
        <v>39550</v>
      </c>
      <c r="K30" s="49">
        <f t="shared" si="5"/>
        <v>143550</v>
      </c>
      <c r="M30" s="49"/>
      <c r="N30" s="43"/>
      <c r="O30" s="67">
        <v>104000</v>
      </c>
      <c r="P30" s="52"/>
      <c r="S30" s="54"/>
      <c r="T30" s="38"/>
      <c r="U30" s="55"/>
      <c r="V30" s="55"/>
      <c r="W30" s="55"/>
      <c r="X30" s="55"/>
    </row>
    <row r="31" spans="1:24" x14ac:dyDescent="0.35">
      <c r="A31" s="62">
        <f t="shared" si="1"/>
        <v>47849</v>
      </c>
      <c r="C31" s="68">
        <f t="shared" si="0"/>
        <v>3060</v>
      </c>
      <c r="E31" s="68">
        <f t="shared" si="6"/>
        <v>105</v>
      </c>
      <c r="G31" s="66">
        <f t="shared" si="3"/>
        <v>2.5</v>
      </c>
      <c r="I31" s="49">
        <f t="shared" si="4"/>
        <v>38250</v>
      </c>
      <c r="K31" s="49">
        <f t="shared" si="5"/>
        <v>143250</v>
      </c>
      <c r="M31" s="49">
        <f>K31+K30</f>
        <v>286800</v>
      </c>
      <c r="N31" s="43"/>
      <c r="O31" s="67">
        <v>105000</v>
      </c>
      <c r="P31" s="52"/>
      <c r="S31" s="54"/>
      <c r="T31" s="38"/>
      <c r="V31" s="55"/>
    </row>
    <row r="32" spans="1:24" x14ac:dyDescent="0.35">
      <c r="A32" s="62">
        <f t="shared" si="1"/>
        <v>48030</v>
      </c>
      <c r="C32" s="68">
        <f t="shared" si="0"/>
        <v>2955</v>
      </c>
      <c r="E32" s="68">
        <f t="shared" si="6"/>
        <v>106</v>
      </c>
      <c r="G32" s="66">
        <f t="shared" si="3"/>
        <v>2.5</v>
      </c>
      <c r="I32" s="49">
        <f t="shared" si="4"/>
        <v>36937.5</v>
      </c>
      <c r="K32" s="49">
        <f t="shared" si="5"/>
        <v>142937.5</v>
      </c>
      <c r="M32" s="49"/>
      <c r="N32" s="43"/>
      <c r="O32" s="67">
        <v>106000</v>
      </c>
      <c r="P32" s="52"/>
      <c r="S32" s="54"/>
      <c r="T32" s="38"/>
      <c r="U32" s="55"/>
      <c r="V32" s="55"/>
    </row>
    <row r="33" spans="1:22" x14ac:dyDescent="0.35">
      <c r="A33" s="62">
        <f t="shared" si="1"/>
        <v>48214</v>
      </c>
      <c r="C33" s="68">
        <f t="shared" si="0"/>
        <v>2849</v>
      </c>
      <c r="E33" s="68">
        <f t="shared" si="6"/>
        <v>108</v>
      </c>
      <c r="G33" s="66">
        <f t="shared" si="3"/>
        <v>2.5</v>
      </c>
      <c r="I33" s="49">
        <f t="shared" si="4"/>
        <v>35612.5</v>
      </c>
      <c r="K33" s="49">
        <f t="shared" si="5"/>
        <v>143612.5</v>
      </c>
      <c r="M33" s="49">
        <f>K33+K32</f>
        <v>286550</v>
      </c>
      <c r="N33" s="43"/>
      <c r="O33" s="67">
        <v>108000</v>
      </c>
      <c r="P33" s="52"/>
      <c r="S33" s="54"/>
      <c r="T33" s="38"/>
      <c r="V33" s="55"/>
    </row>
    <row r="34" spans="1:22" x14ac:dyDescent="0.35">
      <c r="A34" s="62">
        <f t="shared" si="1"/>
        <v>48396</v>
      </c>
      <c r="C34" s="68">
        <f t="shared" si="0"/>
        <v>2741</v>
      </c>
      <c r="E34" s="68">
        <f t="shared" si="6"/>
        <v>109</v>
      </c>
      <c r="G34" s="66">
        <f t="shared" si="3"/>
        <v>2.5</v>
      </c>
      <c r="I34" s="49">
        <f t="shared" si="4"/>
        <v>34262.5</v>
      </c>
      <c r="K34" s="49">
        <f t="shared" si="5"/>
        <v>143262.5</v>
      </c>
      <c r="M34" s="49"/>
      <c r="N34" s="43"/>
      <c r="O34" s="67">
        <v>109000</v>
      </c>
      <c r="P34" s="52"/>
      <c r="S34" s="54"/>
      <c r="T34" s="38"/>
      <c r="U34" s="55"/>
      <c r="V34" s="55"/>
    </row>
    <row r="35" spans="1:22" x14ac:dyDescent="0.35">
      <c r="A35" s="62">
        <f t="shared" si="1"/>
        <v>48580</v>
      </c>
      <c r="C35" s="68">
        <f t="shared" si="0"/>
        <v>2632</v>
      </c>
      <c r="E35" s="68">
        <f t="shared" si="6"/>
        <v>110</v>
      </c>
      <c r="G35" s="66">
        <f t="shared" si="3"/>
        <v>2.5</v>
      </c>
      <c r="I35" s="49">
        <f t="shared" si="4"/>
        <v>32900</v>
      </c>
      <c r="K35" s="49">
        <f t="shared" si="5"/>
        <v>142900</v>
      </c>
      <c r="M35" s="49">
        <f>K35+K34</f>
        <v>286162.5</v>
      </c>
      <c r="N35" s="43"/>
      <c r="O35" s="67">
        <v>110000</v>
      </c>
      <c r="P35" s="52"/>
      <c r="S35" s="54"/>
      <c r="T35" s="38"/>
      <c r="V35" s="55"/>
    </row>
    <row r="36" spans="1:22" x14ac:dyDescent="0.35">
      <c r="A36" s="62">
        <f t="shared" si="1"/>
        <v>48761</v>
      </c>
      <c r="C36" s="68">
        <f t="shared" si="0"/>
        <v>2522</v>
      </c>
      <c r="E36" s="68">
        <f t="shared" si="6"/>
        <v>112</v>
      </c>
      <c r="G36" s="66">
        <f t="shared" si="3"/>
        <v>2.5</v>
      </c>
      <c r="I36" s="49">
        <f t="shared" si="4"/>
        <v>31525</v>
      </c>
      <c r="K36" s="49">
        <f t="shared" si="5"/>
        <v>143525</v>
      </c>
      <c r="M36" s="49"/>
      <c r="N36" s="43"/>
      <c r="O36" s="67">
        <v>112000</v>
      </c>
      <c r="P36" s="52"/>
      <c r="S36" s="54"/>
      <c r="T36" s="38"/>
      <c r="U36" s="55"/>
      <c r="V36" s="55"/>
    </row>
    <row r="37" spans="1:22" x14ac:dyDescent="0.35">
      <c r="A37" s="62">
        <f t="shared" si="1"/>
        <v>48945</v>
      </c>
      <c r="C37" s="68">
        <f t="shared" si="0"/>
        <v>2410</v>
      </c>
      <c r="E37" s="68">
        <f t="shared" si="6"/>
        <v>113</v>
      </c>
      <c r="G37" s="66">
        <f t="shared" si="3"/>
        <v>2.5</v>
      </c>
      <c r="I37" s="49">
        <f t="shared" si="4"/>
        <v>30125</v>
      </c>
      <c r="K37" s="49">
        <f t="shared" si="5"/>
        <v>143125</v>
      </c>
      <c r="M37" s="49">
        <f>K37+K36</f>
        <v>286650</v>
      </c>
      <c r="N37" s="43"/>
      <c r="O37" s="67">
        <v>113000</v>
      </c>
      <c r="P37" s="52"/>
      <c r="S37" s="54"/>
      <c r="T37" s="38"/>
      <c r="V37" s="55"/>
    </row>
    <row r="38" spans="1:22" x14ac:dyDescent="0.35">
      <c r="A38" s="62">
        <f t="shared" si="1"/>
        <v>49126</v>
      </c>
      <c r="C38" s="68">
        <f t="shared" si="0"/>
        <v>2297</v>
      </c>
      <c r="E38" s="68">
        <f t="shared" si="6"/>
        <v>115</v>
      </c>
      <c r="G38" s="66">
        <f t="shared" si="3"/>
        <v>2.5</v>
      </c>
      <c r="I38" s="49">
        <f t="shared" si="4"/>
        <v>28712.5</v>
      </c>
      <c r="K38" s="49">
        <f t="shared" si="5"/>
        <v>143712.5</v>
      </c>
      <c r="M38" s="49"/>
      <c r="N38" s="43"/>
      <c r="O38" s="67">
        <v>115000</v>
      </c>
      <c r="P38" s="52"/>
      <c r="S38" s="54"/>
      <c r="T38" s="38"/>
      <c r="U38" s="55"/>
      <c r="V38" s="55"/>
    </row>
    <row r="39" spans="1:22" x14ac:dyDescent="0.35">
      <c r="A39" s="62">
        <f t="shared" si="1"/>
        <v>49310</v>
      </c>
      <c r="C39" s="68">
        <f t="shared" si="0"/>
        <v>2182</v>
      </c>
      <c r="E39" s="68">
        <f t="shared" si="6"/>
        <v>116</v>
      </c>
      <c r="G39" s="66">
        <f t="shared" si="3"/>
        <v>2.5</v>
      </c>
      <c r="I39" s="49">
        <f t="shared" si="4"/>
        <v>27275</v>
      </c>
      <c r="K39" s="49">
        <f t="shared" si="5"/>
        <v>143275</v>
      </c>
      <c r="M39" s="49">
        <f>K39+K38</f>
        <v>286987.5</v>
      </c>
      <c r="N39" s="43"/>
      <c r="O39" s="67">
        <v>116000</v>
      </c>
      <c r="P39" s="52"/>
      <c r="S39" s="54"/>
      <c r="T39" s="38"/>
      <c r="V39" s="55"/>
    </row>
    <row r="40" spans="1:22" x14ac:dyDescent="0.35">
      <c r="A40" s="62">
        <f t="shared" si="1"/>
        <v>49491</v>
      </c>
      <c r="C40" s="68">
        <f t="shared" si="0"/>
        <v>2066</v>
      </c>
      <c r="E40" s="68">
        <f t="shared" si="6"/>
        <v>117</v>
      </c>
      <c r="G40" s="66">
        <f t="shared" si="3"/>
        <v>2.5</v>
      </c>
      <c r="I40" s="49">
        <f t="shared" si="4"/>
        <v>25825</v>
      </c>
      <c r="K40" s="49">
        <f t="shared" si="5"/>
        <v>142825</v>
      </c>
      <c r="M40" s="49"/>
      <c r="N40" s="43"/>
      <c r="O40" s="67">
        <v>117000</v>
      </c>
      <c r="P40" s="52"/>
      <c r="S40" s="54"/>
      <c r="T40" s="38"/>
      <c r="U40" s="55"/>
      <c r="V40" s="55"/>
    </row>
    <row r="41" spans="1:22" x14ac:dyDescent="0.35">
      <c r="A41" s="62">
        <f t="shared" si="1"/>
        <v>49675</v>
      </c>
      <c r="C41" s="68">
        <f t="shared" si="0"/>
        <v>1949</v>
      </c>
      <c r="E41" s="68">
        <f t="shared" si="6"/>
        <v>119</v>
      </c>
      <c r="G41" s="66">
        <f t="shared" si="3"/>
        <v>2.5</v>
      </c>
      <c r="I41" s="49">
        <f t="shared" si="4"/>
        <v>24362.5</v>
      </c>
      <c r="K41" s="49">
        <f t="shared" si="5"/>
        <v>143362.5</v>
      </c>
      <c r="M41" s="49">
        <f>K41+K40</f>
        <v>286187.5</v>
      </c>
      <c r="N41" s="43"/>
      <c r="O41" s="67">
        <v>119000</v>
      </c>
      <c r="P41" s="52"/>
      <c r="S41" s="54"/>
      <c r="T41" s="38"/>
      <c r="V41" s="55"/>
    </row>
    <row r="42" spans="1:22" x14ac:dyDescent="0.35">
      <c r="A42" s="62">
        <f t="shared" si="1"/>
        <v>49857</v>
      </c>
      <c r="C42" s="68">
        <f t="shared" si="0"/>
        <v>1830</v>
      </c>
      <c r="E42" s="68">
        <f t="shared" si="6"/>
        <v>120</v>
      </c>
      <c r="G42" s="66">
        <f t="shared" si="3"/>
        <v>2.5</v>
      </c>
      <c r="I42" s="49">
        <f t="shared" si="4"/>
        <v>22875</v>
      </c>
      <c r="K42" s="49">
        <f t="shared" si="5"/>
        <v>142875</v>
      </c>
      <c r="M42" s="49"/>
      <c r="N42" s="43"/>
      <c r="O42" s="67">
        <v>120000</v>
      </c>
      <c r="P42" s="52"/>
      <c r="S42" s="54"/>
      <c r="T42" s="38"/>
      <c r="U42" s="55"/>
      <c r="V42" s="55"/>
    </row>
    <row r="43" spans="1:22" x14ac:dyDescent="0.35">
      <c r="A43" s="62">
        <f t="shared" si="1"/>
        <v>50041</v>
      </c>
      <c r="C43" s="68">
        <f t="shared" si="0"/>
        <v>1710</v>
      </c>
      <c r="E43" s="68">
        <f t="shared" si="6"/>
        <v>122</v>
      </c>
      <c r="G43" s="66">
        <f t="shared" si="3"/>
        <v>2.5</v>
      </c>
      <c r="I43" s="49">
        <f t="shared" si="4"/>
        <v>21375</v>
      </c>
      <c r="K43" s="49">
        <f t="shared" si="5"/>
        <v>143375</v>
      </c>
      <c r="M43" s="49">
        <f>K43+K42</f>
        <v>286250</v>
      </c>
      <c r="N43" s="43"/>
      <c r="O43" s="67">
        <v>122000</v>
      </c>
      <c r="P43" s="52"/>
      <c r="S43" s="54"/>
      <c r="T43" s="38"/>
      <c r="U43" s="55"/>
      <c r="V43" s="55"/>
    </row>
    <row r="44" spans="1:22" x14ac:dyDescent="0.35">
      <c r="A44" s="62">
        <f t="shared" si="1"/>
        <v>50222</v>
      </c>
      <c r="C44" s="68">
        <f t="shared" si="0"/>
        <v>1588</v>
      </c>
      <c r="E44" s="68">
        <f t="shared" si="6"/>
        <v>123</v>
      </c>
      <c r="G44" s="66">
        <f t="shared" si="3"/>
        <v>2.5</v>
      </c>
      <c r="I44" s="49">
        <f t="shared" si="4"/>
        <v>19850</v>
      </c>
      <c r="K44" s="49">
        <f t="shared" si="5"/>
        <v>142850</v>
      </c>
      <c r="M44" s="49"/>
      <c r="N44" s="43"/>
      <c r="O44" s="67">
        <v>123000</v>
      </c>
      <c r="P44" s="52"/>
      <c r="S44" s="54"/>
      <c r="T44" s="38"/>
      <c r="U44" s="55"/>
      <c r="V44" s="55"/>
    </row>
    <row r="45" spans="1:22" x14ac:dyDescent="0.35">
      <c r="A45" s="62">
        <f t="shared" si="1"/>
        <v>50406</v>
      </c>
      <c r="C45" s="68">
        <f t="shared" si="0"/>
        <v>1465</v>
      </c>
      <c r="E45" s="68">
        <f t="shared" si="6"/>
        <v>125</v>
      </c>
      <c r="G45" s="66">
        <f t="shared" si="3"/>
        <v>2.5</v>
      </c>
      <c r="I45" s="49">
        <f t="shared" si="4"/>
        <v>18312.5</v>
      </c>
      <c r="K45" s="49">
        <f t="shared" si="5"/>
        <v>143312.5</v>
      </c>
      <c r="M45" s="49">
        <f>K45+K44</f>
        <v>286162.5</v>
      </c>
      <c r="N45" s="43"/>
      <c r="O45" s="67">
        <v>125000</v>
      </c>
      <c r="P45" s="52"/>
      <c r="S45" s="54"/>
      <c r="T45" s="38"/>
      <c r="U45" s="55"/>
      <c r="V45" s="55"/>
    </row>
    <row r="46" spans="1:22" x14ac:dyDescent="0.35">
      <c r="A46" s="62">
        <f t="shared" si="1"/>
        <v>50587</v>
      </c>
      <c r="C46" s="68">
        <f t="shared" si="0"/>
        <v>1340</v>
      </c>
      <c r="E46" s="68">
        <f t="shared" si="6"/>
        <v>127</v>
      </c>
      <c r="G46" s="66">
        <f t="shared" si="3"/>
        <v>2.5</v>
      </c>
      <c r="I46" s="49">
        <f t="shared" si="4"/>
        <v>16750</v>
      </c>
      <c r="K46" s="49">
        <f t="shared" si="5"/>
        <v>143750</v>
      </c>
      <c r="M46" s="49"/>
      <c r="N46" s="43"/>
      <c r="O46" s="67">
        <v>127000</v>
      </c>
      <c r="P46" s="52"/>
    </row>
    <row r="47" spans="1:22" x14ac:dyDescent="0.35">
      <c r="A47" s="62">
        <f t="shared" si="1"/>
        <v>50771</v>
      </c>
      <c r="C47" s="68">
        <f t="shared" si="0"/>
        <v>1213</v>
      </c>
      <c r="E47" s="68">
        <f t="shared" si="6"/>
        <v>128</v>
      </c>
      <c r="G47" s="66">
        <f t="shared" si="3"/>
        <v>2.5</v>
      </c>
      <c r="I47" s="49">
        <f t="shared" si="4"/>
        <v>15162.5</v>
      </c>
      <c r="K47" s="49">
        <f t="shared" si="5"/>
        <v>143162.5</v>
      </c>
      <c r="M47" s="49">
        <f>K47+K46</f>
        <v>286912.5</v>
      </c>
      <c r="N47" s="43"/>
      <c r="O47" s="67">
        <v>128000</v>
      </c>
      <c r="P47" s="52"/>
    </row>
    <row r="48" spans="1:22" x14ac:dyDescent="0.35">
      <c r="A48" s="62">
        <f t="shared" si="1"/>
        <v>50952</v>
      </c>
      <c r="C48" s="68">
        <f t="shared" si="0"/>
        <v>1085</v>
      </c>
      <c r="E48" s="68">
        <f t="shared" si="6"/>
        <v>130</v>
      </c>
      <c r="G48" s="66">
        <f t="shared" si="3"/>
        <v>2.5</v>
      </c>
      <c r="I48" s="49">
        <f t="shared" si="4"/>
        <v>13562.5</v>
      </c>
      <c r="K48" s="49">
        <f t="shared" si="5"/>
        <v>143562.5</v>
      </c>
      <c r="M48" s="49"/>
      <c r="N48" s="43"/>
      <c r="O48" s="67">
        <v>130000</v>
      </c>
      <c r="P48" s="52"/>
    </row>
    <row r="49" spans="1:16" x14ac:dyDescent="0.35">
      <c r="A49" s="62">
        <f t="shared" si="1"/>
        <v>51136</v>
      </c>
      <c r="C49" s="68">
        <f t="shared" si="0"/>
        <v>955</v>
      </c>
      <c r="E49" s="68">
        <f t="shared" si="6"/>
        <v>131</v>
      </c>
      <c r="G49" s="66">
        <f t="shared" si="3"/>
        <v>2.5</v>
      </c>
      <c r="I49" s="49">
        <f t="shared" si="4"/>
        <v>11937.5</v>
      </c>
      <c r="K49" s="49">
        <f t="shared" si="5"/>
        <v>142937.5</v>
      </c>
      <c r="M49" s="49">
        <f>K49+K48</f>
        <v>286500</v>
      </c>
      <c r="N49" s="43"/>
      <c r="O49" s="67">
        <v>131000</v>
      </c>
      <c r="P49" s="52"/>
    </row>
    <row r="50" spans="1:16" x14ac:dyDescent="0.35">
      <c r="A50" s="62">
        <f t="shared" si="1"/>
        <v>51318</v>
      </c>
      <c r="C50" s="68">
        <f t="shared" si="0"/>
        <v>824</v>
      </c>
      <c r="E50" s="68">
        <f t="shared" si="6"/>
        <v>133</v>
      </c>
      <c r="G50" s="66">
        <f t="shared" si="3"/>
        <v>2.5</v>
      </c>
      <c r="I50" s="49">
        <f t="shared" si="4"/>
        <v>10300</v>
      </c>
      <c r="K50" s="49">
        <f t="shared" si="5"/>
        <v>143300</v>
      </c>
      <c r="M50" s="49"/>
      <c r="N50" s="43"/>
      <c r="O50" s="67">
        <v>133000</v>
      </c>
      <c r="P50" s="52"/>
    </row>
    <row r="51" spans="1:16" x14ac:dyDescent="0.35">
      <c r="A51" s="62">
        <f t="shared" si="1"/>
        <v>51502</v>
      </c>
      <c r="C51" s="68">
        <f t="shared" si="0"/>
        <v>691</v>
      </c>
      <c r="E51" s="68">
        <f t="shared" si="6"/>
        <v>135</v>
      </c>
      <c r="G51" s="66">
        <f t="shared" si="3"/>
        <v>2.5</v>
      </c>
      <c r="I51" s="49">
        <f t="shared" si="4"/>
        <v>8637.5</v>
      </c>
      <c r="K51" s="49">
        <f t="shared" si="5"/>
        <v>143637.5</v>
      </c>
      <c r="M51" s="49">
        <f>K51+K50</f>
        <v>286937.5</v>
      </c>
      <c r="N51" s="43"/>
      <c r="O51" s="67">
        <v>135000</v>
      </c>
      <c r="P51" s="52"/>
    </row>
    <row r="52" spans="1:16" x14ac:dyDescent="0.35">
      <c r="A52" s="62">
        <f t="shared" si="1"/>
        <v>51683</v>
      </c>
      <c r="C52" s="68">
        <f t="shared" si="0"/>
        <v>556</v>
      </c>
      <c r="E52" s="68">
        <f t="shared" si="6"/>
        <v>136</v>
      </c>
      <c r="G52" s="66">
        <f t="shared" si="3"/>
        <v>2.5</v>
      </c>
      <c r="I52" s="49">
        <f t="shared" si="4"/>
        <v>6950</v>
      </c>
      <c r="K52" s="49">
        <f t="shared" si="5"/>
        <v>142950</v>
      </c>
      <c r="M52" s="49"/>
      <c r="N52" s="43"/>
      <c r="O52" s="67">
        <v>136000</v>
      </c>
      <c r="P52" s="52"/>
    </row>
    <row r="53" spans="1:16" x14ac:dyDescent="0.35">
      <c r="A53" s="62">
        <f t="shared" si="1"/>
        <v>51867</v>
      </c>
      <c r="C53" s="68">
        <f t="shared" si="0"/>
        <v>420</v>
      </c>
      <c r="E53" s="68">
        <f t="shared" si="6"/>
        <v>138</v>
      </c>
      <c r="G53" s="66">
        <f t="shared" si="3"/>
        <v>2.5</v>
      </c>
      <c r="I53" s="49">
        <f t="shared" si="4"/>
        <v>5250</v>
      </c>
      <c r="K53" s="49">
        <f t="shared" si="5"/>
        <v>143250</v>
      </c>
      <c r="M53" s="49">
        <f>SUM(K52:K53)</f>
        <v>286200</v>
      </c>
      <c r="N53" s="43"/>
      <c r="O53" s="67">
        <v>138000</v>
      </c>
      <c r="P53" s="52"/>
    </row>
    <row r="54" spans="1:16" x14ac:dyDescent="0.35">
      <c r="A54" s="62">
        <f t="shared" si="1"/>
        <v>52048</v>
      </c>
      <c r="C54" s="68">
        <f t="shared" si="0"/>
        <v>282</v>
      </c>
      <c r="E54" s="68">
        <f t="shared" si="6"/>
        <v>140</v>
      </c>
      <c r="G54" s="66">
        <f t="shared" si="3"/>
        <v>2.5</v>
      </c>
      <c r="I54" s="49">
        <f t="shared" si="4"/>
        <v>3525</v>
      </c>
      <c r="K54" s="49">
        <f t="shared" si="5"/>
        <v>143525</v>
      </c>
      <c r="M54" s="49"/>
      <c r="N54" s="43"/>
      <c r="O54" s="49">
        <v>140000</v>
      </c>
      <c r="P54" s="52"/>
    </row>
    <row r="55" spans="1:16" x14ac:dyDescent="0.35">
      <c r="A55" s="62">
        <f t="shared" si="1"/>
        <v>52232</v>
      </c>
      <c r="C55" s="68">
        <f t="shared" si="0"/>
        <v>142</v>
      </c>
      <c r="E55" s="68">
        <f t="shared" si="6"/>
        <v>142</v>
      </c>
      <c r="G55" s="66">
        <f t="shared" si="3"/>
        <v>2.5</v>
      </c>
      <c r="I55" s="49">
        <f t="shared" si="4"/>
        <v>1775</v>
      </c>
      <c r="K55" s="49">
        <f t="shared" si="5"/>
        <v>143775</v>
      </c>
      <c r="M55" s="49">
        <f>SUM(K54:K55)</f>
        <v>287300</v>
      </c>
      <c r="N55" s="43"/>
      <c r="O55" s="49">
        <v>142000</v>
      </c>
      <c r="P55" s="52"/>
    </row>
    <row r="56" spans="1:16" ht="13.5" customHeight="1" x14ac:dyDescent="0.35">
      <c r="A56" s="62"/>
      <c r="C56" s="52"/>
      <c r="E56" s="69"/>
      <c r="G56" s="49"/>
      <c r="I56" s="70"/>
      <c r="K56" s="70"/>
      <c r="M56" s="71"/>
      <c r="N56" s="43"/>
      <c r="P56" s="52"/>
    </row>
    <row r="57" spans="1:16" ht="16" thickBot="1" x14ac:dyDescent="0.4">
      <c r="A57" s="62"/>
      <c r="C57" s="52"/>
      <c r="E57" s="72">
        <f>SUBTOTAL(109,E14:E55)</f>
        <v>4488</v>
      </c>
      <c r="G57" s="49"/>
      <c r="I57" s="73">
        <f>SUBTOTAL(109,I14:I55)</f>
        <v>1317911.6666666667</v>
      </c>
      <c r="J57" s="38"/>
      <c r="K57" s="73">
        <f>SUBTOTAL(109,K14:K55)</f>
        <v>5805911.666666667</v>
      </c>
      <c r="L57" s="38"/>
      <c r="M57" s="73">
        <f>SUBTOTAL(109,M14:M55)</f>
        <v>5805911.666666667</v>
      </c>
      <c r="N57" s="43"/>
      <c r="P57" s="52"/>
    </row>
    <row r="58" spans="1:16" ht="16" thickTop="1" x14ac:dyDescent="0.35">
      <c r="A58" s="62"/>
      <c r="C58" s="52"/>
      <c r="E58" s="52"/>
      <c r="G58" s="49"/>
      <c r="I58" s="63"/>
      <c r="K58" s="63"/>
      <c r="M58" s="63"/>
      <c r="N58" s="43"/>
      <c r="O58" s="49"/>
      <c r="P58" s="52"/>
    </row>
    <row r="59" spans="1:16" x14ac:dyDescent="0.35">
      <c r="A59" s="74">
        <f>'[3]Proj Cost'!A40</f>
        <v>0</v>
      </c>
      <c r="B59" s="34"/>
      <c r="C59" s="47"/>
      <c r="D59" s="34"/>
      <c r="E59" s="47"/>
      <c r="F59" s="34"/>
      <c r="G59" s="75"/>
      <c r="H59" s="34"/>
      <c r="I59" s="47"/>
      <c r="J59" s="34"/>
      <c r="K59" s="47"/>
      <c r="L59" s="34"/>
      <c r="M59" s="47"/>
      <c r="O59" s="49"/>
    </row>
    <row r="60" spans="1:16" x14ac:dyDescent="0.35">
      <c r="A60" s="74">
        <f>'[3]Proj Cost'!A41</f>
        <v>0</v>
      </c>
      <c r="B60" s="34"/>
      <c r="C60" s="47"/>
      <c r="D60" s="34"/>
      <c r="E60" s="47"/>
      <c r="F60" s="34"/>
      <c r="G60" s="75"/>
      <c r="H60" s="34"/>
      <c r="I60" s="47"/>
      <c r="J60" s="34"/>
      <c r="K60" s="47"/>
      <c r="L60" s="34"/>
      <c r="M60" s="47"/>
      <c r="O60" s="49"/>
    </row>
    <row r="61" spans="1:16" x14ac:dyDescent="0.35">
      <c r="A61" s="74">
        <f>'[3]Proj Cost'!A42</f>
        <v>0</v>
      </c>
      <c r="B61" s="34"/>
      <c r="C61" s="47"/>
      <c r="D61" s="34"/>
      <c r="E61" s="47"/>
      <c r="F61" s="34"/>
      <c r="G61" s="75"/>
      <c r="H61" s="34"/>
      <c r="I61" s="47"/>
      <c r="J61" s="34"/>
      <c r="K61" s="47"/>
      <c r="L61" s="34"/>
      <c r="M61" s="47"/>
      <c r="O61" s="49"/>
    </row>
    <row r="62" spans="1:16" x14ac:dyDescent="0.35">
      <c r="A62" s="74"/>
      <c r="B62" s="34"/>
      <c r="C62" s="47"/>
      <c r="D62" s="34"/>
      <c r="E62" s="47"/>
      <c r="F62" s="34"/>
      <c r="G62" s="75"/>
      <c r="H62" s="34"/>
      <c r="I62" s="47"/>
      <c r="J62" s="34"/>
      <c r="K62" s="47"/>
      <c r="L62" s="34"/>
      <c r="M62" s="47"/>
      <c r="O62" s="49"/>
    </row>
    <row r="63" spans="1:16" x14ac:dyDescent="0.35">
      <c r="A63" s="34">
        <f>'[3]Proj Cost'!A44+1</f>
        <v>1</v>
      </c>
      <c r="B63" s="34"/>
      <c r="C63" s="47"/>
      <c r="D63" s="34"/>
      <c r="E63" s="47"/>
      <c r="F63" s="34"/>
      <c r="G63" s="75"/>
      <c r="H63" s="34"/>
      <c r="I63" s="47"/>
      <c r="J63" s="34"/>
      <c r="K63" s="47"/>
      <c r="L63" s="34"/>
      <c r="M63" s="47"/>
      <c r="O63" s="49"/>
    </row>
    <row r="64" spans="1:16" x14ac:dyDescent="0.35">
      <c r="A64" s="21"/>
      <c r="C64" s="49"/>
      <c r="E64" s="49"/>
      <c r="G64" s="54"/>
      <c r="I64" s="49"/>
      <c r="K64" s="49"/>
      <c r="M64" s="49"/>
      <c r="O64" s="49"/>
    </row>
    <row r="65" spans="1:15" x14ac:dyDescent="0.35">
      <c r="A65" s="21"/>
      <c r="C65" s="49"/>
      <c r="E65" s="49"/>
      <c r="G65" s="54"/>
      <c r="I65" s="49"/>
      <c r="K65" s="49"/>
      <c r="M65" s="49"/>
      <c r="O65" s="49"/>
    </row>
    <row r="66" spans="1:15" x14ac:dyDescent="0.35">
      <c r="A66" s="62"/>
      <c r="C66" s="49"/>
      <c r="E66" s="49"/>
      <c r="G66" s="54"/>
      <c r="I66" s="49"/>
      <c r="K66" s="49"/>
      <c r="M66" s="49"/>
      <c r="O66" s="49"/>
    </row>
    <row r="67" spans="1:15" x14ac:dyDescent="0.35">
      <c r="E67" s="65"/>
      <c r="I67" s="58"/>
      <c r="K67" s="58"/>
      <c r="M67" s="58"/>
      <c r="O67" s="76"/>
    </row>
    <row r="68" spans="1:15" x14ac:dyDescent="0.35">
      <c r="E68" s="65"/>
      <c r="I68" s="58"/>
      <c r="K68" s="58"/>
      <c r="M68" s="58"/>
    </row>
    <row r="69" spans="1:15" x14ac:dyDescent="0.35">
      <c r="E69" s="65"/>
      <c r="I69" s="58"/>
      <c r="K69" s="58"/>
      <c r="M69" s="58"/>
    </row>
    <row r="70" spans="1:15" x14ac:dyDescent="0.35">
      <c r="E70" s="65"/>
      <c r="I70" s="58"/>
      <c r="K70" s="58"/>
      <c r="M70" s="58"/>
    </row>
    <row r="71" spans="1:15" x14ac:dyDescent="0.35">
      <c r="O71" s="58"/>
    </row>
    <row r="72" spans="1:15" x14ac:dyDescent="0.3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</row>
    <row r="73" spans="1:15" x14ac:dyDescent="0.3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</row>
    <row r="75" spans="1:15" x14ac:dyDescent="0.3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</row>
    <row r="76" spans="1:15" x14ac:dyDescent="0.35">
      <c r="M76" s="55"/>
    </row>
    <row r="78" spans="1:15" x14ac:dyDescent="0.35">
      <c r="M78" s="58"/>
    </row>
  </sheetData>
  <printOptions horizontalCentered="1"/>
  <pageMargins left="0.75" right="0.75" top="1" bottom="1" header="0.5" footer="0.5"/>
  <pageSetup scale="74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W153"/>
  <sheetViews>
    <sheetView view="pageBreakPreview" zoomScale="80" zoomScaleNormal="100" zoomScaleSheetLayoutView="80" zoomScalePageLayoutView="80" workbookViewId="0">
      <selection activeCell="V19" sqref="V19"/>
    </sheetView>
  </sheetViews>
  <sheetFormatPr defaultColWidth="8" defaultRowHeight="15.5" x14ac:dyDescent="0.35"/>
  <cols>
    <col min="1" max="1" width="38.58203125" style="2" customWidth="1"/>
    <col min="2" max="2" width="3.5" style="2" customWidth="1"/>
    <col min="3" max="3" width="13.08203125" style="2" hidden="1" customWidth="1"/>
    <col min="4" max="4" width="2.58203125" style="2" hidden="1" customWidth="1"/>
    <col min="5" max="5" width="13.08203125" style="2" customWidth="1"/>
    <col min="6" max="6" width="2.33203125" style="2" customWidth="1"/>
    <col min="7" max="7" width="13.08203125" style="2" customWidth="1"/>
    <col min="8" max="8" width="2.75" style="2" customWidth="1"/>
    <col min="9" max="9" width="12.5" style="2" customWidth="1"/>
    <col min="10" max="10" width="2.75" style="2" customWidth="1"/>
    <col min="11" max="11" width="13.08203125" style="2" customWidth="1"/>
    <col min="12" max="12" width="2" style="2" customWidth="1"/>
    <col min="13" max="13" width="13.08203125" style="2" customWidth="1"/>
    <col min="14" max="14" width="2.25" style="2" customWidth="1"/>
    <col min="15" max="15" width="13.08203125" style="2" customWidth="1"/>
    <col min="16" max="16" width="1.5" style="2" customWidth="1"/>
    <col min="17" max="17" width="7.83203125" style="2" bestFit="1" customWidth="1"/>
    <col min="18" max="18" width="1.5" style="2" customWidth="1"/>
    <col min="19" max="19" width="8.5" style="2" bestFit="1" customWidth="1"/>
    <col min="20" max="20" width="8.08203125" style="2" customWidth="1"/>
    <col min="21" max="21" width="9.75" style="2" bestFit="1" customWidth="1"/>
    <col min="22" max="23" width="8" style="2"/>
    <col min="24" max="24" width="9.75" style="2" bestFit="1" customWidth="1"/>
    <col min="25" max="16384" width="8" style="2"/>
  </cols>
  <sheetData>
    <row r="1" spans="1:23" x14ac:dyDescent="0.35">
      <c r="A1" s="1" t="s">
        <v>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4"/>
      <c r="Q1" s="14"/>
      <c r="R1" s="14"/>
      <c r="S1" s="14"/>
      <c r="T1" s="14"/>
      <c r="U1" s="14"/>
      <c r="V1" s="14"/>
      <c r="W1" s="14"/>
    </row>
    <row r="2" spans="1:23" x14ac:dyDescent="0.35">
      <c r="A2" s="8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  <c r="Q2" s="14"/>
      <c r="R2" s="14"/>
      <c r="S2" s="14"/>
      <c r="T2" s="14"/>
      <c r="U2" s="14"/>
      <c r="V2" s="14"/>
      <c r="W2" s="14"/>
    </row>
    <row r="3" spans="1:23" x14ac:dyDescent="0.35">
      <c r="A3" s="3" t="s">
        <v>69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4"/>
      <c r="N3" s="34"/>
      <c r="O3" s="34"/>
      <c r="P3" s="14"/>
      <c r="Q3" s="14"/>
      <c r="R3" s="14"/>
      <c r="S3" s="14"/>
      <c r="T3" s="14"/>
      <c r="U3" s="14"/>
      <c r="V3" s="14"/>
      <c r="W3" s="14"/>
    </row>
    <row r="4" spans="1:23" x14ac:dyDescent="0.35">
      <c r="A4" s="3" t="s">
        <v>70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4"/>
      <c r="N4" s="34"/>
      <c r="O4" s="34"/>
      <c r="P4" s="14"/>
      <c r="Q4" s="14"/>
      <c r="R4" s="14"/>
      <c r="S4" s="14"/>
      <c r="T4" s="14"/>
      <c r="U4" s="14"/>
      <c r="V4" s="14"/>
      <c r="W4" s="14"/>
    </row>
    <row r="5" spans="1:23" hidden="1" x14ac:dyDescent="0.35">
      <c r="A5" s="1" t="e">
        <f>"See Explanation of References, page "&amp;#REF!</f>
        <v>#REF!</v>
      </c>
      <c r="B5" s="34"/>
      <c r="C5" s="9"/>
      <c r="D5" s="9"/>
      <c r="E5" s="9"/>
      <c r="F5" s="9"/>
      <c r="G5" s="9"/>
      <c r="H5" s="9"/>
      <c r="I5" s="9"/>
      <c r="J5" s="9"/>
      <c r="K5" s="9"/>
      <c r="L5" s="9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idden="1" x14ac:dyDescent="0.35">
      <c r="A6" s="1" t="s">
        <v>71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x14ac:dyDescent="0.35">
      <c r="A8" s="1"/>
      <c r="B8" s="1"/>
      <c r="C8" s="1"/>
      <c r="D8" s="1"/>
      <c r="E8" s="34"/>
      <c r="F8" s="34"/>
      <c r="G8" s="34"/>
      <c r="H8" s="34"/>
      <c r="I8" s="34"/>
      <c r="J8" s="34"/>
      <c r="K8" s="34"/>
      <c r="L8" s="34"/>
      <c r="M8" s="46"/>
      <c r="N8" s="46"/>
      <c r="O8" s="46"/>
      <c r="P8" s="14"/>
      <c r="Q8" s="14"/>
      <c r="R8" s="14"/>
      <c r="S8" s="14"/>
      <c r="T8" s="14"/>
      <c r="U8" s="14"/>
      <c r="V8" s="14"/>
      <c r="W8" s="14"/>
    </row>
    <row r="9" spans="1:23" x14ac:dyDescent="0.35">
      <c r="A9" s="1"/>
      <c r="B9" s="1"/>
      <c r="C9" s="25"/>
      <c r="D9" s="25"/>
      <c r="E9" s="132" t="s">
        <v>7</v>
      </c>
      <c r="F9" s="132"/>
      <c r="G9" s="132"/>
      <c r="H9" s="26"/>
      <c r="I9" s="132" t="s">
        <v>72</v>
      </c>
      <c r="J9" s="132"/>
      <c r="K9" s="132"/>
      <c r="L9" s="28"/>
      <c r="M9" s="132" t="s">
        <v>8</v>
      </c>
      <c r="N9" s="132"/>
      <c r="O9" s="132"/>
      <c r="P9" s="14"/>
      <c r="Q9" s="14"/>
      <c r="R9" s="14"/>
      <c r="S9" s="14"/>
      <c r="T9" s="14"/>
      <c r="U9" s="14"/>
      <c r="V9" s="14"/>
      <c r="W9" s="14"/>
    </row>
    <row r="10" spans="1:23" x14ac:dyDescent="0.35">
      <c r="A10" s="1"/>
      <c r="B10" s="1"/>
      <c r="C10" s="24" t="s">
        <v>41</v>
      </c>
      <c r="D10" s="14"/>
      <c r="E10" s="81" t="s">
        <v>73</v>
      </c>
      <c r="F10" s="28"/>
      <c r="G10" s="24" t="s">
        <v>74</v>
      </c>
      <c r="H10" s="27"/>
      <c r="I10" s="81" t="s">
        <v>73</v>
      </c>
      <c r="J10" s="28"/>
      <c r="K10" s="24" t="s">
        <v>74</v>
      </c>
      <c r="L10" s="27"/>
      <c r="M10" s="81" t="s">
        <v>73</v>
      </c>
      <c r="N10" s="28"/>
      <c r="O10" s="24" t="s">
        <v>74</v>
      </c>
      <c r="P10" s="14"/>
      <c r="Q10" s="14"/>
      <c r="R10" s="14"/>
      <c r="S10" s="14"/>
      <c r="T10" s="14"/>
      <c r="U10" s="14"/>
      <c r="V10" s="14"/>
      <c r="W10" s="14"/>
    </row>
    <row r="11" spans="1:23" x14ac:dyDescent="0.35">
      <c r="A11" s="1"/>
      <c r="B11" s="1"/>
      <c r="C11" s="21"/>
      <c r="D11" s="13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4"/>
      <c r="Q11" s="14"/>
      <c r="R11" s="14"/>
      <c r="S11" s="14"/>
      <c r="T11" s="14"/>
      <c r="U11" s="14"/>
      <c r="V11" s="14"/>
      <c r="W11" s="14"/>
    </row>
    <row r="12" spans="1:23" x14ac:dyDescent="0.35">
      <c r="A12" s="5" t="s">
        <v>75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x14ac:dyDescent="0.35">
      <c r="A13" s="15" t="s">
        <v>76</v>
      </c>
      <c r="B13" s="14"/>
      <c r="C13" s="65">
        <v>932888</v>
      </c>
      <c r="D13" s="94"/>
      <c r="E13" s="65">
        <f>+C13</f>
        <v>932888</v>
      </c>
      <c r="F13" s="65"/>
      <c r="G13" s="65">
        <v>933580</v>
      </c>
      <c r="H13" s="65"/>
      <c r="I13" s="65">
        <f>933139+475</f>
        <v>933614</v>
      </c>
      <c r="J13" s="65"/>
      <c r="K13" s="65">
        <v>933868</v>
      </c>
      <c r="L13" s="65"/>
      <c r="M13" s="65">
        <f>I13</f>
        <v>933614</v>
      </c>
      <c r="N13" s="65"/>
      <c r="O13" s="65">
        <f ca="1">M13+M14</f>
        <v>933846</v>
      </c>
      <c r="P13" s="14"/>
      <c r="Q13" s="14"/>
      <c r="R13" s="14"/>
      <c r="S13" s="14"/>
      <c r="T13" s="14"/>
      <c r="U13" s="14"/>
      <c r="V13" s="14"/>
      <c r="W13" s="14"/>
    </row>
    <row r="14" spans="1:23" x14ac:dyDescent="0.35">
      <c r="A14" s="15" t="s">
        <v>77</v>
      </c>
      <c r="B14" s="14"/>
      <c r="C14" s="65"/>
      <c r="D14" s="94"/>
      <c r="E14" s="96">
        <f ca="1">ROUND(E34*0.001273654,0)</f>
        <v>311</v>
      </c>
      <c r="F14" s="65"/>
      <c r="G14" s="96">
        <f ca="1">ROUND(G34*0.001273654,0)</f>
        <v>299</v>
      </c>
      <c r="H14" s="96"/>
      <c r="I14" s="97">
        <f ca="1">ROUND(I34*0.001273654,0)</f>
        <v>254</v>
      </c>
      <c r="J14" s="97"/>
      <c r="K14" s="97">
        <f ca="1">ROUND(K34*0.001273654,0)</f>
        <v>312</v>
      </c>
      <c r="L14" s="97"/>
      <c r="M14" s="97">
        <f ca="1">ROUND(M34*0.001273654,0)</f>
        <v>232</v>
      </c>
      <c r="N14" s="97"/>
      <c r="O14" s="97">
        <f ca="1">ROUND(O34*0.001273654,0)</f>
        <v>306</v>
      </c>
      <c r="P14" s="14"/>
      <c r="Q14" s="14"/>
      <c r="R14" s="14"/>
      <c r="S14" s="14"/>
      <c r="T14" s="14"/>
      <c r="U14" s="14"/>
      <c r="V14" s="14"/>
      <c r="W14" s="14"/>
    </row>
    <row r="15" spans="1:23" x14ac:dyDescent="0.35">
      <c r="A15" s="15" t="s">
        <v>78</v>
      </c>
      <c r="B15" s="14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14"/>
      <c r="Q15" s="14"/>
      <c r="R15" s="14"/>
      <c r="S15" s="14"/>
      <c r="T15" s="98"/>
      <c r="U15" s="98"/>
      <c r="V15" s="98"/>
      <c r="W15" s="98"/>
    </row>
    <row r="16" spans="1:23" x14ac:dyDescent="0.35">
      <c r="A16" s="22" t="s">
        <v>79</v>
      </c>
      <c r="B16" s="14"/>
      <c r="C16" s="96">
        <f>-ROUND(PMT(0.03,20,'Proj Cost'!C34),0)</f>
        <v>304151</v>
      </c>
      <c r="D16" s="99"/>
      <c r="E16" s="96">
        <f>ROUND('Proj Cost'!C34*0.03,0)</f>
        <v>135750</v>
      </c>
      <c r="F16" s="96"/>
      <c r="G16" s="97">
        <f>C16</f>
        <v>304151</v>
      </c>
      <c r="H16" s="97"/>
      <c r="I16" s="97">
        <v>100980</v>
      </c>
      <c r="J16" s="97"/>
      <c r="K16" s="97">
        <v>279903</v>
      </c>
      <c r="L16" s="97"/>
      <c r="M16" s="97">
        <v>112200</v>
      </c>
      <c r="N16" s="97"/>
      <c r="O16" s="97">
        <f>ROUND(AVERAGE('Prop Bonds (2)'!M17:M23),0)</f>
        <v>286394</v>
      </c>
      <c r="P16" s="14"/>
      <c r="Q16" s="14"/>
      <c r="R16" s="14"/>
      <c r="S16" s="14"/>
      <c r="T16" s="98"/>
      <c r="U16" s="98"/>
      <c r="V16" s="98"/>
      <c r="W16" s="98"/>
    </row>
    <row r="17" spans="1:23" x14ac:dyDescent="0.35">
      <c r="A17" s="15" t="s">
        <v>80</v>
      </c>
      <c r="B17" s="14"/>
      <c r="C17" s="68">
        <f>ROUND(C16/5,0)</f>
        <v>60830</v>
      </c>
      <c r="D17" s="68"/>
      <c r="E17" s="68">
        <f>C17</f>
        <v>60830</v>
      </c>
      <c r="F17" s="68"/>
      <c r="G17" s="68">
        <f>C17</f>
        <v>60830</v>
      </c>
      <c r="H17" s="68"/>
      <c r="I17" s="100">
        <v>55981</v>
      </c>
      <c r="J17" s="100"/>
      <c r="K17" s="100">
        <f>ROUND(K16/5,0)</f>
        <v>55981</v>
      </c>
      <c r="L17" s="100"/>
      <c r="M17" s="100">
        <v>27500</v>
      </c>
      <c r="N17" s="100"/>
      <c r="O17" s="100">
        <f>M17</f>
        <v>27500</v>
      </c>
      <c r="P17" s="14"/>
      <c r="Q17" s="14"/>
      <c r="R17" s="14"/>
      <c r="S17" s="14"/>
      <c r="T17" s="98"/>
      <c r="U17" s="98"/>
      <c r="V17" s="98"/>
      <c r="W17" s="98"/>
    </row>
    <row r="18" spans="1:23" x14ac:dyDescent="0.35">
      <c r="A18" s="15" t="str">
        <f>"Replacements and Improvements"</f>
        <v>Replacements and Improvements</v>
      </c>
      <c r="B18" s="14"/>
      <c r="C18" s="68">
        <v>165528</v>
      </c>
      <c r="D18" s="68"/>
      <c r="E18" s="68">
        <v>100000</v>
      </c>
      <c r="F18" s="68"/>
      <c r="G18" s="101">
        <f>C18</f>
        <v>165528</v>
      </c>
      <c r="H18" s="102"/>
      <c r="I18" s="101">
        <v>100000</v>
      </c>
      <c r="J18" s="102"/>
      <c r="K18" s="101">
        <v>165528</v>
      </c>
      <c r="L18" s="102"/>
      <c r="M18" s="101">
        <v>100000</v>
      </c>
      <c r="N18" s="102"/>
      <c r="O18" s="101">
        <v>165528</v>
      </c>
      <c r="P18" s="14"/>
      <c r="Q18" s="14"/>
      <c r="R18" s="14"/>
      <c r="S18" s="14"/>
      <c r="T18" s="98"/>
      <c r="U18" s="98"/>
      <c r="V18" s="98"/>
      <c r="W18" s="98"/>
    </row>
    <row r="19" spans="1:23" x14ac:dyDescent="0.35">
      <c r="A19" s="22"/>
      <c r="B19" s="14"/>
      <c r="C19" s="103"/>
      <c r="D19" s="68"/>
      <c r="E19" s="103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4"/>
      <c r="Q19" s="14"/>
      <c r="R19" s="14"/>
      <c r="S19" s="14"/>
      <c r="T19" s="98"/>
      <c r="U19" s="98"/>
      <c r="V19" s="98"/>
      <c r="W19" s="98"/>
    </row>
    <row r="20" spans="1:23" x14ac:dyDescent="0.35">
      <c r="A20" s="22" t="s">
        <v>81</v>
      </c>
      <c r="B20" s="14"/>
      <c r="C20" s="96">
        <f>ROUND(SUM(C13:C19),0)</f>
        <v>1463397</v>
      </c>
      <c r="D20" s="68"/>
      <c r="E20" s="96">
        <f ca="1">ROUND(SUM(E13:E19),0)</f>
        <v>1229779</v>
      </c>
      <c r="F20" s="96"/>
      <c r="G20" s="96">
        <f ca="1">ROUND(SUM(G13:G19),0)</f>
        <v>1464388</v>
      </c>
      <c r="H20" s="96"/>
      <c r="I20" s="96">
        <f ca="1">ROUND(SUM(I13:I19),0)</f>
        <v>1190829</v>
      </c>
      <c r="J20" s="96"/>
      <c r="K20" s="96">
        <f ca="1">ROUND(SUM(K13:K19),0)</f>
        <v>1435592</v>
      </c>
      <c r="L20" s="96"/>
      <c r="M20" s="96">
        <f ca="1">ROUND(SUM(M13:M19),0)</f>
        <v>1173546</v>
      </c>
      <c r="N20" s="96"/>
      <c r="O20" s="96">
        <f ca="1">ROUND(SUM(O13:O19),0)</f>
        <v>1413574</v>
      </c>
      <c r="P20" s="14"/>
      <c r="Q20" s="14"/>
      <c r="R20" s="14"/>
      <c r="S20" s="14"/>
      <c r="T20" s="98"/>
      <c r="U20" s="98"/>
      <c r="V20" s="98"/>
      <c r="W20" s="98"/>
    </row>
    <row r="21" spans="1:23" x14ac:dyDescent="0.35">
      <c r="A21" s="22"/>
      <c r="B21" s="14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14"/>
      <c r="Q21" s="14"/>
      <c r="R21" s="14"/>
      <c r="S21" s="14"/>
      <c r="T21" s="98"/>
      <c r="U21" s="98"/>
      <c r="V21" s="98"/>
      <c r="W21" s="98"/>
    </row>
    <row r="22" spans="1:23" hidden="1" x14ac:dyDescent="0.35">
      <c r="A22" s="15" t="s">
        <v>82</v>
      </c>
      <c r="B22" s="10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14"/>
      <c r="Q22" s="14"/>
      <c r="R22" s="14"/>
      <c r="S22" s="14"/>
      <c r="T22" s="98"/>
      <c r="U22" s="98"/>
      <c r="V22" s="98"/>
      <c r="W22" s="98"/>
    </row>
    <row r="23" spans="1:23" x14ac:dyDescent="0.35">
      <c r="A23" s="15" t="s">
        <v>83</v>
      </c>
      <c r="B23" s="10"/>
      <c r="C23" s="68">
        <v>-26075</v>
      </c>
      <c r="D23" s="68"/>
      <c r="E23" s="68">
        <f>C23</f>
        <v>-26075</v>
      </c>
      <c r="F23" s="68"/>
      <c r="G23" s="68">
        <f>E23</f>
        <v>-26075</v>
      </c>
      <c r="H23" s="68"/>
      <c r="I23" s="68">
        <v>-26075</v>
      </c>
      <c r="J23" s="68"/>
      <c r="K23" s="68">
        <v>-26075</v>
      </c>
      <c r="L23" s="68"/>
      <c r="M23" s="68">
        <f>I23</f>
        <v>-26075</v>
      </c>
      <c r="N23" s="68"/>
      <c r="O23" s="68">
        <f>M23</f>
        <v>-26075</v>
      </c>
      <c r="P23" s="14"/>
      <c r="Q23" s="14"/>
      <c r="R23" s="14"/>
      <c r="S23" s="14"/>
      <c r="T23" s="98"/>
      <c r="U23" s="98"/>
      <c r="V23" s="98"/>
      <c r="W23" s="98"/>
    </row>
    <row r="24" spans="1:23" x14ac:dyDescent="0.35">
      <c r="A24" s="15" t="s">
        <v>84</v>
      </c>
      <c r="B24" s="14"/>
      <c r="C24" s="68">
        <v>-11629</v>
      </c>
      <c r="D24" s="68"/>
      <c r="E24" s="68">
        <f>C24</f>
        <v>-11629</v>
      </c>
      <c r="F24" s="68"/>
      <c r="G24" s="101">
        <f>E24</f>
        <v>-11629</v>
      </c>
      <c r="H24" s="102"/>
      <c r="I24" s="101">
        <v>-11629</v>
      </c>
      <c r="J24" s="102"/>
      <c r="K24" s="101">
        <v>-11629</v>
      </c>
      <c r="L24" s="102"/>
      <c r="M24" s="101">
        <f>I24</f>
        <v>-11629</v>
      </c>
      <c r="N24" s="102"/>
      <c r="O24" s="101">
        <f>M24</f>
        <v>-11629</v>
      </c>
      <c r="P24" s="14"/>
      <c r="Q24" s="14"/>
      <c r="R24" s="14"/>
      <c r="S24" s="14"/>
      <c r="T24" s="98"/>
      <c r="U24" s="98"/>
      <c r="V24" s="98"/>
      <c r="W24" s="98"/>
    </row>
    <row r="25" spans="1:23" x14ac:dyDescent="0.35">
      <c r="A25" s="104"/>
      <c r="B25" s="52"/>
      <c r="C25" s="69"/>
      <c r="D25" s="52"/>
      <c r="E25" s="6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14"/>
      <c r="Q25" s="14"/>
      <c r="R25" s="14"/>
      <c r="S25" s="14"/>
      <c r="T25" s="98"/>
      <c r="U25" s="98"/>
      <c r="V25" s="98"/>
      <c r="W25" s="98"/>
    </row>
    <row r="26" spans="1:23" ht="16" thickBot="1" x14ac:dyDescent="0.4">
      <c r="A26" s="22" t="s">
        <v>85</v>
      </c>
      <c r="B26" s="14"/>
      <c r="C26" s="72">
        <f>SUM(C20:C25)</f>
        <v>1425693</v>
      </c>
      <c r="D26" s="94"/>
      <c r="E26" s="72">
        <f ca="1">SUM(E20:E25)</f>
        <v>1192075</v>
      </c>
      <c r="F26" s="92"/>
      <c r="G26" s="72">
        <f ca="1">SUM(G20:G25)</f>
        <v>1426684</v>
      </c>
      <c r="H26" s="92"/>
      <c r="I26" s="72">
        <f ca="1">SUM(I20:I25)</f>
        <v>1153125</v>
      </c>
      <c r="J26" s="92"/>
      <c r="K26" s="72">
        <f ca="1">SUM(K20:K25)</f>
        <v>1397888</v>
      </c>
      <c r="L26" s="92"/>
      <c r="M26" s="72">
        <f ca="1">SUM(M20:M25)</f>
        <v>1135842</v>
      </c>
      <c r="N26" s="92"/>
      <c r="O26" s="72">
        <f ca="1">SUM(O20:O25)</f>
        <v>1375870</v>
      </c>
      <c r="P26" s="14"/>
      <c r="Q26" s="14"/>
      <c r="R26" s="14"/>
      <c r="S26" s="14"/>
      <c r="T26" s="98"/>
      <c r="U26" s="98"/>
      <c r="V26" s="98"/>
      <c r="W26" s="98"/>
    </row>
    <row r="27" spans="1:23" ht="16" thickTop="1" x14ac:dyDescent="0.35">
      <c r="A27" s="15"/>
      <c r="B27" s="1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14"/>
      <c r="Q27" s="14"/>
      <c r="R27" s="14"/>
      <c r="S27" s="14"/>
      <c r="T27" s="98"/>
      <c r="U27" s="98"/>
      <c r="V27" s="98"/>
      <c r="W27" s="98"/>
    </row>
    <row r="28" spans="1:23" x14ac:dyDescent="0.35">
      <c r="A28" s="11" t="s">
        <v>86</v>
      </c>
      <c r="B28" s="1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14"/>
      <c r="Q28" s="14"/>
      <c r="R28" s="65"/>
      <c r="S28" s="14"/>
      <c r="T28" s="98"/>
      <c r="U28" s="98"/>
      <c r="V28" s="98"/>
      <c r="W28" s="98"/>
    </row>
    <row r="29" spans="1:23" x14ac:dyDescent="0.35">
      <c r="A29" s="15" t="s">
        <v>87</v>
      </c>
      <c r="B29" s="14"/>
      <c r="C29" s="105">
        <f>947537</f>
        <v>947537</v>
      </c>
      <c r="D29" s="94"/>
      <c r="E29" s="65">
        <f>C29</f>
        <v>947537</v>
      </c>
      <c r="F29" s="94"/>
      <c r="G29" s="65">
        <f>E29</f>
        <v>947537</v>
      </c>
      <c r="H29" s="65"/>
      <c r="I29" s="65">
        <v>953528</v>
      </c>
      <c r="J29" s="65"/>
      <c r="K29" s="65">
        <f>I29</f>
        <v>953528</v>
      </c>
      <c r="L29" s="65"/>
      <c r="M29" s="65">
        <f>I29</f>
        <v>953528</v>
      </c>
      <c r="N29" s="65"/>
      <c r="O29" s="65">
        <f>M29</f>
        <v>953528</v>
      </c>
      <c r="P29" s="14"/>
      <c r="Q29" s="14"/>
      <c r="R29" s="65"/>
      <c r="S29" s="14"/>
      <c r="T29" s="98"/>
      <c r="U29" s="98"/>
      <c r="V29" s="98"/>
      <c r="W29" s="98"/>
    </row>
    <row r="30" spans="1:23" x14ac:dyDescent="0.35">
      <c r="A30" s="15" t="s">
        <v>88</v>
      </c>
      <c r="B30" s="14"/>
      <c r="C30" s="101"/>
      <c r="D30" s="102"/>
      <c r="E30" s="101"/>
      <c r="F30" s="102"/>
      <c r="G30" s="101">
        <f ca="1">E34</f>
        <v>244538</v>
      </c>
      <c r="H30" s="102"/>
      <c r="I30" s="101"/>
      <c r="J30" s="102"/>
      <c r="K30" s="106">
        <f ca="1">I34</f>
        <v>199597</v>
      </c>
      <c r="L30" s="107"/>
      <c r="M30" s="106"/>
      <c r="N30" s="107"/>
      <c r="O30" s="106">
        <f ca="1">M34</f>
        <v>182314</v>
      </c>
      <c r="P30" s="14"/>
      <c r="Q30" s="14"/>
      <c r="R30" s="65"/>
      <c r="S30" s="14"/>
      <c r="T30" s="98"/>
      <c r="U30" s="98"/>
      <c r="V30" s="98"/>
      <c r="W30" s="98"/>
    </row>
    <row r="31" spans="1:23" x14ac:dyDescent="0.35">
      <c r="A31" s="22"/>
      <c r="B31" s="14"/>
      <c r="C31" s="108"/>
      <c r="D31" s="94"/>
      <c r="E31" s="108"/>
      <c r="F31" s="94"/>
      <c r="G31" s="108"/>
      <c r="H31" s="109"/>
      <c r="I31" s="109"/>
      <c r="J31" s="109"/>
      <c r="K31" s="109"/>
      <c r="L31" s="109"/>
      <c r="M31" s="109"/>
      <c r="N31" s="109"/>
      <c r="O31" s="109"/>
      <c r="P31" s="14"/>
      <c r="Q31" s="14"/>
      <c r="R31" s="65"/>
      <c r="S31" s="14"/>
      <c r="T31" s="98"/>
      <c r="U31" s="98"/>
      <c r="V31" s="98"/>
      <c r="W31" s="98"/>
    </row>
    <row r="32" spans="1:23" ht="16" thickBot="1" x14ac:dyDescent="0.4">
      <c r="A32" s="22" t="s">
        <v>89</v>
      </c>
      <c r="B32" s="14"/>
      <c r="C32" s="110">
        <f>SUM(C28:C31)</f>
        <v>947537</v>
      </c>
      <c r="D32" s="105"/>
      <c r="E32" s="110">
        <f>SUM(E28:E31)</f>
        <v>947537</v>
      </c>
      <c r="F32" s="105"/>
      <c r="G32" s="110">
        <f ca="1">SUM(G28:G31)</f>
        <v>1192075</v>
      </c>
      <c r="H32" s="105"/>
      <c r="I32" s="110">
        <f>SUM(I28:I31)</f>
        <v>953528</v>
      </c>
      <c r="J32" s="105"/>
      <c r="K32" s="110">
        <f ca="1">SUM(K28:K31)</f>
        <v>1153125</v>
      </c>
      <c r="L32" s="105"/>
      <c r="M32" s="110">
        <f>SUM(M28:M31)</f>
        <v>953528</v>
      </c>
      <c r="N32" s="105"/>
      <c r="O32" s="110">
        <f ca="1">SUM(O28:O31)</f>
        <v>1135842</v>
      </c>
      <c r="P32" s="14"/>
      <c r="Q32" s="14"/>
      <c r="R32" s="14"/>
      <c r="S32" s="14"/>
      <c r="T32" s="98"/>
      <c r="U32" s="98"/>
      <c r="V32" s="98"/>
      <c r="W32" s="98"/>
    </row>
    <row r="33" spans="1:23" ht="16" thickTop="1" x14ac:dyDescent="0.35">
      <c r="A33" s="22"/>
      <c r="B33" s="14"/>
      <c r="C33" s="105"/>
      <c r="D33" s="94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4"/>
      <c r="Q33" s="14"/>
      <c r="R33" s="14"/>
      <c r="S33" s="14"/>
      <c r="T33" s="98"/>
      <c r="U33" s="98"/>
      <c r="V33" s="98"/>
      <c r="W33" s="98"/>
    </row>
    <row r="34" spans="1:23" ht="16" thickBot="1" x14ac:dyDescent="0.4">
      <c r="A34" s="15" t="s">
        <v>90</v>
      </c>
      <c r="B34" s="14"/>
      <c r="C34" s="72">
        <f>C26-C32</f>
        <v>478156</v>
      </c>
      <c r="D34" s="14"/>
      <c r="E34" s="72">
        <f ca="1">E26-E32</f>
        <v>244538</v>
      </c>
      <c r="F34" s="92"/>
      <c r="G34" s="72">
        <f ca="1">G26-G32</f>
        <v>234609</v>
      </c>
      <c r="H34" s="92"/>
      <c r="I34" s="72">
        <f ca="1">I26-I32</f>
        <v>199597</v>
      </c>
      <c r="J34" s="92"/>
      <c r="K34" s="72">
        <f ca="1">K26-K32</f>
        <v>244763</v>
      </c>
      <c r="L34" s="92"/>
      <c r="M34" s="72">
        <f ca="1">M26-M32</f>
        <v>182314</v>
      </c>
      <c r="N34" s="92"/>
      <c r="O34" s="72">
        <f ca="1">O26-O32</f>
        <v>240028</v>
      </c>
      <c r="P34" s="14"/>
      <c r="Q34" s="52"/>
      <c r="R34" s="14"/>
      <c r="S34" s="52"/>
      <c r="T34" s="98"/>
      <c r="U34" s="98"/>
      <c r="V34" s="98"/>
      <c r="W34" s="98"/>
    </row>
    <row r="35" spans="1:23" ht="16" thickTop="1" x14ac:dyDescent="0.35">
      <c r="A35" s="15"/>
      <c r="B35" s="14"/>
      <c r="C35" s="14"/>
      <c r="D35" s="14"/>
      <c r="E35" s="9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52"/>
      <c r="Q35" s="52"/>
      <c r="R35" s="14"/>
      <c r="S35" s="52"/>
      <c r="T35" s="98"/>
      <c r="U35" s="98"/>
      <c r="V35" s="98"/>
      <c r="W35" s="98"/>
    </row>
    <row r="36" spans="1:23" x14ac:dyDescent="0.35">
      <c r="A36" s="15" t="s">
        <v>91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52"/>
      <c r="R36" s="14"/>
      <c r="S36" s="52"/>
      <c r="T36" s="98"/>
      <c r="U36" s="98"/>
      <c r="V36" s="98"/>
      <c r="W36" s="98"/>
    </row>
    <row r="37" spans="1:23" ht="16" thickBot="1" x14ac:dyDescent="0.4">
      <c r="A37" s="22" t="s">
        <v>92</v>
      </c>
      <c r="B37" s="14"/>
      <c r="C37" s="111">
        <f>ROUND(C34/C32,4)</f>
        <v>0.50460000000000005</v>
      </c>
      <c r="D37" s="14"/>
      <c r="E37" s="112">
        <f ca="1">ROUND(E34/E32,4)</f>
        <v>0.2581</v>
      </c>
      <c r="F37" s="77"/>
      <c r="G37" s="112">
        <f ca="1">ROUND(G34/G32,4)</f>
        <v>0.1968</v>
      </c>
      <c r="H37" s="111"/>
      <c r="I37" s="112">
        <f ca="1">ROUND(I34/I32,4)</f>
        <v>0.20930000000000001</v>
      </c>
      <c r="J37" s="111"/>
      <c r="K37" s="112">
        <f ca="1">ROUND(K34/K32,4)</f>
        <v>0.21229999999999999</v>
      </c>
      <c r="L37" s="111"/>
      <c r="M37" s="112">
        <f ca="1">ROUND(M34/M32,4)</f>
        <v>0.19120000000000001</v>
      </c>
      <c r="N37" s="111"/>
      <c r="O37" s="112">
        <f ca="1">ROUND(O34/O32,4)</f>
        <v>0.21129999999999999</v>
      </c>
      <c r="P37" s="14"/>
      <c r="Q37" s="54"/>
      <c r="R37" s="14"/>
      <c r="S37" s="54"/>
      <c r="T37" s="98"/>
      <c r="U37" s="98"/>
      <c r="V37" s="98"/>
      <c r="W37" s="98"/>
    </row>
    <row r="38" spans="1:23" ht="16" thickTop="1" x14ac:dyDescent="0.35">
      <c r="A38" s="78"/>
      <c r="B38" s="31"/>
      <c r="C38" s="77"/>
      <c r="D38" s="31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113"/>
      <c r="Q38" s="113"/>
      <c r="R38" s="114"/>
      <c r="S38" s="114"/>
      <c r="T38" s="98"/>
      <c r="U38" s="98"/>
      <c r="V38" s="98"/>
      <c r="W38" s="98"/>
    </row>
    <row r="39" spans="1:23" x14ac:dyDescent="0.35">
      <c r="A39" s="78"/>
      <c r="B39" s="31"/>
      <c r="C39" s="77"/>
      <c r="D39" s="31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113"/>
      <c r="Q39" s="113"/>
      <c r="R39" s="114"/>
      <c r="S39" s="114"/>
      <c r="T39" s="98"/>
      <c r="U39" s="98"/>
      <c r="V39" s="98"/>
      <c r="W39" s="98"/>
    </row>
    <row r="40" spans="1:23" x14ac:dyDescent="0.35">
      <c r="A40" s="79"/>
      <c r="B40" s="31"/>
      <c r="C40" s="77"/>
      <c r="D40" s="31"/>
      <c r="E40" s="77"/>
      <c r="F40" s="77"/>
      <c r="G40" s="77"/>
      <c r="H40" s="77"/>
      <c r="I40" s="77"/>
      <c r="J40" s="77"/>
      <c r="K40" s="77"/>
      <c r="L40" s="77"/>
      <c r="M40" s="115"/>
      <c r="N40" s="115"/>
      <c r="O40" s="115"/>
      <c r="P40" s="113"/>
      <c r="Q40" s="113"/>
      <c r="R40" s="114"/>
      <c r="S40" s="116"/>
      <c r="T40" s="98"/>
      <c r="U40" s="98"/>
      <c r="V40" s="98"/>
      <c r="W40" s="98"/>
    </row>
    <row r="41" spans="1:23" x14ac:dyDescent="0.35">
      <c r="A41" s="78"/>
      <c r="B41" s="31"/>
      <c r="C41" s="77"/>
      <c r="D41" s="31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113"/>
      <c r="Q41" s="113"/>
      <c r="R41" s="114"/>
      <c r="S41" s="114"/>
      <c r="T41" s="98"/>
      <c r="U41" s="98"/>
      <c r="V41" s="98"/>
      <c r="W41" s="98"/>
    </row>
    <row r="42" spans="1:23" x14ac:dyDescent="0.35">
      <c r="A42" s="25" t="s">
        <v>93</v>
      </c>
      <c r="B42" s="31"/>
      <c r="C42" s="77"/>
      <c r="D42" s="31"/>
      <c r="E42" s="77"/>
      <c r="F42" s="77"/>
      <c r="G42" s="77"/>
      <c r="H42" s="77"/>
      <c r="I42" s="77"/>
      <c r="J42" s="77"/>
      <c r="K42" s="77"/>
      <c r="L42" s="77"/>
      <c r="M42" s="31"/>
      <c r="N42" s="31"/>
      <c r="O42" s="113"/>
      <c r="P42" s="113"/>
      <c r="Q42" s="113"/>
      <c r="R42" s="114"/>
      <c r="S42" s="114"/>
      <c r="T42" s="98"/>
      <c r="U42" s="98"/>
      <c r="V42" s="98"/>
      <c r="W42" s="98"/>
    </row>
    <row r="43" spans="1:23" x14ac:dyDescent="0.35">
      <c r="A43" s="33" t="s">
        <v>94</v>
      </c>
      <c r="B43" s="31"/>
      <c r="C43" s="77"/>
      <c r="D43" s="31"/>
      <c r="E43" s="77"/>
      <c r="F43" s="77"/>
      <c r="G43" s="77"/>
      <c r="H43" s="77"/>
      <c r="I43" s="77"/>
      <c r="J43" s="77"/>
      <c r="K43" s="77"/>
      <c r="L43" s="77"/>
      <c r="M43" s="31"/>
      <c r="N43" s="31"/>
      <c r="O43" s="113"/>
      <c r="P43" s="113"/>
      <c r="Q43" s="113"/>
      <c r="R43" s="114"/>
      <c r="S43" s="114"/>
      <c r="T43" s="98"/>
      <c r="U43" s="98"/>
      <c r="V43" s="98"/>
      <c r="W43" s="98"/>
    </row>
    <row r="44" spans="1:23" x14ac:dyDescent="0.35">
      <c r="A44" s="33" t="s">
        <v>95</v>
      </c>
      <c r="B44" s="31"/>
      <c r="C44" s="77"/>
      <c r="D44" s="31"/>
      <c r="E44" s="77"/>
      <c r="F44" s="77"/>
      <c r="G44" s="77"/>
      <c r="H44" s="77"/>
      <c r="I44" s="77"/>
      <c r="J44" s="77"/>
      <c r="K44" s="77"/>
      <c r="L44" s="77"/>
      <c r="M44" s="31"/>
      <c r="N44" s="31"/>
      <c r="O44" s="113"/>
      <c r="P44" s="113"/>
      <c r="Q44" s="113"/>
      <c r="R44" s="114"/>
      <c r="S44" s="114"/>
      <c r="T44" s="98"/>
      <c r="U44" s="98"/>
      <c r="V44" s="98"/>
      <c r="W44" s="98"/>
    </row>
    <row r="45" spans="1:23" x14ac:dyDescent="0.35">
      <c r="A45" s="25" t="s">
        <v>96</v>
      </c>
      <c r="B45" s="31"/>
      <c r="C45" s="115"/>
      <c r="D45" s="31"/>
      <c r="E45" s="115"/>
      <c r="F45" s="115"/>
      <c r="G45" s="115"/>
      <c r="H45" s="115"/>
      <c r="I45" s="115"/>
      <c r="J45" s="115"/>
      <c r="K45" s="115"/>
      <c r="L45" s="115"/>
      <c r="M45" s="117"/>
      <c r="N45" s="31"/>
      <c r="O45" s="113"/>
      <c r="P45" s="113"/>
      <c r="Q45" s="113"/>
      <c r="R45" s="114"/>
      <c r="S45" s="114"/>
      <c r="T45" s="98"/>
      <c r="U45" s="98"/>
      <c r="V45" s="98"/>
      <c r="W45" s="98"/>
    </row>
    <row r="46" spans="1:23" x14ac:dyDescent="0.35">
      <c r="A46" s="25" t="s">
        <v>97</v>
      </c>
      <c r="B46" s="31"/>
      <c r="C46" s="115"/>
      <c r="D46" s="31"/>
      <c r="E46" s="115"/>
      <c r="F46" s="115"/>
      <c r="G46" s="115"/>
      <c r="H46" s="115"/>
      <c r="I46" s="115"/>
      <c r="J46" s="115"/>
      <c r="K46" s="115"/>
      <c r="L46" s="115"/>
      <c r="M46" s="31"/>
      <c r="N46" s="31"/>
      <c r="O46" s="28"/>
      <c r="P46" s="28"/>
      <c r="Q46" s="28"/>
      <c r="R46" s="21"/>
      <c r="S46" s="118"/>
      <c r="T46" s="98"/>
      <c r="U46" s="98"/>
      <c r="V46" s="98"/>
      <c r="W46" s="98"/>
    </row>
    <row r="47" spans="1:23" x14ac:dyDescent="0.3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119"/>
      <c r="N47" s="115"/>
      <c r="O47" s="115"/>
      <c r="P47" s="115"/>
      <c r="Q47" s="115"/>
      <c r="R47" s="58"/>
      <c r="S47" s="58"/>
      <c r="T47" s="98"/>
      <c r="U47" s="98"/>
      <c r="V47" s="98"/>
      <c r="W47" s="98"/>
    </row>
    <row r="48" spans="1:23" x14ac:dyDescent="0.3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115"/>
      <c r="O48" s="115"/>
      <c r="P48" s="115"/>
      <c r="Q48" s="115"/>
      <c r="R48" s="58"/>
      <c r="S48" s="58"/>
      <c r="T48" s="98"/>
      <c r="U48" s="98"/>
      <c r="V48" s="98"/>
      <c r="W48" s="98"/>
    </row>
    <row r="49" spans="1:23" ht="16" thickBot="1" x14ac:dyDescent="0.4">
      <c r="A49" s="29"/>
      <c r="B49" s="31"/>
      <c r="C49" s="77"/>
      <c r="D49" s="31"/>
      <c r="E49" s="77"/>
      <c r="F49" s="77"/>
      <c r="G49" s="77"/>
      <c r="H49" s="77"/>
      <c r="I49" s="77"/>
      <c r="J49" s="77"/>
      <c r="K49" s="77"/>
      <c r="L49" s="77"/>
      <c r="M49" s="31"/>
      <c r="N49" s="115"/>
      <c r="O49" s="115"/>
      <c r="P49" s="115"/>
      <c r="Q49" s="115"/>
      <c r="R49" s="58"/>
      <c r="S49" s="58"/>
      <c r="T49" s="98"/>
      <c r="U49" s="98"/>
      <c r="V49" s="98"/>
      <c r="W49" s="98"/>
    </row>
    <row r="50" spans="1:23" ht="16" thickBot="1" x14ac:dyDescent="0.4">
      <c r="A50" s="30"/>
      <c r="B50" s="31"/>
      <c r="C50" s="115"/>
      <c r="D50" s="31"/>
      <c r="E50" s="115"/>
      <c r="F50" s="115"/>
      <c r="G50" s="120">
        <f ca="1">(G34+E34)/E32</f>
        <v>0.50567629549030801</v>
      </c>
      <c r="H50" s="115"/>
      <c r="I50" s="115"/>
      <c r="J50" s="115"/>
      <c r="K50" s="121">
        <f ca="1">(K34+I34)/I32</f>
        <v>0.46601672945104916</v>
      </c>
      <c r="L50" s="115"/>
      <c r="M50" s="117"/>
      <c r="N50" s="115"/>
      <c r="O50" s="121">
        <f ca="1">(O34+M34)/M32</f>
        <v>0.44292564035875193</v>
      </c>
      <c r="P50" s="115"/>
      <c r="Q50" s="115"/>
      <c r="R50" s="58"/>
      <c r="S50" s="58"/>
      <c r="T50" s="98"/>
      <c r="U50" s="98"/>
      <c r="V50" s="98"/>
      <c r="W50" s="98"/>
    </row>
    <row r="51" spans="1:23" x14ac:dyDescent="0.35">
      <c r="A51" s="30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115"/>
      <c r="O51" s="115"/>
      <c r="P51" s="115"/>
      <c r="Q51" s="115"/>
      <c r="R51" s="58"/>
      <c r="S51" s="58"/>
      <c r="T51" s="98"/>
      <c r="U51" s="98"/>
      <c r="V51" s="98"/>
      <c r="W51" s="98"/>
    </row>
    <row r="52" spans="1:23" x14ac:dyDescent="0.35">
      <c r="A52" s="30"/>
      <c r="B52" s="31"/>
      <c r="C52" s="115"/>
      <c r="D52" s="31"/>
      <c r="E52" s="115"/>
      <c r="F52" s="115"/>
      <c r="G52" s="115"/>
      <c r="H52" s="115"/>
      <c r="I52" s="115"/>
      <c r="J52" s="115"/>
      <c r="K52" s="115"/>
      <c r="L52" s="115"/>
      <c r="M52" s="31"/>
      <c r="N52" s="115"/>
      <c r="O52" s="115"/>
      <c r="P52" s="115"/>
      <c r="Q52" s="115"/>
      <c r="R52" s="58"/>
      <c r="S52" s="58"/>
      <c r="T52" s="98"/>
      <c r="U52" s="98"/>
      <c r="V52" s="98"/>
      <c r="W52" s="98"/>
    </row>
    <row r="53" spans="1:23" x14ac:dyDescent="0.3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119"/>
      <c r="N53" s="115"/>
      <c r="O53" s="115"/>
      <c r="P53" s="115"/>
      <c r="Q53" s="115"/>
      <c r="R53" s="58"/>
      <c r="S53" s="58"/>
      <c r="T53" s="98"/>
      <c r="U53" s="98"/>
      <c r="V53" s="98"/>
      <c r="W53" s="98"/>
    </row>
    <row r="54" spans="1:23" x14ac:dyDescent="0.3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119"/>
      <c r="N54" s="115"/>
      <c r="O54" s="115"/>
      <c r="P54" s="115"/>
      <c r="Q54" s="115"/>
      <c r="R54" s="58"/>
      <c r="S54" s="58"/>
      <c r="T54" s="98"/>
      <c r="U54" s="98"/>
      <c r="V54" s="98"/>
      <c r="W54" s="98"/>
    </row>
    <row r="55" spans="1:23" x14ac:dyDescent="0.3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119"/>
      <c r="N55" s="115"/>
      <c r="O55" s="115"/>
      <c r="P55" s="115"/>
      <c r="Q55" s="115"/>
      <c r="R55" s="58"/>
      <c r="S55" s="58"/>
      <c r="T55" s="98"/>
      <c r="U55" s="98"/>
      <c r="V55" s="98"/>
      <c r="W55" s="98"/>
    </row>
    <row r="56" spans="1:23" x14ac:dyDescent="0.3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119"/>
      <c r="N56" s="115"/>
      <c r="O56" s="115"/>
      <c r="P56" s="115"/>
      <c r="Q56" s="115"/>
      <c r="R56" s="58"/>
      <c r="S56" s="58"/>
      <c r="T56" s="98"/>
      <c r="U56" s="98"/>
      <c r="V56" s="98"/>
      <c r="W56" s="98"/>
    </row>
    <row r="57" spans="1:23" x14ac:dyDescent="0.3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31"/>
      <c r="N57" s="31"/>
      <c r="O57" s="122"/>
      <c r="P57" s="122"/>
      <c r="Q57" s="122"/>
      <c r="R57" s="14"/>
      <c r="S57" s="49"/>
      <c r="T57" s="98"/>
      <c r="U57" s="98"/>
      <c r="V57" s="98"/>
      <c r="W57" s="98"/>
    </row>
    <row r="58" spans="1:23" x14ac:dyDescent="0.3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14"/>
      <c r="N58" s="14"/>
      <c r="O58" s="49"/>
      <c r="P58" s="49"/>
      <c r="Q58" s="49"/>
      <c r="R58" s="14"/>
      <c r="S58" s="49"/>
      <c r="T58" s="98"/>
      <c r="U58" s="98"/>
      <c r="V58" s="98"/>
      <c r="W58" s="98"/>
    </row>
    <row r="59" spans="1:23" x14ac:dyDescent="0.3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14"/>
      <c r="N59" s="14"/>
      <c r="O59" s="49"/>
      <c r="P59" s="49"/>
      <c r="Q59" s="49"/>
      <c r="R59" s="14"/>
      <c r="S59" s="49"/>
      <c r="T59" s="98"/>
      <c r="U59" s="98"/>
      <c r="V59" s="98"/>
      <c r="W59" s="98"/>
    </row>
    <row r="60" spans="1:23" x14ac:dyDescent="0.35">
      <c r="A60" s="46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14"/>
      <c r="N60" s="14"/>
      <c r="O60" s="14"/>
      <c r="P60" s="14"/>
      <c r="Q60" s="14"/>
      <c r="R60" s="14"/>
      <c r="S60" s="14"/>
      <c r="T60" s="98"/>
      <c r="U60" s="98"/>
      <c r="V60" s="98"/>
      <c r="W60" s="98"/>
    </row>
    <row r="61" spans="1:23" x14ac:dyDescent="0.3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49"/>
      <c r="P61" s="49"/>
      <c r="Q61" s="49"/>
      <c r="R61" s="14"/>
      <c r="S61" s="49"/>
      <c r="T61" s="98"/>
      <c r="U61" s="98"/>
      <c r="V61" s="98"/>
      <c r="W61" s="98"/>
    </row>
    <row r="62" spans="1:23" x14ac:dyDescent="0.35">
      <c r="A62" s="17"/>
      <c r="B62" s="18"/>
      <c r="C62" s="19"/>
      <c r="D62" s="18"/>
      <c r="E62" s="19"/>
      <c r="F62" s="19"/>
      <c r="G62" s="19"/>
      <c r="H62" s="19"/>
      <c r="I62" s="19"/>
      <c r="J62" s="19"/>
      <c r="K62" s="19"/>
      <c r="L62" s="19"/>
      <c r="M62" s="14"/>
      <c r="N62" s="14"/>
      <c r="O62" s="14"/>
      <c r="P62" s="14"/>
      <c r="Q62" s="14"/>
      <c r="R62" s="14"/>
      <c r="S62" s="14"/>
      <c r="T62" s="52"/>
      <c r="U62" s="52"/>
      <c r="V62" s="52"/>
      <c r="W62" s="52"/>
    </row>
    <row r="63" spans="1:23" hidden="1" x14ac:dyDescent="0.35">
      <c r="A63" s="17"/>
      <c r="B63" s="18"/>
      <c r="C63" s="19"/>
      <c r="D63" s="18"/>
      <c r="E63" s="19"/>
      <c r="F63" s="19"/>
      <c r="G63" s="19"/>
      <c r="H63" s="19"/>
      <c r="I63" s="19"/>
      <c r="J63" s="19"/>
      <c r="K63" s="19"/>
      <c r="L63" s="19"/>
      <c r="M63" s="14"/>
      <c r="N63" s="14"/>
      <c r="O63" s="14"/>
      <c r="P63" s="14"/>
      <c r="Q63" s="14"/>
      <c r="R63" s="14"/>
      <c r="S63" s="14"/>
      <c r="T63" s="52"/>
      <c r="U63" s="52"/>
      <c r="V63" s="52"/>
      <c r="W63" s="52"/>
    </row>
    <row r="64" spans="1:23" hidden="1" x14ac:dyDescent="0.3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23"/>
      <c r="N64" s="58"/>
      <c r="O64" s="58"/>
      <c r="P64" s="58"/>
      <c r="Q64" s="58"/>
      <c r="R64" s="58"/>
      <c r="S64" s="58"/>
      <c r="T64" s="52"/>
      <c r="U64" s="52"/>
      <c r="V64" s="52"/>
      <c r="W64" s="52"/>
    </row>
    <row r="65" spans="1:23" hidden="1" x14ac:dyDescent="0.35">
      <c r="A65" s="20"/>
      <c r="B65" s="34"/>
      <c r="C65" s="65"/>
      <c r="D65" s="124"/>
      <c r="E65" s="124"/>
      <c r="F65" s="124"/>
      <c r="G65" s="124"/>
      <c r="H65" s="124"/>
      <c r="I65" s="124"/>
      <c r="J65" s="124"/>
      <c r="K65" s="124"/>
      <c r="L65" s="124"/>
      <c r="M65" s="14"/>
      <c r="N65" s="14"/>
      <c r="O65" s="49"/>
      <c r="P65" s="49"/>
      <c r="Q65" s="49"/>
      <c r="R65" s="14"/>
      <c r="S65" s="49"/>
      <c r="T65" s="52"/>
      <c r="U65" s="52"/>
      <c r="V65" s="52"/>
      <c r="W65" s="52"/>
    </row>
    <row r="66" spans="1:23" hidden="1" x14ac:dyDescent="0.3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49"/>
      <c r="P66" s="49"/>
      <c r="Q66" s="49"/>
      <c r="R66" s="14"/>
      <c r="S66" s="49"/>
      <c r="T66" s="52"/>
      <c r="U66" s="52"/>
      <c r="V66" s="52"/>
      <c r="W66" s="52"/>
    </row>
    <row r="67" spans="1:23" hidden="1" x14ac:dyDescent="0.35">
      <c r="A67" s="20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14"/>
      <c r="N67" s="14"/>
      <c r="O67" s="14"/>
      <c r="P67" s="14"/>
      <c r="Q67" s="14"/>
      <c r="R67" s="14"/>
      <c r="S67" s="14"/>
      <c r="T67" s="52"/>
      <c r="U67" s="52"/>
      <c r="V67" s="52"/>
      <c r="W67" s="52"/>
    </row>
    <row r="68" spans="1:23" hidden="1" x14ac:dyDescent="0.35">
      <c r="A68" s="20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14"/>
      <c r="N68" s="14"/>
      <c r="O68" s="14"/>
      <c r="P68" s="14"/>
      <c r="Q68" s="14"/>
      <c r="R68" s="14"/>
      <c r="S68" s="14"/>
      <c r="T68" s="52"/>
      <c r="U68" s="52"/>
      <c r="V68" s="52"/>
      <c r="W68" s="52"/>
    </row>
    <row r="69" spans="1:23" hidden="1" x14ac:dyDescent="0.35">
      <c r="A69" s="20"/>
      <c r="B69" s="125"/>
      <c r="C69" s="38"/>
      <c r="D69" s="125"/>
      <c r="E69" s="125"/>
      <c r="F69" s="125"/>
      <c r="G69" s="125"/>
      <c r="H69" s="125"/>
      <c r="I69" s="125"/>
      <c r="J69" s="125"/>
      <c r="K69" s="125"/>
      <c r="L69" s="125"/>
      <c r="M69" s="14"/>
      <c r="N69" s="14"/>
      <c r="O69" s="14"/>
      <c r="P69" s="14"/>
      <c r="Q69" s="14"/>
      <c r="R69" s="14"/>
      <c r="S69" s="14"/>
      <c r="T69" s="52"/>
      <c r="U69" s="52"/>
      <c r="V69" s="52"/>
      <c r="W69" s="52"/>
    </row>
    <row r="70" spans="1:23" hidden="1" x14ac:dyDescent="0.35">
      <c r="A70" s="20"/>
      <c r="B70" s="34"/>
      <c r="C70" s="38"/>
      <c r="D70" s="34"/>
      <c r="E70" s="38"/>
      <c r="F70" s="38"/>
      <c r="G70" s="38"/>
      <c r="H70" s="38"/>
      <c r="I70" s="38"/>
      <c r="J70" s="38"/>
      <c r="K70" s="38"/>
      <c r="L70" s="38"/>
      <c r="M70" s="14"/>
      <c r="N70" s="14"/>
      <c r="O70" s="14"/>
      <c r="P70" s="14"/>
      <c r="Q70" s="14"/>
      <c r="R70" s="14"/>
      <c r="S70" s="14"/>
      <c r="T70" s="52"/>
      <c r="U70" s="52"/>
      <c r="V70" s="52"/>
      <c r="W70" s="52"/>
    </row>
    <row r="71" spans="1:23" hidden="1" x14ac:dyDescent="0.35">
      <c r="A71" s="20"/>
      <c r="B71" s="14"/>
      <c r="C71" s="91"/>
      <c r="D71" s="14"/>
      <c r="E71" s="91"/>
      <c r="F71" s="31"/>
      <c r="G71" s="31"/>
      <c r="H71" s="31"/>
      <c r="I71" s="31"/>
      <c r="J71" s="31"/>
      <c r="K71" s="31"/>
      <c r="L71" s="31"/>
      <c r="M71" s="14"/>
      <c r="N71" s="14"/>
      <c r="O71" s="14"/>
      <c r="P71" s="14"/>
      <c r="Q71" s="14"/>
      <c r="R71" s="14"/>
      <c r="S71" s="14"/>
      <c r="T71" s="52"/>
      <c r="U71" s="52"/>
      <c r="V71" s="52"/>
      <c r="W71" s="52"/>
    </row>
    <row r="72" spans="1:23" hidden="1" x14ac:dyDescent="0.35">
      <c r="A72" s="20"/>
      <c r="B72" s="14"/>
      <c r="C72" s="38"/>
      <c r="D72" s="14"/>
      <c r="E72" s="38"/>
      <c r="F72" s="38"/>
      <c r="G72" s="38"/>
      <c r="H72" s="38"/>
      <c r="I72" s="38"/>
      <c r="J72" s="38"/>
      <c r="K72" s="38"/>
      <c r="L72" s="38"/>
      <c r="M72" s="14"/>
      <c r="N72" s="14"/>
      <c r="O72" s="14"/>
      <c r="P72" s="14"/>
      <c r="Q72" s="14"/>
      <c r="R72" s="14"/>
      <c r="S72" s="14"/>
      <c r="T72" s="52"/>
      <c r="U72" s="52"/>
      <c r="V72" s="52"/>
      <c r="W72" s="52"/>
    </row>
    <row r="73" spans="1:23" ht="16" hidden="1" thickBot="1" x14ac:dyDescent="0.4">
      <c r="A73" s="20"/>
      <c r="B73" s="14"/>
      <c r="C73" s="126"/>
      <c r="D73" s="14"/>
      <c r="E73" s="126"/>
      <c r="F73" s="117"/>
      <c r="G73" s="117"/>
      <c r="H73" s="117"/>
      <c r="I73" s="117"/>
      <c r="J73" s="117"/>
      <c r="K73" s="117"/>
      <c r="L73" s="117"/>
      <c r="M73" s="14"/>
      <c r="N73" s="14"/>
      <c r="O73" s="14"/>
      <c r="P73" s="14"/>
      <c r="Q73" s="14"/>
      <c r="R73" s="14"/>
      <c r="S73" s="14"/>
      <c r="T73" s="52"/>
      <c r="U73" s="52"/>
      <c r="V73" s="52"/>
      <c r="W73" s="52"/>
    </row>
    <row r="74" spans="1:23" hidden="1" x14ac:dyDescent="0.3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52"/>
      <c r="U74" s="52"/>
      <c r="V74" s="52"/>
      <c r="W74" s="52"/>
    </row>
    <row r="75" spans="1:23" x14ac:dyDescent="0.3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52"/>
      <c r="U75" s="52"/>
      <c r="V75" s="52"/>
      <c r="W75" s="52"/>
    </row>
    <row r="76" spans="1:23" x14ac:dyDescent="0.3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52"/>
      <c r="U76" s="52"/>
      <c r="V76" s="52"/>
      <c r="W76" s="52"/>
    </row>
    <row r="77" spans="1:23" x14ac:dyDescent="0.3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52"/>
      <c r="U77" s="52"/>
      <c r="V77" s="52"/>
      <c r="W77" s="52"/>
    </row>
    <row r="78" spans="1:23" x14ac:dyDescent="0.3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52"/>
      <c r="U78" s="52"/>
      <c r="V78" s="52"/>
      <c r="W78" s="52"/>
    </row>
    <row r="79" spans="1:23" x14ac:dyDescent="0.3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52"/>
      <c r="U79" s="52"/>
      <c r="V79" s="52"/>
      <c r="W79" s="52"/>
    </row>
    <row r="80" spans="1:23" x14ac:dyDescent="0.3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52"/>
      <c r="U80" s="52"/>
      <c r="V80" s="52"/>
      <c r="W80" s="52"/>
    </row>
    <row r="81" spans="20:23" x14ac:dyDescent="0.35">
      <c r="T81" s="52"/>
      <c r="U81" s="52"/>
      <c r="V81" s="52"/>
      <c r="W81" s="52"/>
    </row>
    <row r="82" spans="20:23" x14ac:dyDescent="0.35">
      <c r="T82" s="52"/>
      <c r="U82" s="52"/>
      <c r="V82" s="52"/>
      <c r="W82" s="52"/>
    </row>
    <row r="83" spans="20:23" x14ac:dyDescent="0.35">
      <c r="T83" s="52"/>
      <c r="U83" s="52"/>
      <c r="V83" s="52"/>
      <c r="W83" s="52"/>
    </row>
    <row r="84" spans="20:23" x14ac:dyDescent="0.35">
      <c r="T84" s="52"/>
      <c r="U84" s="52"/>
      <c r="V84" s="52"/>
      <c r="W84" s="52"/>
    </row>
    <row r="85" spans="20:23" x14ac:dyDescent="0.35">
      <c r="T85" s="52"/>
      <c r="U85" s="52"/>
      <c r="V85" s="52"/>
      <c r="W85" s="52"/>
    </row>
    <row r="86" spans="20:23" x14ac:dyDescent="0.35">
      <c r="T86" s="52"/>
      <c r="U86" s="52"/>
      <c r="V86" s="52"/>
      <c r="W86" s="52"/>
    </row>
    <row r="87" spans="20:23" x14ac:dyDescent="0.35">
      <c r="T87" s="52"/>
      <c r="U87" s="52"/>
      <c r="V87" s="52"/>
      <c r="W87" s="52"/>
    </row>
    <row r="88" spans="20:23" x14ac:dyDescent="0.35">
      <c r="T88" s="52"/>
      <c r="U88" s="52"/>
      <c r="V88" s="52"/>
      <c r="W88" s="52"/>
    </row>
    <row r="89" spans="20:23" x14ac:dyDescent="0.35">
      <c r="T89" s="52"/>
      <c r="U89" s="52"/>
      <c r="V89" s="52"/>
      <c r="W89" s="52"/>
    </row>
    <row r="90" spans="20:23" x14ac:dyDescent="0.35">
      <c r="T90" s="52"/>
      <c r="U90" s="52"/>
      <c r="V90" s="52"/>
      <c r="W90" s="52"/>
    </row>
    <row r="91" spans="20:23" x14ac:dyDescent="0.35">
      <c r="T91" s="52"/>
      <c r="U91" s="52"/>
      <c r="V91" s="52"/>
      <c r="W91" s="52"/>
    </row>
    <row r="92" spans="20:23" x14ac:dyDescent="0.35">
      <c r="T92" s="52"/>
      <c r="U92" s="52"/>
      <c r="V92" s="52"/>
      <c r="W92" s="52"/>
    </row>
    <row r="93" spans="20:23" x14ac:dyDescent="0.35">
      <c r="T93" s="52"/>
      <c r="U93" s="52"/>
      <c r="V93" s="52"/>
      <c r="W93" s="52"/>
    </row>
    <row r="94" spans="20:23" x14ac:dyDescent="0.35">
      <c r="T94" s="52"/>
      <c r="U94" s="52"/>
      <c r="V94" s="52"/>
      <c r="W94" s="52"/>
    </row>
    <row r="95" spans="20:23" x14ac:dyDescent="0.35">
      <c r="T95" s="52"/>
      <c r="U95" s="52"/>
      <c r="V95" s="52"/>
      <c r="W95" s="52"/>
    </row>
    <row r="96" spans="20:23" x14ac:dyDescent="0.35">
      <c r="T96" s="52"/>
      <c r="U96" s="52"/>
      <c r="V96" s="52"/>
      <c r="W96" s="52"/>
    </row>
    <row r="97" spans="20:23" x14ac:dyDescent="0.35">
      <c r="T97" s="52"/>
      <c r="U97" s="52"/>
      <c r="V97" s="52"/>
      <c r="W97" s="52"/>
    </row>
    <row r="98" spans="20:23" x14ac:dyDescent="0.35">
      <c r="T98" s="52"/>
      <c r="U98" s="52"/>
      <c r="V98" s="52"/>
      <c r="W98" s="52"/>
    </row>
    <row r="99" spans="20:23" x14ac:dyDescent="0.35">
      <c r="T99" s="52"/>
      <c r="U99" s="52"/>
      <c r="V99" s="52"/>
      <c r="W99" s="52"/>
    </row>
    <row r="100" spans="20:23" x14ac:dyDescent="0.35">
      <c r="T100" s="52"/>
      <c r="U100" s="52"/>
      <c r="V100" s="52"/>
      <c r="W100" s="52"/>
    </row>
    <row r="101" spans="20:23" x14ac:dyDescent="0.35">
      <c r="T101" s="52"/>
      <c r="U101" s="52"/>
      <c r="V101" s="52"/>
      <c r="W101" s="52"/>
    </row>
    <row r="102" spans="20:23" x14ac:dyDescent="0.35">
      <c r="T102" s="52"/>
      <c r="U102" s="52"/>
      <c r="V102" s="52"/>
      <c r="W102" s="52"/>
    </row>
    <row r="103" spans="20:23" x14ac:dyDescent="0.35">
      <c r="T103" s="52"/>
      <c r="U103" s="52"/>
      <c r="V103" s="52"/>
      <c r="W103" s="52"/>
    </row>
    <row r="104" spans="20:23" x14ac:dyDescent="0.35">
      <c r="T104" s="52"/>
      <c r="U104" s="52"/>
      <c r="V104" s="52"/>
      <c r="W104" s="52"/>
    </row>
    <row r="105" spans="20:23" x14ac:dyDescent="0.35">
      <c r="T105" s="52"/>
      <c r="U105" s="52"/>
      <c r="V105" s="52"/>
      <c r="W105" s="52"/>
    </row>
    <row r="106" spans="20:23" x14ac:dyDescent="0.35">
      <c r="T106" s="52"/>
      <c r="U106" s="52"/>
      <c r="V106" s="52"/>
      <c r="W106" s="52"/>
    </row>
    <row r="107" spans="20:23" x14ac:dyDescent="0.35">
      <c r="T107" s="52"/>
      <c r="U107" s="52"/>
      <c r="V107" s="52"/>
      <c r="W107" s="52"/>
    </row>
    <row r="108" spans="20:23" x14ac:dyDescent="0.35">
      <c r="T108" s="52"/>
      <c r="U108" s="52"/>
      <c r="V108" s="52"/>
      <c r="W108" s="52"/>
    </row>
    <row r="109" spans="20:23" x14ac:dyDescent="0.35">
      <c r="T109" s="52"/>
      <c r="U109" s="52"/>
      <c r="V109" s="52"/>
      <c r="W109" s="52"/>
    </row>
    <row r="110" spans="20:23" x14ac:dyDescent="0.35">
      <c r="T110" s="52"/>
      <c r="U110" s="52"/>
      <c r="V110" s="52"/>
      <c r="W110" s="52"/>
    </row>
    <row r="111" spans="20:23" x14ac:dyDescent="0.35">
      <c r="T111" s="52"/>
      <c r="U111" s="52"/>
      <c r="V111" s="52"/>
      <c r="W111" s="52"/>
    </row>
    <row r="112" spans="20:23" x14ac:dyDescent="0.35">
      <c r="T112" s="52"/>
      <c r="U112" s="52"/>
      <c r="V112" s="52"/>
      <c r="W112" s="52"/>
    </row>
    <row r="113" spans="20:23" x14ac:dyDescent="0.35">
      <c r="T113" s="52"/>
      <c r="U113" s="52"/>
      <c r="V113" s="52"/>
      <c r="W113" s="52"/>
    </row>
    <row r="114" spans="20:23" x14ac:dyDescent="0.35">
      <c r="T114" s="52"/>
      <c r="U114" s="52"/>
      <c r="V114" s="52"/>
      <c r="W114" s="52"/>
    </row>
    <row r="115" spans="20:23" x14ac:dyDescent="0.35">
      <c r="T115" s="52"/>
      <c r="U115" s="52"/>
      <c r="V115" s="52"/>
      <c r="W115" s="52"/>
    </row>
    <row r="116" spans="20:23" x14ac:dyDescent="0.35">
      <c r="T116" s="52"/>
      <c r="U116" s="52"/>
      <c r="V116" s="52"/>
      <c r="W116" s="52"/>
    </row>
    <row r="117" spans="20:23" x14ac:dyDescent="0.35">
      <c r="T117" s="52"/>
      <c r="U117" s="52"/>
      <c r="V117" s="52"/>
      <c r="W117" s="52"/>
    </row>
    <row r="118" spans="20:23" x14ac:dyDescent="0.35">
      <c r="T118" s="52"/>
      <c r="U118" s="52"/>
      <c r="V118" s="52"/>
      <c r="W118" s="52"/>
    </row>
    <row r="119" spans="20:23" x14ac:dyDescent="0.35">
      <c r="T119" s="52"/>
      <c r="U119" s="52"/>
      <c r="V119" s="52"/>
      <c r="W119" s="52"/>
    </row>
    <row r="120" spans="20:23" x14ac:dyDescent="0.35">
      <c r="T120" s="52"/>
      <c r="U120" s="52"/>
      <c r="V120" s="52"/>
      <c r="W120" s="52"/>
    </row>
    <row r="121" spans="20:23" x14ac:dyDescent="0.35">
      <c r="T121" s="52"/>
      <c r="U121" s="52"/>
      <c r="V121" s="52"/>
      <c r="W121" s="52"/>
    </row>
    <row r="122" spans="20:23" x14ac:dyDescent="0.35">
      <c r="T122" s="52"/>
      <c r="U122" s="52"/>
      <c r="V122" s="52"/>
      <c r="W122" s="52"/>
    </row>
    <row r="123" spans="20:23" x14ac:dyDescent="0.35">
      <c r="T123" s="52"/>
      <c r="U123" s="52"/>
      <c r="V123" s="52"/>
      <c r="W123" s="52"/>
    </row>
    <row r="124" spans="20:23" x14ac:dyDescent="0.35">
      <c r="T124" s="52"/>
      <c r="U124" s="52"/>
      <c r="V124" s="52"/>
      <c r="W124" s="52"/>
    </row>
    <row r="125" spans="20:23" x14ac:dyDescent="0.35">
      <c r="T125" s="52"/>
      <c r="U125" s="52"/>
      <c r="V125" s="52"/>
      <c r="W125" s="52"/>
    </row>
    <row r="126" spans="20:23" x14ac:dyDescent="0.35">
      <c r="T126" s="52"/>
      <c r="U126" s="52"/>
      <c r="V126" s="52"/>
      <c r="W126" s="52"/>
    </row>
    <row r="127" spans="20:23" x14ac:dyDescent="0.35">
      <c r="T127" s="52"/>
      <c r="U127" s="52"/>
      <c r="V127" s="52"/>
      <c r="W127" s="52"/>
    </row>
    <row r="128" spans="20:23" x14ac:dyDescent="0.35">
      <c r="T128" s="52"/>
      <c r="U128" s="52"/>
      <c r="V128" s="52"/>
      <c r="W128" s="52"/>
    </row>
    <row r="129" spans="20:23" x14ac:dyDescent="0.35">
      <c r="T129" s="52"/>
      <c r="U129" s="52"/>
      <c r="V129" s="52"/>
      <c r="W129" s="52"/>
    </row>
    <row r="130" spans="20:23" x14ac:dyDescent="0.35">
      <c r="T130" s="52"/>
      <c r="U130" s="52"/>
      <c r="V130" s="52"/>
      <c r="W130" s="52"/>
    </row>
    <row r="131" spans="20:23" x14ac:dyDescent="0.35">
      <c r="T131" s="52"/>
      <c r="U131" s="52"/>
      <c r="V131" s="52"/>
      <c r="W131" s="52"/>
    </row>
    <row r="132" spans="20:23" x14ac:dyDescent="0.35">
      <c r="T132" s="52"/>
      <c r="U132" s="52"/>
      <c r="V132" s="52"/>
      <c r="W132" s="52"/>
    </row>
    <row r="133" spans="20:23" x14ac:dyDescent="0.35">
      <c r="T133" s="52"/>
      <c r="U133" s="52"/>
      <c r="V133" s="52"/>
      <c r="W133" s="52"/>
    </row>
    <row r="134" spans="20:23" x14ac:dyDescent="0.35">
      <c r="T134" s="52"/>
      <c r="U134" s="52"/>
      <c r="V134" s="52"/>
      <c r="W134" s="52"/>
    </row>
    <row r="135" spans="20:23" x14ac:dyDescent="0.35">
      <c r="T135" s="52"/>
      <c r="U135" s="52"/>
      <c r="V135" s="52"/>
      <c r="W135" s="52"/>
    </row>
    <row r="136" spans="20:23" x14ac:dyDescent="0.35">
      <c r="T136" s="52"/>
      <c r="U136" s="52"/>
      <c r="V136" s="52"/>
      <c r="W136" s="52"/>
    </row>
    <row r="137" spans="20:23" x14ac:dyDescent="0.35">
      <c r="T137" s="52"/>
      <c r="U137" s="52"/>
      <c r="V137" s="52"/>
      <c r="W137" s="52"/>
    </row>
    <row r="138" spans="20:23" x14ac:dyDescent="0.35">
      <c r="T138" s="52"/>
      <c r="U138" s="52"/>
      <c r="V138" s="52"/>
      <c r="W138" s="52"/>
    </row>
    <row r="139" spans="20:23" x14ac:dyDescent="0.35">
      <c r="T139" s="52"/>
      <c r="U139" s="52"/>
      <c r="V139" s="52"/>
      <c r="W139" s="52"/>
    </row>
    <row r="140" spans="20:23" x14ac:dyDescent="0.35">
      <c r="T140" s="52"/>
      <c r="U140" s="52"/>
      <c r="V140" s="52"/>
      <c r="W140" s="52"/>
    </row>
    <row r="141" spans="20:23" x14ac:dyDescent="0.35">
      <c r="T141" s="52"/>
      <c r="U141" s="52"/>
      <c r="V141" s="52"/>
      <c r="W141" s="52"/>
    </row>
    <row r="142" spans="20:23" x14ac:dyDescent="0.35">
      <c r="T142" s="52"/>
      <c r="U142" s="52"/>
      <c r="V142" s="52"/>
      <c r="W142" s="52"/>
    </row>
    <row r="143" spans="20:23" x14ac:dyDescent="0.35">
      <c r="T143" s="52"/>
      <c r="U143" s="52"/>
      <c r="V143" s="52"/>
      <c r="W143" s="52"/>
    </row>
    <row r="144" spans="20:23" x14ac:dyDescent="0.35">
      <c r="T144" s="52"/>
      <c r="U144" s="52"/>
      <c r="V144" s="52"/>
      <c r="W144" s="52"/>
    </row>
    <row r="145" spans="20:23" x14ac:dyDescent="0.35">
      <c r="T145" s="52"/>
      <c r="U145" s="52"/>
      <c r="V145" s="52"/>
      <c r="W145" s="52"/>
    </row>
    <row r="146" spans="20:23" x14ac:dyDescent="0.35">
      <c r="T146" s="52"/>
      <c r="U146" s="52"/>
      <c r="V146" s="52"/>
      <c r="W146" s="52"/>
    </row>
    <row r="147" spans="20:23" x14ac:dyDescent="0.35">
      <c r="T147" s="52"/>
      <c r="U147" s="52"/>
      <c r="V147" s="52"/>
      <c r="W147" s="52"/>
    </row>
    <row r="148" spans="20:23" x14ac:dyDescent="0.35">
      <c r="T148" s="52"/>
      <c r="U148" s="52"/>
      <c r="V148" s="52"/>
      <c r="W148" s="52"/>
    </row>
    <row r="149" spans="20:23" x14ac:dyDescent="0.35">
      <c r="T149" s="52"/>
      <c r="U149" s="52"/>
      <c r="V149" s="52"/>
      <c r="W149" s="52"/>
    </row>
    <row r="150" spans="20:23" x14ac:dyDescent="0.35">
      <c r="T150" s="52"/>
      <c r="U150" s="52"/>
      <c r="V150" s="52"/>
      <c r="W150" s="52"/>
    </row>
    <row r="151" spans="20:23" x14ac:dyDescent="0.35">
      <c r="T151" s="52"/>
      <c r="U151" s="52"/>
      <c r="V151" s="52"/>
      <c r="W151" s="52"/>
    </row>
    <row r="152" spans="20:23" x14ac:dyDescent="0.35">
      <c r="T152" s="52"/>
      <c r="U152" s="52"/>
      <c r="V152" s="52"/>
      <c r="W152" s="52"/>
    </row>
    <row r="153" spans="20:23" x14ac:dyDescent="0.35">
      <c r="T153" s="52"/>
      <c r="U153" s="52"/>
      <c r="V153" s="52"/>
      <c r="W153" s="52"/>
    </row>
  </sheetData>
  <mergeCells count="3">
    <mergeCell ref="E9:G9"/>
    <mergeCell ref="I9:K9"/>
    <mergeCell ref="M9:O9"/>
  </mergeCells>
  <printOptions horizontalCentered="1"/>
  <pageMargins left="0.75" right="0.75" top="1" bottom="1" header="0.5" footer="0.5"/>
  <pageSetup scale="68" orientation="landscape" r:id="rId1"/>
  <headerFooter scaleWithDoc="0" alignWithMargins="0"/>
  <rowBreaks count="1" manualBreakCount="1">
    <brk id="6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X43"/>
  <sheetViews>
    <sheetView view="pageBreakPreview" zoomScale="80" zoomScaleNormal="100" zoomScaleSheetLayoutView="80" workbookViewId="0">
      <selection activeCell="J37" sqref="J37"/>
    </sheetView>
  </sheetViews>
  <sheetFormatPr defaultColWidth="9" defaultRowHeight="16.5" customHeight="1" x14ac:dyDescent="0.35"/>
  <cols>
    <col min="1" max="1" width="7.83203125" style="2" bestFit="1" customWidth="1"/>
    <col min="2" max="2" width="2.83203125" style="2" customWidth="1"/>
    <col min="3" max="4" width="9" style="2"/>
    <col min="5" max="5" width="0.33203125" style="2" customWidth="1"/>
    <col min="6" max="6" width="3.33203125" style="2" customWidth="1"/>
    <col min="7" max="7" width="1.5" style="2" customWidth="1"/>
    <col min="8" max="8" width="7.83203125" style="2" bestFit="1" customWidth="1"/>
    <col min="9" max="9" width="2.08203125" style="2" customWidth="1"/>
    <col min="10" max="10" width="12.83203125" style="2" customWidth="1"/>
    <col min="11" max="11" width="1.5" style="2" customWidth="1"/>
    <col min="12" max="12" width="14.25" style="2" hidden="1" customWidth="1"/>
    <col min="13" max="13" width="1.25" style="2" hidden="1" customWidth="1"/>
    <col min="14" max="14" width="14.25" style="2" hidden="1" customWidth="1"/>
    <col min="15" max="15" width="1.83203125" style="2" hidden="1" customWidth="1"/>
    <col min="16" max="16" width="14.25" style="2" customWidth="1"/>
    <col min="17" max="17" width="1.75" style="2" customWidth="1"/>
    <col min="18" max="18" width="14.25" style="2" customWidth="1"/>
    <col min="19" max="21" width="9" style="2"/>
    <col min="22" max="22" width="10.25" style="2" bestFit="1" customWidth="1"/>
    <col min="23" max="16384" width="9" style="2"/>
  </cols>
  <sheetData>
    <row r="1" spans="1:24" ht="16.5" customHeight="1" x14ac:dyDescent="0.35">
      <c r="A1" s="1" t="s">
        <v>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12"/>
      <c r="T1" s="14"/>
      <c r="U1" s="14"/>
      <c r="V1" s="14"/>
      <c r="W1" s="14"/>
      <c r="X1" s="14"/>
    </row>
    <row r="2" spans="1:24" ht="16.5" customHeight="1" x14ac:dyDescent="0.35">
      <c r="A2" s="37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 t="s">
        <v>73</v>
      </c>
      <c r="U2" s="14" t="s">
        <v>74</v>
      </c>
      <c r="V2" s="14"/>
      <c r="W2" s="14"/>
      <c r="X2" s="14"/>
    </row>
    <row r="3" spans="1:24" ht="16.5" customHeight="1" x14ac:dyDescent="0.35">
      <c r="A3" s="3" t="s">
        <v>98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14" t="s">
        <v>99</v>
      </c>
      <c r="T3" s="54">
        <f ca="1">RevReq!M37</f>
        <v>0.19120000000000001</v>
      </c>
      <c r="U3" s="54">
        <f ca="1">RevReq!O37</f>
        <v>0.21129999999999999</v>
      </c>
      <c r="V3" s="14"/>
      <c r="W3" s="14"/>
      <c r="X3" s="14"/>
    </row>
    <row r="4" spans="1:24" ht="16.5" customHeight="1" x14ac:dyDescent="0.35">
      <c r="A4" s="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14"/>
      <c r="T4" s="14"/>
      <c r="U4" s="14"/>
      <c r="V4" s="14"/>
      <c r="W4" s="14"/>
      <c r="X4" s="14"/>
    </row>
    <row r="5" spans="1:24" ht="16.5" customHeight="1" x14ac:dyDescent="0.3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32" t="s">
        <v>100</v>
      </c>
      <c r="M5" s="132"/>
      <c r="N5" s="132"/>
      <c r="O5" s="34"/>
      <c r="P5" s="132" t="s">
        <v>8</v>
      </c>
      <c r="Q5" s="132"/>
      <c r="R5" s="132"/>
      <c r="S5" s="14"/>
      <c r="T5" s="14"/>
      <c r="U5" s="14"/>
      <c r="V5" s="14"/>
      <c r="W5" s="14"/>
      <c r="X5" s="14"/>
    </row>
    <row r="6" spans="1:24" ht="15.5" x14ac:dyDescent="0.35">
      <c r="A6" s="14"/>
      <c r="B6" s="14"/>
      <c r="C6" s="14"/>
      <c r="D6" s="14"/>
      <c r="E6" s="14"/>
      <c r="F6" s="14"/>
      <c r="G6" s="14"/>
      <c r="H6" s="14"/>
      <c r="I6" s="14"/>
      <c r="J6" s="81" t="s">
        <v>101</v>
      </c>
      <c r="K6" s="14"/>
      <c r="L6" s="127" t="s">
        <v>102</v>
      </c>
      <c r="M6" s="128"/>
      <c r="N6" s="127" t="s">
        <v>103</v>
      </c>
      <c r="O6" s="28"/>
      <c r="P6" s="127" t="s">
        <v>102</v>
      </c>
      <c r="Q6" s="128"/>
      <c r="R6" s="127" t="s">
        <v>103</v>
      </c>
      <c r="S6" s="14"/>
      <c r="T6" s="14"/>
      <c r="U6" s="14"/>
      <c r="V6" s="14"/>
      <c r="W6" s="14"/>
      <c r="X6" s="14"/>
    </row>
    <row r="7" spans="1:24" ht="15.5" x14ac:dyDescent="0.35">
      <c r="A7" s="5" t="s">
        <v>104</v>
      </c>
      <c r="B7" s="14"/>
      <c r="C7" s="14"/>
      <c r="D7" s="14"/>
      <c r="E7" s="14"/>
      <c r="F7" s="14"/>
      <c r="G7" s="14"/>
      <c r="H7" s="14"/>
      <c r="I7" s="14"/>
      <c r="J7" s="21"/>
      <c r="K7" s="14"/>
      <c r="L7" s="21" t="s">
        <v>105</v>
      </c>
      <c r="M7" s="21"/>
      <c r="N7" s="23" t="s">
        <v>106</v>
      </c>
      <c r="O7" s="23"/>
      <c r="P7" s="21" t="s">
        <v>105</v>
      </c>
      <c r="Q7" s="21"/>
      <c r="R7" s="23" t="s">
        <v>106</v>
      </c>
      <c r="S7" s="14"/>
      <c r="T7" s="14"/>
      <c r="U7" s="14"/>
      <c r="V7" s="14"/>
      <c r="W7" s="14"/>
      <c r="X7" s="14"/>
    </row>
    <row r="8" spans="1:24" ht="15.5" x14ac:dyDescent="0.35">
      <c r="A8" s="5"/>
      <c r="B8" s="14"/>
      <c r="C8" s="14"/>
      <c r="D8" s="14"/>
      <c r="E8" s="14"/>
      <c r="F8" s="14"/>
      <c r="G8" s="14"/>
      <c r="H8" s="14"/>
      <c r="I8" s="14"/>
      <c r="J8" s="21"/>
      <c r="K8" s="14"/>
      <c r="L8" s="21"/>
      <c r="M8" s="21"/>
      <c r="N8" s="21"/>
      <c r="O8" s="21"/>
      <c r="P8" s="21"/>
      <c r="Q8" s="21"/>
      <c r="R8" s="21"/>
      <c r="S8" s="14"/>
      <c r="T8" s="14"/>
      <c r="U8" s="14"/>
      <c r="V8" s="14"/>
      <c r="W8" s="14"/>
      <c r="X8" s="14"/>
    </row>
    <row r="9" spans="1:24" ht="16.5" customHeight="1" x14ac:dyDescent="0.35">
      <c r="A9" s="14" t="s">
        <v>107</v>
      </c>
      <c r="B9" s="14"/>
      <c r="C9" s="52">
        <v>2000</v>
      </c>
      <c r="D9" s="14" t="s">
        <v>108</v>
      </c>
      <c r="E9" s="14"/>
      <c r="F9" s="14"/>
      <c r="G9" s="14"/>
      <c r="H9" s="14"/>
      <c r="I9" s="14"/>
      <c r="J9" s="58">
        <v>4.96</v>
      </c>
      <c r="K9" s="58"/>
      <c r="L9" s="58">
        <f ca="1">J9*(1+RevReq!$E$37)</f>
        <v>6.2401759999999999</v>
      </c>
      <c r="M9" s="58"/>
      <c r="N9" s="58">
        <f ca="1">L9*(1+RevReq!$G$37)</f>
        <v>7.4682426368000003</v>
      </c>
      <c r="O9" s="58"/>
      <c r="P9" s="58">
        <f ca="1">ROUND(J9*(1+T$3),2)</f>
        <v>5.91</v>
      </c>
      <c r="Q9" s="58"/>
      <c r="R9" s="58">
        <f ca="1">ROUND(P9*(1+U$3),2)</f>
        <v>7.16</v>
      </c>
      <c r="S9" s="129">
        <f ca="1">P9/J9-1</f>
        <v>0.19153225806451624</v>
      </c>
      <c r="T9" s="54">
        <f ca="1">R9/P9-1</f>
        <v>0.21150592216582065</v>
      </c>
      <c r="U9" s="14"/>
      <c r="V9" s="130"/>
      <c r="W9" s="14"/>
      <c r="X9" s="58">
        <f ca="1">R9*2+R10*2</f>
        <v>23.86</v>
      </c>
    </row>
    <row r="10" spans="1:24" ht="16.5" customHeight="1" x14ac:dyDescent="0.35">
      <c r="A10" s="14" t="s">
        <v>109</v>
      </c>
      <c r="B10" s="14"/>
      <c r="C10" s="52">
        <v>5000</v>
      </c>
      <c r="D10" s="14" t="s">
        <v>108</v>
      </c>
      <c r="E10" s="14"/>
      <c r="F10" s="14"/>
      <c r="G10" s="14"/>
      <c r="H10" s="14"/>
      <c r="I10" s="14"/>
      <c r="J10" s="49">
        <v>3.31</v>
      </c>
      <c r="K10" s="14"/>
      <c r="L10" s="49">
        <f ca="1">J10*(1+RevReq!$E$37)</f>
        <v>4.1643109999999997</v>
      </c>
      <c r="M10" s="14"/>
      <c r="N10" s="49">
        <f ca="1">L10*(1+RevReq!$G$37)</f>
        <v>4.9838474047999997</v>
      </c>
      <c r="O10" s="49"/>
      <c r="P10" s="49">
        <f t="shared" ref="P10:P13" ca="1" si="0">ROUND(J10*(1+T$3),2)</f>
        <v>3.94</v>
      </c>
      <c r="Q10" s="49"/>
      <c r="R10" s="49">
        <f t="shared" ref="R10:R13" ca="1" si="1">ROUND(P10*(1+U$3),2)</f>
        <v>4.7699999999999996</v>
      </c>
      <c r="S10" s="129">
        <f t="shared" ref="S10:S23" ca="1" si="2">P10/J10-1</f>
        <v>0.19033232628398777</v>
      </c>
      <c r="T10" s="54">
        <f t="shared" ref="T10:T23" ca="1" si="3">R10/P10-1</f>
        <v>0.21065989847715727</v>
      </c>
      <c r="U10" s="14"/>
      <c r="V10" s="130"/>
      <c r="W10" s="14"/>
      <c r="X10" s="14"/>
    </row>
    <row r="11" spans="1:24" ht="16.5" customHeight="1" x14ac:dyDescent="0.35">
      <c r="A11" s="14" t="s">
        <v>109</v>
      </c>
      <c r="B11" s="14"/>
      <c r="C11" s="52">
        <v>13000</v>
      </c>
      <c r="D11" s="14" t="s">
        <v>108</v>
      </c>
      <c r="E11" s="14"/>
      <c r="F11" s="14"/>
      <c r="G11" s="14"/>
      <c r="H11" s="14"/>
      <c r="I11" s="14"/>
      <c r="J11" s="49">
        <v>2.27</v>
      </c>
      <c r="K11" s="14"/>
      <c r="L11" s="49">
        <f ca="1">J11*(1+RevReq!$E$37)</f>
        <v>2.8558870000000001</v>
      </c>
      <c r="M11" s="14"/>
      <c r="N11" s="49">
        <f ca="1">L11*(1+RevReq!$G$37)</f>
        <v>3.4179255616000002</v>
      </c>
      <c r="O11" s="49"/>
      <c r="P11" s="49">
        <f t="shared" ca="1" si="0"/>
        <v>2.7</v>
      </c>
      <c r="Q11" s="49"/>
      <c r="R11" s="49">
        <f t="shared" ca="1" si="1"/>
        <v>3.27</v>
      </c>
      <c r="S11" s="129">
        <f t="shared" ca="1" si="2"/>
        <v>0.18942731277533054</v>
      </c>
      <c r="T11" s="54">
        <f t="shared" ca="1" si="3"/>
        <v>0.21111111111111103</v>
      </c>
      <c r="U11" s="14"/>
      <c r="V11" s="130"/>
      <c r="W11" s="14"/>
      <c r="X11" s="14"/>
    </row>
    <row r="12" spans="1:24" ht="16.5" customHeight="1" x14ac:dyDescent="0.35">
      <c r="A12" s="14" t="s">
        <v>109</v>
      </c>
      <c r="B12" s="14"/>
      <c r="C12" s="52">
        <v>15000</v>
      </c>
      <c r="D12" s="14" t="s">
        <v>108</v>
      </c>
      <c r="E12" s="14"/>
      <c r="F12" s="14"/>
      <c r="G12" s="14"/>
      <c r="H12" s="14"/>
      <c r="I12" s="14"/>
      <c r="J12" s="49">
        <v>1.76</v>
      </c>
      <c r="K12" s="14"/>
      <c r="L12" s="49">
        <f ca="1">J12*(1+RevReq!$E$37)</f>
        <v>2.2142560000000002</v>
      </c>
      <c r="M12" s="14"/>
      <c r="N12" s="49">
        <f ca="1">L12*(1+RevReq!$G$37)</f>
        <v>2.6500215808000003</v>
      </c>
      <c r="O12" s="49"/>
      <c r="P12" s="49">
        <f t="shared" ca="1" si="0"/>
        <v>2.1</v>
      </c>
      <c r="Q12" s="49"/>
      <c r="R12" s="49">
        <f t="shared" ca="1" si="1"/>
        <v>2.54</v>
      </c>
      <c r="S12" s="129">
        <f t="shared" ca="1" si="2"/>
        <v>0.19318181818181812</v>
      </c>
      <c r="T12" s="54">
        <f t="shared" ca="1" si="3"/>
        <v>0.20952380952380945</v>
      </c>
      <c r="U12" s="14"/>
      <c r="V12" s="130"/>
      <c r="W12" s="14"/>
      <c r="X12" s="14"/>
    </row>
    <row r="13" spans="1:24" ht="16.5" customHeight="1" x14ac:dyDescent="0.35">
      <c r="A13" s="14" t="s">
        <v>110</v>
      </c>
      <c r="B13" s="14"/>
      <c r="C13" s="52">
        <v>35000</v>
      </c>
      <c r="D13" s="14" t="s">
        <v>108</v>
      </c>
      <c r="E13" s="14"/>
      <c r="F13" s="14"/>
      <c r="G13" s="14"/>
      <c r="H13" s="14"/>
      <c r="I13" s="14"/>
      <c r="J13" s="49">
        <v>1.49</v>
      </c>
      <c r="K13" s="14"/>
      <c r="L13" s="49">
        <f ca="1">J13*(1+RevReq!$E$37)</f>
        <v>1.8745689999999999</v>
      </c>
      <c r="M13" s="14"/>
      <c r="N13" s="49">
        <f ca="1">L13*(1+RevReq!$G$37)</f>
        <v>2.2434841792000002</v>
      </c>
      <c r="O13" s="49"/>
      <c r="P13" s="49">
        <f t="shared" ca="1" si="0"/>
        <v>1.77</v>
      </c>
      <c r="Q13" s="49"/>
      <c r="R13" s="49">
        <f t="shared" ca="1" si="1"/>
        <v>2.14</v>
      </c>
      <c r="S13" s="129">
        <f t="shared" ca="1" si="2"/>
        <v>0.18791946308724827</v>
      </c>
      <c r="T13" s="54">
        <f t="shared" ca="1" si="3"/>
        <v>0.20903954802259883</v>
      </c>
      <c r="U13" s="14"/>
      <c r="V13" s="130"/>
      <c r="W13" s="14"/>
      <c r="X13" s="14"/>
    </row>
    <row r="14" spans="1:24" ht="16.5" customHeight="1" x14ac:dyDescent="0.3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49"/>
      <c r="Q14" s="14"/>
      <c r="R14" s="14"/>
      <c r="S14" s="129"/>
      <c r="T14" s="54"/>
      <c r="U14" s="14"/>
      <c r="V14" s="14"/>
      <c r="W14" s="14"/>
      <c r="X14" s="14"/>
    </row>
    <row r="15" spans="1:24" ht="15.5" x14ac:dyDescent="0.35">
      <c r="A15" s="14"/>
      <c r="B15" s="14"/>
      <c r="C15" s="14"/>
      <c r="D15" s="14"/>
      <c r="E15" s="14"/>
      <c r="F15" s="14"/>
      <c r="G15" s="14"/>
      <c r="H15" s="21" t="s">
        <v>111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29"/>
      <c r="T15" s="54"/>
      <c r="U15" s="14"/>
      <c r="V15" s="14"/>
      <c r="W15" s="14"/>
      <c r="X15" s="14"/>
    </row>
    <row r="16" spans="1:24" ht="15.5" x14ac:dyDescent="0.35">
      <c r="A16" s="5" t="s">
        <v>112</v>
      </c>
      <c r="B16" s="14"/>
      <c r="C16" s="14"/>
      <c r="D16" s="14"/>
      <c r="E16" s="14"/>
      <c r="F16" s="14"/>
      <c r="G16" s="14"/>
      <c r="H16" s="81" t="s">
        <v>113</v>
      </c>
      <c r="I16" s="14"/>
      <c r="J16" s="14"/>
      <c r="K16" s="14"/>
      <c r="L16" s="48"/>
      <c r="M16" s="14"/>
      <c r="N16" s="14"/>
      <c r="O16" s="14"/>
      <c r="P16" s="14"/>
      <c r="Q16" s="14"/>
      <c r="R16" s="14"/>
      <c r="S16" s="129"/>
      <c r="T16" s="54"/>
      <c r="U16" s="14"/>
      <c r="V16" s="14"/>
      <c r="W16" s="14"/>
      <c r="X16" s="14"/>
    </row>
    <row r="17" spans="1:22" ht="16.5" customHeight="1" x14ac:dyDescent="0.35">
      <c r="A17" s="23" t="s">
        <v>114</v>
      </c>
      <c r="B17" s="14" t="s">
        <v>115</v>
      </c>
      <c r="C17" s="14"/>
      <c r="D17" s="14"/>
      <c r="E17" s="14"/>
      <c r="F17" s="14"/>
      <c r="G17" s="14"/>
      <c r="H17" s="85">
        <v>2000</v>
      </c>
      <c r="I17" s="14"/>
      <c r="J17" s="58">
        <f>ROUND(J9*2,2)</f>
        <v>9.92</v>
      </c>
      <c r="K17" s="58"/>
      <c r="L17" s="58">
        <f ca="1">ROUND(L9*2,2)</f>
        <v>12.48</v>
      </c>
      <c r="M17" s="58"/>
      <c r="N17" s="58">
        <f ca="1">ROUND(N9*2,2)</f>
        <v>14.94</v>
      </c>
      <c r="O17" s="58"/>
      <c r="P17" s="58">
        <f ca="1">ROUND(P9*2,2)</f>
        <v>11.82</v>
      </c>
      <c r="Q17" s="58"/>
      <c r="R17" s="58">
        <f ca="1">ROUND(R9*2,2)</f>
        <v>14.32</v>
      </c>
      <c r="S17" s="129">
        <f t="shared" ca="1" si="2"/>
        <v>0.19153225806451624</v>
      </c>
      <c r="T17" s="54">
        <f t="shared" ca="1" si="3"/>
        <v>0.21150592216582065</v>
      </c>
      <c r="U17" s="14"/>
      <c r="V17" s="80"/>
    </row>
    <row r="18" spans="1:22" ht="16.5" customHeight="1" x14ac:dyDescent="0.35">
      <c r="A18" s="23">
        <v>1</v>
      </c>
      <c r="B18" s="14" t="s">
        <v>115</v>
      </c>
      <c r="C18" s="14"/>
      <c r="D18" s="14"/>
      <c r="E18" s="14"/>
      <c r="F18" s="14"/>
      <c r="G18" s="14"/>
      <c r="H18" s="85">
        <v>3224</v>
      </c>
      <c r="I18" s="14"/>
      <c r="J18" s="49">
        <v>13.97</v>
      </c>
      <c r="K18" s="63"/>
      <c r="L18" s="49">
        <f ca="1">ROUND(L9*2+L10*1.224,2)</f>
        <v>17.579999999999998</v>
      </c>
      <c r="M18" s="130"/>
      <c r="N18" s="49">
        <f ca="1">ROUND(N9*2+N10*1.224,2)-0.01</f>
        <v>21.029999999999998</v>
      </c>
      <c r="O18" s="49"/>
      <c r="P18" s="49">
        <f ca="1">ROUND(P9*2+P10*1.224,2)</f>
        <v>16.64</v>
      </c>
      <c r="Q18" s="49"/>
      <c r="R18" s="49">
        <f ca="1">ROUND(R9*2+R10*1.224,2)</f>
        <v>20.16</v>
      </c>
      <c r="S18" s="129">
        <f t="shared" ca="1" si="2"/>
        <v>0.19112383679312805</v>
      </c>
      <c r="T18" s="54">
        <f t="shared" ca="1" si="3"/>
        <v>0.21153846153846145</v>
      </c>
      <c r="U18" s="14"/>
      <c r="V18" s="130"/>
    </row>
    <row r="19" spans="1:22" ht="16.5" customHeight="1" x14ac:dyDescent="0.35">
      <c r="A19" s="131">
        <v>1.25</v>
      </c>
      <c r="B19" s="14" t="s">
        <v>115</v>
      </c>
      <c r="C19" s="14"/>
      <c r="D19" s="14"/>
      <c r="E19" s="14"/>
      <c r="F19" s="14"/>
      <c r="G19" s="14"/>
      <c r="H19" s="85">
        <v>5333</v>
      </c>
      <c r="I19" s="14"/>
      <c r="J19" s="49">
        <v>20.95</v>
      </c>
      <c r="K19" s="63"/>
      <c r="L19" s="49">
        <f ca="1">ROUND(L9*2+L10*3.333,2)</f>
        <v>26.36</v>
      </c>
      <c r="M19" s="130"/>
      <c r="N19" s="49">
        <f ca="1">ROUND(N9*2+N10*3.333,2)-0.01</f>
        <v>31.54</v>
      </c>
      <c r="O19" s="49"/>
      <c r="P19" s="49">
        <f ca="1">ROUND(P9*2+P10*3.333,2)</f>
        <v>24.95</v>
      </c>
      <c r="Q19" s="49"/>
      <c r="R19" s="49">
        <f ca="1">ROUND(R9*2+R10*3.333,2)</f>
        <v>30.22</v>
      </c>
      <c r="S19" s="129">
        <f t="shared" ca="1" si="2"/>
        <v>0.19093078758949877</v>
      </c>
      <c r="T19" s="54">
        <f t="shared" ca="1" si="3"/>
        <v>0.21122244488977948</v>
      </c>
      <c r="U19" s="14"/>
      <c r="V19" s="130"/>
    </row>
    <row r="20" spans="1:22" ht="16.5" customHeight="1" x14ac:dyDescent="0.35">
      <c r="A20" s="131">
        <v>1.5</v>
      </c>
      <c r="B20" s="14" t="s">
        <v>115</v>
      </c>
      <c r="C20" s="14"/>
      <c r="D20" s="14"/>
      <c r="E20" s="14"/>
      <c r="F20" s="14"/>
      <c r="G20" s="14"/>
      <c r="H20" s="85">
        <v>7030</v>
      </c>
      <c r="I20" s="14"/>
      <c r="J20" s="49">
        <v>26.54</v>
      </c>
      <c r="K20" s="63"/>
      <c r="L20" s="49">
        <f ca="1">ROUND(L9*2+L10*5+L11*0.03,2)</f>
        <v>33.39</v>
      </c>
      <c r="M20" s="130"/>
      <c r="N20" s="49">
        <f ca="1">ROUND(N9*2+N10*5+N11*0.03,2)</f>
        <v>39.96</v>
      </c>
      <c r="O20" s="49"/>
      <c r="P20" s="49">
        <f ca="1">ROUND(P9*2+P10*5+P11*0.03,2)</f>
        <v>31.6</v>
      </c>
      <c r="Q20" s="49"/>
      <c r="R20" s="49">
        <f ca="1">ROUND(R9*2+R10*5+R11*0.03,2)</f>
        <v>38.270000000000003</v>
      </c>
      <c r="S20" s="129">
        <f t="shared" ca="1" si="2"/>
        <v>0.19065561416729482</v>
      </c>
      <c r="T20" s="54">
        <f t="shared" ca="1" si="3"/>
        <v>0.21107594936708862</v>
      </c>
      <c r="U20" s="14"/>
      <c r="V20" s="130"/>
    </row>
    <row r="21" spans="1:22" ht="16.5" customHeight="1" x14ac:dyDescent="0.35">
      <c r="A21" s="23">
        <v>2</v>
      </c>
      <c r="B21" s="14" t="s">
        <v>115</v>
      </c>
      <c r="C21" s="14"/>
      <c r="D21" s="14"/>
      <c r="E21" s="14"/>
      <c r="F21" s="14"/>
      <c r="G21" s="14"/>
      <c r="H21" s="85">
        <v>10735</v>
      </c>
      <c r="I21" s="14"/>
      <c r="J21" s="49">
        <v>34.950000000000003</v>
      </c>
      <c r="K21" s="63"/>
      <c r="L21" s="49">
        <f ca="1">ROUND(L9*2+L10*5+L11*3.735,2)</f>
        <v>43.97</v>
      </c>
      <c r="M21" s="130"/>
      <c r="N21" s="49">
        <f ca="1">ROUND(N9*2+N10*5+N11*3.735,2)</f>
        <v>52.62</v>
      </c>
      <c r="O21" s="49"/>
      <c r="P21" s="49">
        <f ca="1">ROUND(P9*2+P10*5+P11*3.735,2)</f>
        <v>41.6</v>
      </c>
      <c r="Q21" s="49"/>
      <c r="R21" s="49">
        <f ca="1">ROUND(R9*2+R10*5+R11*3.735,2)</f>
        <v>50.38</v>
      </c>
      <c r="S21" s="129">
        <f t="shared" ca="1" si="2"/>
        <v>0.19027181688125894</v>
      </c>
      <c r="T21" s="54">
        <f t="shared" ca="1" si="3"/>
        <v>0.21105769230769234</v>
      </c>
      <c r="U21" s="14"/>
      <c r="V21" s="80"/>
    </row>
    <row r="22" spans="1:22" ht="16.5" customHeight="1" x14ac:dyDescent="0.35">
      <c r="A22" s="23">
        <v>3</v>
      </c>
      <c r="B22" s="14" t="s">
        <v>115</v>
      </c>
      <c r="C22" s="14"/>
      <c r="D22" s="14"/>
      <c r="E22" s="14"/>
      <c r="F22" s="14"/>
      <c r="G22" s="14"/>
      <c r="H22" s="85">
        <v>19994</v>
      </c>
      <c r="I22" s="14"/>
      <c r="J22" s="49">
        <v>55.97</v>
      </c>
      <c r="K22" s="63"/>
      <c r="L22" s="49">
        <f ca="1">ROUND(L9*2+L10*5+L11*12.994,2)</f>
        <v>70.41</v>
      </c>
      <c r="M22" s="130"/>
      <c r="N22" s="49">
        <f ca="1">ROUND(N9*2+N10*5+N11*12.994,2)</f>
        <v>84.27</v>
      </c>
      <c r="O22" s="49"/>
      <c r="P22" s="49">
        <f ca="1">ROUND(P9*2+P10*5+P11*12.994,2)</f>
        <v>66.599999999999994</v>
      </c>
      <c r="Q22" s="49"/>
      <c r="R22" s="49">
        <f ca="1">ROUND(R9*2+R10*5+R11*12.994,2)</f>
        <v>80.66</v>
      </c>
      <c r="S22" s="129">
        <f t="shared" ca="1" si="2"/>
        <v>0.18992317312846163</v>
      </c>
      <c r="T22" s="54">
        <f t="shared" ca="1" si="3"/>
        <v>0.21111111111111125</v>
      </c>
      <c r="U22" s="14"/>
      <c r="V22" s="80"/>
    </row>
    <row r="23" spans="1:22" ht="16.5" customHeight="1" x14ac:dyDescent="0.35">
      <c r="A23" s="23">
        <v>4</v>
      </c>
      <c r="B23" s="14" t="s">
        <v>115</v>
      </c>
      <c r="C23" s="14"/>
      <c r="D23" s="14"/>
      <c r="E23" s="14"/>
      <c r="F23" s="14"/>
      <c r="G23" s="14"/>
      <c r="H23" s="85">
        <v>32792</v>
      </c>
      <c r="I23" s="14"/>
      <c r="J23" s="49">
        <v>78.489999999999995</v>
      </c>
      <c r="K23" s="63"/>
      <c r="L23" s="49">
        <f ca="1">ROUND(L9*2+L10*5+L11*13+L12*12.792,2)</f>
        <v>98.75</v>
      </c>
      <c r="M23" s="130"/>
      <c r="N23" s="49">
        <f ca="1">ROUND(N9*2+N10*5+N11*13+N12*12.792,2)-0.01</f>
        <v>118.17999999999999</v>
      </c>
      <c r="O23" s="49"/>
      <c r="P23" s="49">
        <f ca="1">ROUND(P9*2+P10*5+P11*13+P12*12.792,2)</f>
        <v>93.48</v>
      </c>
      <c r="Q23" s="49"/>
      <c r="R23" s="49">
        <f ca="1">ROUND(R9*2+R10*5+R11*13+R12*12.792,2)</f>
        <v>113.17</v>
      </c>
      <c r="S23" s="129">
        <f t="shared" ca="1" si="2"/>
        <v>0.19097974264237494</v>
      </c>
      <c r="T23" s="54">
        <f t="shared" ca="1" si="3"/>
        <v>0.21063329054343161</v>
      </c>
      <c r="U23" s="14"/>
      <c r="V23" s="130"/>
    </row>
    <row r="26" spans="1:22" ht="16.5" customHeight="1" x14ac:dyDescent="0.35">
      <c r="A26" s="14" t="s">
        <v>116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2" ht="16.5" customHeight="1" x14ac:dyDescent="0.35">
      <c r="A27" s="14" t="s">
        <v>117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2" ht="16.5" customHeight="1" x14ac:dyDescent="0.35">
      <c r="A28" s="14" t="s">
        <v>118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</row>
    <row r="29" spans="1:22" ht="16.5" customHeight="1" x14ac:dyDescent="0.35">
      <c r="A29" s="14" t="s">
        <v>119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1:22" ht="16.5" customHeight="1" x14ac:dyDescent="0.3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spans="1:22" ht="16.5" customHeight="1" x14ac:dyDescent="0.3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spans="1:22" ht="16.5" customHeight="1" x14ac:dyDescent="0.3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spans="1:18" ht="16.5" customHeight="1" x14ac:dyDescent="0.3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spans="1:18" ht="16.5" customHeight="1" x14ac:dyDescent="0.3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16.5" customHeight="1" x14ac:dyDescent="0.3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spans="1:18" ht="16.5" customHeight="1" x14ac:dyDescent="0.3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16.5" customHeight="1" x14ac:dyDescent="0.3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spans="1:18" ht="16.5" customHeight="1" x14ac:dyDescent="0.3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15.5" x14ac:dyDescent="0.3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</row>
    <row r="40" spans="1:18" ht="16.5" customHeight="1" x14ac:dyDescent="0.3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</row>
    <row r="41" spans="1:18" ht="16.5" customHeight="1" x14ac:dyDescent="0.3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</row>
    <row r="42" spans="1:18" ht="16.5" customHeight="1" x14ac:dyDescent="0.3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</row>
    <row r="43" spans="1:18" ht="16.5" customHeight="1" x14ac:dyDescent="0.35">
      <c r="A43" s="46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</row>
  </sheetData>
  <mergeCells count="2">
    <mergeCell ref="L5:N5"/>
    <mergeCell ref="P5:R5"/>
  </mergeCells>
  <printOptions horizontalCentered="1"/>
  <pageMargins left="0.75" right="0.75" top="1" bottom="1" header="0.5" footer="0.5"/>
  <pageSetup scale="94" orientation="portrait" r:id="rId1"/>
  <headerFooter scaleWithDoc="0" alignWithMargins="0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ItemNumber xmlns="621b3311-adc9-44a7-af0e-36067350c19c" xsi:nil="true"/>
    <ItemId xmlns="621b3311-adc9-44a7-af0e-36067350c19c" xsi:nil="true"/>
    <ItemDate xmlns="621b3311-adc9-44a7-af0e-36067350c19c" xsi:nil="true"/>
    <Filename xmlns="621b3311-adc9-44a7-af0e-36067350c19c" xsi:nil="true"/>
    <ObjectId xmlns="621b3311-adc9-44a7-af0e-36067350c19c" xsi:nil="true"/>
    <TaxCatchAll xmlns="ddb5066c-6899-482b-9ea0-5145f9da9989" xsi:nil="true"/>
    <lcf76f155ced4ddcb4097134ff3c332f xmlns="f5536f26-5d7e-4d2b-a510-6667eeb1ad7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F62C1BAB7D1B4998D0BFFEC59B8AD2" ma:contentTypeVersion="25" ma:contentTypeDescription="Create a new document." ma:contentTypeScope="" ma:versionID="a29347074beb70bca29eaea2ad55900a">
  <xsd:schema xmlns:xsd="http://www.w3.org/2001/XMLSchema" xmlns:xs="http://www.w3.org/2001/XMLSchema" xmlns:p="http://schemas.microsoft.com/office/2006/metadata/properties" xmlns:ns1="http://schemas.microsoft.com/sharepoint/v3" xmlns:ns2="621b3311-adc9-44a7-af0e-36067350c19c" xmlns:ns3="99180bc4-2f7d-45e7-9e22-353907fb92c6" xmlns:ns4="f5536f26-5d7e-4d2b-a510-6667eeb1ad7c" xmlns:ns5="ddb5066c-6899-482b-9ea0-5145f9da9989" targetNamespace="http://schemas.microsoft.com/office/2006/metadata/properties" ma:root="true" ma:fieldsID="dd44e1d3607186ede97e4754c9758a79" ns1:_="" ns2:_="" ns3:_="" ns4:_="" ns5:_="">
    <xsd:import namespace="http://schemas.microsoft.com/sharepoint/v3"/>
    <xsd:import namespace="621b3311-adc9-44a7-af0e-36067350c19c"/>
    <xsd:import namespace="99180bc4-2f7d-45e7-9e22-353907fb92c6"/>
    <xsd:import namespace="f5536f26-5d7e-4d2b-a510-6667eeb1ad7c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ObjectId" minOccurs="0"/>
                <xsd:element ref="ns2:ItemId" minOccurs="0"/>
                <xsd:element ref="ns2:ItemNumber" minOccurs="0"/>
                <xsd:element ref="ns2:ItemDate" minOccurs="0"/>
                <xsd:element ref="ns2:Filename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  <xsd:element ref="ns4:MediaServiceGenerationTime" minOccurs="0"/>
                <xsd:element ref="ns4:MediaServiceEventHashCode" minOccurs="0"/>
                <xsd:element ref="ns4:lcf76f155ced4ddcb4097134ff3c332f" minOccurs="0"/>
                <xsd:element ref="ns5:TaxCatchAll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1b3311-adc9-44a7-af0e-36067350c19c" elementFormDefault="qualified">
    <xsd:import namespace="http://schemas.microsoft.com/office/2006/documentManagement/types"/>
    <xsd:import namespace="http://schemas.microsoft.com/office/infopath/2007/PartnerControls"/>
    <xsd:element name="ObjectId" ma:index="2" nillable="true" ma:displayName="ObjectId" ma:internalName="ObjectId">
      <xsd:simpleType>
        <xsd:restriction base="dms:Text">
          <xsd:maxLength value="255"/>
        </xsd:restriction>
      </xsd:simpleType>
    </xsd:element>
    <xsd:element name="ItemId" ma:index="3" nillable="true" ma:displayName="ItemId" ma:indexed="true" ma:internalName="ItemId">
      <xsd:simpleType>
        <xsd:restriction base="dms:Text">
          <xsd:maxLength value="255"/>
        </xsd:restriction>
      </xsd:simpleType>
    </xsd:element>
    <xsd:element name="ItemNumber" ma:index="4" nillable="true" ma:displayName="ItemNumber" ma:indexed="true" ma:internalName="ItemNumber">
      <xsd:simpleType>
        <xsd:restriction base="dms:Text">
          <xsd:maxLength value="255"/>
        </xsd:restriction>
      </xsd:simpleType>
    </xsd:element>
    <xsd:element name="ItemDate" ma:index="5" nillable="true" ma:displayName="ItemDate" ma:format="DateOnly" ma:indexed="true" ma:internalName="ItemDate">
      <xsd:simpleType>
        <xsd:restriction base="dms:DateTime"/>
      </xsd:simpleType>
    </xsd:element>
    <xsd:element name="Filename" ma:index="6" nillable="true" ma:displayName="Filename" ma:internalName="File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80bc4-2f7d-45e7-9e22-353907fb92c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536f26-5d7e-4d2b-a510-6667eeb1a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0" nillable="true" ma:displayName="MediaServiceAutoTags" ma:internalName="MediaServiceAutoTags" ma:readOnly="true">
      <xsd:simpleType>
        <xsd:restriction base="dms:Text"/>
      </xsd:simpleType>
    </xsd:element>
    <xsd:element name="MediaServiceOCR" ma:index="2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8" nillable="true" ma:displayName="Taxonomy Catch All Column" ma:hidden="true" ma:list="{a6e7e882-9704-4d77-9765-cf8fe4d68a88}" ma:internalName="TaxCatchAll" ma:showField="CatchAllData" ma:web="fe36f78b-f2f5-469e-9861-ee46cd4ffe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B6091E-833C-4910-9F6C-FD771706E9F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4B900F81-AED5-480A-B4C7-D9D39BF44DBC}"/>
</file>

<file path=customXml/itemProps3.xml><?xml version="1.0" encoding="utf-8"?>
<ds:datastoreItem xmlns:ds="http://schemas.openxmlformats.org/officeDocument/2006/customXml" ds:itemID="{FF2B0F42-6BEA-4D9C-A664-C4233E93E8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Cover Sheet</vt:lpstr>
      <vt:lpstr>Proj Cost</vt:lpstr>
      <vt:lpstr>Prop Bonds (2)</vt:lpstr>
      <vt:lpstr>RevReq</vt:lpstr>
      <vt:lpstr>Rates</vt:lpstr>
      <vt:lpstr>'Proj Cost'!Print_Area</vt:lpstr>
      <vt:lpstr>'Prop Bonds (2)'!Print_Area</vt:lpstr>
      <vt:lpstr>Rates!Print_Area</vt:lpstr>
      <vt:lpstr>RevReq!Print_Area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Christina M. Horan</dc:creator>
  <cp:keywords/>
  <dc:description/>
  <cp:lastModifiedBy>Ricks, Deborah L</cp:lastModifiedBy>
  <cp:revision/>
  <dcterms:created xsi:type="dcterms:W3CDTF">2007-01-17T14:32:02Z</dcterms:created>
  <dcterms:modified xsi:type="dcterms:W3CDTF">2021-12-10T21:06:10Z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0x01010017F62C1BAB7D1B4998D0BFFEC59B8AD2</vt:lpwstr>
  </property>
</Properties>
</file>